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univpm-my.sharepoint.com/personal/s1106613_pm_univpm_it/Documents/Supporto alla didattica/Corso Organizzazione d'impresa - Iacobucci/Lavori Organizzazione 2024/Imprese con sito per progetti OI/"/>
    </mc:Choice>
  </mc:AlternateContent>
  <xr:revisionPtr revIDLastSave="8" documentId="13_ncr:40009_{470E77C9-1C92-4157-877C-F271B7BD8E1C}" xr6:coauthVersionLast="47" xr6:coauthVersionMax="47" xr10:uidLastSave="{FF1BBF30-2F36-4477-BC25-16FAAF3BEA87}"/>
  <bookViews>
    <workbookView xWindow="-108" yWindow="-108" windowWidth="23256" windowHeight="12456" xr2:uid="{00000000-000D-0000-FFFF-FFFF00000000}"/>
  </bookViews>
  <sheets>
    <sheet name="Risultati" sheetId="2" r:id="rId1"/>
  </sheets>
  <definedNames>
    <definedName name="_xlnm._FilterDatabase" localSheetId="0" hidden="1">Risultati!$A$1:$F$6553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alcChain>
</file>

<file path=xl/sharedStrings.xml><?xml version="1.0" encoding="utf-8"?>
<sst xmlns="http://schemas.openxmlformats.org/spreadsheetml/2006/main" count="32767" uniqueCount="27547">
  <si>
    <t>Ragione sociale</t>
  </si>
  <si>
    <t>Partita IVA</t>
  </si>
  <si>
    <t>ATECO 2007
codice</t>
  </si>
  <si>
    <t>Provincia</t>
  </si>
  <si>
    <t>Indirizzo sede legale - Regione</t>
  </si>
  <si>
    <t>Website</t>
  </si>
  <si>
    <t>SOCIETA' AGRICOLA LA PELLEGRINA S.P.A.</t>
  </si>
  <si>
    <t>00642520233</t>
  </si>
  <si>
    <t>014700</t>
  </si>
  <si>
    <t>Verona</t>
  </si>
  <si>
    <t>Veneto</t>
  </si>
  <si>
    <t>CONSORZI AGRARI D'ITALIA - SOCIETA' PER AZIONI ANCHE IN BREVE C.A.I. S.P.A.</t>
  </si>
  <si>
    <t>15386841009</t>
  </si>
  <si>
    <t>016300</t>
  </si>
  <si>
    <t>Roma</t>
  </si>
  <si>
    <t>Lazio</t>
  </si>
  <si>
    <t>GRANLATTE SOCIETA' COOPERATIVA AGRICOLA A RESPONSABILITA' LIMITATA IN SIGLA GRANLATTE</t>
  </si>
  <si>
    <t>00326280377</t>
  </si>
  <si>
    <t>014000</t>
  </si>
  <si>
    <t>Bologna</t>
  </si>
  <si>
    <t>Emilia-Romagna</t>
  </si>
  <si>
    <t>CASALASCO SOCIETA' AGRICOLA S.P.A.</t>
  </si>
  <si>
    <t>01756860191</t>
  </si>
  <si>
    <t>Cremona</t>
  </si>
  <si>
    <t>Lombardia</t>
  </si>
  <si>
    <t>OROGEL SOCIETA' COOPERATIVA AGRICOLA IN SIGLA A.C.O. SOCIETA' COOPERATIVA AGRICOLA</t>
  </si>
  <si>
    <t>00800010407</t>
  </si>
  <si>
    <t>Forlì-Cesena</t>
  </si>
  <si>
    <t>APOT SOCIETA' COOPERATIVA AGRICOLA</t>
  </si>
  <si>
    <t>01386220220</t>
  </si>
  <si>
    <t>Trento</t>
  </si>
  <si>
    <t>Trentino-Alto Adige</t>
  </si>
  <si>
    <t>COOPERATIVA TERREMERSE SOC.COOP. IN SIGLA TERREMERSE SOC.COOP.</t>
  </si>
  <si>
    <t>00069880391</t>
  </si>
  <si>
    <t>Ravenna</t>
  </si>
  <si>
    <t>AGRINTESA SOCIETA' AGRICOLA COOPERATIVA O PIU' BREVEMENTE AGRINTE SA SOC. COOP. AGRICOLA</t>
  </si>
  <si>
    <t>00084360395</t>
  </si>
  <si>
    <t>CONSORZIO AGRARIO DELLE PROVINCE DEL NORD-OVEST SOCIETA' COOPERATIVA</t>
  </si>
  <si>
    <t>00181710047</t>
  </si>
  <si>
    <t>016100</t>
  </si>
  <si>
    <t>Cuneo</t>
  </si>
  <si>
    <t>Piemonte</t>
  </si>
  <si>
    <t>CONSORZIO AGRARIO TERREPADANE SCRL IN BREVE ANCHE TERREPADANE SCRL</t>
  </si>
  <si>
    <t>00105680334</t>
  </si>
  <si>
    <t>Piacenza</t>
  </si>
  <si>
    <t>APOFRUIT ITALIA - SOC. COOP. AGRICOLA</t>
  </si>
  <si>
    <t>00127740405</t>
  </si>
  <si>
    <t>ABOCA S.P.A. SOCIETA' AGRICOLA</t>
  </si>
  <si>
    <t>01704430519</t>
  </si>
  <si>
    <t>012800</t>
  </si>
  <si>
    <t>Arezzo</t>
  </si>
  <si>
    <t>Toscana</t>
  </si>
  <si>
    <t>LA MARCA VINI E SPUMANTI SOCIETA' COOPERATIVA AGRICOLA,CONSORZIO CANTINE SOCIALI DELLA MARCA TREVIGIANA,LA MARCA VINI E SPUMANTI,CONSORZIO CANTIN E,LA MARCA,C.C.S.M.T.,TREVI,TREVINMARC,CON.CA.SO.,SO.MA.TRE.,L.M.V.S.,C.L.M.T., FOSCARO,OPITERGIO,DOGADO,IN</t>
  </si>
  <si>
    <t>00302380266</t>
  </si>
  <si>
    <t>Treviso</t>
  </si>
  <si>
    <t>COOPERATIVE AGRICOLE VITI-FRUTTICOLTORI ITALIANI RIUNITI ORGANIZ- ZATI - SOCIETA' COOPERATIVA AGRICOLA OPPURE COOPERATIVE AGRICOLE VITI-FRUTTICOLTORI ITALIANI RIUNITI ORGANIZZATI - SOC. COOP. AGRICOLA O ANCHE COOPERATIVE AGRICOLE VITI-FRUTTICOLTORI ITALI</t>
  </si>
  <si>
    <t>00085350395</t>
  </si>
  <si>
    <t>016000</t>
  </si>
  <si>
    <t>CAVIT CANTINA VITICOLTORI CONSORZIO CANTINE SOCIALI DEL TRENTINO SOCIETA' COOPERATIVA PIU' BREVEMENTE CAVIT S.C. PER FINALITA' PRODUTTIVE ANC HE CON LE DICITURE CANTINA PRODUTTORI OPPURE VITICOLTORI TRENTINI OPPURE VI NTRENTO OPPURE TRENTINA VIN</t>
  </si>
  <si>
    <t>00107940223</t>
  </si>
  <si>
    <t>012100</t>
  </si>
  <si>
    <t>CONSORZIO AGRARIO DI RAVENNA-SOC.COOP.A R.L.</t>
  </si>
  <si>
    <t>00072430390</t>
  </si>
  <si>
    <t>DOLE ITALIA S.R.L.</t>
  </si>
  <si>
    <t>03146250109</t>
  </si>
  <si>
    <t>Milano</t>
  </si>
  <si>
    <t>CANTINA SOCIALE COOPERATIVA DI SOAVE - SOCIETA' AGRICOLA COOPERATIVA, PER BREVITA' CANTINA SOCIALE DI SOAVE O CANTINA DI SOAVE O CADIS 1898 O MAXIMILIAN I O ROCCA SVEVA O EQUIPE5 O LE CENGE O VILLA RASINA O ROCCA ALATA O DELLA ROCCA O</t>
  </si>
  <si>
    <t>00208750232</t>
  </si>
  <si>
    <t>CONSORZIO AGRARIO DEL FRIULI VENEZIA GIULIA - SOC. COOP. A R.L. IN BREVE CAP F.V.G.</t>
  </si>
  <si>
    <t>00190300301</t>
  </si>
  <si>
    <t>Udine</t>
  </si>
  <si>
    <t>Friuli-Venezia Giulia</t>
  </si>
  <si>
    <t>SANTANGIOLINA LATTE FATTORIE LOMBARDE SOC.AGR.COOPERATIVA</t>
  </si>
  <si>
    <t>00818130155</t>
  </si>
  <si>
    <t>A.BIO.MED. (AGRICOLTURA BIOLOGICA MEDITERRANEA) SOCIETA' COOPERAT IVA AGRICOLA</t>
  </si>
  <si>
    <t>01177220884</t>
  </si>
  <si>
    <t>010000</t>
  </si>
  <si>
    <t>Ragusa</t>
  </si>
  <si>
    <t>Sicilia</t>
  </si>
  <si>
    <t>CAVIRO EXTRA S.P.A. O CAVIRO EXTRA DISTILLERIE S.P.A. - EXTRA DIS TILLERIE S.P.A. - EXTRA ALCOLI S.P.A. - CAVIRO EXTRA MOSTI ED ESTRATTI S.P.A. - EXTRA MOSTI ED ESTRATTI S.P.A. - CAVIRO EXTRA TARTARICA S.P.A. - EXTRA TARTARICA S.P.A. - CAVIRO EXTRA ECO-E</t>
  </si>
  <si>
    <t>02274140397</t>
  </si>
  <si>
    <t>O.R.A. SOCIETA' AGRICOLA A RESPONSABILITA' LIMITATA SIGLABILE O.R.A. SOCIETA' AGRICOLA S.R.L.</t>
  </si>
  <si>
    <t>02733750042</t>
  </si>
  <si>
    <t>COOPERATIVA COMMERCIALIZZAZIONE LATTE SOCIETA' COOPERATIVA AGRICOLA IN SIGLA DENOMINATA COMPRAL-LATTE SOC. COOP. AGR.</t>
  </si>
  <si>
    <t>03300030040</t>
  </si>
  <si>
    <t>016209</t>
  </si>
  <si>
    <t>CONSORZIO AGRARIO DI TREVISO E BELLUNO - SOCIETA' COOPERATIVA</t>
  </si>
  <si>
    <t>00194950267</t>
  </si>
  <si>
    <t>CENTRO LATTE BRESSANONE - SOCIETA' AGRICOLA COOPERATIVA ABBREVIATO: BRIMI</t>
  </si>
  <si>
    <t>00099750218</t>
  </si>
  <si>
    <t>014100</t>
  </si>
  <si>
    <t>Bolzano/Bozen</t>
  </si>
  <si>
    <t>SOCIETA' AGRICOLA FILENI S.R.L.</t>
  </si>
  <si>
    <t>01964550436</t>
  </si>
  <si>
    <t>Macerata</t>
  </si>
  <si>
    <t>Marche</t>
  </si>
  <si>
    <t>AGRI PIACENZA LATTE SOCIETA' AGRICOLA CONSORTILE A RESPONSABILITA ' LIMITATA ENUNCIABILE ANCHE AGRI PIACENZA LATTE SOC. AGR. CONS. A R.L.</t>
  </si>
  <si>
    <t>01382310330</t>
  </si>
  <si>
    <t>GRANFRUTTA ZANI SOCIETA' COOPERATIVA AGRICOLA</t>
  </si>
  <si>
    <t>00082340399</t>
  </si>
  <si>
    <t>C.A.P.A. COLOGNA - COOPERATIVA ASSISTENZA PRODUTTORI AGRICOLI - SOCIETA' COOPERATIVA AGRICOLA IN FORMA ABBREVIATA CAPA COLOGNA S.C.A.</t>
  </si>
  <si>
    <t>00151720380</t>
  </si>
  <si>
    <t>016300</t>
  </si>
  <si>
    <t>Ferrara</t>
  </si>
  <si>
    <t>Emilia-Romagna</t>
  </si>
  <si>
    <t>A.F.E. - ASSOCIAZIONE FRUTTICOLTORI ESTENSE SOC. COOP. AGRICOLA</t>
  </si>
  <si>
    <t>00054520382</t>
  </si>
  <si>
    <t>ORTOROMI SOCIETA' COOPERATIVA AGRICOLA</t>
  </si>
  <si>
    <t>03940270287</t>
  </si>
  <si>
    <t>Padova</t>
  </si>
  <si>
    <t>Veneto</t>
  </si>
  <si>
    <t>VIGNAIOLI VENETO FRIULANI SOCIETA' AGRICOLA COOPERATIVA IN SIGLA: VIGNAIOLI VENETO FRIULANI S.C.A.</t>
  </si>
  <si>
    <t>00190620260</t>
  </si>
  <si>
    <t>012100</t>
  </si>
  <si>
    <t>Treviso</t>
  </si>
  <si>
    <t>MEZZACORONA SOCIETA' COOPERATIVA AGRICOLA IN SIGLA MEZZACORONA S.C.A.</t>
  </si>
  <si>
    <t>00120200225</t>
  </si>
  <si>
    <t>Trento</t>
  </si>
  <si>
    <t>Trentino-Alto Adige</t>
  </si>
  <si>
    <t>DELTAFINA S.R.L.</t>
  </si>
  <si>
    <t>00120640552</t>
  </si>
  <si>
    <t>Terni</t>
  </si>
  <si>
    <t>Umbria</t>
  </si>
  <si>
    <t>AGRIFORM - SOCIETA' COOPERATIVA AGRICOLA, PIU' BREVEMENTE AGRIFORM S.C.A.</t>
  </si>
  <si>
    <t>01315410231</t>
  </si>
  <si>
    <t>016100</t>
  </si>
  <si>
    <t>Verona</t>
  </si>
  <si>
    <t>011300</t>
  </si>
  <si>
    <t>Forlì-Cesena</t>
  </si>
  <si>
    <t>COOPERATIVA ZOOTECNICA SCALIGERA SOCIETA' AGRICOLA COOPERATIVA</t>
  </si>
  <si>
    <t>00976860239</t>
  </si>
  <si>
    <t>014200</t>
  </si>
  <si>
    <t>CANTINA DI CONEGLIANO E VITTORIO VENETO SOCIETA' AGRICOLA COOPERA TIVA</t>
  </si>
  <si>
    <t>00190690263</t>
  </si>
  <si>
    <t>TERRA ORTI - SOCIETA' COOPERATIVA</t>
  </si>
  <si>
    <t>03605110653</t>
  </si>
  <si>
    <t>Salerno</t>
  </si>
  <si>
    <t>Campania</t>
  </si>
  <si>
    <t>MOLINI POPOLARI RIUNITI ELLERA UMBERTIDE SOCIETA' COOPERATIVA AGRICOLA</t>
  </si>
  <si>
    <t>00294530548</t>
  </si>
  <si>
    <t>Perugia</t>
  </si>
  <si>
    <t>COLLIS VENETO WINE GROUP SOCIETA' COOPERATIVA AGRICOLA IN FORMA ABBREVIATA COLLIS , COLLIS GROUP , COLLIS WINE GROUP E/O C.W.G.</t>
  </si>
  <si>
    <t>03790110237</t>
  </si>
  <si>
    <t>LATTERIA DI SOLIGO SOCIETA' AGRICOLA COOPERATIVA</t>
  </si>
  <si>
    <t>00178340261</t>
  </si>
  <si>
    <t>014100</t>
  </si>
  <si>
    <t>014700</t>
  </si>
  <si>
    <t>APOC SALERNO SOCIETA' AGRICOLA COOPERATIVA A R.L.</t>
  </si>
  <si>
    <t>00680210655</t>
  </si>
  <si>
    <t>PIEMONTE ASPROFRUT SOCIETA' CONSORTILE COOPERATIVA AGRICOLA PER AZIONI</t>
  </si>
  <si>
    <t>00183160043</t>
  </si>
  <si>
    <t>011000</t>
  </si>
  <si>
    <t>Cuneo</t>
  </si>
  <si>
    <t>Piemonte</t>
  </si>
  <si>
    <t>ASSO FRUIT ITALIA SOCIETA' COOPERATIVA AGRICOLA</t>
  </si>
  <si>
    <t>01188370777</t>
  </si>
  <si>
    <t>Matera</t>
  </si>
  <si>
    <t>Basilicata</t>
  </si>
  <si>
    <t>CONSORZIO ITALIANO COOPERATIVE ORTOFRUTTICOLE SOC. COOP. AGRICOLA</t>
  </si>
  <si>
    <t>01393380389</t>
  </si>
  <si>
    <t>VIVAI COOPERATIVI RAUSCEDO SOCIETA' COOPERATIVA AGRICOLA LA SOCIETA' POTRA' ESSERE IDENTIFICATA ANCHE CON LA SEGUENTE SIGLA VCR</t>
  </si>
  <si>
    <t>00072080930</t>
  </si>
  <si>
    <t>013000</t>
  </si>
  <si>
    <t>Pordenone</t>
  </si>
  <si>
    <t>Friuli-Venezia Giulia</t>
  </si>
  <si>
    <t>CONSORZIO AGRARIO DI PARMA - SOCIETA' COOPERATIVA A RESPONSABILITA' LIMITATA</t>
  </si>
  <si>
    <t>00163810344</t>
  </si>
  <si>
    <t>Parma</t>
  </si>
  <si>
    <t>MARCHESI FRESCOBALDI SOCIETA' AGRICOLA S.R.L. (IN SIGLA MARCHESI FRESCOBALDI OVVERO FRESCOBALDI OVVERO MF OVVERO AMF OVVERO ATTEMS</t>
  </si>
  <si>
    <t>01770300489</t>
  </si>
  <si>
    <t>Firenze</t>
  </si>
  <si>
    <t>Toscana</t>
  </si>
  <si>
    <t>SOCIETA' AGRICOLA RIPRO-AVICOLA S.R.L.</t>
  </si>
  <si>
    <t>03986300402</t>
  </si>
  <si>
    <t>SANT'ORSOLA SOCIETA' COOPERATIVA AGRICOLA</t>
  </si>
  <si>
    <t>00477190227</t>
  </si>
  <si>
    <t>ORGANIZZAZIONE DI PRODUTTORI GIULIANO-SOCIETA' A RESPONSABILITA' LIMITATA</t>
  </si>
  <si>
    <t>05502510729</t>
  </si>
  <si>
    <t>Bari</t>
  </si>
  <si>
    <t>Puglia</t>
  </si>
  <si>
    <t>CONTINENTAL SEMENCES SOCIETA' PER AZIONI (O IN FORMA ABBREVIATA C ONTINENTAL SEMENCES S.P.A.)</t>
  </si>
  <si>
    <t>02098280346</t>
  </si>
  <si>
    <t>016401</t>
  </si>
  <si>
    <t>O.P. VALLEVERDE SOC. AGRICOLA CONS. A R.L.</t>
  </si>
  <si>
    <t>01340130887</t>
  </si>
  <si>
    <t>Ragusa</t>
  </si>
  <si>
    <t>Sicilia</t>
  </si>
  <si>
    <t>LATTERIA SOCIALE MERANO SOCIETA' AGRICOLA COOPERATIVA</t>
  </si>
  <si>
    <t>00101080216</t>
  </si>
  <si>
    <t>Bolzano/Bozen</t>
  </si>
  <si>
    <t>COOPERATIVA PRODUTTORI ROMAGNOLI AVICOLI - CO.P.R.A. - SOCIETA' C OOPERATIVA AGRICOLA IN SIGLA CO.P.R.A. SOCIETA' COOPERATIVA AGRICOLA</t>
  </si>
  <si>
    <t>01785690403</t>
  </si>
  <si>
    <t>016300</t>
  </si>
  <si>
    <t>Forlì-Cesena</t>
  </si>
  <si>
    <t>Emilia-Romagna</t>
  </si>
  <si>
    <t>CONDIFESA VERONA CODIVE SOCIETA' COOPERATIVA</t>
  </si>
  <si>
    <t>03211070234</t>
  </si>
  <si>
    <t>011000</t>
  </si>
  <si>
    <t>Verona</t>
  </si>
  <si>
    <t>Veneto</t>
  </si>
  <si>
    <t>TERRE DELL'ETRURIA - SOCIETA' COOPERATIVA AGRICOLA TRA PRODUTTORI</t>
  </si>
  <si>
    <t>00724260492</t>
  </si>
  <si>
    <t>Livorno</t>
  </si>
  <si>
    <t>Toscana</t>
  </si>
  <si>
    <t>COOPERATIVA AGRICOLA SPAZIO - SOCIETA' COOPERATIVA</t>
  </si>
  <si>
    <t>01191910262</t>
  </si>
  <si>
    <t>016100</t>
  </si>
  <si>
    <t>Treviso</t>
  </si>
  <si>
    <t>SOCIETA' AGRICOLA SANTAMARIA S.R.L.</t>
  </si>
  <si>
    <t>01603010404</t>
  </si>
  <si>
    <t>014700</t>
  </si>
  <si>
    <t>CONSORZIO CASALASCO DEL POMODORO SOCIETA' AGRICOLA COOPERATIVA</t>
  </si>
  <si>
    <t>00325250199</t>
  </si>
  <si>
    <t>Cremona</t>
  </si>
  <si>
    <t>Lombardia</t>
  </si>
  <si>
    <t>SOCIETA' AGRICOLA IL SOLE A R.L.</t>
  </si>
  <si>
    <t>02631100340</t>
  </si>
  <si>
    <t>Parma</t>
  </si>
  <si>
    <t>MASTROPASQUA INTERNATIONAL - S.P.A.</t>
  </si>
  <si>
    <t>02195870718</t>
  </si>
  <si>
    <t>011310</t>
  </si>
  <si>
    <t>Foggia</t>
  </si>
  <si>
    <t>Puglia</t>
  </si>
  <si>
    <t>CONSORZIO AGRARIO LOMBARDO SOCIETA' COOPERATIVA</t>
  </si>
  <si>
    <t>00410990139</t>
  </si>
  <si>
    <t>Bergamo</t>
  </si>
  <si>
    <t>PATFRUT SOCIETA' COOPERATIVA AGRICOLA</t>
  </si>
  <si>
    <t>01191820388</t>
  </si>
  <si>
    <t>Ferrara</t>
  </si>
  <si>
    <t>C.I.O. - CONSORZIO INTERREGIONALE ORTOFRUTTICOLO - SOCIETA' COOPERATIVA AGRICOLA</t>
  </si>
  <si>
    <t>01574980221</t>
  </si>
  <si>
    <t>Trento</t>
  </si>
  <si>
    <t>Trentino-Alto Adige</t>
  </si>
  <si>
    <t>SOCIETA' AGRICOLA COOPERATIVA FRUTTICOLTORI JUVAL CASTELBELLO-CIARDES-STAVA, IN BREVE JUVAL</t>
  </si>
  <si>
    <t>00126530211</t>
  </si>
  <si>
    <t>Bolzano/Bozen</t>
  </si>
  <si>
    <t>Modena</t>
  </si>
  <si>
    <t>SOCIETA AGRICOLA BIOLOGICA FILENI S.R.L.</t>
  </si>
  <si>
    <t>01776160432</t>
  </si>
  <si>
    <t>Macerata</t>
  </si>
  <si>
    <t>Marche</t>
  </si>
  <si>
    <t>CONSORZIO CASEIFICI COOPERATIVI - SOCIETA' AGRICOLA COOPERATIVA ABBREVIABILE IN C.C.C. - SOC. AGR. COOP.</t>
  </si>
  <si>
    <t>01353050360</t>
  </si>
  <si>
    <t>016000</t>
  </si>
  <si>
    <t>ESTUARIO CARNI SOCIETA' COOPERATIVA AGRICOLA</t>
  </si>
  <si>
    <t>03718600277</t>
  </si>
  <si>
    <t>Venezia</t>
  </si>
  <si>
    <t>SOCIETA' AGRICOLA MANTOVANA S.R.L.</t>
  </si>
  <si>
    <t>03698280405</t>
  </si>
  <si>
    <t>ASSOCIAZIONE INTERPROVINCIALE PRODUTTORI ORTOFRUTTICOLI AS.I.P.O .SOCIETA' AGRICOLA COOPERATIVA O IN FORMA ABBREVIATA ASIPO SOCIETA' AGRICOLA COOPERATIVA</t>
  </si>
  <si>
    <t>00514760347</t>
  </si>
  <si>
    <t>COOPERATIVA FRUTTICOLTORI POMUS - SOCIETA' AGRICOLA</t>
  </si>
  <si>
    <t>00126480219</t>
  </si>
  <si>
    <t>VITICOLTORI FRIULANI LA DELIZIA - SOCIETA' COOPERATIVA AGRICOLA PER BREVITA' LA DELIZIA O VINI DELLA DELIZIA O VI.DEL. O DEL.CA.CE. O VI.DEL.C.C. O VI.FRI.DEL. O VI.DE.CA. O VIT.CA. O V.R. O V.F.D. O VINICOLA UDINESE O MORASSUTTI O</t>
  </si>
  <si>
    <t>00071480933</t>
  </si>
  <si>
    <t>012100</t>
  </si>
  <si>
    <t>Pordenone</t>
  </si>
  <si>
    <t>Friuli-Venezia Giulia</t>
  </si>
  <si>
    <t>CANTINA VITICOLTORI PONTE DI PIAVE SOCIETA' COOPERATIVA AGRICOLA</t>
  </si>
  <si>
    <t>00197580269</t>
  </si>
  <si>
    <t>SAN LIDANO, SOCIETA' COOPERATIVA AGRICOLA</t>
  </si>
  <si>
    <t>01822110597</t>
  </si>
  <si>
    <t>Latina</t>
  </si>
  <si>
    <t>Lazio</t>
  </si>
  <si>
    <t>ORNELLAIA E MASSETO SOCIETA' AGRICOLA S.R.L.</t>
  </si>
  <si>
    <t>01329080491</t>
  </si>
  <si>
    <t>CONSORZIO PRODUTTORI LATTE DELLE VALLI TRENTINE SOCIETA' COOPERAT IVA AGRICOLA IN SIGLA LATTE TRENTO SOCIETA' COOPERATIVA AGRICOLA</t>
  </si>
  <si>
    <t>00122380223</t>
  </si>
  <si>
    <t>014100</t>
  </si>
  <si>
    <t>CANTINE DI VERONA SOCIETA' COOPERATIVA AGRICOLA OVVERO CANTINE DI VERONA SCA</t>
  </si>
  <si>
    <t>00225220235</t>
  </si>
  <si>
    <t>COOPERATIVA FRUTTICOLTORI MIVO-ORTLER SOCIETA' AGRICOLA, IN BREVE MIVOR</t>
  </si>
  <si>
    <t>00126030212</t>
  </si>
  <si>
    <t>016300</t>
  </si>
  <si>
    <t>Bolzano/Bozen</t>
  </si>
  <si>
    <t>Trentino-Alto Adige</t>
  </si>
  <si>
    <t>CONDIFESA TREVISO VICENZA BELLUNO - CONSORZIO PER LA DIFESA DELLE ATTIVITA' AGRICOLE DALLE AVVERSITA' - SOCIETA' COOPERATIVA AGRICOLA</t>
  </si>
  <si>
    <t>04393860269</t>
  </si>
  <si>
    <t>016100</t>
  </si>
  <si>
    <t>Treviso</t>
  </si>
  <si>
    <t>Veneto</t>
  </si>
  <si>
    <t>ORGANIZZAZIONE PRODUTTORI NORDEST SOCIET+ COOPERATIVA AGRICOLA</t>
  </si>
  <si>
    <t>02786320230</t>
  </si>
  <si>
    <t>Verona</t>
  </si>
  <si>
    <t>CENTRO ECONOMICO SERVIZI AGRICOLI E CANTINA SOCIETA' COOPERATIVA AGRICOLA ANCHE IN FORMA ABBREVIATA CESAC SOCIETA' COOPERATIVA AGRICOLA</t>
  </si>
  <si>
    <t>00290050392</t>
  </si>
  <si>
    <t>Ravenna</t>
  </si>
  <si>
    <t>Emilia-Romagna</t>
  </si>
  <si>
    <t>O.P. DEL GARDA SOCIETA' COOPERATIVA AGRICOLA PER AZIONI</t>
  </si>
  <si>
    <t>03432310237</t>
  </si>
  <si>
    <t>Brescia</t>
  </si>
  <si>
    <t>Lombardia</t>
  </si>
  <si>
    <t>COOPERATIVA FRUTTICOLTORI GRUFRUT GROUP SOCIETA' AGRICOLA</t>
  </si>
  <si>
    <t>00126810217</t>
  </si>
  <si>
    <t>Campania</t>
  </si>
  <si>
    <t>JOINFRUIT SOCIETA' CONSORTILE A R.L.</t>
  </si>
  <si>
    <t>03614040040</t>
  </si>
  <si>
    <t>Cuneo</t>
  </si>
  <si>
    <t>Piemonte</t>
  </si>
  <si>
    <t>ORGANIZZAZIONE DI PRODUTTORI AGRICOLI AGORA' SOCIETA' COOPERATIVA AGRICOLA IN SIG</t>
  </si>
  <si>
    <t>01274590775</t>
  </si>
  <si>
    <t>Matera</t>
  </si>
  <si>
    <t>Basilicata</t>
  </si>
  <si>
    <t>Forlì-Cesena</t>
  </si>
  <si>
    <t>OP KIWI SOLE SOCIETA' COOPERATIVA AGRICOLA</t>
  </si>
  <si>
    <t>01785630599</t>
  </si>
  <si>
    <t>Roma</t>
  </si>
  <si>
    <t>Lazio</t>
  </si>
  <si>
    <t>GEOS - SOCIETA' AGRICOLA COOPERATIVA FRUTTICOLTORI SILANDRO</t>
  </si>
  <si>
    <t>00126650217</t>
  </si>
  <si>
    <t>TEXEL COOPERATIVA SOCIETA' AGRICOLA</t>
  </si>
  <si>
    <t>00455130211</t>
  </si>
  <si>
    <t>S.I.S. SOCIETA' ITALIANA SEMENTI - S.P.A.</t>
  </si>
  <si>
    <t>03585111200</t>
  </si>
  <si>
    <t>011000</t>
  </si>
  <si>
    <t>Bologna</t>
  </si>
  <si>
    <t>OPOA-MARSIA SOCIETA' COOPERATIVA AGRICOLA</t>
  </si>
  <si>
    <t>01527390668</t>
  </si>
  <si>
    <t>L'Aquila</t>
  </si>
  <si>
    <t>Abruzzo</t>
  </si>
  <si>
    <t>CA' DEL BOSCO S.R.L. - SOCIETA' AGRICOLA O IN SIGLA C.D.B. S.R.L. - SOCIETA' AGRICOLA</t>
  </si>
  <si>
    <t>04050710989</t>
  </si>
  <si>
    <t>012100</t>
  </si>
  <si>
    <t>CONSORZIO JONICO ORTOFRUTTICOLTORI SOC.COOP IN ABBREVI C.J.O. SO C COOP</t>
  </si>
  <si>
    <t>00667130777</t>
  </si>
  <si>
    <t>Salerno</t>
  </si>
  <si>
    <t>CANTINE SETTESOLI-SOCIETA' COOPERATIVA AGRICOLA ED IN SIGLA CAN TINE SETTESOLI S.C.A.</t>
  </si>
  <si>
    <t>00071330849</t>
  </si>
  <si>
    <t>Agrigento</t>
  </si>
  <si>
    <t>Sicilia</t>
  </si>
  <si>
    <t>CONSORZIO ASSOCIAZIONE PRODUTTORI ORTOFRUTTICOLI FOGGIA - SOCIETA' COOPERATIVA IN SIGLA CONSORZIO APO FOGGIA S.C.</t>
  </si>
  <si>
    <t>01808870719</t>
  </si>
  <si>
    <t>Foggia</t>
  </si>
  <si>
    <t>Puglia</t>
  </si>
  <si>
    <t>FINAGRICOLA SOCIETA' COOPERATIVA</t>
  </si>
  <si>
    <t>02189960657</t>
  </si>
  <si>
    <t>ARPOR SOCIETA' COOPERATIVA AGRICOLA IN BREVE ARPOR</t>
  </si>
  <si>
    <t>01307920403</t>
  </si>
  <si>
    <t>FLORA TOSCANA SOCIETA' AGRICOLA COOPERATIVA</t>
  </si>
  <si>
    <t>00956640478</t>
  </si>
  <si>
    <t>Pistoia</t>
  </si>
  <si>
    <t>Toscana</t>
  </si>
  <si>
    <t>O.P. AGRINSIEME SOCIETA' CONSORTILE A RESPONSABILITA' LIMITATA</t>
  </si>
  <si>
    <t>02274990593</t>
  </si>
  <si>
    <t>COOPERATIVA ORTOFRUTTICOLA DELLA PROVINCIA DI LATINA</t>
  </si>
  <si>
    <t>00124480591</t>
  </si>
  <si>
    <t>Latina</t>
  </si>
  <si>
    <t>COOPERATIVA AGRICOLA BRACCIANTI GIULIO BELLINI - SOC. COOP. A R.L. IN SIGLA COOP. GIULIO BELLINI , ALBAVERDE , MOLINO SIMA</t>
  </si>
  <si>
    <t>00041670381</t>
  </si>
  <si>
    <t>011140</t>
  </si>
  <si>
    <t>Ferrara</t>
  </si>
  <si>
    <t>ORTOMAD SOCIETA' AGRICOLA S.R.L.</t>
  </si>
  <si>
    <t>03450990654</t>
  </si>
  <si>
    <t>011320</t>
  </si>
  <si>
    <t>ASSOCIAZIONE ORTOFRUTTICOLTORI AGRO SOCIETA' COOPERATIVA AGRICOLA A RESPONSABILITA' LIMITATA</t>
  </si>
  <si>
    <t>00856470653</t>
  </si>
  <si>
    <t>COOPERATIVA FRUTTICOLTORI ROEN SOCIETA' AGRICOLA</t>
  </si>
  <si>
    <t>00121550214</t>
  </si>
  <si>
    <t>016300</t>
  </si>
  <si>
    <t>Bolzano/Bozen</t>
  </si>
  <si>
    <t>Trentino-Alto Adige</t>
  </si>
  <si>
    <t>SOCIETA' COOPERATIVA AGRICOLA CANTINA SOCIALE TOLLO OVVERO C.S.T.S.C.A. , O CANTINA TOLLO S.C.A. , O FEUDO ANTICO C.T.S.C.A. , O TENUTA GIGLIO C.T. S.C.A. , O BORGO VENNA C.T. S.C.A. , O TOLLO VINI S.C.A. , O T.V.S.C.A.</t>
  </si>
  <si>
    <t>00090180696</t>
  </si>
  <si>
    <t>012100</t>
  </si>
  <si>
    <t>Chieti</t>
  </si>
  <si>
    <t>Abruzzo</t>
  </si>
  <si>
    <t>ASSOCIAZIONE DI PRODUTTORI PROMARCHE SOCIETA' COOPERATIVA AGRICOLA PER AZIONI</t>
  </si>
  <si>
    <t>01385160443</t>
  </si>
  <si>
    <t>016100</t>
  </si>
  <si>
    <t>Ascoli Piceno</t>
  </si>
  <si>
    <t>Marche</t>
  </si>
  <si>
    <t>FEMAR VINI - SOCIETA' A RESPONSABILITA' LIMITATA</t>
  </si>
  <si>
    <t>04934781008</t>
  </si>
  <si>
    <t>Roma</t>
  </si>
  <si>
    <t>Lazio</t>
  </si>
  <si>
    <t>CONSORZIO FUNGHI DI TREVISO SOCIETA' COOPERATIVA AGRICOLA</t>
  </si>
  <si>
    <t>03419220268</t>
  </si>
  <si>
    <t>Treviso</t>
  </si>
  <si>
    <t>Veneto</t>
  </si>
  <si>
    <t>Perugia</t>
  </si>
  <si>
    <t>Umbria</t>
  </si>
  <si>
    <t>CANTINA VALPOLICELLA NEGRAR SOCIETA' COOPERATIVA AGRICOLA ED IN FORMA ABBREVIATA C.V.N. S.C.A.</t>
  </si>
  <si>
    <t>00220900237</t>
  </si>
  <si>
    <t>Verona</t>
  </si>
  <si>
    <t>CENTRO SEIA S.R.L. - SOCIETA' AGRICOLA</t>
  </si>
  <si>
    <t>00867830887</t>
  </si>
  <si>
    <t>011000</t>
  </si>
  <si>
    <t>Ragusa</t>
  </si>
  <si>
    <t>Sicilia</t>
  </si>
  <si>
    <t>TERRE DEL DELTA SOCIETA' COOPERATIVA AGRICOLA</t>
  </si>
  <si>
    <t>00098090293</t>
  </si>
  <si>
    <t>Rovigo</t>
  </si>
  <si>
    <t>Lombardia</t>
  </si>
  <si>
    <t>SOCIETA' AGRICOLA C.I.T.A.I. COMPAGNIA ITALIANA TERRENI ALLEVAMENTO E IMPIANTI S.P.A.</t>
  </si>
  <si>
    <t>00483000493</t>
  </si>
  <si>
    <t>Livorno</t>
  </si>
  <si>
    <t>Toscana</t>
  </si>
  <si>
    <t>CANTINA E OLEIFICIO SOCIALE DI SAN MARZANO SOCIETA' COOPERATIVA AGRICOLA</t>
  </si>
  <si>
    <t>00090040734</t>
  </si>
  <si>
    <t>Taranto</t>
  </si>
  <si>
    <t>Puglia</t>
  </si>
  <si>
    <t>IOPPI' SOCIETA' AGRICOLA CONSORTILE A RESPONSABILITA' LIMITATA O. P.</t>
  </si>
  <si>
    <t>01633760887</t>
  </si>
  <si>
    <t>CANTINA FORLI' PREDAPPIO SOCIETA' AGRICOLA COOPERATIVA</t>
  </si>
  <si>
    <t>00143980407</t>
  </si>
  <si>
    <t>Forlì-Cesena</t>
  </si>
  <si>
    <t>Emilia-Romagna</t>
  </si>
  <si>
    <t>CENTRO CEREALI CARMAGNOLA - SOCIETA' AGRICOLA COOPERATIVA SIGLABILE C.C.C. - SOC. AGR. COOPERATIVA</t>
  </si>
  <si>
    <t>05748360012</t>
  </si>
  <si>
    <t>Torino</t>
  </si>
  <si>
    <t>Piemonte</t>
  </si>
  <si>
    <t>TRASFORMATORI TABACCO ITALIA SOCIETA' COOPERATIVA AGRICOLA</t>
  </si>
  <si>
    <t>03265510549</t>
  </si>
  <si>
    <t>OROGEL FRESCO SOCIETA' COOPERATIVA AGRICOLA IN SIGLA A.C.O.F. SOCIETA' COOPERATIVA AGRICOLA</t>
  </si>
  <si>
    <t>02440620405</t>
  </si>
  <si>
    <t>OVEG - SOCIETA' AGRICOLA COOPERATIVA PRODUTTORI AGRICOLI ALTA VALVENOSTA</t>
  </si>
  <si>
    <t>00126500214</t>
  </si>
  <si>
    <t>COOPERATIVA AGRICOLA CESENATE SOCIETA' COOPERATIVA AGRICOLA IN ACRONIMO C.A.C. SOC. COOP. AGR.</t>
  </si>
  <si>
    <t>00144040409</t>
  </si>
  <si>
    <t>016409</t>
  </si>
  <si>
    <t>AGRIEUROPA SOCIETA' COOPERATIVA AGRICOLA</t>
  </si>
  <si>
    <t>01540150594</t>
  </si>
  <si>
    <t>Latina</t>
  </si>
  <si>
    <t>SOCIETA' AGRICOLA BARCON S.R.L.</t>
  </si>
  <si>
    <t>02221021203</t>
  </si>
  <si>
    <t>014200</t>
  </si>
  <si>
    <t>AGRIFOOD ABRUZZO S.R.L.</t>
  </si>
  <si>
    <t>01894680980</t>
  </si>
  <si>
    <t>Brescia</t>
  </si>
  <si>
    <t>O.P. ALTAMURA SOCIETA' AGRICOLA CONSORTILE A RESPONSABILITA' LIMITATA</t>
  </si>
  <si>
    <t>05608470653</t>
  </si>
  <si>
    <t>011320</t>
  </si>
  <si>
    <t>Salerno</t>
  </si>
  <si>
    <t>Campania</t>
  </si>
  <si>
    <t>BANFI SOCIETA' AGRICOLA S.R.L.;POTRANNO ESSERE UTILIZZATE AI FIN I DELLA ESTERIORIZZAZIONE DEI PRODOTTI AZIENDALI,E SOLO A QUESTI FINI,LE DENOMIN AZIONI PLACIDO SOCIETA' AGRICOLA - SRL O,QUALORA CONSENTITO,IN FORMA ABBREVIATA PLACIDO S.A. - S.R.L. UNITAM</t>
  </si>
  <si>
    <t>00841650526</t>
  </si>
  <si>
    <t>012000</t>
  </si>
  <si>
    <t>Siena</t>
  </si>
  <si>
    <t>COOPERATIVA MAISCOLTORI BASSO FERRARESE - SOC. COOP. AGRICOLA</t>
  </si>
  <si>
    <t>00347200388</t>
  </si>
  <si>
    <t>Ferrara</t>
  </si>
  <si>
    <t>O.P. LA MAGGIOLINA SOCIETA' AGRICOLA CONSORTILE A RESPONSABILITA' LIMITATA</t>
  </si>
  <si>
    <t>04635240650</t>
  </si>
  <si>
    <t>SOCIETA' AGRICOLA EUROPOLL S.R.L.</t>
  </si>
  <si>
    <t>02919770046</t>
  </si>
  <si>
    <t>014700</t>
  </si>
  <si>
    <t>Cuneo</t>
  </si>
  <si>
    <t>VALLEVERDE SOCIETA' AGRICOLA S.R.L.</t>
  </si>
  <si>
    <t>02161680265</t>
  </si>
  <si>
    <t>014000</t>
  </si>
  <si>
    <t>CANTINA COLLI DEL SOLIGO - SOCIETA' AGRICOLA COOPERATIVA TRA PRODUTTORI DI UVE PREGIATE</t>
  </si>
  <si>
    <t>00179830260</t>
  </si>
  <si>
    <t>CANTINA PRODUTTORI DI VALDOBBIADENE SOCIETA' AGRICOLA COOPERATIVA IN BREVE : C.P.V. - CA.P. - CA.VA. - P.V. - PRO.VA:</t>
  </si>
  <si>
    <t>00178520268</t>
  </si>
  <si>
    <t>APOD SOCIETA' COOPERATIVA AGRICOLA A RESPONSABILITA' LIMITATA</t>
  </si>
  <si>
    <t>03740930718</t>
  </si>
  <si>
    <t>Foggia</t>
  </si>
  <si>
    <t>CHE ORTO - SOCIETA' COOPERATIVA AGRICOLA</t>
  </si>
  <si>
    <t>02787360599</t>
  </si>
  <si>
    <t>016300</t>
  </si>
  <si>
    <t>Latina</t>
  </si>
  <si>
    <t>Lazio</t>
  </si>
  <si>
    <t>COOPERATIVA COMMERCIALIZZAZIONE PRODOTTI ALLEVAMENTO SOCIETA' COOPERATIVA AGRICOLA IN SIGLA COMPRAL SOC.COOP.AGR.</t>
  </si>
  <si>
    <t>00980240048</t>
  </si>
  <si>
    <t>016209</t>
  </si>
  <si>
    <t>Cuneo</t>
  </si>
  <si>
    <t>Piemonte</t>
  </si>
  <si>
    <t>B.F. AGRICOLA S.R.L. SOCIETA' AGRICOLA</t>
  </si>
  <si>
    <t>02079750382</t>
  </si>
  <si>
    <t>014200</t>
  </si>
  <si>
    <t>Ferrara</t>
  </si>
  <si>
    <t>Emilia-Romagna</t>
  </si>
  <si>
    <t>FUTURAGRI SOCIETA' COOPERATIVA AGRICOLA</t>
  </si>
  <si>
    <t>01869230712</t>
  </si>
  <si>
    <t>Foggia</t>
  </si>
  <si>
    <t>Puglia</t>
  </si>
  <si>
    <t>SANIFRUTTA - SOCIETA' AGRICOLA COOPERATIVA</t>
  </si>
  <si>
    <t>02123370047</t>
  </si>
  <si>
    <t>016000</t>
  </si>
  <si>
    <t>TENUTA DI DONNAFUGATA S.R.L. SOCIETA' AGRICOLA ED ANCHE AZIENDE VITIVINICOLE DONNAFUGATA S.R.L. SOCIETA' AGRICOLA IN ABBREVIAZIONE SEMPLICEMENTE DONNAFUGATA - S.R.L. T.D. - S.R.L. ED ANCHE A.V.D. S.R.L.</t>
  </si>
  <si>
    <t>01155720814</t>
  </si>
  <si>
    <t>012100</t>
  </si>
  <si>
    <t>Trapani</t>
  </si>
  <si>
    <t>Sicilia</t>
  </si>
  <si>
    <t>COOPERATIVA AGRICOLA FRA COLTIVATORI DI APRICENA S.C.R.L. SOCIETA' AGRICOLA</t>
  </si>
  <si>
    <t>00355660713</t>
  </si>
  <si>
    <t>COOPERATIVA LA TRENTINA - SOCIETA' COOPERATIVA AGRICOLA</t>
  </si>
  <si>
    <t>01567880222</t>
  </si>
  <si>
    <t>Trento</t>
  </si>
  <si>
    <t>Trentino-Alto Adige</t>
  </si>
  <si>
    <t>Torino</t>
  </si>
  <si>
    <t>IL GALLETTO SOCIETA' CONSORTILE AGRICOLA A RESPONSABILITA' LIMITATA O.P.</t>
  </si>
  <si>
    <t>04603850878</t>
  </si>
  <si>
    <t>Catania</t>
  </si>
  <si>
    <t>CANTINA MONTELLIANA E DEI COLLI ASOLANI SOCIETA' COOPERATIVA AGR ICOLA , IN FORMA ABBREVIATA CANTINA MONTELLIANA E DEI COLLI ASOLANI SCA OVVERO CANTINA MONTELLIANA E DEI COLLI ASOLANI S.C.A.</t>
  </si>
  <si>
    <t>00190120261</t>
  </si>
  <si>
    <t>Treviso</t>
  </si>
  <si>
    <t>Veneto</t>
  </si>
  <si>
    <t>ORGANIZZAZIONE PRODUTTORI AGRICOLI EURO.COM. SOCIETA' AGRICOLA A RESPONSABILITA' LIMITATA SIGLABILE O.P. AGRICOLI EURO.COM. SOCIETA' AGRICOLA A R .L.</t>
  </si>
  <si>
    <t>04925420657</t>
  </si>
  <si>
    <t>Salerno</t>
  </si>
  <si>
    <t>Campania</t>
  </si>
  <si>
    <t>SOCIETA' AGRICOLA COOPERATIVA SAN MARTINO</t>
  </si>
  <si>
    <t>03352170231</t>
  </si>
  <si>
    <t>014700</t>
  </si>
  <si>
    <t>Verona</t>
  </si>
  <si>
    <t>ASSOCIAZIONE CO.VAL.P.A. - ABRUZZO,CONSORZIO VALORIZZAZIONE PRODU ZIONI AGRICOLE ABRUZZO</t>
  </si>
  <si>
    <t>01228170666</t>
  </si>
  <si>
    <t>L'Aquila</t>
  </si>
  <si>
    <t>Abruzzo</t>
  </si>
  <si>
    <t>BIO SUEDTIROL - SOCIETA' AGRICOLA COOPERATIVA, IN BREVE BIO SUEDTIROL</t>
  </si>
  <si>
    <t>02313790210</t>
  </si>
  <si>
    <t>Bolzano/Bozen</t>
  </si>
  <si>
    <t>ASSOFRUTTI SRL ORGANIZZAZIONE DI PRODUTTORI FRUTTA IN GUSCIO</t>
  </si>
  <si>
    <t>00816460562</t>
  </si>
  <si>
    <t>Viterbo</t>
  </si>
  <si>
    <t>O.P. ASSOCIAZIONE PRODUTTORI ORTOFRUTTICOLI PARTENOPEA SOCIETA' C OPERATIVA A R.L.</t>
  </si>
  <si>
    <t>01257111219</t>
  </si>
  <si>
    <t>016100</t>
  </si>
  <si>
    <t>Napoli</t>
  </si>
  <si>
    <t>CONSORZIO MAISCOLTORI CEREALICOLTORI POLESANI SOCIETA' COOPERATIVA AGRICOLA IN SIGLA C.M.C.P.</t>
  </si>
  <si>
    <t>00042100297</t>
  </si>
  <si>
    <t>Rovigo</t>
  </si>
  <si>
    <t>GISACOOP SOCIETA' COOPERATIVA AGRICOLA</t>
  </si>
  <si>
    <t>01277320881</t>
  </si>
  <si>
    <t>Ragusa</t>
  </si>
  <si>
    <t>O.P. SOLE E RUGIADA SOCIETA' AGRICOLA CONSORTILE PER AZIONI IN SIGLA O.P. SOLE E RUGIADA S.A.C.P.A.</t>
  </si>
  <si>
    <t>03500760164</t>
  </si>
  <si>
    <t>Brescia</t>
  </si>
  <si>
    <t>Lombardia</t>
  </si>
  <si>
    <t>CONDIFESA CUNEO</t>
  </si>
  <si>
    <t>02871320046</t>
  </si>
  <si>
    <t>COOPERATIVA AGRICOLA CENTRO LATTIERO CASEARIO LATTE VERONA</t>
  </si>
  <si>
    <t>00408270239</t>
  </si>
  <si>
    <t>SOCIETA' AGRICOLA COOPERATIVA FRUTTICOLTORI CAFA MERANO</t>
  </si>
  <si>
    <t>00121910210</t>
  </si>
  <si>
    <t>COLLE D'ORO SOCIETA' CONSORTILE AGRICOLA A R.L.</t>
  </si>
  <si>
    <t>01270950882</t>
  </si>
  <si>
    <t>011300</t>
  </si>
  <si>
    <t>ORTONATURA SOCIETA' AGRICOLA CONSORTILE A RESPONSABILITA' LIMITATA</t>
  </si>
  <si>
    <t>04480440967</t>
  </si>
  <si>
    <t>Milano</t>
  </si>
  <si>
    <t>SI.A.Z. - SICILIANA AVICOLA ZOOTECNICA S.R.L.</t>
  </si>
  <si>
    <t>00581640869</t>
  </si>
  <si>
    <t>Enna</t>
  </si>
  <si>
    <t>SOCIETA' COOPERATIVA AGRICOLA MITA</t>
  </si>
  <si>
    <t>04539800658</t>
  </si>
  <si>
    <t>010000</t>
  </si>
  <si>
    <t>NEGRI S.R.L.</t>
  </si>
  <si>
    <t>01268590294</t>
  </si>
  <si>
    <t>SAMA SOCIETA' A RESPONSABILITA' LIMITATA</t>
  </si>
  <si>
    <t>08037600015</t>
  </si>
  <si>
    <t>APO SCALIGERA SOC. COOP. AGRICOLA</t>
  </si>
  <si>
    <t>02770830236</t>
  </si>
  <si>
    <t>016300</t>
  </si>
  <si>
    <t>Verona</t>
  </si>
  <si>
    <t>Veneto</t>
  </si>
  <si>
    <t>APORA SOCIETA' COOPERATIVA AGRICOLA</t>
  </si>
  <si>
    <t>00141630400</t>
  </si>
  <si>
    <t>Forlì-Cesena</t>
  </si>
  <si>
    <t>Emilia-Romagna</t>
  </si>
  <si>
    <t>CANTINA DI CONA SOCIETA' COOPERATIVA AGRICOLA</t>
  </si>
  <si>
    <t>05149490285</t>
  </si>
  <si>
    <t>012100</t>
  </si>
  <si>
    <t>Padova</t>
  </si>
  <si>
    <t>CANTINA DI RAUSCEDO - SOCIETA' COOPERATIVA AGRICOLA</t>
  </si>
  <si>
    <t>00072770936</t>
  </si>
  <si>
    <t>Pordenone</t>
  </si>
  <si>
    <t>Friuli-Venezia Giulia</t>
  </si>
  <si>
    <t>014700</t>
  </si>
  <si>
    <t>CHARLES RIVER - LABORATORIES ITALIA S.R.L.</t>
  </si>
  <si>
    <t>00887630150</t>
  </si>
  <si>
    <t>014900</t>
  </si>
  <si>
    <t>Milano</t>
  </si>
  <si>
    <t>Lombardia</t>
  </si>
  <si>
    <t>AGRIVERDE SOCIETA' COOPERATIVA AGRICOLA</t>
  </si>
  <si>
    <t>02741930610</t>
  </si>
  <si>
    <t>Caserta</t>
  </si>
  <si>
    <t>Campania</t>
  </si>
  <si>
    <t>COOPERATIVA FRUTTICOLTORI KURMARK-UNIFRUT SOCIETA' AGRICOLA, IN BREVE KURMARK-UNIFRUT</t>
  </si>
  <si>
    <t>00125760215</t>
  </si>
  <si>
    <t>Bolzano/Bozen</t>
  </si>
  <si>
    <t>Trentino-Alto Adige</t>
  </si>
  <si>
    <t>GRANAIO FRIULANO SOCIETA' COOPERATIVA AGRICOLA</t>
  </si>
  <si>
    <t>00453830309</t>
  </si>
  <si>
    <t>016000</t>
  </si>
  <si>
    <t>Udine</t>
  </si>
  <si>
    <t>AGRIMESSINA S.R.L.</t>
  </si>
  <si>
    <t>06926230720</t>
  </si>
  <si>
    <t>Bari</t>
  </si>
  <si>
    <t>Puglia</t>
  </si>
  <si>
    <t>CONSORZIO PRODUTTORI LATTE MAREMMA SOCIETA' AGRICOLA COOPERATIVA</t>
  </si>
  <si>
    <t>00070500533</t>
  </si>
  <si>
    <t>Grosseto</t>
  </si>
  <si>
    <t>Toscana</t>
  </si>
  <si>
    <t>FLORCOOP SANREMO - SOCIETA' COOPERATIVA AGRICOLA</t>
  </si>
  <si>
    <t>00677570087</t>
  </si>
  <si>
    <t>011920</t>
  </si>
  <si>
    <t>Imperia</t>
  </si>
  <si>
    <t>Liguria</t>
  </si>
  <si>
    <t>ANGELINI WINES &amp; ESTATES-BERTANI DOMAINS-VAL DI SUGA-TENUTA TREROSE-SAN LEONINO-PUIATTI VIGNETI- TENIMENTI ANGELINI-CAV. G.B. BERTANI-FAZI BATTAGLIA SOCIETA' AGRICOLA A R.L. ENUNCIABILE ANGELINI WINES &amp; ESTATES SOCIETA' AGRICOLA A R.L.</t>
  </si>
  <si>
    <t>02555110424</t>
  </si>
  <si>
    <t>Ancona</t>
  </si>
  <si>
    <t>Marche</t>
  </si>
  <si>
    <t>FAT - FATTORIA AUTONOMA TABACCHI - SOC. COOP. AGRICOLA</t>
  </si>
  <si>
    <t>00165600545</t>
  </si>
  <si>
    <t>Perugia</t>
  </si>
  <si>
    <t>Umbria</t>
  </si>
  <si>
    <t>FRUTZY SOCIET+ AGRICOLA COOPERATIVA</t>
  </si>
  <si>
    <t>04668350236</t>
  </si>
  <si>
    <t>SOCIETA' AGRICOLA ALDOBRANDO S.R.L.</t>
  </si>
  <si>
    <t>02470340403</t>
  </si>
  <si>
    <t>014600</t>
  </si>
  <si>
    <t>AGRIBAGNOLO SOCIETA' COOPERATIVA AGRICOLA</t>
  </si>
  <si>
    <t>00486700248</t>
  </si>
  <si>
    <t>016100</t>
  </si>
  <si>
    <t>Vicenza</t>
  </si>
  <si>
    <t>ERREZETAUNO S.R.L. , IN SIGLA RZ1 S.R.L.</t>
  </si>
  <si>
    <t>07386430636</t>
  </si>
  <si>
    <t>Napoli</t>
  </si>
  <si>
    <t>SAN GIUSEPPE - SOCIETA' COOPERATIVA AGRICOLA</t>
  </si>
  <si>
    <t>03078930710</t>
  </si>
  <si>
    <t>Foggia</t>
  </si>
  <si>
    <t>VALLE SPLUGA S.P.A.</t>
  </si>
  <si>
    <t>00050130145</t>
  </si>
  <si>
    <t>Sondrio</t>
  </si>
  <si>
    <t>O.P. LA DELIZIOSA SOCIETA' COOPERATIVA AGRICOLA</t>
  </si>
  <si>
    <t>02501480871</t>
  </si>
  <si>
    <t>012300</t>
  </si>
  <si>
    <t>Catania</t>
  </si>
  <si>
    <t>Sicilia</t>
  </si>
  <si>
    <t>CANTINA PRODUTTORI S.MICHELE-APPIANO - SOCIETA' AGRICOLA COOPERATIVA</t>
  </si>
  <si>
    <t>00126670215</t>
  </si>
  <si>
    <t>O.P. ARMONIA SOCIETA' AGRICOLA CONSORTILE S.R.L.</t>
  </si>
  <si>
    <t>04717760658</t>
  </si>
  <si>
    <t>Salerno</t>
  </si>
  <si>
    <t>FRI-EL GREEN HOUSE S.R.L. - SOCIETA' AGRICOLA</t>
  </si>
  <si>
    <t>02751710217</t>
  </si>
  <si>
    <t>011320</t>
  </si>
  <si>
    <t>Ferrara</t>
  </si>
  <si>
    <t>FEUDI DI SAN GREGORIO SOCIETA' AGRICOLA S.P.A. O ANCHE DENOMINATA TENUTE CAPALDO S.P.A. O DUBL S.P.A.</t>
  </si>
  <si>
    <t>01753470648</t>
  </si>
  <si>
    <t>Avellino</t>
  </si>
  <si>
    <t>CANTINA DI LA-VIS E VALLE DI CEMBRA S.C.A.</t>
  </si>
  <si>
    <t>00121770226</t>
  </si>
  <si>
    <t>012100</t>
  </si>
  <si>
    <t>Trento</t>
  </si>
  <si>
    <t>Trentino-Alto Adige</t>
  </si>
  <si>
    <t>CASEIFICIO SOCIALE DI NEVIANO DEGLI ARDUINI SOCIETA' AGRICOLA COOPERATIVA</t>
  </si>
  <si>
    <t>00163390347</t>
  </si>
  <si>
    <t>014100</t>
  </si>
  <si>
    <t>Parma</t>
  </si>
  <si>
    <t>Emilia-Romagna</t>
  </si>
  <si>
    <t>016300</t>
  </si>
  <si>
    <t>Campania</t>
  </si>
  <si>
    <t>CANTINA PRODUTTORI TERLANO - COOPERATIVA SOCIETA' AGRICOLA IN BREVE KELLEREI CANTINA TERLANO OPPURE CANTINA TERLANO</t>
  </si>
  <si>
    <t>00099510216</t>
  </si>
  <si>
    <t>Bolzano/Bozen</t>
  </si>
  <si>
    <t>EUROCIRCE - SOCIETA' COOPERATIVA AGRICOLA</t>
  </si>
  <si>
    <t>00327020590</t>
  </si>
  <si>
    <t>Latina</t>
  </si>
  <si>
    <t>Lazio</t>
  </si>
  <si>
    <t>TENUTE DI CASTELGIOCONDO E DI LUCE DELLA VITE SOCIETA' AGRICOLA - S.R.L.</t>
  </si>
  <si>
    <t>00088060520</t>
  </si>
  <si>
    <t>Siena</t>
  </si>
  <si>
    <t>Toscana</t>
  </si>
  <si>
    <t>ALBA BIO SOCIETA' COOPERATIVA AGRICOLA</t>
  </si>
  <si>
    <t>01193800883</t>
  </si>
  <si>
    <t>011320</t>
  </si>
  <si>
    <t>Ragusa</t>
  </si>
  <si>
    <t>Sicilia</t>
  </si>
  <si>
    <t>COOPSEMENTI SOCIETA' COOPERATIVA AGRICOLA</t>
  </si>
  <si>
    <t>00163060247</t>
  </si>
  <si>
    <t>016409</t>
  </si>
  <si>
    <t>Vicenza</t>
  </si>
  <si>
    <t>Veneto</t>
  </si>
  <si>
    <t>O.P. AGRICOR SOCIETA' COOPERATIVA</t>
  </si>
  <si>
    <t>02654130786</t>
  </si>
  <si>
    <t>016100</t>
  </si>
  <si>
    <t>Cosenza</t>
  </si>
  <si>
    <t>Calabria</t>
  </si>
  <si>
    <t>014200</t>
  </si>
  <si>
    <t>ZOOTECNICA VITERBESE - SOCIETA' COOPERATIVA</t>
  </si>
  <si>
    <t>00116260563</t>
  </si>
  <si>
    <t>014000</t>
  </si>
  <si>
    <t>Viterbo</t>
  </si>
  <si>
    <t>VITTORIA TOMATOES SOCIETA' COOPERATIVA AGRICOLA</t>
  </si>
  <si>
    <t>01445000886</t>
  </si>
  <si>
    <t>CANTINA SOCIALE ORMELLE SOCIETA' COOPERATIVA AGRICOLA</t>
  </si>
  <si>
    <t>00199310269</t>
  </si>
  <si>
    <t>Treviso</t>
  </si>
  <si>
    <t>SOCIETA' AGRICOLA NATURA A R.L.</t>
  </si>
  <si>
    <t>03653370241</t>
  </si>
  <si>
    <t>015000</t>
  </si>
  <si>
    <t>MARCA SOCIETA' AGRICOLA S.R.L.</t>
  </si>
  <si>
    <t>03327340240</t>
  </si>
  <si>
    <t>Venezia</t>
  </si>
  <si>
    <t>LOFRESE S.P.A.</t>
  </si>
  <si>
    <t>05916550725</t>
  </si>
  <si>
    <t>016401</t>
  </si>
  <si>
    <t>Bari</t>
  </si>
  <si>
    <t>Puglia</t>
  </si>
  <si>
    <t>CANTINA SOCIALE DI TRENTO SOCIETA' COOPERATIVA AGRICOLA IN SIGLA CANTINA SOCIALE DI TRENTO , CANTINA SOCIALE DI TRENTO SCA , CANTINA DI TRENTO , C.S. TRENTO , C.S. TN , CANTINA LE MERIDIANE , CON.SPA , CON.SCA , CONCILIO</t>
  </si>
  <si>
    <t>00110510229</t>
  </si>
  <si>
    <t>TECNOSEED S.R.L.</t>
  </si>
  <si>
    <t>07583600965</t>
  </si>
  <si>
    <t>Milano</t>
  </si>
  <si>
    <t>Lombardia</t>
  </si>
  <si>
    <t>ALBANI O.P. SOCIETA' COOPERATIVA AGRICOLA</t>
  </si>
  <si>
    <t>01631870886</t>
  </si>
  <si>
    <t>VITICULTORI CALDARO, SOC.AGR.COOP.</t>
  </si>
  <si>
    <t>00126320217</t>
  </si>
  <si>
    <t>CANTINE LA VITE SOCIETA' COOPERATIVA AGRICOLA IN BREVE CANTINE LA VITE S.C.A. OPPURE CLV S.C.A. O ANCORA LE SCHETTE S.C.A.</t>
  </si>
  <si>
    <t>00171110851</t>
  </si>
  <si>
    <t>Caltanissetta</t>
  </si>
  <si>
    <t>LATTERIA SOCIALE SAN GIOVANNI DELLA FOSSA SOCIETA' COOPERATIVA AGRICOLA</t>
  </si>
  <si>
    <t>00143670354</t>
  </si>
  <si>
    <t>Reggio nell'Emilia</t>
  </si>
  <si>
    <t>ORGANIZZAZIONE DI PRODUTTORI PUGLIAVIVA - SOCIETA' CONSORTILE AGRICOLA A R.L. IN SIGLA O.P. PUGLIAVIVA SOC. CONS. A R.L.</t>
  </si>
  <si>
    <t>07229510727</t>
  </si>
  <si>
    <t>COOPERATIVA PRODUTTORI LATTE E FONTINA SOC. COOP. A R.L. IN BREVE COOPERATIVA FONTINA S. C.</t>
  </si>
  <si>
    <t>00040750077</t>
  </si>
  <si>
    <t>Valle d'Aosta/Vallée d'Aoste</t>
  </si>
  <si>
    <t>GIACCIO FRUTTA SOCIETA' COOPERATIVA AGRICOLA</t>
  </si>
  <si>
    <t>02658440611</t>
  </si>
  <si>
    <t>Caserta</t>
  </si>
  <si>
    <t>AZIENDA VITIVINICOLA TENUTE SELLA &amp; MOSCA S.R.L.-SOCIETA' AGRICOL A CON POSSIBILITA' DI INDICARSI ANCHE IN FORMA ABBREVIATA, CON LA PRECISAZIONE DI SOCIETA' AGRICOLA , AZIENDA VINICOLA SELLA &amp; MOSCA S.R.L. , TENUTE SELLA &amp; MOSCA S.R.L. , SELLA &amp; MOSCA</t>
  </si>
  <si>
    <t>00072180904</t>
  </si>
  <si>
    <t>Sassari</t>
  </si>
  <si>
    <t>Sardegna</t>
  </si>
  <si>
    <t>CONSELVE VIGNETI E CANTINE SOCIETA' COOPERATIVA AGRICOLA</t>
  </si>
  <si>
    <t>00204350284</t>
  </si>
  <si>
    <t>Padova</t>
  </si>
  <si>
    <t>BARONE RICASOLI S.P.A. SOCIETA' AGRICOLA IN SIGLA BARONE RICASOLI SPA AGRICOLA , BROLIO SOCIETA' AGRICOLA , CASTELLO DI BROLIO SOCIETA' AGRICOLA , BR SOCIETA' AGRICOLA E C.V.B.R. SOCIETA' AGRICOLA , C.V.B.R. , BARONE RICASOLI SPA E RICASOLI 1141</t>
  </si>
  <si>
    <t>00393620489</t>
  </si>
  <si>
    <t>011000</t>
  </si>
  <si>
    <t>Firenze</t>
  </si>
  <si>
    <t>AZIENDE AGRICOLE GIV - SOC. COOP. AGRICOLA R.L.</t>
  </si>
  <si>
    <t>02168630230</t>
  </si>
  <si>
    <t>016300</t>
  </si>
  <si>
    <t>Verona</t>
  </si>
  <si>
    <t>Veneto</t>
  </si>
  <si>
    <t>ORGANIZZAZIONE DI PRODUTTORI SECONDULFO SOCIETA' COOPERATIVA AGRICOLA</t>
  </si>
  <si>
    <t>04492510658</t>
  </si>
  <si>
    <t>Salerno</t>
  </si>
  <si>
    <t>Campania</t>
  </si>
  <si>
    <t>VINICOLA LE CASTELLA SRL</t>
  </si>
  <si>
    <t>00350940607</t>
  </si>
  <si>
    <t>012100</t>
  </si>
  <si>
    <t>Frosinone</t>
  </si>
  <si>
    <t>Lazio</t>
  </si>
  <si>
    <t>CASAR S.R.L.</t>
  </si>
  <si>
    <t>01564020921</t>
  </si>
  <si>
    <t>012000</t>
  </si>
  <si>
    <t>Sardegna</t>
  </si>
  <si>
    <t>014700</t>
  </si>
  <si>
    <t>Emilia-Romagna</t>
  </si>
  <si>
    <t>SESVANDERHAVE ITALIA S.R.L.</t>
  </si>
  <si>
    <t>02022830406</t>
  </si>
  <si>
    <t>016401</t>
  </si>
  <si>
    <t>Forlì-Cesena</t>
  </si>
  <si>
    <t>OPITERGIUM VINI SOCIETA' AGRICOLA COOPERATIVA</t>
  </si>
  <si>
    <t>00192610269</t>
  </si>
  <si>
    <t>Treviso</t>
  </si>
  <si>
    <t>SOC. COOP. AGRICOLA LA GENERALE</t>
  </si>
  <si>
    <t>00746980762</t>
  </si>
  <si>
    <t>Potenza</t>
  </si>
  <si>
    <t>Basilicata</t>
  </si>
  <si>
    <t>OP RIVOIRA - SOCIETA' CONSORTILE A RESPONSABILITA' LIMITATA SIGLABILE: OP RIVOIRA - SOC. CONS. A R.L.</t>
  </si>
  <si>
    <t>03671790040</t>
  </si>
  <si>
    <t>Cuneo</t>
  </si>
  <si>
    <t>Piemonte</t>
  </si>
  <si>
    <t>Siracusa</t>
  </si>
  <si>
    <t>Sicilia</t>
  </si>
  <si>
    <t>SERVIZI PRECONFEZIONAMENTO ORTOFRUTTICOLI S.P.O. ZENTRUM S.R.L.</t>
  </si>
  <si>
    <t>00547910489</t>
  </si>
  <si>
    <t>Firenze</t>
  </si>
  <si>
    <t>Toscana</t>
  </si>
  <si>
    <t>CONAPI CONSORZIO APICOLTORI ED AGRICOLTORI-BIOLOGICI ITALIANI, SOCIETA' COOPERATIVA AGRICOLA</t>
  </si>
  <si>
    <t>00625981204</t>
  </si>
  <si>
    <t>016000</t>
  </si>
  <si>
    <t>Bologna</t>
  </si>
  <si>
    <t>SOCIETA' AGRICOLA F.LLI CORVEZZO S.R.L. LA SOCIETA' PER IL CONFEZIONAMENTO E LA COMMERCIALIZZAZIONE DEI PRODOTTI, POTRA' ANCHE UTILIZZARE LE SEGUENTI SIGLE, MARCHI E DENOMINAZIONI: TENUTA BRIAN, VIGNE MOROSINA, TERRE DI MARCA, PIANETA ORGANICO, PORTOVECC</t>
  </si>
  <si>
    <t>04738390261</t>
  </si>
  <si>
    <t>CANTINA PRODUTTORI DI GRIES, S. MADDALENA, S. GIUSTINA, S PIETRO,LAITAGO E BOLZANO SOCIETA' AGRICOLA COOPERATIVA BREVE CANTINA PRODUTTORI BOLZANO - SOC. COOP.</t>
  </si>
  <si>
    <t>00121460216</t>
  </si>
  <si>
    <t>Bolzano/Bozen</t>
  </si>
  <si>
    <t>Trentino-Alto Adige</t>
  </si>
  <si>
    <t>AGRIFORT S.R.L.</t>
  </si>
  <si>
    <t>00644260986</t>
  </si>
  <si>
    <t>Brescia</t>
  </si>
  <si>
    <t>Lombardia</t>
  </si>
  <si>
    <t>O.P. ESPERIA - CATANZARO SOCIETA' COOPERATIVA</t>
  </si>
  <si>
    <t>00457310795</t>
  </si>
  <si>
    <t>Catanzaro</t>
  </si>
  <si>
    <t>Calabria</t>
  </si>
  <si>
    <t>016100</t>
  </si>
  <si>
    <t>CAMPISI ITALIA SOCIETA' CONSORTILE AGRICOLA A R.L.</t>
  </si>
  <si>
    <t>01939960892</t>
  </si>
  <si>
    <t>CHICKEN &amp; RABBIT SOCIETA' COOPERATIVA AGRICOLA</t>
  </si>
  <si>
    <t>03087140046</t>
  </si>
  <si>
    <t>AVIGEL AGRICOLA SOCIETA' AGRICOLA A R.L.</t>
  </si>
  <si>
    <t>03214120044</t>
  </si>
  <si>
    <t>EMILIA WINE SOCIETA' COOPERATIVA AGRICOLA</t>
  </si>
  <si>
    <t>00130230352</t>
  </si>
  <si>
    <t>Reggio nell'Emilia</t>
  </si>
  <si>
    <t>CEIS A.R.T.E. COOPERATIVA SOCIALE ONLUS</t>
  </si>
  <si>
    <t>01753850369</t>
  </si>
  <si>
    <t>011310</t>
  </si>
  <si>
    <t>Modena</t>
  </si>
  <si>
    <t>APO CAMPANIA S.R.L.</t>
  </si>
  <si>
    <t>04855750651</t>
  </si>
  <si>
    <t>LA FLACCA - SOCIETA' COOPERATIVA AGRICOLA</t>
  </si>
  <si>
    <t>00131410599</t>
  </si>
  <si>
    <t>011300</t>
  </si>
  <si>
    <t>Latina</t>
  </si>
  <si>
    <t>Lazio</t>
  </si>
  <si>
    <t>SOLFRUTTA SOCIETA COOPERATIVA AGRICOLA</t>
  </si>
  <si>
    <t>02268380041</t>
  </si>
  <si>
    <t>016100</t>
  </si>
  <si>
    <t>Cuneo</t>
  </si>
  <si>
    <t>Piemonte</t>
  </si>
  <si>
    <t>CONSORZIO FRUTTETO S.P.A. CONSORTILE - SOCIETA' AGRICOLA IN FORMA ABBREVIATA CONSORZIO FRUTTETO S.P.A. CONSORTILE</t>
  </si>
  <si>
    <t>03143520405</t>
  </si>
  <si>
    <t>016300</t>
  </si>
  <si>
    <t>Forlì-Cesena</t>
  </si>
  <si>
    <t>Emilia-Romagna</t>
  </si>
  <si>
    <t>Sicilia</t>
  </si>
  <si>
    <t>MARCHESI MAZZEI SPA SOCIETA' AGRICOLA O IN SIGLA MARCHESI MAZZEI SOCIETA' PER AZIONI AGRICOLA O MAZZEI S.P.A. AGRICOLA O M.M. S.P.A. AGRICOLA</t>
  </si>
  <si>
    <t>00758320527</t>
  </si>
  <si>
    <t>012100</t>
  </si>
  <si>
    <t>Siena</t>
  </si>
  <si>
    <t>Toscana</t>
  </si>
  <si>
    <t>Lombardia</t>
  </si>
  <si>
    <t>O.P. ORTOFRUTTICOLA JONICA SOCIETA' AGRICOLA CONSORTILE A RESPONSABILITA' LIMITATA</t>
  </si>
  <si>
    <t>02560020733</t>
  </si>
  <si>
    <t>011000</t>
  </si>
  <si>
    <t>Taranto</t>
  </si>
  <si>
    <t>Puglia</t>
  </si>
  <si>
    <t>CANTINA SAN ZEFFERINO SOCIETA' COOPERATIVA AGRICOLA OVVERO CANTINA SAN ZEFFERINO SOC.COOP. AGRICOLA , O COOPERATIVA AGRICOLA CANTI NA SAN ZEFFERINO SOC.COOP. AGRICOLA , O C.A.C.S.Z.S.C.A. , O C.S.Z.S.C.A. , O SAN ZEFF. S. COOP. AGRICOLA , O S. ZEFFER</t>
  </si>
  <si>
    <t>00092330695</t>
  </si>
  <si>
    <t>Chieti</t>
  </si>
  <si>
    <t>Abruzzo</t>
  </si>
  <si>
    <t>Foggia</t>
  </si>
  <si>
    <t>L'ORTOFRUTTICOLA SOCIETA' AGRICOLA COOPERATIVA</t>
  </si>
  <si>
    <t>00110420098</t>
  </si>
  <si>
    <t>Savona</t>
  </si>
  <si>
    <t>Liguria</t>
  </si>
  <si>
    <t>ALLFRUTTA SOCIETA' AGRICOLA COOPERATIVA SIGLABILE, OVE CONSENTITO, ALLFRUTTA SOC. AGR. COOP.</t>
  </si>
  <si>
    <t>03670130040</t>
  </si>
  <si>
    <t>Bari</t>
  </si>
  <si>
    <t>ASSOPROLI BARI SOC. COOP. AGRICOLA</t>
  </si>
  <si>
    <t>02542020728</t>
  </si>
  <si>
    <t>AGRICOLA PUCCIA S.R.L.</t>
  </si>
  <si>
    <t>06049980821</t>
  </si>
  <si>
    <t>015000</t>
  </si>
  <si>
    <t>Palermo</t>
  </si>
  <si>
    <t>CANTINA SOCIALE TEZZE DI PIAVE SOCIETA' AGRICOLA COOPERATIVA IN SIGLA: CANTINA TEZZE COOP. AGR.</t>
  </si>
  <si>
    <t>00199320268</t>
  </si>
  <si>
    <t>Treviso</t>
  </si>
  <si>
    <t>Veneto</t>
  </si>
  <si>
    <t>CONSORZIO MAISCOLTORI CEREALICOLTORI DEL BASSO LIVENZA SOCIETA' A RESPONSABILITA' LIMITATA</t>
  </si>
  <si>
    <t>00182590273</t>
  </si>
  <si>
    <t>011110</t>
  </si>
  <si>
    <t>Venezia</t>
  </si>
  <si>
    <t>VITROPLANT ITALIA S.R.L. SOCIETA' AGRICOLA</t>
  </si>
  <si>
    <t>03437480407</t>
  </si>
  <si>
    <t>013000</t>
  </si>
  <si>
    <t>GINO GIROLOMONI COOPERATIVA AGRICOLA</t>
  </si>
  <si>
    <t>02030920413</t>
  </si>
  <si>
    <t>Pesaro Urbino</t>
  </si>
  <si>
    <t>Marche</t>
  </si>
  <si>
    <t>LATTERIA SOCIALE DEL FORNACIONE SOCIETA' COOPERATIVA AGRICOLA</t>
  </si>
  <si>
    <t>00143710358</t>
  </si>
  <si>
    <t>014000</t>
  </si>
  <si>
    <t>Reggio nell'Emilia</t>
  </si>
  <si>
    <t>COOPERATIVA AGRICOLA LA FARA GIARDINO SOCIETA' COOPERATIVA</t>
  </si>
  <si>
    <t>01508700711</t>
  </si>
  <si>
    <t>SOCIETA' AGRICOLA MARCHESINA S.R.L.</t>
  </si>
  <si>
    <t>08915130150</t>
  </si>
  <si>
    <t>014200</t>
  </si>
  <si>
    <t>Milano</t>
  </si>
  <si>
    <t>GIARDINERIA S.R.L.</t>
  </si>
  <si>
    <t>01299960037</t>
  </si>
  <si>
    <t>011920</t>
  </si>
  <si>
    <t>COOPERATIVA AGRICOLA SAN ROCCO SOCIETA' AGRICOLA COOPERATIVA PER ZIONI (BREVEMENTE COOPERATIVA SAN ROCCO S.C.A.P.A.)</t>
  </si>
  <si>
    <t>03626480150</t>
  </si>
  <si>
    <t>O.P. ESPERIDIO SOCIETA' CONSORTILE AGRICOLA A RESPONSABILITA' LIMITATA</t>
  </si>
  <si>
    <t>05289270877</t>
  </si>
  <si>
    <t>Catania</t>
  </si>
  <si>
    <t>JERMANN S.R.L. - SOCIETA' AGRICOLA</t>
  </si>
  <si>
    <t>01123130310</t>
  </si>
  <si>
    <t>Gorizia</t>
  </si>
  <si>
    <t>Friuli-Venezia Giulia</t>
  </si>
  <si>
    <t>SOCIETA' AGRICOLA COOPERATIVA AGRICOLTORI IONICI C.A.I. A R. L.</t>
  </si>
  <si>
    <t>01518470834</t>
  </si>
  <si>
    <t>Messina</t>
  </si>
  <si>
    <t>CONSORZIO PRODUTTORI VINI E MOSTI ROSSI SOCIETA' COOPERATIVA AGR ICOLA , ANCHE INDICATA COME: PRODUTTORI VINI MANDURIA SOC. COOP. AGRICOLA ; PR O.MO.VI. SOC.</t>
  </si>
  <si>
    <t>00092380732</t>
  </si>
  <si>
    <t>VIVALLIS SOCIETA' COOPERATIVA AGRICOLA</t>
  </si>
  <si>
    <t>00357320225</t>
  </si>
  <si>
    <t>Trento</t>
  </si>
  <si>
    <t>Trentino-Alto Adige</t>
  </si>
  <si>
    <t>TERRE DELLA LUCE SOCIETA' COOPERATIVA AGRICOLA</t>
  </si>
  <si>
    <t>01313480772</t>
  </si>
  <si>
    <t>011329</t>
  </si>
  <si>
    <t>Matera</t>
  </si>
  <si>
    <t>Basilicata</t>
  </si>
  <si>
    <t>CANTINA COLTERENZIO - SOCIETA' AGRICOLA COOPERATIVA IN SIGLA CANTINA COLTERENZIO</t>
  </si>
  <si>
    <t>00126870211</t>
  </si>
  <si>
    <t>012100</t>
  </si>
  <si>
    <t>Bolzano/Bozen</t>
  </si>
  <si>
    <t>Trentino-Alto Adige</t>
  </si>
  <si>
    <t>PRODUTTORI ORTOFRUTTICOLI ASSOCIATI SOCIETA' COOPERATIVA PER AZI ONI ENUNCIABILE ANCHE P.O.A. S.C.P.A.</t>
  </si>
  <si>
    <t>05414690965</t>
  </si>
  <si>
    <t>016100</t>
  </si>
  <si>
    <t>Alessandria</t>
  </si>
  <si>
    <t>Piemonte</t>
  </si>
  <si>
    <t>016300</t>
  </si>
  <si>
    <t>ORGANIZZAZIONE PRODUTTORI AGRICOLI SICILIANI - SOCIETA' COOPERATIVA AGRICOLA</t>
  </si>
  <si>
    <t>05206920877</t>
  </si>
  <si>
    <t>Catania</t>
  </si>
  <si>
    <t>Sicilia</t>
  </si>
  <si>
    <t>Trento</t>
  </si>
  <si>
    <t>CANTINA SOCIALE DI AVIO SOCIETA' COOPERATIVA AGRICOLA</t>
  </si>
  <si>
    <t>00125690222</t>
  </si>
  <si>
    <t>Veneto</t>
  </si>
  <si>
    <t>CODMA ORGANIZZAZIONE PRODUTTORI SOCIETA' COOPERATIVA AGRICOLA ABBREVIATA IN CODMA O.P. SOC. COOP. AGRICOLA</t>
  </si>
  <si>
    <t>00635150410</t>
  </si>
  <si>
    <t>Pesaro Urbino</t>
  </si>
  <si>
    <t>Marche</t>
  </si>
  <si>
    <t>CANTINA TRAMIN - SOCIETA' AGRICOLA COOPERATIVA IN BREVE CANTINA TRAMIN</t>
  </si>
  <si>
    <t>00120790217</t>
  </si>
  <si>
    <t>LATTERIA AGRICOLA QUISTELLO - SOCIETA' AGRICOLA COOPERATIVA</t>
  </si>
  <si>
    <t>00154570204</t>
  </si>
  <si>
    <t>014000</t>
  </si>
  <si>
    <t>Mantova</t>
  </si>
  <si>
    <t>Lombardia</t>
  </si>
  <si>
    <t>CANTINE EUROPA - SOCIETA' COOPERATIVA AGRICOLA</t>
  </si>
  <si>
    <t>00060170818</t>
  </si>
  <si>
    <t>Trapani</t>
  </si>
  <si>
    <t>ORGANIZZAZIONE DI PRODUTTORI AGRICOLI CAMPANIA FELIX - SOCIETA' COOPERATIVA AGRICOLA</t>
  </si>
  <si>
    <t>03366000614</t>
  </si>
  <si>
    <t>012500</t>
  </si>
  <si>
    <t>Caserta</t>
  </si>
  <si>
    <t>Campania</t>
  </si>
  <si>
    <t>SOCIETA' AGRICOLA FIENILNUOVO S.R.L.</t>
  </si>
  <si>
    <t>01987440201</t>
  </si>
  <si>
    <t>014100</t>
  </si>
  <si>
    <t>ASSOCIAZIONE RISICOLTORI PIEMONTESI SOCIETA' COOPERATIVA AGRICOLA</t>
  </si>
  <si>
    <t>01277970024</t>
  </si>
  <si>
    <t>Vercelli</t>
  </si>
  <si>
    <t>011000</t>
  </si>
  <si>
    <t>SOCIETA' AGRICOLA COOPERATIVA LAGNASCO GROUP - SOC. COOP. A R.L.</t>
  </si>
  <si>
    <t>00185000049</t>
  </si>
  <si>
    <t>Cuneo</t>
  </si>
  <si>
    <t>AVICOLA MEDITERRANEA SRL - AVI. MED. SRL</t>
  </si>
  <si>
    <t>01326980883</t>
  </si>
  <si>
    <t>014700</t>
  </si>
  <si>
    <t>Ragusa</t>
  </si>
  <si>
    <t>COOPERATIVA INTERCOMUNALE LAVORATORI AGRICOLI SOCIETA' COOPERATIV A AGRICOLA IN SIGLA C.I.L.A. SOC. COOP.</t>
  </si>
  <si>
    <t>00131570350</t>
  </si>
  <si>
    <t>Reggio nell'Emilia</t>
  </si>
  <si>
    <t>Emilia-Romagna</t>
  </si>
  <si>
    <t>VAL-C.I.M.A. (COLTIVATORI INTERESSATI MECCANIZZAZIONE AGRICOLA) SOCIETA' AGRICOLA COOPERATIVA IN FORMA ABBREVIATA VAL-C.I.M.A. SCA</t>
  </si>
  <si>
    <t>00588270363</t>
  </si>
  <si>
    <t>Modena</t>
  </si>
  <si>
    <t>B.I.O.P. S.R.L. CONSORTILE - SOCIETA' AGRICOLA O IN FORMA ABBREVI ATA B.I.O.P. S.R.L. CONSORTILE</t>
  </si>
  <si>
    <t>04373460403</t>
  </si>
  <si>
    <t>Forlì-Cesena</t>
  </si>
  <si>
    <t>AGRISICILIA SOCIETA' CONSORTILE A R.L.</t>
  </si>
  <si>
    <t>04074040876</t>
  </si>
  <si>
    <t>SOCIETA' AGRICOLA FERRARINI S.P.A.</t>
  </si>
  <si>
    <t>00860480375</t>
  </si>
  <si>
    <t>Bologna</t>
  </si>
  <si>
    <t>SOCIETA' COOPERATIVA VECCHIA CANTINA DI MONTEPULCIANO SOCIETA' AGRICOLA</t>
  </si>
  <si>
    <t>00108760521</t>
  </si>
  <si>
    <t>Siena</t>
  </si>
  <si>
    <t>Toscana</t>
  </si>
  <si>
    <t>SOCIETA' AGRICOLA GENAGRICOLA 1851 - GENERALI AGRICOLTURA 1851 - SOCIETA' PER AZIONI</t>
  </si>
  <si>
    <t>01376540322</t>
  </si>
  <si>
    <t>015000</t>
  </si>
  <si>
    <t>Trieste</t>
  </si>
  <si>
    <t>Friuli-Venezia Giulia</t>
  </si>
  <si>
    <t>CULTIVA SOCIETA' AGRICOLA O.P. CONSORTILE A RESPONSABILITA' LIMITATA</t>
  </si>
  <si>
    <t>01238800294</t>
  </si>
  <si>
    <t>Rovigo</t>
  </si>
  <si>
    <t>VECCHIA CANTINA SOCIALE DI ALICE BEL COLLE - SESSAME SOCIETA' COOPERATIVA AGRICOLA ABBREVIABILE IN VECCHIA CANTINA DI ALICE BEL COLLE - SOC. COOP. AGRICOLA</t>
  </si>
  <si>
    <t>00167980069</t>
  </si>
  <si>
    <t>016300</t>
  </si>
  <si>
    <t>Caserta</t>
  </si>
  <si>
    <t>Campania</t>
  </si>
  <si>
    <t>PAOLILLO S.R.L. SOCIETA' AGRICOLA</t>
  </si>
  <si>
    <t>04197581210</t>
  </si>
  <si>
    <t>011310</t>
  </si>
  <si>
    <t>Napoli</t>
  </si>
  <si>
    <t>OLIVETI TERRA DI BARI ORGANIZZAZIONE PRODUTTORI OLIVICOLI SOCIETA COOPERATIVA AGRICOLA</t>
  </si>
  <si>
    <t>01103080725</t>
  </si>
  <si>
    <t>Bari</t>
  </si>
  <si>
    <t>Puglia</t>
  </si>
  <si>
    <t>AGRIFAP S.R.L. SOCIETA' AGRICOLA</t>
  </si>
  <si>
    <t>00880820238</t>
  </si>
  <si>
    <t>014100</t>
  </si>
  <si>
    <t>Verona</t>
  </si>
  <si>
    <t>Veneto</t>
  </si>
  <si>
    <t>LA CASTELLANA S.R.L. SOCIETA' AGRICOLA</t>
  </si>
  <si>
    <t>11880890154</t>
  </si>
  <si>
    <t>015000</t>
  </si>
  <si>
    <t>Milano</t>
  </si>
  <si>
    <t>Lombardia</t>
  </si>
  <si>
    <t>Padova</t>
  </si>
  <si>
    <t>Emilia-Romagna</t>
  </si>
  <si>
    <t>Sicilia</t>
  </si>
  <si>
    <t>FRUTTHERA GROWERS SOCIETA' COOPERATIVA AGRICOLA</t>
  </si>
  <si>
    <t>01200520771</t>
  </si>
  <si>
    <t>Matera</t>
  </si>
  <si>
    <t>Basilicata</t>
  </si>
  <si>
    <t>FRUIT MODENA GROUP SOCIETA' COOPERATIVA AGRICOLA ABBREVIABILE IN FRUIT MODENA GROUP S.C.A.</t>
  </si>
  <si>
    <t>03129920363</t>
  </si>
  <si>
    <t>Modena</t>
  </si>
  <si>
    <t>CANTINA SOCIALE DI MONTEFORTE D'ALPONE SOCIETA' COOPERATIVA AGRICOLA, PER BREVITA' CANTINA DI MONTEFORTE S.C.A. OVVERO VITICOLTORI ASSOCIATI IN MONTEFORTE S.C.A. OVVERO CSM S.C.A.</t>
  </si>
  <si>
    <t>00208410233</t>
  </si>
  <si>
    <t>012100</t>
  </si>
  <si>
    <t>CONSORZIO ORTOFRUTTICOLO DELLA TERZA SPONDA SOCIETA' COOPERATIVA AGRICOLA</t>
  </si>
  <si>
    <t>00125270223</t>
  </si>
  <si>
    <t>016100</t>
  </si>
  <si>
    <t>Trento</t>
  </si>
  <si>
    <t>Trentino-Alto Adige</t>
  </si>
  <si>
    <t>CONSORZIO A.P.A.M. SOCIETA' COOPERATIVA</t>
  </si>
  <si>
    <t>02151620834</t>
  </si>
  <si>
    <t>Messina</t>
  </si>
  <si>
    <t>IL BORRO S.R.L. - SOCIETA' AGRICOLA</t>
  </si>
  <si>
    <t>01261410516</t>
  </si>
  <si>
    <t>Arezzo</t>
  </si>
  <si>
    <t>Toscana</t>
  </si>
  <si>
    <t>ITALIATERRABUONA SOCIETA' CONSORTILE AGRICOLA A R.L.</t>
  </si>
  <si>
    <t>04578190615</t>
  </si>
  <si>
    <t>CONSORZIO NAZIONALE SEMENTI SOCIETA' COOPERATIVA AGRICOLA IN SIGLA CO.NA.SE. SOC. COOP. AGR.</t>
  </si>
  <si>
    <t>00226360394</t>
  </si>
  <si>
    <t>016409</t>
  </si>
  <si>
    <t>Ravenna</t>
  </si>
  <si>
    <t>LA PALMA COOPERATIVA AGRICOLA</t>
  </si>
  <si>
    <t>01329551210</t>
  </si>
  <si>
    <t>Foggia</t>
  </si>
  <si>
    <t>SOCIETA' COOPERATIVA AGRICOLA OP GUIDIZZOLO</t>
  </si>
  <si>
    <t>02080630201</t>
  </si>
  <si>
    <t>Mantova</t>
  </si>
  <si>
    <t>CANTINA COLLI EUGANEI SOCIETA' COOPERATIVA AGRICOLA PER FINALITA' COMMERCIALI, I PRODOTTI POTRANNO ESSERE IDENTIFICATI CON I SEGUENTI MARCHI: C.C.E., VIRICE, CONTE EMO CAPODILISTA E CANTINA VO'</t>
  </si>
  <si>
    <t>00228500286</t>
  </si>
  <si>
    <t>COOPERATIVA FATTORIA DELLA PIANA SOCIETA' AGRICOLA</t>
  </si>
  <si>
    <t>01425780804</t>
  </si>
  <si>
    <t>Reggio di Calabria</t>
  </si>
  <si>
    <t>Calabria</t>
  </si>
  <si>
    <t>CANTINA SOCIALE DI SAN MARTINO IN RIO SOCIETA' COOPERATIVA AGRICOLA</t>
  </si>
  <si>
    <t>00129440350</t>
  </si>
  <si>
    <t>Reggio nell'Emilia</t>
  </si>
  <si>
    <t>ORGANIZZAZIONE PRODUTTORI GEOFUR SOCIETA' COOPERATIVA AGRICOLA</t>
  </si>
  <si>
    <t>03614260234</t>
  </si>
  <si>
    <t>COPROVER - SOCIETA' COOPERATIVA AGRICOLA</t>
  </si>
  <si>
    <t>01646020766</t>
  </si>
  <si>
    <t>014000</t>
  </si>
  <si>
    <t>Potenza</t>
  </si>
  <si>
    <t>CONSORZIO FONTEVERDE SOCIETA' CONSORTILE AGRICOLA A R.L.</t>
  </si>
  <si>
    <t>01276630884</t>
  </si>
  <si>
    <t>Ragusa</t>
  </si>
  <si>
    <t>O.P.A.C. - ORGANIZZAZIONE DI PRODUTTORI ANTONINO CAMPISI SOCIETA' COOPERATIVA AGRICOLA IN SIGLA O.P.A.C. SOC. COOP. AGRICOLA</t>
  </si>
  <si>
    <t>01383360896</t>
  </si>
  <si>
    <t>011300</t>
  </si>
  <si>
    <t>Siracusa</t>
  </si>
  <si>
    <t>O.P. RED CO.P - SOCIETA' COOPERATIVA CONSORTILE</t>
  </si>
  <si>
    <t>03972800878</t>
  </si>
  <si>
    <t>FUNGAMICO SOCIETA' COOPERATIVA AGRICOLA</t>
  </si>
  <si>
    <t>03180030235</t>
  </si>
  <si>
    <t>011320</t>
  </si>
  <si>
    <t>CANTINA PRODUTTORI TOBLINO SOCIETA' COOPERATIVA AGRICOLA OPPURE CANTINA TOBLINO SOCIETA' COOPERATIVA AGRICOLA OPPURE CANTINA PRODUTTORI TOBLIINO S.C.A. OPPURE CANTINA TOBLINO S.C.A. CANTINA DI TOBLINO SOCIETA' COOPERATIVA AGRICOLA</t>
  </si>
  <si>
    <t>00121390223</t>
  </si>
  <si>
    <t>SOCIETA' COOPERATIVA AGRICOLA 'PRIMO MAGGIO'</t>
  </si>
  <si>
    <t>00594310278</t>
  </si>
  <si>
    <t>Venezia</t>
  </si>
  <si>
    <t>Lombardia</t>
  </si>
  <si>
    <t>CENTRALE ORTOFRUTTICOLA DI TARQUINIA SOC. COOP.</t>
  </si>
  <si>
    <t>00062140561</t>
  </si>
  <si>
    <t>016100</t>
  </si>
  <si>
    <t>Viterbo</t>
  </si>
  <si>
    <t>Lazio</t>
  </si>
  <si>
    <t>CANTINE LEONARDO DA VINCI - SOCIETA' AGRICOLA COOPERATIVA</t>
  </si>
  <si>
    <t>00426430484</t>
  </si>
  <si>
    <t>016300</t>
  </si>
  <si>
    <t>Firenze</t>
  </si>
  <si>
    <t>Toscana</t>
  </si>
  <si>
    <t>SOCIETA COOPERATIVA AGRICOLA PIOVESE</t>
  </si>
  <si>
    <t>00619830284</t>
  </si>
  <si>
    <t>Padova</t>
  </si>
  <si>
    <t>Veneto</t>
  </si>
  <si>
    <t>AGRO CIRCE 2000 SOCIETA' COOPERATIVA AGRICOLA</t>
  </si>
  <si>
    <t>01544250598</t>
  </si>
  <si>
    <t>011000</t>
  </si>
  <si>
    <t>Latina</t>
  </si>
  <si>
    <t>COOP. SAPORE DI ROMAGNA - SOCIETA' AGRICOLA</t>
  </si>
  <si>
    <t>03335740407</t>
  </si>
  <si>
    <t>016000</t>
  </si>
  <si>
    <t>Forlì-Cesena</t>
  </si>
  <si>
    <t>Emilia-Romagna</t>
  </si>
  <si>
    <t>014700</t>
  </si>
  <si>
    <t>LATTERIA VILLA CURTA SOCIETA' COOPERATIVA AGRICOLA</t>
  </si>
  <si>
    <t>00134600352</t>
  </si>
  <si>
    <t>014100</t>
  </si>
  <si>
    <t>Reggio nell'Emilia</t>
  </si>
  <si>
    <t>AGRISEMI MINICOZZI S.R.L.</t>
  </si>
  <si>
    <t>01103020622</t>
  </si>
  <si>
    <t>016401</t>
  </si>
  <si>
    <t>Benevento</t>
  </si>
  <si>
    <t>Campania</t>
  </si>
  <si>
    <t>SAIVCONGER CIMINI SOCIETA' COOPERATIVA AGRICOLA</t>
  </si>
  <si>
    <t>02330130564</t>
  </si>
  <si>
    <t>011310</t>
  </si>
  <si>
    <t>Foggia</t>
  </si>
  <si>
    <t>Puglia</t>
  </si>
  <si>
    <t>Sicilia</t>
  </si>
  <si>
    <t>TORMARESCA SOCIETA' AGRICOLA A RESPONSABILITA' LIMITATA IN SIGLA VI.D.S. S.R.L. O TENUTA BOCCA DI LUPO S.R.L. O CALAFURIA S.R.L.</t>
  </si>
  <si>
    <t>01885350742</t>
  </si>
  <si>
    <t>012100</t>
  </si>
  <si>
    <t>Brindisi</t>
  </si>
  <si>
    <t>SOCIETA' FRUTTICOLTORI TRENTO SOCIETA' COOPERATIVA AGRICOLA IN SIGLA S.F.T. SOCIETA' COOPERATIVA AGRICOLA</t>
  </si>
  <si>
    <t>02042020228</t>
  </si>
  <si>
    <t>Trento</t>
  </si>
  <si>
    <t>Trentino-Alto Adige</t>
  </si>
  <si>
    <t>ISOLAGRANDE SRL SOCIETA' AGRICOLA</t>
  </si>
  <si>
    <t>09427940961</t>
  </si>
  <si>
    <t>011320</t>
  </si>
  <si>
    <t>Milano</t>
  </si>
  <si>
    <t>COOPERATIVA PANTANO FRA PRODUTTORI AGRICOLI-SOCIETA'COOPERATIVA</t>
  </si>
  <si>
    <t>00116210568</t>
  </si>
  <si>
    <t>SEMIDAUNIA S.R.L.</t>
  </si>
  <si>
    <t>01489510717</t>
  </si>
  <si>
    <t>AGRIFUNG S.R.L. - SOCIETA' AGRICOLA</t>
  </si>
  <si>
    <t>04527300265</t>
  </si>
  <si>
    <t>013000</t>
  </si>
  <si>
    <t>Treviso</t>
  </si>
  <si>
    <t>MACCARESE S.P.A. SOCIETA' AGRICOLA BENEFIT</t>
  </si>
  <si>
    <t>00966441008</t>
  </si>
  <si>
    <t>015000</t>
  </si>
  <si>
    <t>Roma</t>
  </si>
  <si>
    <t>GRUPPO AGRICOOPER SOCIETA' COOPERATIVA AGRICOLA</t>
  </si>
  <si>
    <t>00355050543</t>
  </si>
  <si>
    <t>011500</t>
  </si>
  <si>
    <t>Perugia</t>
  </si>
  <si>
    <t>Umbria</t>
  </si>
  <si>
    <t>SOCIETA' AGRICOLA PONTE PIO S.R.L.</t>
  </si>
  <si>
    <t>02077760425</t>
  </si>
  <si>
    <t>Ancona</t>
  </si>
  <si>
    <t>Marche</t>
  </si>
  <si>
    <t>LA STRADA DEI SAPORI SOCIETA' COOPERATIVA AGRICOLA</t>
  </si>
  <si>
    <t>03016260543</t>
  </si>
  <si>
    <t>BIO HORTUS SOCIETA' COOPERATIVA AGRICOLA</t>
  </si>
  <si>
    <t>02747830848</t>
  </si>
  <si>
    <t>011329</t>
  </si>
  <si>
    <t>Agrigento</t>
  </si>
  <si>
    <t>COLT.OR. SOCIETA' COOPERATIVA AGRICOLA</t>
  </si>
  <si>
    <t>01635410663</t>
  </si>
  <si>
    <t>L'Aquila</t>
  </si>
  <si>
    <t>Abruzzo</t>
  </si>
  <si>
    <t>ISI SEMENTI S.P.A.</t>
  </si>
  <si>
    <t>01691680340</t>
  </si>
  <si>
    <t>016409</t>
  </si>
  <si>
    <t>Parma</t>
  </si>
  <si>
    <t>AGRIFONDO SOCIETA' AGRICOLA A RESPONSABILITA' LIMITATA</t>
  </si>
  <si>
    <t>04041460652</t>
  </si>
  <si>
    <t>Salerno</t>
  </si>
  <si>
    <t>CIRIO SOCIETA' AGRICOLA S.R.L.</t>
  </si>
  <si>
    <t>03189220613</t>
  </si>
  <si>
    <t>Caserta</t>
  </si>
  <si>
    <t>CANTINA SOCIALE COOPERATIVA DELLA VALTIDONE SOC.COOP. A R.L. ENUNCIABILE ANCHE CANTINA VALTIDONE SOC.COOP. A R.L. OPPURE C.S.V.T. SOC.COOP. A R.L. ENUNCIABILE ANCHE VINI VALTIDONE S.C.R.L.</t>
  </si>
  <si>
    <t>00110850336</t>
  </si>
  <si>
    <t>Piacenza</t>
  </si>
  <si>
    <t>FAMIGLIA COTARELLA S.R.L. ANCHE DITTA AZIENDA VINICOLA FALESCO S.R.L. O DITTA AZIENDA VINICOLA FALESCO SOCIETA' A RESPONSABILITA' LIMITATA O DITTA A.V.F. - S.R.L. O DITTA VITIANO A.V.F. - S.R.L. O DITTA LIAISON S.R.L.</t>
  </si>
  <si>
    <t>00472180553</t>
  </si>
  <si>
    <t>Terni</t>
  </si>
  <si>
    <t>CASTELLO DEL POGGIO SOCIETA' AGRICOLA A RESPONSABILITA' LIMITATA FORMA ABBREVIATA CASTELLO DEL POGGIO S.A.R.L.</t>
  </si>
  <si>
    <t>02360740241</t>
  </si>
  <si>
    <t>Vicenza</t>
  </si>
  <si>
    <t>PALUMBO PIU' SOCIETA' COOPERATIVA AGRICOLA</t>
  </si>
  <si>
    <t>02727630846</t>
  </si>
  <si>
    <t>011310</t>
  </si>
  <si>
    <t>Agrigento</t>
  </si>
  <si>
    <t>Sicilia</t>
  </si>
  <si>
    <t>COLLEMASSARI SOCIETA' PER AZIONI - SOCIETA' AGRICOLA IN BREVE COLLEMASSARI S.P.A. - SOCIETA' AGRICOLA</t>
  </si>
  <si>
    <t>05732171003</t>
  </si>
  <si>
    <t>012100</t>
  </si>
  <si>
    <t>Roma</t>
  </si>
  <si>
    <t>Lazio</t>
  </si>
  <si>
    <t>ITALIAN ORGANIC VEGETABLES SOCIETA' COOPERATIVA AGRICOLA</t>
  </si>
  <si>
    <t>01700910662</t>
  </si>
  <si>
    <t>016100</t>
  </si>
  <si>
    <t>L'Aquila</t>
  </si>
  <si>
    <t>Abruzzo</t>
  </si>
  <si>
    <t>CUSUMANO S.R.L. SOCIETA' AGRICOLA ESSA E' SIGLABILE NADARIA S.R.L. SOCIETA' AGRICOLA</t>
  </si>
  <si>
    <t>01995040811</t>
  </si>
  <si>
    <t>Palermo</t>
  </si>
  <si>
    <t>VENTRONE SOCIETA' COOPERATIVA AGRICOLA</t>
  </si>
  <si>
    <t>03969430614</t>
  </si>
  <si>
    <t>016300</t>
  </si>
  <si>
    <t>Caserta</t>
  </si>
  <si>
    <t>Campania</t>
  </si>
  <si>
    <t>CANTINA SOCIALE MORI COLLI ZUGNA SOCIETA' COOPERATIVA AGRICOLA IN SIGLA C.M.C.Z. SOCIETA' COOPERATIVA AGRICOLA</t>
  </si>
  <si>
    <t>00121820229</t>
  </si>
  <si>
    <t>Trento</t>
  </si>
  <si>
    <t>Trentino-Alto Adige</t>
  </si>
  <si>
    <t>C.O.A.B. - COOPERATIVA ORTOFRUTTICOLA ED AGRUMARIA BRUZIA - SOCIETA' COOPERATIVA AGRICOLA</t>
  </si>
  <si>
    <t>01700530783</t>
  </si>
  <si>
    <t>Cosenza</t>
  </si>
  <si>
    <t>Calabria</t>
  </si>
  <si>
    <t>ESASEM S.P.A.</t>
  </si>
  <si>
    <t>02175020235</t>
  </si>
  <si>
    <t>011910</t>
  </si>
  <si>
    <t>Verona</t>
  </si>
  <si>
    <t>Veneto</t>
  </si>
  <si>
    <t>OP PRIMO SOLE SOCIETA' CONSORTILE AGRICOLA A RESPONSABILITA' LIMITATA IN SIGLA OP PRIMO SOLE SOC. CONS. AGR. A R.L.</t>
  </si>
  <si>
    <t>01313520775</t>
  </si>
  <si>
    <t>Matera</t>
  </si>
  <si>
    <t>Basilicata</t>
  </si>
  <si>
    <t>SOCIETA' AGRICOLA AVICOLA DEL GARDA SRL</t>
  </si>
  <si>
    <t>04323300980</t>
  </si>
  <si>
    <t>014700</t>
  </si>
  <si>
    <t>Brescia</t>
  </si>
  <si>
    <t>Lombardia</t>
  </si>
  <si>
    <t>COOPERATIVA AGRICOLA ORTOPRIMIZIE A R.L.</t>
  </si>
  <si>
    <t>03555720618</t>
  </si>
  <si>
    <t>ORGANIZZAZIONE PRODUTTORI COSENTINO SOCIETA' - CONSORTILE ARESPON SABILITA' LIMITATA O.P. COSENTINO S.CONS. A.R.L.</t>
  </si>
  <si>
    <t>01863560890</t>
  </si>
  <si>
    <t>Siracusa</t>
  </si>
  <si>
    <t>IL MARCHIO D'ORO DI IMPOCO S.R.L.</t>
  </si>
  <si>
    <t>01139710881</t>
  </si>
  <si>
    <t>Ragusa</t>
  </si>
  <si>
    <t>SOLE DI MONTAGNA SOC. COOP.AGRICOLA</t>
  </si>
  <si>
    <t>02676960400</t>
  </si>
  <si>
    <t>Bologna</t>
  </si>
  <si>
    <t>Emilia-Romagna</t>
  </si>
  <si>
    <t>COOPERATIVA AGRICOLA A.C.L.I - SAN BIAGIO - SOCIETA' COOPERATIVA A RESPONSABILITA' LIMITATA</t>
  </si>
  <si>
    <t>00287760276</t>
  </si>
  <si>
    <t>Venezia</t>
  </si>
  <si>
    <t>LATTERIA TRE CIME - MONDO LATTE - SOCIETA' AGRICOLA COOPERATIVA</t>
  </si>
  <si>
    <t>00126550219</t>
  </si>
  <si>
    <t>014000</t>
  </si>
  <si>
    <t>Bolzano/Bozen</t>
  </si>
  <si>
    <t>STALLA SOCIALE DI MONASTIER SOCIETA' COOPERATIVA AGRICOLA</t>
  </si>
  <si>
    <t>00203640263</t>
  </si>
  <si>
    <t>Treviso</t>
  </si>
  <si>
    <t>CONSORZIO ORTOFRUTTICOLO BASSA ANAUNIA SOCIETA' COOPERATIVA AGRICOLA IN SIGLA C.O.B.A. SOCIETA' COOPERATIVA AGRICOLA</t>
  </si>
  <si>
    <t>00123920225</t>
  </si>
  <si>
    <t>AZIENDA AGRICOLA FILIERA UNO SOCIETA' AGRICOLA SRL</t>
  </si>
  <si>
    <t>03484080365</t>
  </si>
  <si>
    <t>014600</t>
  </si>
  <si>
    <t>Modena</t>
  </si>
  <si>
    <t>SOCIETA' COOPERATIVA AGRICOLA AURORA - OP</t>
  </si>
  <si>
    <t>00183550896</t>
  </si>
  <si>
    <t>COOPERATIVA AGRICOLA DI GIROLAMO GIANNI</t>
  </si>
  <si>
    <t>02598660591</t>
  </si>
  <si>
    <t>Latina</t>
  </si>
  <si>
    <t>CAMPOVERDE S.P.A. AGRICOLA , IN SIGLA CAMPOVERDE S.P.A.</t>
  </si>
  <si>
    <t>02067560785</t>
  </si>
  <si>
    <t>VINI VITICOLTORI TOSCANI SOCIETA' COOPERATIVA AGRICOLA</t>
  </si>
  <si>
    <t>00381290485</t>
  </si>
  <si>
    <t>Firenze</t>
  </si>
  <si>
    <t>Toscana</t>
  </si>
  <si>
    <t>A.L.I. S.R.L.</t>
  </si>
  <si>
    <t>03388780409</t>
  </si>
  <si>
    <t>Forlì-Cesena</t>
  </si>
  <si>
    <t>CASALE DEL GIGLIO SOCIETA' AGRICOLA SOCIETA' A RESPONSABILITA' LIMITATA</t>
  </si>
  <si>
    <t>00142410596</t>
  </si>
  <si>
    <t>012100</t>
  </si>
  <si>
    <t>Latina</t>
  </si>
  <si>
    <t>Lazio</t>
  </si>
  <si>
    <t>A.P.O.M. ASSOCIAZIONE PRODUTTORI ORTOFRUTTICOLI MERIDIONALI SOCIE TA' COOPERATIVA A R.L.</t>
  </si>
  <si>
    <t>03923100659</t>
  </si>
  <si>
    <t>016300</t>
  </si>
  <si>
    <t>Foggia</t>
  </si>
  <si>
    <t>Puglia</t>
  </si>
  <si>
    <t>BIO ITALY NATURE S.R.L.</t>
  </si>
  <si>
    <t>05209910875</t>
  </si>
  <si>
    <t>012400</t>
  </si>
  <si>
    <t>Roma</t>
  </si>
  <si>
    <t>TENUTA ULISSE S.R.L.</t>
  </si>
  <si>
    <t>02563060694</t>
  </si>
  <si>
    <t>Chieti</t>
  </si>
  <si>
    <t>Abruzzo</t>
  </si>
  <si>
    <t>O.P. ORIZZONTE SOCIETA' COOPERATIVA AGRICOLA</t>
  </si>
  <si>
    <t>03045380809</t>
  </si>
  <si>
    <t>Reggio di Calabria</t>
  </si>
  <si>
    <t>Calabria</t>
  </si>
  <si>
    <t>AGRICOLA DANTE SOCIETA' AGRICOLA S.R.L.</t>
  </si>
  <si>
    <t>00175560390</t>
  </si>
  <si>
    <t>011140</t>
  </si>
  <si>
    <t>Ravenna</t>
  </si>
  <si>
    <t>Emilia-Romagna</t>
  </si>
  <si>
    <t>AGRISFERA SOCIETA' COOPERATIVA AGRICOLA PER AZIONI IN SIGLA AG RISFERA SOC. COOP. AGR. P.A.</t>
  </si>
  <si>
    <t>00085770394</t>
  </si>
  <si>
    <t>015000</t>
  </si>
  <si>
    <t>CANTINA SOCIALE CORNAIANO - SOC. AGRICOLA COOP., IN BREVE CANTINA GIRLAN</t>
  </si>
  <si>
    <t>00124770215</t>
  </si>
  <si>
    <t>Bolzano/Bozen</t>
  </si>
  <si>
    <t>Trentino-Alto Adige</t>
  </si>
  <si>
    <t>LAIT SERVICE - SOCIETA' AGRICOLA COOPERATIVA SIGLABILE LAIT SERVICE - SOC. AGR. COOP.</t>
  </si>
  <si>
    <t>07893680012</t>
  </si>
  <si>
    <t>Torino</t>
  </si>
  <si>
    <t>Piemonte</t>
  </si>
  <si>
    <t>CANTINA SOCIALE COLLI FIORENTINI SOCIETA' AGRICOLA COOPERATIVA IN ALTERNATIVA VALVIRGINIO SOC. COOP.</t>
  </si>
  <si>
    <t>00890170483</t>
  </si>
  <si>
    <t>Firenze</t>
  </si>
  <si>
    <t>Toscana</t>
  </si>
  <si>
    <t>PODERI DAL NESPOLI S.R.L. - SOCIETA' AGRICOLA SIGLABILE TENUTA SANTODENO SRL , PDN SRL , NPV SRL , NV SRL , PODERE GUALDO SRL , PODERE DOGHERIA SRL , PODERE PRUGNETO SRL , DOGHERIA SRL E BORGO DEI GUIDI SRL .</t>
  </si>
  <si>
    <t>00170120406</t>
  </si>
  <si>
    <t>Forlì-Cesena</t>
  </si>
  <si>
    <t>AGRIFUTURA S.R.L.</t>
  </si>
  <si>
    <t>02704670989</t>
  </si>
  <si>
    <t>016100</t>
  </si>
  <si>
    <t>Brescia</t>
  </si>
  <si>
    <t>Lombardia</t>
  </si>
  <si>
    <t>014100</t>
  </si>
  <si>
    <t>SOTEA - SOCIETA' COOPERATIVA AGRICOLA</t>
  </si>
  <si>
    <t>01952170593</t>
  </si>
  <si>
    <t>016000</t>
  </si>
  <si>
    <t>CO.PRO.VI. SOCIETA' COOPERATIVA</t>
  </si>
  <si>
    <t>01024090183</t>
  </si>
  <si>
    <t>Pavia</t>
  </si>
  <si>
    <t>SOCIETA' AGRICOLA VALLEDORO S.R.L.</t>
  </si>
  <si>
    <t>02643060730</t>
  </si>
  <si>
    <t>Taranto</t>
  </si>
  <si>
    <t>ENOSTAFF LAVORI AGRICOLI SRL</t>
  </si>
  <si>
    <t>03795730989</t>
  </si>
  <si>
    <t>Milano</t>
  </si>
  <si>
    <t>CASEIFICIO IL BOIARDO-MATILDE DI CANOSSA SOCIETA' COOPERATIVA AGRICOLA</t>
  </si>
  <si>
    <t>00135450351</t>
  </si>
  <si>
    <t>Reggio nell'Emilia</t>
  </si>
  <si>
    <t>Ragusa</t>
  </si>
  <si>
    <t>Sicilia</t>
  </si>
  <si>
    <t>SARDO PIEMONTESE SEMENTI SOC.COOP. - SOCIETA' AGRICOLA CON DENO MINAZIONE ABBREVIATA SA.PI.SE. COOP.AGR.</t>
  </si>
  <si>
    <t>00458460029</t>
  </si>
  <si>
    <t>016409</t>
  </si>
  <si>
    <t>Vercelli</t>
  </si>
  <si>
    <t>CIELO - SOCIETA' COOPERATIVA AGRICOLA</t>
  </si>
  <si>
    <t>01376470389</t>
  </si>
  <si>
    <t>Ferrara</t>
  </si>
  <si>
    <t>OPI SICULA O.P. SOCIETA' COOPERATIVA AGRICOLA</t>
  </si>
  <si>
    <t>01830270896</t>
  </si>
  <si>
    <t>Siracusa</t>
  </si>
  <si>
    <t>AGRIFUTUR SOCIETA' COOPERATIVA AGRICOLA</t>
  </si>
  <si>
    <t>02474940612</t>
  </si>
  <si>
    <t>010000</t>
  </si>
  <si>
    <t>Caserta</t>
  </si>
  <si>
    <t>Campania</t>
  </si>
  <si>
    <t>ECO FARM S.R.L. O.P.</t>
  </si>
  <si>
    <t>01387120858</t>
  </si>
  <si>
    <t>Caltanissetta</t>
  </si>
  <si>
    <t>CANTINA DI FAENZA SOCIETA' AGRICOLA COOPERATIVA , CHE POTRA' ESSE RE AD OGNI EFFETTO DI LEGGE INDICATA CANTINA DI FAENZA SOCIETA' COOPERATIVA AGRI COLA OVVERO CANTINA DI FAENZA SOC. AGRICOLA COOP. OVVERO CANTINA DI FAENZA SOC. COOP. AGRICOLA OVVERO CANTI</t>
  </si>
  <si>
    <t>00082430398</t>
  </si>
  <si>
    <t>AIRONE SOCIETA' COOPERATIVA AGRICOLA</t>
  </si>
  <si>
    <t>01688690880</t>
  </si>
  <si>
    <t>I PODERI S.P.A. CONSORTILE - SOCIETA' AGRICOLA</t>
  </si>
  <si>
    <t>04157130404</t>
  </si>
  <si>
    <t>COOPERATIVA AGRICOLA VOLPAGO - SOCIETA' COOPERATIVA AGRICOLA</t>
  </si>
  <si>
    <t>00496930264</t>
  </si>
  <si>
    <t>016300</t>
  </si>
  <si>
    <t>Treviso</t>
  </si>
  <si>
    <t>Veneto</t>
  </si>
  <si>
    <t>TENUTE RUFFINO S.R.L. SOCIETA' AGRICOLA</t>
  </si>
  <si>
    <t>13418020155</t>
  </si>
  <si>
    <t>012100</t>
  </si>
  <si>
    <t>Firenze</t>
  </si>
  <si>
    <t>Toscana</t>
  </si>
  <si>
    <t>AGRI-ITALIA SOCIETA' COOPERATIVA AGRICOLA</t>
  </si>
  <si>
    <t>01669040592</t>
  </si>
  <si>
    <t>Latina</t>
  </si>
  <si>
    <t>Lazio</t>
  </si>
  <si>
    <t>RHEAURA - OP - SOCIETA' COOPERATIVA AGRICOLA</t>
  </si>
  <si>
    <t>15462331008</t>
  </si>
  <si>
    <t>Cosenza</t>
  </si>
  <si>
    <t>Calabria</t>
  </si>
  <si>
    <t>TERRA BIO CONSORZIO AGRICOLTORI BIOLOGICI SOCIETA' COOPERATIVA</t>
  </si>
  <si>
    <t>01403850413</t>
  </si>
  <si>
    <t>016100</t>
  </si>
  <si>
    <t>Pesaro Urbino</t>
  </si>
  <si>
    <t>Marche</t>
  </si>
  <si>
    <t>CANTINA COOPERATIVA COLTIVATORI DIRETTI - SOCIETA' AGRICOLA COOP ERATIVA ANCHE DETTA IN SIGLA CANTINE DELLA BARDULIA</t>
  </si>
  <si>
    <t>01203520729</t>
  </si>
  <si>
    <t>Barletta-Andria-Trani</t>
  </si>
  <si>
    <t>Puglia</t>
  </si>
  <si>
    <t>ARDITO SRL</t>
  </si>
  <si>
    <t>03620670715</t>
  </si>
  <si>
    <t>Foggia</t>
  </si>
  <si>
    <t>WILHELM ELENA WALCH S.R.L., IN BREVE WILHELM WALCH S.R.L. O ELENA WALCH S.R.L. O WALCH S.R.L.</t>
  </si>
  <si>
    <t>00851290213</t>
  </si>
  <si>
    <t>Bolzano/Bozen</t>
  </si>
  <si>
    <t>Trentino-Alto Adige</t>
  </si>
  <si>
    <t>RADICI MASTROBERARDINO SOCIETA' AGRICOLA S.R.L. O IN ALTERNATIVA RADICI SOCIETA' AGRICOLA S.R.L. - MASTROBERARDINO SOCIETA' AGRICOLA S.R.L.</t>
  </si>
  <si>
    <t>02126850649</t>
  </si>
  <si>
    <t>Avellino</t>
  </si>
  <si>
    <t>Campania</t>
  </si>
  <si>
    <t>S.LAZZARO 92 - S.C.R.L.</t>
  </si>
  <si>
    <t>02778560652</t>
  </si>
  <si>
    <t>Salerno</t>
  </si>
  <si>
    <t>CANTINA PRODUTTORI MERANO BURGGRAEFLER - COOP. SOC. AGRICOLA IN BREVE CANTINA MERANO BURGGRAEFLER</t>
  </si>
  <si>
    <t>00126570217</t>
  </si>
  <si>
    <t>LATTERIA SOCIALE COOPERATIVA LA GRANDE CASTELNOVO DI SOTTO SOCIETA' COOPERATIVA AGRICOLA</t>
  </si>
  <si>
    <t>00147110357</t>
  </si>
  <si>
    <t>014100</t>
  </si>
  <si>
    <t>Reggio nell'Emilia</t>
  </si>
  <si>
    <t>Emilia-Romagna</t>
  </si>
  <si>
    <t>TENUTA DI BISERNO SOCIETA' AGRICOLA A RESPONSABILITA' LIMITATA</t>
  </si>
  <si>
    <t>01370100495</t>
  </si>
  <si>
    <t>Livorno</t>
  </si>
  <si>
    <t>CONSORZIO COOPERATIVO ORTOFRUTTICOLO ALTO VITERBESE SOCIETA' COOPERATIVA AGRICOLA ORGANIZZAZIONE DEI PRODUTTORI</t>
  </si>
  <si>
    <t>00130550569</t>
  </si>
  <si>
    <t>Viterbo</t>
  </si>
  <si>
    <t>ORTOLANDA O.P. SOCIETA' COOPERATIVA AGRICOLA</t>
  </si>
  <si>
    <t>02733590596</t>
  </si>
  <si>
    <t>PLATINUM SOCIETA' COOPERATIVA AGRICOLA S.P.A.</t>
  </si>
  <si>
    <t>01404560888</t>
  </si>
  <si>
    <t>010000</t>
  </si>
  <si>
    <t>Ragusa</t>
  </si>
  <si>
    <t>Sicilia</t>
  </si>
  <si>
    <t>AGRIPEPPE SOCIETA' COOPERATIVA AGRICOLA</t>
  </si>
  <si>
    <t>02861990592</t>
  </si>
  <si>
    <t>CONSORZIO SATIVA SOCIETA' COOPERATIVA AGRICOLA</t>
  </si>
  <si>
    <t>01244650402</t>
  </si>
  <si>
    <t>016409</t>
  </si>
  <si>
    <t>Forlì-Cesena</t>
  </si>
  <si>
    <t>RIVESE C.A.R.- SOCIETA' AGRICOLA COOPERATIVA SIGLABILE C.A.R. - SOC. AGR. COOPERATIVA</t>
  </si>
  <si>
    <t>02531420012</t>
  </si>
  <si>
    <t>Torino</t>
  </si>
  <si>
    <t>Piemonte</t>
  </si>
  <si>
    <t>LAZZERI SOCIETA' AGRICOLA A RESPONSABILITA' LIMITATA</t>
  </si>
  <si>
    <t>02796910590</t>
  </si>
  <si>
    <t>013000</t>
  </si>
  <si>
    <t>CONSORZIO ORTOFRUTTICOLO PADANO SOCIETA' AGRICOLA COOPERATIVA</t>
  </si>
  <si>
    <t>02850670239</t>
  </si>
  <si>
    <t>Verona</t>
  </si>
  <si>
    <t>011140</t>
  </si>
  <si>
    <t>AGRIDIFESA DEL MEDITERRANEO SOCIETA' COOPERATIVA AGRICOLA</t>
  </si>
  <si>
    <t>03453310710</t>
  </si>
  <si>
    <t>016000</t>
  </si>
  <si>
    <t>SOCIETA' AGRICOLA NUOVA COCCODI' S.R.L.</t>
  </si>
  <si>
    <t>08906260966</t>
  </si>
  <si>
    <t>014700</t>
  </si>
  <si>
    <t>Cremona</t>
  </si>
  <si>
    <t>Lombardia</t>
  </si>
  <si>
    <t>GOTTO D'ORO SOCIETA' COOPERATIVA IN SIGLA: G.D.O. S.C.</t>
  </si>
  <si>
    <t>00899081004</t>
  </si>
  <si>
    <t>Roma</t>
  </si>
  <si>
    <t>LA SELVA SOCIETA' BIOAGRICOLA A R.L. O IN FORMA ABBREVIATA LA SEL VA SARLU</t>
  </si>
  <si>
    <t>01111810535</t>
  </si>
  <si>
    <t>Grosseto</t>
  </si>
  <si>
    <t>CONDUZIONI AZIENDE AGRICOLE DI FORTE GIUSEPPE SOCIETA' AGRICOLA A RESPONSABILITA' LIMITATA IN SIGLA CONDUZIONI AZIENDE AGRICOLE DI FORTE GIUSEPPE S. AGRICOLA R.L.</t>
  </si>
  <si>
    <t>00041530296</t>
  </si>
  <si>
    <t>011990</t>
  </si>
  <si>
    <t>Rovigo</t>
  </si>
  <si>
    <t>Veneto</t>
  </si>
  <si>
    <t>SFERA SOCIETA' AGRICOLA S.R.L.</t>
  </si>
  <si>
    <t>01597850534</t>
  </si>
  <si>
    <t>011320</t>
  </si>
  <si>
    <t>Milano</t>
  </si>
  <si>
    <t>Lombardia</t>
  </si>
  <si>
    <t>CANTINA SOCIALE DI ALA SOCIETA' COOPERATIVA AGRICOLA O IN SIGLA CANTINA DI ALA , CANTINALA O C.S.A. SOCIETA' COOPERATIVA AGRICOLA</t>
  </si>
  <si>
    <t>00124400227</t>
  </si>
  <si>
    <t>012100</t>
  </si>
  <si>
    <t>Trento</t>
  </si>
  <si>
    <t>Trentino-Alto Adige</t>
  </si>
  <si>
    <t>AGRARIA RIVA DEL GARDA SOCIETA' COOPERATIVA AGRICOLA</t>
  </si>
  <si>
    <t>00105670228</t>
  </si>
  <si>
    <t>Sicilia</t>
  </si>
  <si>
    <t>NOSCHESE S.R.L. - SOCIETA' AGRICOLA</t>
  </si>
  <si>
    <t>05019440659</t>
  </si>
  <si>
    <t>011321</t>
  </si>
  <si>
    <t>Salerno</t>
  </si>
  <si>
    <t>Campania</t>
  </si>
  <si>
    <t>BORGOLANDIA S.R.L.</t>
  </si>
  <si>
    <t>03466360967</t>
  </si>
  <si>
    <t>014600</t>
  </si>
  <si>
    <t>Monza e della Brianza</t>
  </si>
  <si>
    <t>AVEPO SOCIETA' AGRICOLA COOPERATIVA</t>
  </si>
  <si>
    <t>02908200237</t>
  </si>
  <si>
    <t>016300</t>
  </si>
  <si>
    <t>Verona</t>
  </si>
  <si>
    <t>011000</t>
  </si>
  <si>
    <t>CANTINA SOCIALE VALPOLICELLA CLASSICO DI SAN PIETRO IN CARIANO - SOCIETA' COOPERATIVA AGRICOLA</t>
  </si>
  <si>
    <t>00343920237</t>
  </si>
  <si>
    <t>CANTINA ROTALIANA DI MEZZOLOMBARDO SOCIETA' COOPERATIVA AGRICOLA IN SIGLA C.R.M. SOCIETA' COOPERATIVA AGRICOLA</t>
  </si>
  <si>
    <t>00122770225</t>
  </si>
  <si>
    <t>AZIENDA AGRICOLA PONZIO S.R.L. - SOCIETA' AGRICOLA</t>
  </si>
  <si>
    <t>09963620019</t>
  </si>
  <si>
    <t>011310</t>
  </si>
  <si>
    <t>Torino</t>
  </si>
  <si>
    <t>Piemonte</t>
  </si>
  <si>
    <t>MINGUZZI SOCIETA' PER AZIONI CONSORTILE - SOCIETA' AGRICOLA FORMA ABBREVIATA MINGUZZI S.P.A. CONSORTILE</t>
  </si>
  <si>
    <t>02166180394</t>
  </si>
  <si>
    <t>Ravenna</t>
  </si>
  <si>
    <t>Emilia-Romagna</t>
  </si>
  <si>
    <t>GBC FUNGHI DELLE TERRE DI ROMAGNA - SOCIETA' AGRICOLA CONSORTILE A RESPONSABILITA' LIMITATA</t>
  </si>
  <si>
    <t>03754240400</t>
  </si>
  <si>
    <t>Rimini</t>
  </si>
  <si>
    <t>ORTOVERDE SOCIETA' AGRICOLA - SRL</t>
  </si>
  <si>
    <t>03170720969</t>
  </si>
  <si>
    <t>Lodi</t>
  </si>
  <si>
    <t>O.P. PALMIERI SOCIETA' AGRICOLA - COOPERATIVA A RESPONSABILITA' LIMITATA</t>
  </si>
  <si>
    <t>08302230720</t>
  </si>
  <si>
    <t>Barletta-Andria-Trani</t>
  </si>
  <si>
    <t>Puglia</t>
  </si>
  <si>
    <t>NATURMIND SOCIETA' AGRICOLA CONSORTILE A R.L.</t>
  </si>
  <si>
    <t>01565550884</t>
  </si>
  <si>
    <t>Ragusa</t>
  </si>
  <si>
    <t>LEMONGROUP SOCIETA' COOPERATIVA AGRICOLA</t>
  </si>
  <si>
    <t>05297420654</t>
  </si>
  <si>
    <t>010000</t>
  </si>
  <si>
    <t>TENUTA CA' BOLANI SOCIETA' AGRICOLA A RESPONSABILITA' LIMITATA FORMA ABBREVIATA TENUTA CA' BOLANI S.A.R.L.</t>
  </si>
  <si>
    <t>02360720243</t>
  </si>
  <si>
    <t>Vicenza</t>
  </si>
  <si>
    <t>SAN PATRIGNANO SOCIETA' AGRICOLA COOPERATIVA SOCIALE</t>
  </si>
  <si>
    <t>00908800402</t>
  </si>
  <si>
    <t>SOCIETA' AGRICOLA MELAVI' - SOCIETA' COOPERATIVA</t>
  </si>
  <si>
    <t>00832440143</t>
  </si>
  <si>
    <t>Sondrio</t>
  </si>
  <si>
    <t>BIO ORTO SOCIETA' COOPERATIVA AGRICOLA</t>
  </si>
  <si>
    <t>03477260719</t>
  </si>
  <si>
    <t>Foggia</t>
  </si>
  <si>
    <t>ORTOFRUTTA TERRE DI ECOR SOCIETA' CONSORTILE AGRICOLA A R.L.</t>
  </si>
  <si>
    <t>04759220264</t>
  </si>
  <si>
    <t>Venezia</t>
  </si>
  <si>
    <t>PERUGINI FRUTTA S.P.A. CONSORTILE - SOCIETA' AGRICOLA IN FORMA ABBREVIATA PERUGINI FRUTTA S.P.A. CONSORTILE</t>
  </si>
  <si>
    <t>03585710407</t>
  </si>
  <si>
    <t>Forlì-Cesena</t>
  </si>
  <si>
    <t>CANTINA SOCIALE BIRGI - SOCIETA' COOPERATIVA AGRICOLA BREVEMENT E CANTINE BIRGI SOC. COOP. AGR.</t>
  </si>
  <si>
    <t>00060380813</t>
  </si>
  <si>
    <t>Trapani</t>
  </si>
  <si>
    <t>CANTINA PRODUTTORI DI RAMUSCELLO E SAN VITO - SOCIETA' COOPERATI VA AGRICOLA IN SIGLA CANTINA PRODUTTORI RAMUSCELLO E SAN VITO S.C.A. OPPURE C.P. RAMUSCELLO E SAN VITO S.C.A. OPPURE C.P.R.S.V. S.C.A. OPPURE SAN VITO S .C.A. OPPURE CANTINA RAMUS</t>
  </si>
  <si>
    <t>00072790934</t>
  </si>
  <si>
    <t>Pordenone</t>
  </si>
  <si>
    <t>Friuli-Venezia Giulia</t>
  </si>
  <si>
    <t>Veneto</t>
  </si>
  <si>
    <t>COOPERATIVA MODENESE ESSICCAZIONE FRUTTA - SOCIETA' AGRICOLA COOPERATIVA, ABBREVIABILE IN COOPERATIVA MODENESE ESSICCAZIONE FRUTTA - SOC. AGR. COOP.</t>
  </si>
  <si>
    <t>02308270483</t>
  </si>
  <si>
    <t>016300</t>
  </si>
  <si>
    <t>Modena</t>
  </si>
  <si>
    <t>Emilia-Romagna</t>
  </si>
  <si>
    <t>O.P. SOCIETA' AGRICOLA COOPERATIVA SAN ROCCO</t>
  </si>
  <si>
    <t>00466900750</t>
  </si>
  <si>
    <t>011000</t>
  </si>
  <si>
    <t>Lecce</t>
  </si>
  <si>
    <t>Puglia</t>
  </si>
  <si>
    <t>CANTINA PRODUTTORI CORTACCIA - SOC. AGRICOLA COOP., IN BREVE CANTINA TENUTA FREIENFELD , KURTATSCH KELLEREI CANTINA , CANTINA KURTATSCH</t>
  </si>
  <si>
    <t>00122150212</t>
  </si>
  <si>
    <t>012100</t>
  </si>
  <si>
    <t>Bolzano/Bozen</t>
  </si>
  <si>
    <t>Trentino-Alto Adige</t>
  </si>
  <si>
    <t>MASTER AGRICOLA SOCIETA'COOPERATIVA AGRICOLA</t>
  </si>
  <si>
    <t>02756680845</t>
  </si>
  <si>
    <t>011320</t>
  </si>
  <si>
    <t>Agrigento</t>
  </si>
  <si>
    <t>Sicilia</t>
  </si>
  <si>
    <t>CBC BIOPLANET SOCIETA' AGRICOLA SRL</t>
  </si>
  <si>
    <t>04249420409</t>
  </si>
  <si>
    <t>014990</t>
  </si>
  <si>
    <t>Forlì-Cesena</t>
  </si>
  <si>
    <t>Trento</t>
  </si>
  <si>
    <t>AGRICOLAFELICE SOCIETA' COOPERATIVA</t>
  </si>
  <si>
    <t>01089030777</t>
  </si>
  <si>
    <t>016100</t>
  </si>
  <si>
    <t>Matera</t>
  </si>
  <si>
    <t>Basilicata</t>
  </si>
  <si>
    <t>SELE NATURA SOCIETA' COOPERATIVA AGRICOLA</t>
  </si>
  <si>
    <t>03968210652</t>
  </si>
  <si>
    <t>Salerno</t>
  </si>
  <si>
    <t>Campania</t>
  </si>
  <si>
    <t>GILMAC S.R.L.</t>
  </si>
  <si>
    <t>01194710883</t>
  </si>
  <si>
    <t>014700</t>
  </si>
  <si>
    <t>Ragusa</t>
  </si>
  <si>
    <t>CANTINA SOCIALE DEL VERMENTINO SOCIETA' COOPERATIVA AGRICOLA MONTI (OLBIA-TEMPIO PAUSANIA).</t>
  </si>
  <si>
    <t>00072820905</t>
  </si>
  <si>
    <t>Sassari</t>
  </si>
  <si>
    <t>Sardegna</t>
  </si>
  <si>
    <t>FELSINA S.P.A. SOCIETA' AGRICOLA</t>
  </si>
  <si>
    <t>00234940526</t>
  </si>
  <si>
    <t>Siena</t>
  </si>
  <si>
    <t>Toscana</t>
  </si>
  <si>
    <t>SOCIETA' AGRICOLA MASO DELLO SPECK SRL</t>
  </si>
  <si>
    <t>02070950221</t>
  </si>
  <si>
    <t>014600</t>
  </si>
  <si>
    <t>SOCIETA' COOPERATIVA AGRICOLA COLTIVATORI DIRETTI - TOLLO</t>
  </si>
  <si>
    <t>00152880696</t>
  </si>
  <si>
    <t>Chieti</t>
  </si>
  <si>
    <t>Abruzzo</t>
  </si>
  <si>
    <t>SOCIETA' AGRICOLA SAN FELICE S.P.A. O IN FORMA ABBREVIATA AGREL S OCIETA' AGRICOLA S.P.A.</t>
  </si>
  <si>
    <t>04116430150</t>
  </si>
  <si>
    <t>Milano</t>
  </si>
  <si>
    <t>Lombardia</t>
  </si>
  <si>
    <t>CASEIFICIO SOCIALE BALLOTTARA - SOCIETA' COOPERATIVA AGRICOLA</t>
  </si>
  <si>
    <t>00041690298</t>
  </si>
  <si>
    <t>Rovigo</t>
  </si>
  <si>
    <t>Perugia</t>
  </si>
  <si>
    <t>Umbria</t>
  </si>
  <si>
    <t>CANTINA SOCIALE ROVERE' DELLA LUNA SOCIETA' COOPERATIVA AGRICOLA</t>
  </si>
  <si>
    <t>00121190227</t>
  </si>
  <si>
    <t>TENUTE DEL CERRO S.P.A. - SOCIETA' AGRICOLA</t>
  </si>
  <si>
    <t>03733280014</t>
  </si>
  <si>
    <t>011110</t>
  </si>
  <si>
    <t>INFRAGEST S.R.L.</t>
  </si>
  <si>
    <t>02578000602</t>
  </si>
  <si>
    <t>Frosinone</t>
  </si>
  <si>
    <t>Lazio</t>
  </si>
  <si>
    <t>COSTEA - COOPERATIVA SERVIZI TECNICI AGRONOMICI - SOCIETA' COOPERATIVA</t>
  </si>
  <si>
    <t>00133940387</t>
  </si>
  <si>
    <t>Ferrara</t>
  </si>
  <si>
    <t>LATTERIA SOCIALE PAVERAZZI SOCIETA' COOPERATIVA AGRICOLA</t>
  </si>
  <si>
    <t>00140660358</t>
  </si>
  <si>
    <t>014100</t>
  </si>
  <si>
    <t>Reggio nell'Emilia</t>
  </si>
  <si>
    <t>C.S.A. COOPERATIVA SONCINESE ALLEVATORI SOCIETA' AGRICOLA COOPERATIVA</t>
  </si>
  <si>
    <t>00294220199</t>
  </si>
  <si>
    <t>Cremona</t>
  </si>
  <si>
    <t>SOCIETA' AGRICOLA TOP MELON S.R.L.</t>
  </si>
  <si>
    <t>02120560541</t>
  </si>
  <si>
    <t>TERRAMORE SOCIETA COOPERATIVA AGRICOLA</t>
  </si>
  <si>
    <t>04618320651</t>
  </si>
  <si>
    <t>016300</t>
  </si>
  <si>
    <t>Salerno</t>
  </si>
  <si>
    <t>Campania</t>
  </si>
  <si>
    <t>Emilia-Romagna</t>
  </si>
  <si>
    <t>NERIO RUFFATO SOCIETA' AGRICOLA S.R.L.</t>
  </si>
  <si>
    <t>01815940067</t>
  </si>
  <si>
    <t>011310</t>
  </si>
  <si>
    <t>Alessandria</t>
  </si>
  <si>
    <t>Piemonte</t>
  </si>
  <si>
    <t>BIO SIKELIA SOCIETA' CONSORTILE AGRICOLA A R.L.</t>
  </si>
  <si>
    <t>01695800894</t>
  </si>
  <si>
    <t>Siracusa</t>
  </si>
  <si>
    <t>Sicilia</t>
  </si>
  <si>
    <t>CANTINA PRODUTTORI S.PAOLO - SOC.AGRICOLA COOP.</t>
  </si>
  <si>
    <t>00120200217</t>
  </si>
  <si>
    <t>012100</t>
  </si>
  <si>
    <t>Bolzano/Bozen</t>
  </si>
  <si>
    <t>Trentino-Alto Adige</t>
  </si>
  <si>
    <t>LATTERIA SOCIALE DI BOLZANO VICENTINO SOCIETA' COOPERATIVA AGRICOLA</t>
  </si>
  <si>
    <t>00460830243</t>
  </si>
  <si>
    <t>014100</t>
  </si>
  <si>
    <t>Vicenza</t>
  </si>
  <si>
    <t>Veneto</t>
  </si>
  <si>
    <t>COOPERATIVA AGRICOLA IL FORTETO - SOCIETA' AGRICOLA COOPERATIVA</t>
  </si>
  <si>
    <t>01408150488</t>
  </si>
  <si>
    <t>Firenze</t>
  </si>
  <si>
    <t>Toscana</t>
  </si>
  <si>
    <t>016000</t>
  </si>
  <si>
    <t>PRO AGRI - CONSORZIO PRODUTTORI AGRICOLI - SOC. COOP. AGRICOLA</t>
  </si>
  <si>
    <t>00166100545</t>
  </si>
  <si>
    <t>Perugia</t>
  </si>
  <si>
    <t>Umbria</t>
  </si>
  <si>
    <t>CONSORZIO COOPERATIVO LATTERIE FRIULANE SOCIETA' COOPERATIVA AGRICOLA</t>
  </si>
  <si>
    <t>00164830309</t>
  </si>
  <si>
    <t>016209</t>
  </si>
  <si>
    <t>Udine</t>
  </si>
  <si>
    <t>Friuli-Venezia Giulia</t>
  </si>
  <si>
    <t>AMBROGIO E GIOVANNI FOLONARI TENUTE NOZZOLE, CABREO, TERRE DEI FO LO, CAMPO AL MARE, TORCALVANO GRACCIANO, VIGNE A PORRONA, CONTI SPALLETTI, PREVI , PREMIOVINI, LA FUGA SOCIETA' AGRICOLA A RESPONSABILITA'</t>
  </si>
  <si>
    <t>03768690483</t>
  </si>
  <si>
    <t>016100</t>
  </si>
  <si>
    <t>OPENS SOC. CONS. AGRICOLA A R.L. O.P.</t>
  </si>
  <si>
    <t>01719550889</t>
  </si>
  <si>
    <t>Ragusa</t>
  </si>
  <si>
    <t>L'UNITARIA COOPERATIVA ZOOCEREALICOLA - SOCIETA' COOPERATIVA</t>
  </si>
  <si>
    <t>00918220468</t>
  </si>
  <si>
    <t>Lucca</t>
  </si>
  <si>
    <t>SOCIETA' AGRICOLA LE TENUTE DEL LEONE ALATO S.P.A.</t>
  </si>
  <si>
    <t>01376530323</t>
  </si>
  <si>
    <t>Trieste</t>
  </si>
  <si>
    <t>CONSORZIO VACCHE ROSSE - SOCIETA' COOPERATIVA AGRICOLA</t>
  </si>
  <si>
    <t>01463760353</t>
  </si>
  <si>
    <t>Reggio nell'Emilia</t>
  </si>
  <si>
    <t>CASTELLO DI ALBOLA SOCIETA' AGRICOLA A RESPONSABILITA' LIMITATA IN FORMA ABBREVIATA CASTELLO DI ALBOLA S.A.R.L.</t>
  </si>
  <si>
    <t>02360730242</t>
  </si>
  <si>
    <t>RIVA GIARDINI S.P.A.</t>
  </si>
  <si>
    <t>02265260139</t>
  </si>
  <si>
    <t>011910</t>
  </si>
  <si>
    <t>Como</t>
  </si>
  <si>
    <t>Lombardia</t>
  </si>
  <si>
    <t>AGRISANTERNO SOCIETA COOPERATIVA AGRICOLA</t>
  </si>
  <si>
    <t>01781651201</t>
  </si>
  <si>
    <t>Bologna</t>
  </si>
  <si>
    <t>CIRCE ORTOFRUTTA SOCIETA' COOPERATIVA AGRICOLA</t>
  </si>
  <si>
    <t>02677260594</t>
  </si>
  <si>
    <t>Latina</t>
  </si>
  <si>
    <t>Lazio</t>
  </si>
  <si>
    <t>BOTTICELLI SOCIETA' COOPERATIVA AGRICOLA</t>
  </si>
  <si>
    <t>02423520598</t>
  </si>
  <si>
    <t>COMPAGNIA DELLE PRIMIZIE SOCIETA' AGRICOLA CONSORTILE S.R.L.</t>
  </si>
  <si>
    <t>01273690774</t>
  </si>
  <si>
    <t>011320</t>
  </si>
  <si>
    <t>Matera</t>
  </si>
  <si>
    <t>Basilicata</t>
  </si>
  <si>
    <t>Veneto</t>
  </si>
  <si>
    <t>C. A S. P. VALLE DEL BRASIMONE - SOCIETA' COOPERATIVA A SCOPO PLURIMO DELLA VALLE DEL BRASIMONE</t>
  </si>
  <si>
    <t>00503231201</t>
  </si>
  <si>
    <t>015000</t>
  </si>
  <si>
    <t>Bologna</t>
  </si>
  <si>
    <t>Emilia-Romagna</t>
  </si>
  <si>
    <t>CONSORZIO INTERREGIONALE ORTOFRUTTICOLI SOC. COOP. A R.L. ENUNCIABILE ANCHE C.I.O. SOCIETA' COOPERATIVA A RESPONSABILITA' LIMITATA</t>
  </si>
  <si>
    <t>02133430344</t>
  </si>
  <si>
    <t>016100</t>
  </si>
  <si>
    <t>Parma</t>
  </si>
  <si>
    <t>COMMERCIO FRUTTA S.P.A. CONSORTILE - SOCIETA' AGRICOLA IN SIGLA COMMERCIO FRUTTA S.P.A. CONSORTILE</t>
  </si>
  <si>
    <t>03605820400</t>
  </si>
  <si>
    <t>016300</t>
  </si>
  <si>
    <t>Forlì-Cesena</t>
  </si>
  <si>
    <t>Lombardia</t>
  </si>
  <si>
    <t>Mantova</t>
  </si>
  <si>
    <t>COOPERATIVA AGRICOLA OSAS ORTOFRUTTICOLA O IN FORMA ABBREVIATA OSAS ORTOFRUTTICOLA</t>
  </si>
  <si>
    <t>00121050785</t>
  </si>
  <si>
    <t>011000</t>
  </si>
  <si>
    <t>Cosenza</t>
  </si>
  <si>
    <t>Calabria</t>
  </si>
  <si>
    <t>VIVAI GRIBA COOPERATIVA E SOCIETA' AGRICOLA</t>
  </si>
  <si>
    <t>01262150210</t>
  </si>
  <si>
    <t>013000</t>
  </si>
  <si>
    <t>Bolzano/Bozen</t>
  </si>
  <si>
    <t>Trentino-Alto Adige</t>
  </si>
  <si>
    <t>VILLA MASSA S.R.L.</t>
  </si>
  <si>
    <t>01515561213</t>
  </si>
  <si>
    <t>012300</t>
  </si>
  <si>
    <t>Napoli</t>
  </si>
  <si>
    <t>Campania</t>
  </si>
  <si>
    <t>014200</t>
  </si>
  <si>
    <t>OP ANCONA SOCIETA' COOPERATIVA AGRICOLA</t>
  </si>
  <si>
    <t>01126020773</t>
  </si>
  <si>
    <t>Matera</t>
  </si>
  <si>
    <t>Basilicata</t>
  </si>
  <si>
    <t>VIVA FRUTTA ORGANIZZAZIONE DI PRODUTTORI - SOCIETA' COOPERATIVA AGRICOLA</t>
  </si>
  <si>
    <t>06732610727</t>
  </si>
  <si>
    <t>Bari</t>
  </si>
  <si>
    <t>Puglia</t>
  </si>
  <si>
    <t>AGRIFRUTTA SOCIETA' COOPERATIVA AGRICOLA SIGLABILE AGRIFRUTTA SOC. COOP. AGR.</t>
  </si>
  <si>
    <t>02920640048</t>
  </si>
  <si>
    <t>Cuneo</t>
  </si>
  <si>
    <t>Piemonte</t>
  </si>
  <si>
    <t>ORGANIZZAZIONE PRODUTTORI AGRICOLI DELLA PIANA SOCIETA' COOPERATIVA AGRICOLA</t>
  </si>
  <si>
    <t>02759620806</t>
  </si>
  <si>
    <t>Reggio di Calabria</t>
  </si>
  <si>
    <t>CONSORZIO ORTOFRUTTICOLO DEL CONTA' SOCIETA' COOPERATIVA AGRICOLA</t>
  </si>
  <si>
    <t>00121800221</t>
  </si>
  <si>
    <t>Trento</t>
  </si>
  <si>
    <t>EDEN FRUIT SOCIETA' COOPERATIVA AGRICOLA</t>
  </si>
  <si>
    <t>03225770043</t>
  </si>
  <si>
    <t>LE CAPANNE SOCIETA' COOPERATIVA AGRICOLA CON SIGLA LE CAPANNE S.C.A.</t>
  </si>
  <si>
    <t>00952200236</t>
  </si>
  <si>
    <t>Verona</t>
  </si>
  <si>
    <t>COOPERATIVA SERVIZI MEZZANO SOCIETA' COOPERATIVA AGRICOLA IN SIGLA C.S.M.</t>
  </si>
  <si>
    <t>01512440387</t>
  </si>
  <si>
    <t>Ferrara</t>
  </si>
  <si>
    <t>ITAL-FRUTTA SOCIETA' AGRICOLA COOPERATIVA</t>
  </si>
  <si>
    <t>00296130362</t>
  </si>
  <si>
    <t>Modena</t>
  </si>
  <si>
    <t>PONSO SOCIETA' AGRICOLA COOPERATIVA</t>
  </si>
  <si>
    <t>03191580046</t>
  </si>
  <si>
    <t>LUNGAROTTI SOCIETA' AGRICOLA A R.L.</t>
  </si>
  <si>
    <t>00165910548</t>
  </si>
  <si>
    <t>012100</t>
  </si>
  <si>
    <t>Perugia</t>
  </si>
  <si>
    <t>Umbria</t>
  </si>
  <si>
    <t>MONTEBELLO COOPERATIVA AGROBIOLOGICA</t>
  </si>
  <si>
    <t>02334930415</t>
  </si>
  <si>
    <t>Pesaro Urbino</t>
  </si>
  <si>
    <t>Marche</t>
  </si>
  <si>
    <t>014000</t>
  </si>
  <si>
    <t>LATTERIA SOCIALE ROVERBELLA SOCIETA' AGRICOLA COOPERATIVA</t>
  </si>
  <si>
    <t>00152760203</t>
  </si>
  <si>
    <t>AGROLOGICA O.P. SOCIETA' AGRICOLA CONSORTILE A R.L.</t>
  </si>
  <si>
    <t>00995800885</t>
  </si>
  <si>
    <t>016300</t>
  </si>
  <si>
    <t>Ragusa</t>
  </si>
  <si>
    <t>Sicilia</t>
  </si>
  <si>
    <t>CASEIFICIO COOPERATIVO PIRONDA SOCIETA' AGRICOLA COOPERATIVA</t>
  </si>
  <si>
    <t>00154410203</t>
  </si>
  <si>
    <t>014100</t>
  </si>
  <si>
    <t>Mantova</t>
  </si>
  <si>
    <t>Lombardia</t>
  </si>
  <si>
    <t>SOCIETA' COOPERATIVA AGRICOLA FUTURO</t>
  </si>
  <si>
    <t>02408260590</t>
  </si>
  <si>
    <t>Latina</t>
  </si>
  <si>
    <t>Lazio</t>
  </si>
  <si>
    <t>AGRIBERICA SOCIETA' COOPERATIVA AGRICOLA</t>
  </si>
  <si>
    <t>00171820244</t>
  </si>
  <si>
    <t>011110</t>
  </si>
  <si>
    <t>Vicenza</t>
  </si>
  <si>
    <t>Veneto</t>
  </si>
  <si>
    <t>ITL SERVIZI SRL</t>
  </si>
  <si>
    <t>04507190405</t>
  </si>
  <si>
    <t>016100</t>
  </si>
  <si>
    <t>Forlì-Cesena</t>
  </si>
  <si>
    <t>Emilia-Romagna</t>
  </si>
  <si>
    <t>ARGENTIERA S.R.L. SOCIETA' AGRICOLA</t>
  </si>
  <si>
    <t>04964100483</t>
  </si>
  <si>
    <t>012100</t>
  </si>
  <si>
    <t>Livorno</t>
  </si>
  <si>
    <t>Toscana</t>
  </si>
  <si>
    <t>LA COLLETTIVA SOCIETA' COOPERATIVA AGRICOLA</t>
  </si>
  <si>
    <t>00510540925</t>
  </si>
  <si>
    <t>Sardegna</t>
  </si>
  <si>
    <t>COOP. AGR. ORTO DI CAMPO SOCIETA' COOPERATIVA</t>
  </si>
  <si>
    <t>01403260597</t>
  </si>
  <si>
    <t>011000</t>
  </si>
  <si>
    <t>SOCIETA' AGRICOLA MEDIO CAMPIDANO S.R.L.</t>
  </si>
  <si>
    <t>03243200924</t>
  </si>
  <si>
    <t>014600</t>
  </si>
  <si>
    <t>SVAL SOCIETA' A RESPONSABILITA' LIMITATA</t>
  </si>
  <si>
    <t>00059110676</t>
  </si>
  <si>
    <t>Teramo</t>
  </si>
  <si>
    <t>Abruzzo</t>
  </si>
  <si>
    <t>BORGO SCOPETO E CAPARZO S.R.L.SOCIETA' AGRICOLA (OD ANCHE, IN SIG LA O IN FORMA ABBREVIATA: CAPARZO S.R.L. SOCIETA' AGRICOLA, BORGO SCOPETO S.R.L. SOCIETA' AGRICOLA, CAPARZO S.R.L., BORGO SCOPETO S.R.L., A.A.T.C. S.R.L., BSCD S R.L.)</t>
  </si>
  <si>
    <t>00524950524</t>
  </si>
  <si>
    <t>Siena</t>
  </si>
  <si>
    <t>ECONATURA GROUP SOCIETA' AGRICOLA CONSORTILE A R.L.</t>
  </si>
  <si>
    <t>01478050881</t>
  </si>
  <si>
    <t>AGRIGEST S.R.L. - SOCIETA' AGRICOLA</t>
  </si>
  <si>
    <t>02306310307</t>
  </si>
  <si>
    <t>014700</t>
  </si>
  <si>
    <t>Udine</t>
  </si>
  <si>
    <t>Friuli-Venezia Giulia</t>
  </si>
  <si>
    <t>COOPERATIVA AGRICOLA BRACCIANTI MASSARI SOCIETA' COOPERATIVA IN S IGLA CAB MASSARI S.C.</t>
  </si>
  <si>
    <t>00081910390</t>
  </si>
  <si>
    <t>015000</t>
  </si>
  <si>
    <t>Ravenna</t>
  </si>
  <si>
    <t>VINI SAN GIORGIO - SOCIETA' COOPERATIVA AGRICOLA - SOCIETA' COOPERATIVA PER AZIONI</t>
  </si>
  <si>
    <t>01866720939</t>
  </si>
  <si>
    <t>Pordenone</t>
  </si>
  <si>
    <t>DEL GOLFO COOP. - SOCIETA' COOPERATIVA AGRICOLA E FLORICOLA</t>
  </si>
  <si>
    <t>02584340653</t>
  </si>
  <si>
    <t>011900</t>
  </si>
  <si>
    <t>Salerno</t>
  </si>
  <si>
    <t>Campania</t>
  </si>
  <si>
    <t>F.LLI CAVALLARO SOCIETA' AGRICOLA S.R.L.</t>
  </si>
  <si>
    <t>05287920655</t>
  </si>
  <si>
    <t>012000</t>
  </si>
  <si>
    <t>D'EUGENIO SEMENTI DI FABIO D'EUGENIO &amp; C. S.R.L.</t>
  </si>
  <si>
    <t>01736980671</t>
  </si>
  <si>
    <t>016409</t>
  </si>
  <si>
    <t>CANTINA VALDADIGE COOPERATIVA AGRICOLA PER BREVITA' CANTINA VALDADIGE , ASSOCIAZIONE VITICOLTORI VALDADIGE, CANTINA DI RIVALTA, ALTARIVA, PRODUTTORI ASSOCIATI VALDADIGE. PRODUTTORI VALDADIGE, VITICOLTORI VALDADIGE.</t>
  </si>
  <si>
    <t>00232650234</t>
  </si>
  <si>
    <t>Verona</t>
  </si>
  <si>
    <t>FRU.J.T. FRUTTICOLTORI JONICI - TIRRENI SOCIETA' COOPERATIVA CONSORTILE A R.L.</t>
  </si>
  <si>
    <t>02005730805</t>
  </si>
  <si>
    <t>Reggio di Calabria</t>
  </si>
  <si>
    <t>Calabria</t>
  </si>
  <si>
    <t>FRUTTA FRIULI - SOCIETA' COOPERATIVA AGRICOLA</t>
  </si>
  <si>
    <t>00075200931</t>
  </si>
  <si>
    <t>ALBO SOCIETA' AGRICOLA S.R.L.</t>
  </si>
  <si>
    <t>00681701207</t>
  </si>
  <si>
    <t>011990</t>
  </si>
  <si>
    <t>Bologna</t>
  </si>
  <si>
    <t>CASTELLO DI AMA S.R.L. - SOCIETA' AGRICOLA</t>
  </si>
  <si>
    <t>00884000522</t>
  </si>
  <si>
    <t>AZIENDA AVICOLA RATTENUTI S.R.L.</t>
  </si>
  <si>
    <t>06306640829</t>
  </si>
  <si>
    <t>Palermo</t>
  </si>
  <si>
    <t>GRECO SOCIETA' AGRICOLA SRL</t>
  </si>
  <si>
    <t>02176530745</t>
  </si>
  <si>
    <t>011310</t>
  </si>
  <si>
    <t>Brindisi</t>
  </si>
  <si>
    <t>Puglia</t>
  </si>
  <si>
    <t>CONSORZIO SIBARIT O. P. SOCIETA' COOPERATIVA AGRICOLA</t>
  </si>
  <si>
    <t>01638700789</t>
  </si>
  <si>
    <t>016000</t>
  </si>
  <si>
    <t>Cosenza</t>
  </si>
  <si>
    <t>SOCIETA' AGRICOLA DIEVOLE S.P.A.IN SIGLA S.A.D. S.P.A. , L.D.A. P.L.D. , L.T.A. , L.C.N. , T.D. S.P.A. , POGGIO LANDI , TENUTA LE COLONNE , TENUTA MERAVIGLIA E LE DUE ARBIE</t>
  </si>
  <si>
    <t>00800530529</t>
  </si>
  <si>
    <t>SOCIETA' AGRICOLA DEL LAGO S.R.L.</t>
  </si>
  <si>
    <t>01876110154</t>
  </si>
  <si>
    <t>011910</t>
  </si>
  <si>
    <t>Varese</t>
  </si>
  <si>
    <t>016100</t>
  </si>
  <si>
    <t>Lazio</t>
  </si>
  <si>
    <t>LA QUERCIA - SOCIETA' COOPERATIVA AGRICOLA</t>
  </si>
  <si>
    <t>01800490714</t>
  </si>
  <si>
    <t>011990</t>
  </si>
  <si>
    <t>Foggia</t>
  </si>
  <si>
    <t>Puglia</t>
  </si>
  <si>
    <t>ORTOFRUTTA AGRONATURA SOCIETA' COOPERATIVA AGRICOLA</t>
  </si>
  <si>
    <t>01981340563</t>
  </si>
  <si>
    <t>Viterbo</t>
  </si>
  <si>
    <t>016300</t>
  </si>
  <si>
    <t>Ragusa</t>
  </si>
  <si>
    <t>Sicilia</t>
  </si>
  <si>
    <t>Emilia-Romagna</t>
  </si>
  <si>
    <t>Marche</t>
  </si>
  <si>
    <t>PROGRESSO AGRICOLO FASANO SOCIETA' COOPERATIVA AGRICOLA</t>
  </si>
  <si>
    <t>00606990745</t>
  </si>
  <si>
    <t>Brindisi</t>
  </si>
  <si>
    <t>SOCIETA' AGRICOLA GOLD S.R.L. IN SIGLA AGRIGOLD S.R.L.</t>
  </si>
  <si>
    <t>08405040729</t>
  </si>
  <si>
    <t>011310</t>
  </si>
  <si>
    <t>Barletta-Andria-Trani</t>
  </si>
  <si>
    <t>TRE PONTI SOCIETA' COOPERATIVA AGRICOLA</t>
  </si>
  <si>
    <t>00318550084</t>
  </si>
  <si>
    <t>011000</t>
  </si>
  <si>
    <t>Imperia</t>
  </si>
  <si>
    <t>Liguria</t>
  </si>
  <si>
    <t>Campania</t>
  </si>
  <si>
    <t>CANTINA PRODUTTORI CORMONS SOCIETA' COOPERATIVA AGRICOLA PUO' ESSERE UTILIZZATA LA DENOMINAZIONE DI: CPC CORMONS SOC. COOP. OVVERO CPC VINCOR SOC. COOP. , CPC KREMAUN SOC. COOP. , CPC KRMIN SOC. COOP. OVVERO C.P.C. S.C.A. .</t>
  </si>
  <si>
    <t>00063340319</t>
  </si>
  <si>
    <t>Gorizia</t>
  </si>
  <si>
    <t>Friuli-Venezia Giulia</t>
  </si>
  <si>
    <t>CAVIM - CANTINA VITICOLTORI IMOLESI SOCIETA' COOPERATIVA AGRICOLA IN SIGLA CAVIM SOCIETA' COOPERATIVA AGRICOLA</t>
  </si>
  <si>
    <t>01534801202</t>
  </si>
  <si>
    <t>012100</t>
  </si>
  <si>
    <t>Bologna</t>
  </si>
  <si>
    <t>011320</t>
  </si>
  <si>
    <t>CA' MAIOL S.R.L. SOCIETA' AGRICOLA</t>
  </si>
  <si>
    <t>00754080968</t>
  </si>
  <si>
    <t>Venezia</t>
  </si>
  <si>
    <t>Veneto</t>
  </si>
  <si>
    <t>ORTI MARCHIGIANI SOCIETA' COOPERATIVA AGRICOLA A RESPONSABILITA' LIMITATA IN SIGLA ORTI MARCHIGIANI SOC. COOP. AGRICOLA</t>
  </si>
  <si>
    <t>01736190446</t>
  </si>
  <si>
    <t>Ascoli Piceno</t>
  </si>
  <si>
    <t>FRUTTIDORO SOCIETA' COOPERATIVA AGRICOLA</t>
  </si>
  <si>
    <t>02306930617</t>
  </si>
  <si>
    <t>Caserta</t>
  </si>
  <si>
    <t>VILMAVERDE S.P.A. CONSORTILE - SOCIETA' AGRICOLA</t>
  </si>
  <si>
    <t>03883890406</t>
  </si>
  <si>
    <t>Rimini</t>
  </si>
  <si>
    <t>ORTI DI PUGLIA SOCIETA' AGRICOLA A R.L.</t>
  </si>
  <si>
    <t>07920740722</t>
  </si>
  <si>
    <t>Lecce</t>
  </si>
  <si>
    <t>Bari</t>
  </si>
  <si>
    <t>PRODUTTORI ASSOCIATI CITROSOL SOCIETA' COOPERATIVA AGRICOLA</t>
  </si>
  <si>
    <t>01368370886</t>
  </si>
  <si>
    <t>AZIENDA AGRICOLA DINO SOCIETA' AGRICOLA A RESPONSABILITA' LIMITATA</t>
  </si>
  <si>
    <t>05857160724</t>
  </si>
  <si>
    <t>PRIMAVERA SOCIETA' COOPERATIVA AGRICOLA</t>
  </si>
  <si>
    <t>01687280667</t>
  </si>
  <si>
    <t>L'Aquila</t>
  </si>
  <si>
    <t>Abruzzo</t>
  </si>
  <si>
    <t>AZIENDA AGRICOLA G. MILAZZO - TERRE DELLA BARONIA S.R.L. - SOCIET A' AGRICOLA</t>
  </si>
  <si>
    <t>01693910844</t>
  </si>
  <si>
    <t>Agrigento</t>
  </si>
  <si>
    <t>CANTINA COLLE MORO SOCIETA' COOPERATIVA AGRICOLA OVVERO CANTIN A COLLE MORO , COLLE MORO , VINI COLLE MORO</t>
  </si>
  <si>
    <t>00091110692</t>
  </si>
  <si>
    <t>012100</t>
  </si>
  <si>
    <t>Chieti</t>
  </si>
  <si>
    <t>Abruzzo</t>
  </si>
  <si>
    <t>014100</t>
  </si>
  <si>
    <t>LIMAGRAIN ITALIA S.P.A.</t>
  </si>
  <si>
    <t>02456650361</t>
  </si>
  <si>
    <t>011110</t>
  </si>
  <si>
    <t>Parma</t>
  </si>
  <si>
    <t>Emilia-Romagna</t>
  </si>
  <si>
    <t>LA TERRA DEGLI ORTI - SOCIETA' COOPERARIVA AGRICOLA</t>
  </si>
  <si>
    <t>02379100593</t>
  </si>
  <si>
    <t>016100</t>
  </si>
  <si>
    <t>Latina</t>
  </si>
  <si>
    <t>Lazio</t>
  </si>
  <si>
    <t>DOGANELLA - SOCIETA' COOPERATIVA AGRICOLA</t>
  </si>
  <si>
    <t>00242210565</t>
  </si>
  <si>
    <t>Viterbo</t>
  </si>
  <si>
    <t>LA FIORIDA S.R.L. SOCIETA' AGRICOLA AZIENDA AGRITURISTICA VALTELLINA</t>
  </si>
  <si>
    <t>00769600149</t>
  </si>
  <si>
    <t>Sondrio</t>
  </si>
  <si>
    <t>Lombardia</t>
  </si>
  <si>
    <t>VIVAI COOPERATIVI DI PADERGNONE SOCIETA' COOPERATIVA AGRICOLA IN SIGLA VICOPAD SOCIETA' COOPERATIVA AGRICOLA</t>
  </si>
  <si>
    <t>00125970228</t>
  </si>
  <si>
    <t>013000</t>
  </si>
  <si>
    <t>Trento</t>
  </si>
  <si>
    <t>Trentino-Alto Adige</t>
  </si>
  <si>
    <t>LATTERIA SOCIALE SAN GIROLAMO SOCIETA' COOPERATIVA AGRICOLA</t>
  </si>
  <si>
    <t>00144020351</t>
  </si>
  <si>
    <t>Reggio nell'Emilia</t>
  </si>
  <si>
    <t>ASSOCIAZIONE PROVINCIALE DELLE ORGANIZZAZIONI ZOOTECNICHE ALTOATESINE - SOCIETA' COOPERATIVA AGRICOLA</t>
  </si>
  <si>
    <t>00143670214</t>
  </si>
  <si>
    <t>016209</t>
  </si>
  <si>
    <t>Bolzano/Bozen</t>
  </si>
  <si>
    <t>LA CANTINA DEI COLLI RIPANI - SOCIETA' COOPERATIVA (IN FORMA ABBREVIATA CR SOCIETA' COOPERATIVA)</t>
  </si>
  <si>
    <t>00359070448</t>
  </si>
  <si>
    <t>Ascoli Piceno</t>
  </si>
  <si>
    <t>Marche</t>
  </si>
  <si>
    <t>CANTINA DI S.CROCE SOCIETA' AGRICOLA COOPERATIVA ABBREVIABILE IN: CANTINA DI S.CROCE O: CANTINA S.CROCE O: CANTINA DI SANTA CROCE O: CANTINA SANTA CROCE O: CANTINASANTACROCE O: CANTINADISANTACROCE</t>
  </si>
  <si>
    <t>00177450368</t>
  </si>
  <si>
    <t>Modena</t>
  </si>
  <si>
    <t>TRE EMME SOCIETA' AGRICOLA S.R.L.</t>
  </si>
  <si>
    <t>02016920742</t>
  </si>
  <si>
    <t>Brindisi</t>
  </si>
  <si>
    <t>Puglia</t>
  </si>
  <si>
    <t>SOCIETA' AGRICOLA PORRETTA S.R.L.</t>
  </si>
  <si>
    <t>11816841008</t>
  </si>
  <si>
    <t>011300</t>
  </si>
  <si>
    <t>Roma</t>
  </si>
  <si>
    <t>CANTINA NALLES-MAGRE'/NICLARA SOCIETA' AGRICOLA COOPERATIVA</t>
  </si>
  <si>
    <t>00126790211</t>
  </si>
  <si>
    <t>SOCIETA' COOPERATIVA AGRICOLA FONDANA</t>
  </si>
  <si>
    <t>00289040594</t>
  </si>
  <si>
    <t>016300</t>
  </si>
  <si>
    <t>CONSORZIO PRODUTTORI PATATE ASSOCIATI - SOCIETA' AGRICOLA COOPERA TIVA</t>
  </si>
  <si>
    <t>02564740781</t>
  </si>
  <si>
    <t>Cosenza</t>
  </si>
  <si>
    <t>Calabria</t>
  </si>
  <si>
    <t>BT AGROSERVIZI SRL UNIPERSONALE</t>
  </si>
  <si>
    <t>02505550596</t>
  </si>
  <si>
    <t>VILLA ALBIUS SOCIETA' AGRICOLA A RESPONSABILITA' LIMITATA</t>
  </si>
  <si>
    <t>01826730226</t>
  </si>
  <si>
    <t>CASTELLO DI BOSSI - SOCIETA' AGRICOLA - S.R.L.</t>
  </si>
  <si>
    <t>00088470521</t>
  </si>
  <si>
    <t>Siena</t>
  </si>
  <si>
    <t>Toscana</t>
  </si>
  <si>
    <t>SOCIETA' AGRICOLA MONTE ROSSA S.R.L. O IN FORMA ABBREVIATA S.A.M. S.R.L.</t>
  </si>
  <si>
    <t>00627720980</t>
  </si>
  <si>
    <t>Brescia</t>
  </si>
  <si>
    <t>FOGLIANO GIAROLA SABBIONE - CASEIFICIO SOCIALE SOCIETA' COOPERATIVA AGRICOLA</t>
  </si>
  <si>
    <t>00180610354</t>
  </si>
  <si>
    <t>SOC. COOPERATIVA AGRICOLA ASSOCIAZIONE AGRICOLTORI VILLACIDRESI</t>
  </si>
  <si>
    <t>00292750924</t>
  </si>
  <si>
    <t>Sardegna</t>
  </si>
  <si>
    <t>BLOEMEN VEILING ITALY SOCIETA' COOPERATIVA</t>
  </si>
  <si>
    <t>01785560598</t>
  </si>
  <si>
    <t>011900</t>
  </si>
  <si>
    <t>LATTERIA SOCIALE DI CASTELNOVO SOCIETA' COOPERATIVA AGRICOLA</t>
  </si>
  <si>
    <t>00178200242</t>
  </si>
  <si>
    <t>014000</t>
  </si>
  <si>
    <t>Vicenza</t>
  </si>
  <si>
    <t>Veneto</t>
  </si>
  <si>
    <t>016300</t>
  </si>
  <si>
    <t>DORILLI SOCIETA' AGRICOLA SRL</t>
  </si>
  <si>
    <t>01151490883</t>
  </si>
  <si>
    <t>011310</t>
  </si>
  <si>
    <t>Ragusa</t>
  </si>
  <si>
    <t>Sicilia</t>
  </si>
  <si>
    <t>Reggio nell'Emilia</t>
  </si>
  <si>
    <t>Emilia-Romagna</t>
  </si>
  <si>
    <t>016100</t>
  </si>
  <si>
    <t>CANTINA ALDENO SOCIETA' COOPERATIVA AGRICOLA</t>
  </si>
  <si>
    <t>00120130224</t>
  </si>
  <si>
    <t>012100</t>
  </si>
  <si>
    <t>Trento</t>
  </si>
  <si>
    <t>Trentino-Alto Adige</t>
  </si>
  <si>
    <t>VITIS RAUSCEDO SOCIETA' COOPERATIVA AGRICOLA</t>
  </si>
  <si>
    <t>01031470931</t>
  </si>
  <si>
    <t>Pordenone</t>
  </si>
  <si>
    <t>Friuli-Venezia Giulia</t>
  </si>
  <si>
    <t>CANTINA CLITERNIA SOCIETA' COOPERATIVA AGRICOLA</t>
  </si>
  <si>
    <t>00101720704</t>
  </si>
  <si>
    <t>Campobasso</t>
  </si>
  <si>
    <t>Molise</t>
  </si>
  <si>
    <t>SOCIETA' AGRICOLA SPEEDY GARDEN S.R.L.</t>
  </si>
  <si>
    <t>03898740166</t>
  </si>
  <si>
    <t>Bergamo</t>
  </si>
  <si>
    <t>Lombardia</t>
  </si>
  <si>
    <t>LATTERIA LAGUNDO COOPERATIVA - SOCIETA' AGRICOLA</t>
  </si>
  <si>
    <t>00125730218</t>
  </si>
  <si>
    <t>Bolzano/Bozen</t>
  </si>
  <si>
    <t>S.M. TENIMENTI PILE E LAMOLE E VISTARENNI E SAN DISDAGIO - S.R.L. - SOCIETA' AGRICOLA (IN SIGLA: S.M.T. S.R.L. - SOCIETA' AGRICOLA, OVVERO S.M.TEN IMENTI PILE E LAMOLE S.R.L.-SOCIETA' AGRICOLA OVVERO: S.M.TENIMENTI LAMOLE S.R.L -SOCIETA' AGRICOLA OVVERO:</t>
  </si>
  <si>
    <t>00308350529</t>
  </si>
  <si>
    <t>Firenze</t>
  </si>
  <si>
    <t>Toscana</t>
  </si>
  <si>
    <t>UNIFRUTTA-NANNO SOCIETA' COOPERATIVA AGRICOLA</t>
  </si>
  <si>
    <t>00120940226</t>
  </si>
  <si>
    <t>Lazio</t>
  </si>
  <si>
    <t>DOMITIA FELIX SOCIETA' COOPERATIVA AGRICOLA</t>
  </si>
  <si>
    <t>04370040612</t>
  </si>
  <si>
    <t>Caserta</t>
  </si>
  <si>
    <t>Campania</t>
  </si>
  <si>
    <t>APAL O.P. SOCIETA' AGRICOLA CONSORTILE A R.L.</t>
  </si>
  <si>
    <t>01399850898</t>
  </si>
  <si>
    <t>Siracusa</t>
  </si>
  <si>
    <t>CORTESE SOCIETA' COOPERATIVA AGRICOLA</t>
  </si>
  <si>
    <t>02113230599</t>
  </si>
  <si>
    <t>Latina</t>
  </si>
  <si>
    <t>CANTINA SOCIALE RINASCITA LANCIANESE - SOCIETA' COOPERATIVA AGRICOLA</t>
  </si>
  <si>
    <t>00092280692</t>
  </si>
  <si>
    <t>Chieti</t>
  </si>
  <si>
    <t>Abruzzo</t>
  </si>
  <si>
    <t>011300</t>
  </si>
  <si>
    <t>COL D'ORCIA S.R.L. SOCIETA' AGRICOLA</t>
  </si>
  <si>
    <t>00127660520</t>
  </si>
  <si>
    <t>Siena</t>
  </si>
  <si>
    <t>FATTORIA REALE DI TORCINO SOCIETA' AGRICOLA A RESPONSABILITA' LIM ITATA</t>
  </si>
  <si>
    <t>03790090611</t>
  </si>
  <si>
    <t>014100</t>
  </si>
  <si>
    <t>SOCIETA' COOPERATIVA AGRICOLA POMONTE</t>
  </si>
  <si>
    <t>00155820533</t>
  </si>
  <si>
    <t>015000</t>
  </si>
  <si>
    <t>Grosseto</t>
  </si>
  <si>
    <t>SOCIETA' AGRICOLA AMBRA S.R.L.</t>
  </si>
  <si>
    <t>01457140513</t>
  </si>
  <si>
    <t>014700</t>
  </si>
  <si>
    <t>Forlì-Cesena</t>
  </si>
  <si>
    <t>TENUTA SETTE PONTI SOCIETA' AGRICOLA S.R.L.</t>
  </si>
  <si>
    <t>01288500513</t>
  </si>
  <si>
    <t>Arezzo</t>
  </si>
  <si>
    <t>CASEIFICIO SOCIALE ALLEGRO SOCIETA' COOPERATIVA AGRICOLA</t>
  </si>
  <si>
    <t>00140830357</t>
  </si>
  <si>
    <t>SOCIETA COOPERATIVA AGRICOLA ORTO NATURA</t>
  </si>
  <si>
    <t>01243470885</t>
  </si>
  <si>
    <t>TENUTA PONTONI DEI FRATELLI DIANA S.R.L. SOCIETA' AGRICOLA</t>
  </si>
  <si>
    <t>03791800612</t>
  </si>
  <si>
    <t>SOC. AGRICOLA ANTONIO NUZZO SRL UNIPERSONALE</t>
  </si>
  <si>
    <t>04143460618</t>
  </si>
  <si>
    <t>012500</t>
  </si>
  <si>
    <t>PATATA PIU' SOCIETA' COOPERATIVA AGRICOLA</t>
  </si>
  <si>
    <t>08241381212</t>
  </si>
  <si>
    <t>Napoli</t>
  </si>
  <si>
    <t>016300</t>
  </si>
  <si>
    <t>Latina</t>
  </si>
  <si>
    <t>Lazio</t>
  </si>
  <si>
    <t>CANTINA SOCIALE DEL NEBBIOLO DI VEZZA D'ALBA SOCIETA' COOPERATIVA AGRICOLA SIGLABILE CANTINA DEL NEBBIOLO S.C.A. OPPURE CANTINA DEL NEBBIOLO SOC. COOP. AGR. OPPURE C.D.N. S.C.A.</t>
  </si>
  <si>
    <t>00169560042</t>
  </si>
  <si>
    <t>Cuneo</t>
  </si>
  <si>
    <t>Piemonte</t>
  </si>
  <si>
    <t>SAN LEONE - SOCIETA' COOPERATIVA AGRICOLA</t>
  </si>
  <si>
    <t>00127560597</t>
  </si>
  <si>
    <t>016100</t>
  </si>
  <si>
    <t>011310</t>
  </si>
  <si>
    <t>Campania</t>
  </si>
  <si>
    <t>S.A.R.C. SOCIETA' COOPERATIVA AGRICOLA</t>
  </si>
  <si>
    <t>00120610225</t>
  </si>
  <si>
    <t>Trento</t>
  </si>
  <si>
    <t>Trentino-Alto Adige</t>
  </si>
  <si>
    <t>CE.LA.T. CENTRO LATTE TRICOLORE SOCIETA' AGRICOLA COOPERATIVA</t>
  </si>
  <si>
    <t>01493710352</t>
  </si>
  <si>
    <t>Reggio nell'Emilia</t>
  </si>
  <si>
    <t>Emilia-Romagna</t>
  </si>
  <si>
    <t>VIGNA FIORITA S.R.L.</t>
  </si>
  <si>
    <t>04485720264</t>
  </si>
  <si>
    <t>Treviso</t>
  </si>
  <si>
    <t>Veneto</t>
  </si>
  <si>
    <t>CENTRO INTERCOMUNALE DI ESSICCAZIONE MAIS - CIEM COOP - SOCIETA' COOPERATIVA AGRICOLA IN SIGLA CIEM COOP S.C.A.</t>
  </si>
  <si>
    <t>00234360931</t>
  </si>
  <si>
    <t>Pordenone</t>
  </si>
  <si>
    <t>Friuli-Venezia Giulia</t>
  </si>
  <si>
    <t>Siena</t>
  </si>
  <si>
    <t>Toscana</t>
  </si>
  <si>
    <t>AVIGNONESI SOCIETA' A RESPONSABILITA' LIMITATA AGRICOLA O, IN FOR MA ABBREVIATA AVIGNONESI - S.R.L. SOCIETA' AGRICOLA - SOCIETA' BENEFIT O IN FO RMA ABBREVIATA SB</t>
  </si>
  <si>
    <t>01014440521</t>
  </si>
  <si>
    <t>010000</t>
  </si>
  <si>
    <t>LA MIA AGRICOLTURA - SOCIETA' COOPERATIVA AGRICOLA A R.L.</t>
  </si>
  <si>
    <t>04011631217</t>
  </si>
  <si>
    <t>012000</t>
  </si>
  <si>
    <t>Napoli</t>
  </si>
  <si>
    <t>CONSORZIO DEI SAPORI</t>
  </si>
  <si>
    <t>02187820200</t>
  </si>
  <si>
    <t>ARNALDO CAPRAI SOCIETA' AGRICOLA S.R.L.</t>
  </si>
  <si>
    <t>01248500546</t>
  </si>
  <si>
    <t>012100</t>
  </si>
  <si>
    <t>Perugia</t>
  </si>
  <si>
    <t>Umbria</t>
  </si>
  <si>
    <t>BARONE GIULIO PIZZINI PIOMARTA SOCIETA' AGRICOLA PER AZIONI PER BREVITA' BARONE PIZZINI S.AGR.P.A.</t>
  </si>
  <si>
    <t>02156450179</t>
  </si>
  <si>
    <t>Brescia</t>
  </si>
  <si>
    <t>Lombardia</t>
  </si>
  <si>
    <t>CANTINA PRODUTTORI VALLE ISARCO - SOC. AGRICOLA COOP. IN BREVE CANTINA VALLE ISARCO</t>
  </si>
  <si>
    <t>00124420217</t>
  </si>
  <si>
    <t>Bolzano/Bozen</t>
  </si>
  <si>
    <t>FRUTTA IN SOCIETA' COOPERATIVA</t>
  </si>
  <si>
    <t>02867150845</t>
  </si>
  <si>
    <t>Palermo</t>
  </si>
  <si>
    <t>Sicilia</t>
  </si>
  <si>
    <t>COOPERATIVA ORTOFRUTTICOLA MANTOVANA SOCIETA' COOPERATIVA</t>
  </si>
  <si>
    <t>00151370202</t>
  </si>
  <si>
    <t>016000</t>
  </si>
  <si>
    <t>Mantova</t>
  </si>
  <si>
    <t>EMAC S.R.L.</t>
  </si>
  <si>
    <t>04134100231</t>
  </si>
  <si>
    <t>Verona</t>
  </si>
  <si>
    <t>CASEIFICIO SOCIALE DI PREDAZZO E MOENA SOCIETA' COOPERATIVA AGRICOLA</t>
  </si>
  <si>
    <t>00159230226</t>
  </si>
  <si>
    <t>014100</t>
  </si>
  <si>
    <t>SUNFARM SOCIETA' AGRICOLA SRL</t>
  </si>
  <si>
    <t>02638950606</t>
  </si>
  <si>
    <t>Sardegna</t>
  </si>
  <si>
    <t>S'ATRA SARDIGNA SOCIETA' COOPERATIVA AGRICOLA O IN FORMA ABBREVIATA S'ATRA SARDIGNA SOC. COOP. AGRICOLA</t>
  </si>
  <si>
    <t>01109120921</t>
  </si>
  <si>
    <t>Cagliari</t>
  </si>
  <si>
    <t>BRISTOL SOCIETA' AGRICOLA CONSORTILE A RESPONSABILITA' LIMITATA O IN FORMA ABBREVIATA BRISTOL SOC. AGR. CONS. A R.L.</t>
  </si>
  <si>
    <t>01548940335</t>
  </si>
  <si>
    <t>011329</t>
  </si>
  <si>
    <t>Grosseto</t>
  </si>
  <si>
    <t>LATINO SOCIETA' COOPERATIVA AGRICOLA</t>
  </si>
  <si>
    <t>02014650895</t>
  </si>
  <si>
    <t>011320</t>
  </si>
  <si>
    <t>Siracusa</t>
  </si>
  <si>
    <t>CANTINA SOCIALE COOPERATIVA BARBIANO SOCIETA' AGRICOLA COOPERATIV A PER AZIONI BREVEMENTE C.S.B. SOCIETA' AGRICOLA COOPERATIVA P.A.</t>
  </si>
  <si>
    <t>01473880399</t>
  </si>
  <si>
    <t>Ravenna</t>
  </si>
  <si>
    <t>Lombardia</t>
  </si>
  <si>
    <t>014200</t>
  </si>
  <si>
    <t>Bari</t>
  </si>
  <si>
    <t>Puglia</t>
  </si>
  <si>
    <t>AGRINATURA SOCIETA' AGRICOLA S.R.L.</t>
  </si>
  <si>
    <t>06359690721</t>
  </si>
  <si>
    <t>011310</t>
  </si>
  <si>
    <t>Barletta-Andria-Trani</t>
  </si>
  <si>
    <t>ORTOLANI COFRI - SOCIETA' COOPERATIVA AGRICOLA</t>
  </si>
  <si>
    <t>00499801207</t>
  </si>
  <si>
    <t>016300</t>
  </si>
  <si>
    <t>Bologna</t>
  </si>
  <si>
    <t>Emilia-Romagna</t>
  </si>
  <si>
    <t>GIARDINETTO SOCIETA' COOPERATIVA AGRICOLA DI SERVIZI COLLETTIVI</t>
  </si>
  <si>
    <t>01245360712</t>
  </si>
  <si>
    <t>Foggia</t>
  </si>
  <si>
    <t>PRODUTTORI DEL POMODORO SOCIETA' COOPERATIVA AGRICOLA</t>
  </si>
  <si>
    <t>01772240063</t>
  </si>
  <si>
    <t>Alessandria</t>
  </si>
  <si>
    <t>Piemonte</t>
  </si>
  <si>
    <t>016100</t>
  </si>
  <si>
    <t>Campania</t>
  </si>
  <si>
    <t>ASSOCIAZIONE PRODUTTORI SEMENTI DELL'OLTREPO' VOGHERESE-SOCIETA' COOPERATIVA AGRICOLA IN SIGLA APSOV SOCIETA' COOPERATIVA AGRICOLA</t>
  </si>
  <si>
    <t>00185010188</t>
  </si>
  <si>
    <t>016409</t>
  </si>
  <si>
    <t>Pavia</t>
  </si>
  <si>
    <t>CASTELLO MONTE VIBIANO VECCHIO S.R.L.</t>
  </si>
  <si>
    <t>02339040541</t>
  </si>
  <si>
    <t>012600</t>
  </si>
  <si>
    <t>Roma</t>
  </si>
  <si>
    <t>Lazio</t>
  </si>
  <si>
    <t>C.O.S. - COOPERATIVA ORTOFLOROFRUTTICOLA SABAUDIA SOCIETA' COOPER ATIVA</t>
  </si>
  <si>
    <t>00080700594</t>
  </si>
  <si>
    <t>016000</t>
  </si>
  <si>
    <t>Latina</t>
  </si>
  <si>
    <t>ASCOPIEMONTE - ORGANIZZAZIONE PRODUTTORI FRUTTA A GUSCIO SOCIETA' COOPERATIVA AGRICOLA</t>
  </si>
  <si>
    <t>02575040049</t>
  </si>
  <si>
    <t>Cuneo</t>
  </si>
  <si>
    <t>A.G. COOP. - AGRICOLTURA GIOVANE SOC. COOP. AGRICOLA A R.L.</t>
  </si>
  <si>
    <t>03786770721</t>
  </si>
  <si>
    <t>013000</t>
  </si>
  <si>
    <t>RICCA MICHELE S.R.L.</t>
  </si>
  <si>
    <t>01638050888</t>
  </si>
  <si>
    <t>Ragusa</t>
  </si>
  <si>
    <t>Sicilia</t>
  </si>
  <si>
    <t>012300</t>
  </si>
  <si>
    <t>IL TARDIVO DI CIACULLI S.R.L.</t>
  </si>
  <si>
    <t>04758790820</t>
  </si>
  <si>
    <t>Palermo</t>
  </si>
  <si>
    <t>Parma</t>
  </si>
  <si>
    <t>SUINICOLA MODERNA SOCIETA' AGRICOLA S.R.L.</t>
  </si>
  <si>
    <t>00683080956</t>
  </si>
  <si>
    <t>014600</t>
  </si>
  <si>
    <t>Potenza</t>
  </si>
  <si>
    <t>Basilicata</t>
  </si>
  <si>
    <t>CANTINA SOCIALE BEATO BARTOLOMEO DA BREGANZE SOCIETA' COOPERATIVA AGRICOLA A RESPONSABILITA' LIMITATA PIU' BREVEMENTE: CANTINA BEATO BARTOLOMEO SCA O ABBREVIATO: CANTINA B. BARTOLOMEO SCA O IN SIGLE: CSBB SCA</t>
  </si>
  <si>
    <t>00152630240</t>
  </si>
  <si>
    <t>012100</t>
  </si>
  <si>
    <t>Vicenza</t>
  </si>
  <si>
    <t>Veneto</t>
  </si>
  <si>
    <t>L'ORTOLANO SOCIETA' COOPERATIVA AGRICOLA</t>
  </si>
  <si>
    <t>01942480920</t>
  </si>
  <si>
    <t>Cagliari</t>
  </si>
  <si>
    <t>Sardegna</t>
  </si>
  <si>
    <t>LA NUOVA FLORICOLTURA MERIDIONALE SOCIETA' COOPERATIVA A R.L.</t>
  </si>
  <si>
    <t>03141991210</t>
  </si>
  <si>
    <t>011910</t>
  </si>
  <si>
    <t>Napoli</t>
  </si>
  <si>
    <t>PRODUTTORI DI LATTE TERRE DEL GRANDUCATO SOCIETA' AGRICOLA COOPER ATIVA</t>
  </si>
  <si>
    <t>03725540482</t>
  </si>
  <si>
    <t>Firenze</t>
  </si>
  <si>
    <t>Toscana</t>
  </si>
  <si>
    <t>ROVIGO UNO S.R.L. SOCIETA' AGRICOLA</t>
  </si>
  <si>
    <t>06712630489</t>
  </si>
  <si>
    <t>APROLI BARI - SOCIETA' COOPERATIVA AGRICOLA</t>
  </si>
  <si>
    <t>01250330725</t>
  </si>
  <si>
    <t>COOPERATIVA AGRICOLA ITALPOMO</t>
  </si>
  <si>
    <t>04904080654</t>
  </si>
  <si>
    <t>Salerno</t>
  </si>
  <si>
    <t>CONSORZIO PRODUTTORI LATTE SOCIETA' AGRICOLA COOPERATIVA</t>
  </si>
  <si>
    <t>00165070343</t>
  </si>
  <si>
    <t>Trento</t>
  </si>
  <si>
    <t>Trentino-Alto Adige</t>
  </si>
  <si>
    <t>CASEIFICIO SOCIALE VAL DI FIEMME CAVALESE SOCIETA' COOPERATIVA AGRICOLA</t>
  </si>
  <si>
    <t>00125550228</t>
  </si>
  <si>
    <t>014000</t>
  </si>
  <si>
    <t>SAN BARTOLOMEO SOCIETA' COOPERATIVA AGRICOLA</t>
  </si>
  <si>
    <t>01708580566</t>
  </si>
  <si>
    <t>014700</t>
  </si>
  <si>
    <t>Viterbo</t>
  </si>
  <si>
    <t>016300</t>
  </si>
  <si>
    <t>Sicilia</t>
  </si>
  <si>
    <t>Parma</t>
  </si>
  <si>
    <t>Emilia-Romagna</t>
  </si>
  <si>
    <t>FUNGHI VALBRENTA SOCIETA' COOPERATIVA AGRICOLA</t>
  </si>
  <si>
    <t>01953040241</t>
  </si>
  <si>
    <t>011321</t>
  </si>
  <si>
    <t>Vicenza</t>
  </si>
  <si>
    <t>Veneto</t>
  </si>
  <si>
    <t>FRATELLI CAFARO 1989 SOCIETA' AGRICOLA S.R.L.</t>
  </si>
  <si>
    <t>04581930650</t>
  </si>
  <si>
    <t>011320</t>
  </si>
  <si>
    <t>Salerno</t>
  </si>
  <si>
    <t>Campania</t>
  </si>
  <si>
    <t>Puglia</t>
  </si>
  <si>
    <t>Catania</t>
  </si>
  <si>
    <t>Trento</t>
  </si>
  <si>
    <t>Trentino-Alto Adige</t>
  </si>
  <si>
    <t>ZOOTECNICA S.R.L. - SOCIETA' AGRICOLA</t>
  </si>
  <si>
    <t>06832140724</t>
  </si>
  <si>
    <t>014200</t>
  </si>
  <si>
    <t>Bari</t>
  </si>
  <si>
    <t>FRUVER SOCIETA' COOPERATIVA AGRICOLA</t>
  </si>
  <si>
    <t>05905030655</t>
  </si>
  <si>
    <t>Reggio nell'Emilia</t>
  </si>
  <si>
    <t>011000</t>
  </si>
  <si>
    <t>Toscana</t>
  </si>
  <si>
    <t>AGRISERV - S.R.L.</t>
  </si>
  <si>
    <t>00645460528</t>
  </si>
  <si>
    <t>013000</t>
  </si>
  <si>
    <t>Siena</t>
  </si>
  <si>
    <t>CASEIFICIO SOCIALE DEL PARCO SOCIETA' COOPERATIVA AGRICOLA</t>
  </si>
  <si>
    <t>01972470353</t>
  </si>
  <si>
    <t>COSPALAT DEL FRIULI VENEZIA GIULIA</t>
  </si>
  <si>
    <t>02038030306</t>
  </si>
  <si>
    <t>014100</t>
  </si>
  <si>
    <t>Udine</t>
  </si>
  <si>
    <t>Friuli-Venezia Giulia</t>
  </si>
  <si>
    <t>SOCIETA' AGRICOLA GENNARI E BARBUTI DI BARBUTI MARIA E FIGLI SRL</t>
  </si>
  <si>
    <t>00245780341</t>
  </si>
  <si>
    <t>LA NORMANNA SOCIETA' COOPERATIVA AGRICOLA</t>
  </si>
  <si>
    <t>03417370875</t>
  </si>
  <si>
    <t>016000</t>
  </si>
  <si>
    <t>Lombardia</t>
  </si>
  <si>
    <t>COOPERATIVA AGRICOLA CORAG A R.L. - S.C.R.L.</t>
  </si>
  <si>
    <t>03050700651</t>
  </si>
  <si>
    <t>PIEMONTE MIELE SOCIETA' AGRICOLA COOPERATIVA</t>
  </si>
  <si>
    <t>00457640043</t>
  </si>
  <si>
    <t>Cuneo</t>
  </si>
  <si>
    <t>Piemonte</t>
  </si>
  <si>
    <t>MASTERPLANT ITALIA AGRICOLA S.P.A.</t>
  </si>
  <si>
    <t>01614240297</t>
  </si>
  <si>
    <t>Rovigo</t>
  </si>
  <si>
    <t>CASEIFICIO SOCIALE COMPRENSORIALE DI PRIMIERO SOCIETA' COOPERATIVA AGRICOLA</t>
  </si>
  <si>
    <t>00384870226</t>
  </si>
  <si>
    <t>014000</t>
  </si>
  <si>
    <t>MORENICA SOCIETA' AGRICOLA A RESPONSABILITA' LIMITATA</t>
  </si>
  <si>
    <t>01426170179</t>
  </si>
  <si>
    <t>Brescia</t>
  </si>
  <si>
    <t>CZ SOCIETA' AGRICOLA S.R.L.</t>
  </si>
  <si>
    <t>08698620963</t>
  </si>
  <si>
    <t>014700</t>
  </si>
  <si>
    <t>Pavia</t>
  </si>
  <si>
    <t>Torino</t>
  </si>
  <si>
    <t>Piemonte</t>
  </si>
  <si>
    <t>Puglia</t>
  </si>
  <si>
    <t>APULIA PLANTS S.R.L. AGRICOLA</t>
  </si>
  <si>
    <t>07430350723</t>
  </si>
  <si>
    <t>013000</t>
  </si>
  <si>
    <t>Bari</t>
  </si>
  <si>
    <t>016300</t>
  </si>
  <si>
    <t>Cuneo</t>
  </si>
  <si>
    <t>014200</t>
  </si>
  <si>
    <t>COLLEGIO TOSCANO DEGLI OLIVICOLTORI - OL.MA. SOCIETA' AGRICOLA COOPERATIVA IN SIGLA OL.MA. OD OL.MA. S.A.C.</t>
  </si>
  <si>
    <t>00127960532</t>
  </si>
  <si>
    <t>016100</t>
  </si>
  <si>
    <t>Grosseto</t>
  </si>
  <si>
    <t>Toscana</t>
  </si>
  <si>
    <t>Veneto</t>
  </si>
  <si>
    <t>AZIENDA AGRICOLA CONTE COLLALTO SOCIETA' AGRICOLA A RESPONSABILIT A' LIMITATA</t>
  </si>
  <si>
    <t>07921480963</t>
  </si>
  <si>
    <t>012100</t>
  </si>
  <si>
    <t>Treviso</t>
  </si>
  <si>
    <t>LE CERASARE SOCIETA' COOPERATIVA AGRICOLA</t>
  </si>
  <si>
    <t>02115500809</t>
  </si>
  <si>
    <t>Reggio di Calabria</t>
  </si>
  <si>
    <t>Calabria</t>
  </si>
  <si>
    <t>FLORAMIATA - S.R.L. - SOCIETA' AGRICOLA</t>
  </si>
  <si>
    <t>01444210528</t>
  </si>
  <si>
    <t>011920</t>
  </si>
  <si>
    <t>Siena</t>
  </si>
  <si>
    <t>ORGANIZZAZIONE PRODUTTORI RISICOLI SARDI SOCIETA' CONSORTILE A RE SPONSABILITA' LIMITATA - IN FORMA ABBREVIATA - O.P. RISO SOC. CONSORTILE ARL</t>
  </si>
  <si>
    <t>01095510952</t>
  </si>
  <si>
    <t>011110</t>
  </si>
  <si>
    <t>Oristano</t>
  </si>
  <si>
    <t>Sardegna</t>
  </si>
  <si>
    <t>Salerno</t>
  </si>
  <si>
    <t>Campania</t>
  </si>
  <si>
    <t>SOCIETA AGRICOLA ALPIVIT S.R.L.</t>
  </si>
  <si>
    <t>03075690044</t>
  </si>
  <si>
    <t>FANTOLINO DISTRIBUZIONE SOCIETA' AGRICOLA A RESPONSABILITA' LIMITATA</t>
  </si>
  <si>
    <t>10008740010</t>
  </si>
  <si>
    <t>CANTINA COOPERATIVA MADONNA DELLE GRAZIE DI TORRICELLA SOCIETA' C OPERATIVA AGRICOLA</t>
  </si>
  <si>
    <t>00132660739</t>
  </si>
  <si>
    <t>Taranto</t>
  </si>
  <si>
    <t>SOCIETA' AGRICOLA TENUTA POGGIO AL TESORO S.R.L</t>
  </si>
  <si>
    <t>01397920495</t>
  </si>
  <si>
    <t>Livorno</t>
  </si>
  <si>
    <t>IDEA NATURA SOCIETA' COOPERATIVA AGRICOLA</t>
  </si>
  <si>
    <t>03784130654</t>
  </si>
  <si>
    <t>OP AGRIGEST - ARTE VERDE SOCIETA' CONSORTILE A.R.L.</t>
  </si>
  <si>
    <t>03316190929</t>
  </si>
  <si>
    <t>COOPERATIVA TERRITORIO AMBIENTE MONTANO ACQUACHETA RABBI - (C.T.A.) - SOCIETA' COOPERATIVA AGRICOLA</t>
  </si>
  <si>
    <t>00893950402</t>
  </si>
  <si>
    <t>014000</t>
  </si>
  <si>
    <t>Forlì-Cesena</t>
  </si>
  <si>
    <t>Emilia-Romagna</t>
  </si>
  <si>
    <t>BRANCAIA SOCIETA' AGRICOLA A RESPONSABILITA' LIMITATA</t>
  </si>
  <si>
    <t>00818730525</t>
  </si>
  <si>
    <t>CASTIGLION DEL BOSCO SOCIETA' AGRICOLA A RESPONSABILITA' LIMITATA</t>
  </si>
  <si>
    <t>01095950521</t>
  </si>
  <si>
    <t>COOPERATIVA AGRICOLA DI S. BIAGIO SOCIETA' COOPERATIVA AGRICOLA</t>
  </si>
  <si>
    <t>00365410398</t>
  </si>
  <si>
    <t>016100</t>
  </si>
  <si>
    <t>Ravenna</t>
  </si>
  <si>
    <t>Emilia-Romagna</t>
  </si>
  <si>
    <t>016300</t>
  </si>
  <si>
    <t>Campania</t>
  </si>
  <si>
    <t>EURONOCCIOLA SOCIETA' COOPERATIVA AGRICOLA</t>
  </si>
  <si>
    <t>01618050569</t>
  </si>
  <si>
    <t>Viterbo</t>
  </si>
  <si>
    <t>Lazio</t>
  </si>
  <si>
    <t>ITALCER - SOCIETA' COOPERATIVA AGRICOLA IN SIGLA ITALCER SOC. COO P. AGR.</t>
  </si>
  <si>
    <t>02021590423</t>
  </si>
  <si>
    <t>016000</t>
  </si>
  <si>
    <t>Ancona</t>
  </si>
  <si>
    <t>Marche</t>
  </si>
  <si>
    <t>AGROFERTIL SOCIETA' COOPERATIVA AGRICOLA</t>
  </si>
  <si>
    <t>01850300409</t>
  </si>
  <si>
    <t>Forlì-Cesena</t>
  </si>
  <si>
    <t>BRONTE - SOCIETA' COOPERATIVA AGRICOLA A RESPONSABILITA' LIMITATA</t>
  </si>
  <si>
    <t>00776630279</t>
  </si>
  <si>
    <t>013000</t>
  </si>
  <si>
    <t>Venezia</t>
  </si>
  <si>
    <t>Veneto</t>
  </si>
  <si>
    <t>011300</t>
  </si>
  <si>
    <t>Salerno</t>
  </si>
  <si>
    <t>ARGIANO S.R.L. SOCIETA' AGRICOLA</t>
  </si>
  <si>
    <t>00518460522</t>
  </si>
  <si>
    <t>012100</t>
  </si>
  <si>
    <t>Siena</t>
  </si>
  <si>
    <t>Toscana</t>
  </si>
  <si>
    <t>RIMFRUIT OP SOCIETA' COOPERATIVA AGRICOLA A RESPONSABILITA' LIMITATA</t>
  </si>
  <si>
    <t>02148690692</t>
  </si>
  <si>
    <t>Chieti</t>
  </si>
  <si>
    <t>Abruzzo</t>
  </si>
  <si>
    <t>C.I.V. - CONSORZIO ITALIANO VIVAISTI - SOCIETA' CONSORTILE A R.L.</t>
  </si>
  <si>
    <t>00870260387</t>
  </si>
  <si>
    <t>Ferrara</t>
  </si>
  <si>
    <t>Sicilia</t>
  </si>
  <si>
    <t>VITICOLTORI DAUNI - SOCIETA' COOPERATIVA AGRICOLA</t>
  </si>
  <si>
    <t>03738700719</t>
  </si>
  <si>
    <t>Foggia</t>
  </si>
  <si>
    <t>Puglia</t>
  </si>
  <si>
    <t>OP CAPO SCALAMBRI SOCIETA' COOPERATIVA AGRICOLA</t>
  </si>
  <si>
    <t>01688910882</t>
  </si>
  <si>
    <t>Ragusa</t>
  </si>
  <si>
    <t>DE CORATO SEMENTI S.R.L.</t>
  </si>
  <si>
    <t>06240440724</t>
  </si>
  <si>
    <t>Barletta-Andria-Trani</t>
  </si>
  <si>
    <t>CASTELLO DI SPESSA SOCIETA' AGRICOLA A R.L. IN SIGLA C.D.S.SOCIETA' AGRICOLA A R.L.</t>
  </si>
  <si>
    <t>00444600316</t>
  </si>
  <si>
    <t>Gorizia</t>
  </si>
  <si>
    <t>Friuli-Venezia Giulia</t>
  </si>
  <si>
    <t>FLEA - SOCIETA' AGRICOLA A RESPONSABILITA' LIMITATA</t>
  </si>
  <si>
    <t>03429130549</t>
  </si>
  <si>
    <t>011140</t>
  </si>
  <si>
    <t>Perugia</t>
  </si>
  <si>
    <t>Umbria</t>
  </si>
  <si>
    <t>Lombardia</t>
  </si>
  <si>
    <t>AZIENDA AGRICOLA POGGIO LE VOLPI SOCIETA' AGRICOLA A R.L.</t>
  </si>
  <si>
    <t>08491921006</t>
  </si>
  <si>
    <t>Lecce</t>
  </si>
  <si>
    <t>EURO.COM. SOCIETA' AGRICOLA A RESPONSABILITA' LIMITATA</t>
  </si>
  <si>
    <t>04548780651</t>
  </si>
  <si>
    <t>011310</t>
  </si>
  <si>
    <t>AGRICOLA NUOVA CASEALPI S.R.L.</t>
  </si>
  <si>
    <t>02951530167</t>
  </si>
  <si>
    <t>014000</t>
  </si>
  <si>
    <t>Bergamo</t>
  </si>
  <si>
    <t>S.C.A.C.SOCIETA' COOPERATIVA AGRICOLA</t>
  </si>
  <si>
    <t>00097830442</t>
  </si>
  <si>
    <t>Ascoli Piceno</t>
  </si>
  <si>
    <t>CANTINA DEI VINI TIPICI DELL'ARETINO SOCIETA' COOPERATIVA AGRICOLA IN FORMA ABBREVIATA VITA S.C.</t>
  </si>
  <si>
    <t>00101320513</t>
  </si>
  <si>
    <t>Arezzo</t>
  </si>
  <si>
    <t>CENTRO CASALASCO PRODUTTORI AGRICOLI C.C.P.A. SOCIETA' AGRICOLA COOPERATIVA</t>
  </si>
  <si>
    <t>00364490193</t>
  </si>
  <si>
    <t>014200</t>
  </si>
  <si>
    <t>Cremona</t>
  </si>
  <si>
    <t>Lombardia</t>
  </si>
  <si>
    <t>LATTERIA SOCIALE TABIANO SOCIETA' COOPERATIVA AGRICOLA</t>
  </si>
  <si>
    <t>00141860353</t>
  </si>
  <si>
    <t>014100</t>
  </si>
  <si>
    <t>Reggio nell'Emilia</t>
  </si>
  <si>
    <t>Emilia-Romagna</t>
  </si>
  <si>
    <t>012100</t>
  </si>
  <si>
    <t>SOCIETA' COOPERATIVA AGRICOLA O.P. ITALIA</t>
  </si>
  <si>
    <t>02667390849</t>
  </si>
  <si>
    <t>016100</t>
  </si>
  <si>
    <t>Agrigento</t>
  </si>
  <si>
    <t>Sicilia</t>
  </si>
  <si>
    <t>LA DIAMANTINA - SOCIETA' CONSORTILE A RESPONSABILITA' LIMITATA</t>
  </si>
  <si>
    <t>01732790389</t>
  </si>
  <si>
    <t>Ferrara</t>
  </si>
  <si>
    <t>CANTINA SOCIALE DI MARANZANA D'ASTI - SOCIETA' COOPERATIVA AGRICO LA SIGLABILE CANTINA MARANZANA - SOC. COOP. AGR. - LA MARANZANA SOC. COOP. AGR. - C.S.M. - SOC. COOP. AGR.</t>
  </si>
  <si>
    <t>00072390057</t>
  </si>
  <si>
    <t>016300</t>
  </si>
  <si>
    <t>Asti</t>
  </si>
  <si>
    <t>Piemonte</t>
  </si>
  <si>
    <t>011310</t>
  </si>
  <si>
    <t>Campania</t>
  </si>
  <si>
    <t>SOCIETA' AGRICOLA GIUSTI - DAL COL S.R.L.</t>
  </si>
  <si>
    <t>04172990261</t>
  </si>
  <si>
    <t>Treviso</t>
  </si>
  <si>
    <t>Veneto</t>
  </si>
  <si>
    <t>TERRE SOCIETA' COOPERATIVA</t>
  </si>
  <si>
    <t>02866460732</t>
  </si>
  <si>
    <t>011300</t>
  </si>
  <si>
    <t>Taranto</t>
  </si>
  <si>
    <t>Puglia</t>
  </si>
  <si>
    <t>AGROMECCANICA CALZOLARI S.R.L.</t>
  </si>
  <si>
    <t>01241570355</t>
  </si>
  <si>
    <t>AGROGENS - SOCIETA' COOPERATIVA</t>
  </si>
  <si>
    <t>01815100795</t>
  </si>
  <si>
    <t>Crotone</t>
  </si>
  <si>
    <t>Calabria</t>
  </si>
  <si>
    <t>CANTINA CARDETO SOCIETA' COOPERATIVA AGRICOLA IN FORMA ABBREVIATA C.C.S.C.A.</t>
  </si>
  <si>
    <t>00050760552</t>
  </si>
  <si>
    <t>Terni</t>
  </si>
  <si>
    <t>Umbria</t>
  </si>
  <si>
    <t>AGRIMPEX FARMING S.R.L.</t>
  </si>
  <si>
    <t>03513481212</t>
  </si>
  <si>
    <t>Napoli</t>
  </si>
  <si>
    <t>ANTICA AZIENDA AGRICOLA VITIVINICOLA DEI CONTI LEONE DE CASTRIS S R.L O IN FORMA ABBREVIATA ANTICA AZIENDA VITIVINICOLA DEI CONTI LEONE DE CASTRIS S.R.L. OPPURE LEONE DE CASTRIS S.R.L. OPPURE AZIENDA LDC S.R.L.</t>
  </si>
  <si>
    <t>00142830751</t>
  </si>
  <si>
    <t>Lecce</t>
  </si>
  <si>
    <t>ARRABITO - SOCIETA' COOPERATIVA AGRICOLA</t>
  </si>
  <si>
    <t>01482680889</t>
  </si>
  <si>
    <t>011320</t>
  </si>
  <si>
    <t>Ragusa</t>
  </si>
  <si>
    <t>BIOLATINA - SOCIETA' COOPERATIVA AGRICOLA</t>
  </si>
  <si>
    <t>01228440598</t>
  </si>
  <si>
    <t>Latina</t>
  </si>
  <si>
    <t>Lazio</t>
  </si>
  <si>
    <t>SOCIETA' COOPERATIVA AGRICOLA BIBIONE</t>
  </si>
  <si>
    <t>00170620272</t>
  </si>
  <si>
    <t>Venezia</t>
  </si>
  <si>
    <t>FIORITALIA SOCIETA' AGRICOLA COOPERATIVA</t>
  </si>
  <si>
    <t>00949190292</t>
  </si>
  <si>
    <t>016000</t>
  </si>
  <si>
    <t>Rovigo</t>
  </si>
  <si>
    <t>EOS S.R.L.</t>
  </si>
  <si>
    <t>09309190966</t>
  </si>
  <si>
    <t>Milano</t>
  </si>
  <si>
    <t>SOCIETA' COOPERATIVA AGRICOLA ORTOFRUTTICOLTORI DI LUSIA E PER BREVITA' SOCIETA' COOPERATIVA ORTOFRUTTICOLTORI DI LUSIA</t>
  </si>
  <si>
    <t>01491770291</t>
  </si>
  <si>
    <t>TERRULENTA SOCIETA' AGRICOLA COOPERATIVA A RESPONSABILITA' LIMITATA</t>
  </si>
  <si>
    <t>03705590754</t>
  </si>
  <si>
    <t>SOCIETA' AGRICOLA F.LLI CAMBISE S.R.L.</t>
  </si>
  <si>
    <t>01042420669</t>
  </si>
  <si>
    <t>011310</t>
  </si>
  <si>
    <t>L'Aquila</t>
  </si>
  <si>
    <t>Abruzzo</t>
  </si>
  <si>
    <t>015000</t>
  </si>
  <si>
    <t>Ravenna</t>
  </si>
  <si>
    <t>Emilia-Romagna</t>
  </si>
  <si>
    <t>LATTERIA SOCIALE DELLA COSTA DI BAZZANO SOCIETA' AGRICOLA COOPERATIVA</t>
  </si>
  <si>
    <t>00231120346</t>
  </si>
  <si>
    <t>014100</t>
  </si>
  <si>
    <t>Parma</t>
  </si>
  <si>
    <t>COOPERATIVA AGRICOLA BRACCIANTI BOARI E MEZZADRI LIBERTA' E LAVOR O - RAVENNA SOCIETA' COOPERATIVA AGRICOLA OVVERO COOPERATIVA AGRICOLA LIBERTA' E LAVORO SOCIETA' COOPERATIVA AGRICOLA O COOP. LIBERTA' E LAVORO SOCIETA' COOPERA TIVA AGRICOLA O LIBERTA' E</t>
  </si>
  <si>
    <t>00072530397</t>
  </si>
  <si>
    <t>016000</t>
  </si>
  <si>
    <t>Puglia</t>
  </si>
  <si>
    <t>OLEIFICIO COOPERATIVO CONTADO - SOCIETA' COOPERATIVA</t>
  </si>
  <si>
    <t>00395660723</t>
  </si>
  <si>
    <t>016300</t>
  </si>
  <si>
    <t>Bari</t>
  </si>
  <si>
    <t>ORGANIZZAZIONE DI PRODUTTORI ORTOCAL - SOCIETA' COOPERATIVA AGRIC OLA</t>
  </si>
  <si>
    <t>03230470787</t>
  </si>
  <si>
    <t>016100</t>
  </si>
  <si>
    <t>Cosenza</t>
  </si>
  <si>
    <t>Calabria</t>
  </si>
  <si>
    <t>Lazio</t>
  </si>
  <si>
    <t>O.P. AGRONATURA SOC. COOP.</t>
  </si>
  <si>
    <t>02920670839</t>
  </si>
  <si>
    <t>Messina</t>
  </si>
  <si>
    <t>Sicilia</t>
  </si>
  <si>
    <t>CONSORZIO LATTERIE E AZIENDE AGRICOLE E ZOOTECNICHE VALTELLINA E VALLI ALPINE SOCIETA' COOPERATIVA AGRICOLA IN BREVE ANCHE COLAVEV SOC. COOP. AGRICOLA</t>
  </si>
  <si>
    <t>00080670144</t>
  </si>
  <si>
    <t>Sondrio</t>
  </si>
  <si>
    <t>Lombardia</t>
  </si>
  <si>
    <t>SOCIETA' AGRICOLA TAGLIANI VIVAI INTERNATIONAL S.R.L.</t>
  </si>
  <si>
    <t>01772720387</t>
  </si>
  <si>
    <t>013000</t>
  </si>
  <si>
    <t>Ferrara</t>
  </si>
  <si>
    <t>SOCIETA' AGRICOLA COOPERATIVA COSTA DEI SAPORI</t>
  </si>
  <si>
    <t>01433700885</t>
  </si>
  <si>
    <t>Ragusa</t>
  </si>
  <si>
    <t>NUOVA CASTELVINI SOC. COOP. S.P.A.</t>
  </si>
  <si>
    <t>02156790731</t>
  </si>
  <si>
    <t>012100</t>
  </si>
  <si>
    <t>Taranto</t>
  </si>
  <si>
    <t>CASEIFICIO SOCIALE BASSA PARMENSE SOCIETA' AGRICOLA COOPERATIVA</t>
  </si>
  <si>
    <t>00165980343</t>
  </si>
  <si>
    <t>CANTINA SOCIALE VILLAMAGNA SOCIETA' AGRICOLA COOPERATIVA</t>
  </si>
  <si>
    <t>00121050694</t>
  </si>
  <si>
    <t>Chieti</t>
  </si>
  <si>
    <t>CONSORZIO POMEZ O.P. SOCIETA' COOPERATIVA AGRICOLA</t>
  </si>
  <si>
    <t>03510550787</t>
  </si>
  <si>
    <t>Roma</t>
  </si>
  <si>
    <t>SOCIETA' AGRICOLA ROCCA DELLE MACIE S.R.L.(OD, ANCHE, IN FORMA AB BERVIATA SOCIETA' AGRICOLA RO.DE.MA. S.R.L. , IN SIGLA SOCIETA' AGRICOLA R.D.M. S.R.L. O CON NOME PER L'IDENTIFICAZIONE DEI PRODOTTI: AZIENDA AGRICOLA RO.DE.M A. S.R.L. E AZIENDA AGRICOL</t>
  </si>
  <si>
    <t>01263620526</t>
  </si>
  <si>
    <t>Siena</t>
  </si>
  <si>
    <t>Toscana</t>
  </si>
  <si>
    <t>Caserta</t>
  </si>
  <si>
    <t>Campania</t>
  </si>
  <si>
    <t>S.AGRI.V.IT - SOCIETA' AGRICOLA VITIVINICOLA ITALIANA A RESPON SABILITA' LIMITATA</t>
  </si>
  <si>
    <t>07326481004</t>
  </si>
  <si>
    <t>011500</t>
  </si>
  <si>
    <t>INSEME S.R.L.</t>
  </si>
  <si>
    <t>03383710369</t>
  </si>
  <si>
    <t>016209</t>
  </si>
  <si>
    <t>Modena</t>
  </si>
  <si>
    <t>CANTINE DUE TORRI NELLA VAL D'ENZA SOCIETA' COOPERATIVA AGRICOLA</t>
  </si>
  <si>
    <t>00147290357</t>
  </si>
  <si>
    <t>Reggio nell'Emilia</t>
  </si>
  <si>
    <t>LATTERIA SANT'ANDREA SOCIETA' AGRICOLA COOPERATIVA</t>
  </si>
  <si>
    <t>00643500267</t>
  </si>
  <si>
    <t>Treviso</t>
  </si>
  <si>
    <t>Veneto</t>
  </si>
  <si>
    <t>COOPERATIVA S. FOSCA - SOCIETA' COOPERATIVA AGRICOLA PER AZIONI</t>
  </si>
  <si>
    <t>00314740267</t>
  </si>
  <si>
    <t>AGROZOOTECNICA MARCHESA SOCIETA' AGRICOLA A RESPONSABILITA' LIMITATA</t>
  </si>
  <si>
    <t>01773730617</t>
  </si>
  <si>
    <t>SOCIETA' AGRICOLA SV S.R.L.</t>
  </si>
  <si>
    <t>01779451002</t>
  </si>
  <si>
    <t>011110</t>
  </si>
  <si>
    <t>CAMPANIA PATATE SOCIETA' COOPERATIVA AGRICOLA A R.L.</t>
  </si>
  <si>
    <t>04693660658</t>
  </si>
  <si>
    <t>011310</t>
  </si>
  <si>
    <t>Salerno</t>
  </si>
  <si>
    <t>Campania</t>
  </si>
  <si>
    <t>COOPERATIVA ORTOFRUTTICOLA VE.BA. SOCIETA' COOPERATIVA AGRICOLA IN SIGLA VE.BA. COOP.</t>
  </si>
  <si>
    <t>00052540382</t>
  </si>
  <si>
    <t>016300</t>
  </si>
  <si>
    <t>Ferrara</t>
  </si>
  <si>
    <t>Emilia-Romagna</t>
  </si>
  <si>
    <t>SOCIETA' COOPERATIVA AGRICOLA FLORICOLTORI E ORTOFRUTTICOLTORI - RIVIERA ALTO TIRRENO - FLOR-EXPORT ENUNCIABILE ANCHE IN SOCIETA' COOPERATIVA FLOR-EXPORT</t>
  </si>
  <si>
    <t>00143670461</t>
  </si>
  <si>
    <t>Lucca</t>
  </si>
  <si>
    <t>Toscana</t>
  </si>
  <si>
    <t>SOCIETA' COOPERATIVA AGRICOLA RUGGIERO</t>
  </si>
  <si>
    <t>05231570655</t>
  </si>
  <si>
    <t>Modena</t>
  </si>
  <si>
    <t>Lazio</t>
  </si>
  <si>
    <t>RIBOTTA GROUP SOCIETA' COOPERATIVA AGRICOLA</t>
  </si>
  <si>
    <t>03538510045</t>
  </si>
  <si>
    <t>Cuneo</t>
  </si>
  <si>
    <t>Piemonte</t>
  </si>
  <si>
    <t>SOCIETA' AGRICOLA VALLI DI MARCA S.R.L.</t>
  </si>
  <si>
    <t>01967390442</t>
  </si>
  <si>
    <t>Fermo</t>
  </si>
  <si>
    <t>Marche</t>
  </si>
  <si>
    <t>P.A.E.R. PRODUTTORI AGRICOLI DELL'EMILIA ROMAGNA SOCIETA' COOPERATIVA AGRICOLA</t>
  </si>
  <si>
    <t>01116780386</t>
  </si>
  <si>
    <t>016100</t>
  </si>
  <si>
    <t>Sicilia</t>
  </si>
  <si>
    <t>PRIMA OP BIO - SOCIETA' COOPERATIVA AGRICOLA</t>
  </si>
  <si>
    <t>04041220718</t>
  </si>
  <si>
    <t>Foggia</t>
  </si>
  <si>
    <t>Puglia</t>
  </si>
  <si>
    <t>Lombardia</t>
  </si>
  <si>
    <t>SOCIETA' COOPERATIVA BORGO CAMPAGNA</t>
  </si>
  <si>
    <t>02382740062</t>
  </si>
  <si>
    <t>016000</t>
  </si>
  <si>
    <t>Alessandria</t>
  </si>
  <si>
    <t>SOCIETA' AGRICOLA C.O.P.A. - COOPERATIVA ORTOFRUTTICOLA PRODUTTORI ASSOCIATI - SOCIETA' COOPERATIVA</t>
  </si>
  <si>
    <t>00204520563</t>
  </si>
  <si>
    <t>Viterbo</t>
  </si>
  <si>
    <t>Firenze</t>
  </si>
  <si>
    <t>IL CONTADINO SOCIETA' COOPERATIVA AGRICOLA, IN ABBREVIATO IL CONTADINO SOC. COOP. AGRICOLA</t>
  </si>
  <si>
    <t>00083290817</t>
  </si>
  <si>
    <t>011910</t>
  </si>
  <si>
    <t>Trapani</t>
  </si>
  <si>
    <t>CANTINA SOCIALE DI ISERA SOCIETA' COOPERATIVA AGRICOLA OVVERO CANTINA DI ISERA SOCIETA' COOPERATIVA AGRICOLA OVVERO CANTINA D'ISERA SOCIETA' COOPERATIVA AGRICOLA OVVERO IN SIGLA C.S.I. SOCIETA' COOPERATIVA AGRICOLA OVVERO CA.SO.I. SOCIETA' COOPERATIVA</t>
  </si>
  <si>
    <t>00125950220</t>
  </si>
  <si>
    <t>012100</t>
  </si>
  <si>
    <t>Trento</t>
  </si>
  <si>
    <t>Trentino-Alto Adige</t>
  </si>
  <si>
    <t>CENTRO GIARDINAGGIO S.FRUTTUOSO AZIENDA AGRICOLA S.R.L.</t>
  </si>
  <si>
    <t>10176300159</t>
  </si>
  <si>
    <t>013000</t>
  </si>
  <si>
    <t>Milano</t>
  </si>
  <si>
    <t>CANTINA SETTECANI - CASTELVETRO SOCIETA' AGRICOLA COOPERATIVA</t>
  </si>
  <si>
    <t>00177660362</t>
  </si>
  <si>
    <t>ISTITUTO INTERREGIONALE PER IL MIGLIORAMENTO DEL PATRIMONIO ZOOTECNICO - SOCIETA' PER AZIONI CON SIGLA INTERMIZOO S.P.A.</t>
  </si>
  <si>
    <t>00867200289</t>
  </si>
  <si>
    <t>016209</t>
  </si>
  <si>
    <t>Padova</t>
  </si>
  <si>
    <t>Veneto</t>
  </si>
  <si>
    <t>IL RACCOLTO SOCIETA' COOPERATIVA AGRICOLA</t>
  </si>
  <si>
    <t>01770481206</t>
  </si>
  <si>
    <t>011140</t>
  </si>
  <si>
    <t>Bologna</t>
  </si>
  <si>
    <t>COOPERATIVA AGRICOLA BRACCIANTI DI CAMPIANO SOCIETA' COOPERATIVA AGRICOLA PER AZIONI IN SIGLA C.A.B. CAMPIANO SOC. COOP. AGR. P.A.</t>
  </si>
  <si>
    <t>00082560392</t>
  </si>
  <si>
    <t>011000</t>
  </si>
  <si>
    <t>Ravenna</t>
  </si>
  <si>
    <t>AGRICOLA TECNOVITE SRL.</t>
  </si>
  <si>
    <t>06469420480</t>
  </si>
  <si>
    <t>SOCIETA' COOPERATIVA AGRICOLA COOP.DI. ITALIA</t>
  </si>
  <si>
    <t>00874090145</t>
  </si>
  <si>
    <t>011110</t>
  </si>
  <si>
    <t>AGROTEAM SERVICE S.R.L.</t>
  </si>
  <si>
    <t>01630250445</t>
  </si>
  <si>
    <t>016100</t>
  </si>
  <si>
    <t>Ascoli Piceno</t>
  </si>
  <si>
    <t>Marche</t>
  </si>
  <si>
    <t>014000</t>
  </si>
  <si>
    <t>Veneto</t>
  </si>
  <si>
    <t>016300</t>
  </si>
  <si>
    <t>Verona</t>
  </si>
  <si>
    <t>SOCIETA' AGRICOLA F.LLI TEDESCHI SRL</t>
  </si>
  <si>
    <t>00559980230</t>
  </si>
  <si>
    <t>012100</t>
  </si>
  <si>
    <t>ALLEVAMENTI LA SERENISSIMA - SOCIETA' AGRICOLA COOPERATIVA</t>
  </si>
  <si>
    <t>00565140985</t>
  </si>
  <si>
    <t>Brescia</t>
  </si>
  <si>
    <t>Lombardia</t>
  </si>
  <si>
    <t>STEFLOR S.R.L. - SOCIETA' AGRICOLA</t>
  </si>
  <si>
    <t>05966000969</t>
  </si>
  <si>
    <t>013000</t>
  </si>
  <si>
    <t>Milano</t>
  </si>
  <si>
    <t>OLIVICOLTORI TOSCANI ASSOCIATI (O.T.A.) SOCIETA' COOPERATIVA AGRICOLA P.A.</t>
  </si>
  <si>
    <t>00816740526</t>
  </si>
  <si>
    <t>016000</t>
  </si>
  <si>
    <t>Siena</t>
  </si>
  <si>
    <t>Toscana</t>
  </si>
  <si>
    <t>PRIMA BIO - SOCIETA' COOPERATIVA AGRICOLA</t>
  </si>
  <si>
    <t>02316110713</t>
  </si>
  <si>
    <t>010000</t>
  </si>
  <si>
    <t>Foggia</t>
  </si>
  <si>
    <t>Puglia</t>
  </si>
  <si>
    <t>NATURA IBLEA SOCIETA' AGRICOLA CONSORTILE A RESPONSABILITA' LIMITATA</t>
  </si>
  <si>
    <t>02027330899</t>
  </si>
  <si>
    <t>Siracusa</t>
  </si>
  <si>
    <t>Sicilia</t>
  </si>
  <si>
    <t>TENUTE LUNELLI SOCIETA' AGRICOLA S.R.L.</t>
  </si>
  <si>
    <t>01753900222</t>
  </si>
  <si>
    <t>Trento</t>
  </si>
  <si>
    <t>Trentino-Alto Adige</t>
  </si>
  <si>
    <t>SOCIETA' AGRICOLA FACCIOLLA IMPORT EXPORT S.R.L.</t>
  </si>
  <si>
    <t>07813960726</t>
  </si>
  <si>
    <t>011340</t>
  </si>
  <si>
    <t>Bari</t>
  </si>
  <si>
    <t>SOCIETA' AGRICOLA SAN GIOBBE A RESPONSABILITA' LIMITATA</t>
  </si>
  <si>
    <t>01382950523</t>
  </si>
  <si>
    <t>Piemonte</t>
  </si>
  <si>
    <t>F.LLI POLISE DI ANTONIO S.R.L.</t>
  </si>
  <si>
    <t>02596820734</t>
  </si>
  <si>
    <t>012000</t>
  </si>
  <si>
    <t>Taranto</t>
  </si>
  <si>
    <t>LA REGGIA - SOCIETA' COOPERATIVA AGRICOLA</t>
  </si>
  <si>
    <t>01547690618</t>
  </si>
  <si>
    <t>Caserta</t>
  </si>
  <si>
    <t>Campania</t>
  </si>
  <si>
    <t>GERVASIO S.R.L.</t>
  </si>
  <si>
    <t>01442390744</t>
  </si>
  <si>
    <t>Brindisi</t>
  </si>
  <si>
    <t>VINI FRANCHETTI SOCIETA' A RESPONSABILITA' LIMITATA - SOCIETA' AG RICOLA</t>
  </si>
  <si>
    <t>01378400525</t>
  </si>
  <si>
    <t>SALUMIFICIO CENTRO CARNI DEI SIBILLINI SRL</t>
  </si>
  <si>
    <t>01213260449</t>
  </si>
  <si>
    <t>016209</t>
  </si>
  <si>
    <t>Fermo</t>
  </si>
  <si>
    <t>AGRIAMBIENTE MUGELLO SOCIETA' COOPERATIVA AGRICOLA</t>
  </si>
  <si>
    <t>01039030489</t>
  </si>
  <si>
    <t>014100</t>
  </si>
  <si>
    <t>Firenze</t>
  </si>
  <si>
    <t>CANTINA PRODUTTORI DEL GAVI SOCIETA' COOPERATIVA AGRICOLA OVVERO IN ALTERNATIVA PRODUTTORI DEL GAVI SOCIETA' COOPERATIVA AGRICOLA</t>
  </si>
  <si>
    <t>00167420066</t>
  </si>
  <si>
    <t>Alessandria</t>
  </si>
  <si>
    <t>SOCIETA' COOPERATIVA A RESPONSABILITA' LIMITATA APULIA</t>
  </si>
  <si>
    <t>01335590715</t>
  </si>
  <si>
    <t>014000</t>
  </si>
  <si>
    <t>Emilia-Romagna</t>
  </si>
  <si>
    <t>TENUTA DI BAGNOLI SRL SOCIETA' AGRICOLA</t>
  </si>
  <si>
    <t>05085750288</t>
  </si>
  <si>
    <t>011140</t>
  </si>
  <si>
    <t>Padova</t>
  </si>
  <si>
    <t>Veneto</t>
  </si>
  <si>
    <t>SOCIETA' COOPERATIVA CONSORZIO CASEIFICIO DI SORANO SOCIETA' AGRI COLA</t>
  </si>
  <si>
    <t>01269450530</t>
  </si>
  <si>
    <t>016300</t>
  </si>
  <si>
    <t>Grosseto</t>
  </si>
  <si>
    <t>Toscana</t>
  </si>
  <si>
    <t>CUORE VERDE SOCIETA' COOPERATIVA AGRICOLA</t>
  </si>
  <si>
    <t>01570390706</t>
  </si>
  <si>
    <t>011120</t>
  </si>
  <si>
    <t>Campobasso</t>
  </si>
  <si>
    <t>Molise</t>
  </si>
  <si>
    <t>012100</t>
  </si>
  <si>
    <t>SOCIETA' AGRICOLA EMMETT ITALIA S.R.L.</t>
  </si>
  <si>
    <t>13857521002</t>
  </si>
  <si>
    <t>011310</t>
  </si>
  <si>
    <t>Foggia</t>
  </si>
  <si>
    <t>Puglia</t>
  </si>
  <si>
    <t>COVAN - COOPERATIVA OLIVICOLTORI ANDRIESI - SOCIETA' AGRICOLA</t>
  </si>
  <si>
    <t>00306610726</t>
  </si>
  <si>
    <t>016100</t>
  </si>
  <si>
    <t>Barletta-Andria-Trani</t>
  </si>
  <si>
    <t>SOCIETA' COOPERATIVA AGRICOLA ALLAFONTE</t>
  </si>
  <si>
    <t>02462700028</t>
  </si>
  <si>
    <t>Novara</t>
  </si>
  <si>
    <t>Piemonte</t>
  </si>
  <si>
    <t>GEOPLANT VIVAI S.R.L. SOCIETA' AGRICOLA</t>
  </si>
  <si>
    <t>02284920390</t>
  </si>
  <si>
    <t>013000</t>
  </si>
  <si>
    <t>Ravenna</t>
  </si>
  <si>
    <t>Ragusa</t>
  </si>
  <si>
    <t>Sicilia</t>
  </si>
  <si>
    <t>O.P. ASPARAGO CONDIN &amp; C. SOCIETA' COOPERATIVA AGRICOLA</t>
  </si>
  <si>
    <t>05192480282</t>
  </si>
  <si>
    <t>MASSERIA ALTEMURA SOCIETA' AGRICOLA A RESPONSABILITA' LIMITATA FORMA ABBREVIATA MASSERIA ALTEMURA S.A.R.L.</t>
  </si>
  <si>
    <t>02265690749</t>
  </si>
  <si>
    <t>Brindisi</t>
  </si>
  <si>
    <t>IMPIANTISTICA VIGNETI S.R.L.</t>
  </si>
  <si>
    <t>06081120724</t>
  </si>
  <si>
    <t>SOCIETA' COOPERATIVA AGRICOLA BIO MIGLIORE</t>
  </si>
  <si>
    <t>01416450888</t>
  </si>
  <si>
    <t>011329</t>
  </si>
  <si>
    <t>FATTORIA APULIA SOC. AGR. A R.L.</t>
  </si>
  <si>
    <t>04294530714</t>
  </si>
  <si>
    <t>014100</t>
  </si>
  <si>
    <t>Caserta</t>
  </si>
  <si>
    <t>Campania</t>
  </si>
  <si>
    <t>CASEIFICIO SESTO SOCIETA' AGRICOLA COOPERATIVA</t>
  </si>
  <si>
    <t>00126750215</t>
  </si>
  <si>
    <t>Bolzano/Bozen</t>
  </si>
  <si>
    <t>Trentino-Alto Adige</t>
  </si>
  <si>
    <t>CANTINA SOCIALE DORGALI SOCIETA' COOPERATIVA</t>
  </si>
  <si>
    <t>00056660913</t>
  </si>
  <si>
    <t>Nuoro</t>
  </si>
  <si>
    <t>Sardegna</t>
  </si>
  <si>
    <t>MASSERIE DI PUGLIA TRADIZIONE E NATURA SRL AGRICOLA</t>
  </si>
  <si>
    <t>04128600717</t>
  </si>
  <si>
    <t>014700</t>
  </si>
  <si>
    <t>OROVERDE SOCIETA' COOPERATIVA AGRICOLA</t>
  </si>
  <si>
    <t>01858910381</t>
  </si>
  <si>
    <t>Ferrara</t>
  </si>
  <si>
    <t>COLLE FIORI SOCIETA' COOPERATIVA AGRICOLA</t>
  </si>
  <si>
    <t>01970610604</t>
  </si>
  <si>
    <t>Frosinone</t>
  </si>
  <si>
    <t>Lazio</t>
  </si>
  <si>
    <t>LAZZARONI E QUARESMINI S.R.L.</t>
  </si>
  <si>
    <t>03513660989</t>
  </si>
  <si>
    <t>011910</t>
  </si>
  <si>
    <t>Brescia</t>
  </si>
  <si>
    <t>Lombardia</t>
  </si>
  <si>
    <t>BARBISELLE S.R.L. SOCIETA' AGRICOLA DI QUAINI PAOLO E FIGLIE</t>
  </si>
  <si>
    <t>00683860191</t>
  </si>
  <si>
    <t>Cremona</t>
  </si>
  <si>
    <t>AGROMECCANICA ROCCHI S.R.L.</t>
  </si>
  <si>
    <t>02502050160</t>
  </si>
  <si>
    <t>016100</t>
  </si>
  <si>
    <t>Bergamo</t>
  </si>
  <si>
    <t>Lombardia</t>
  </si>
  <si>
    <t>Sicilia</t>
  </si>
  <si>
    <t>FIT FRUIT SOCIETA' COOPERATIVA AGRICOLA SIGLABILE, OVE CONSENTITO, FIT FRUIT SOC. COOP. AGR.</t>
  </si>
  <si>
    <t>03708620046</t>
  </si>
  <si>
    <t>016300</t>
  </si>
  <si>
    <t>Cuneo</t>
  </si>
  <si>
    <t>Piemonte</t>
  </si>
  <si>
    <t>DEIAN S.R.L.</t>
  </si>
  <si>
    <t>01617460702</t>
  </si>
  <si>
    <t>011140</t>
  </si>
  <si>
    <t>Foggia</t>
  </si>
  <si>
    <t>Puglia</t>
  </si>
  <si>
    <t>ORTI DEL SOLE - SOCIETA' COOPERATIVA AGRICOLA</t>
  </si>
  <si>
    <t>02616390593</t>
  </si>
  <si>
    <t>Latina</t>
  </si>
  <si>
    <t>Lazio</t>
  </si>
  <si>
    <t>SOCIETA' AGRICOLA CIPRIANA S.R.L.</t>
  </si>
  <si>
    <t>00370300162</t>
  </si>
  <si>
    <t>014100</t>
  </si>
  <si>
    <t>GRUPPO COOPERATIVE AGRICOLE DI TREVI SOCIETA' COOPERATIVA AGRICOL A</t>
  </si>
  <si>
    <t>00252910542</t>
  </si>
  <si>
    <t>Perugia</t>
  </si>
  <si>
    <t>Umbria</t>
  </si>
  <si>
    <t>BIOPLANET SOCIETA' COOPERATIVA AGRICOLA IN SIGLA BIOPLANET S.C.A.</t>
  </si>
  <si>
    <t>02630800403</t>
  </si>
  <si>
    <t>014990</t>
  </si>
  <si>
    <t>Forlì-Cesena</t>
  </si>
  <si>
    <t>Emilia-Romagna</t>
  </si>
  <si>
    <t>COOPERATIVA FRUTTA CASTELBALDO SOCIETA' COOPERATIVA AGRICOLA ACRONICO CO.FRU.CA. S.A.C.</t>
  </si>
  <si>
    <t>00211380282</t>
  </si>
  <si>
    <t>Padova</t>
  </si>
  <si>
    <t>Veneto</t>
  </si>
  <si>
    <t>013000</t>
  </si>
  <si>
    <t>AZIENDA AGRARIA ANFOSSI SOCIETA' AGRICOLA S.R.L.</t>
  </si>
  <si>
    <t>01750470096</t>
  </si>
  <si>
    <t>011310</t>
  </si>
  <si>
    <t>Savona</t>
  </si>
  <si>
    <t>Liguria</t>
  </si>
  <si>
    <t>Campania</t>
  </si>
  <si>
    <t>SOCIETA' AGRICOLA TENUTE RAPITALA' - S.P.A. E IN FORMA ABBREVIATA TENUTE RAPITALA' S.P.A. O T.R. S.P.A. O ANCHE RAPITALA' S.P.A.</t>
  </si>
  <si>
    <t>04139490827</t>
  </si>
  <si>
    <t>012100</t>
  </si>
  <si>
    <t>Palermo</t>
  </si>
  <si>
    <t>LATTERIA SOCIALE NUOVA SOCIETA' COOPERATIVA AGRICOLA</t>
  </si>
  <si>
    <t>00146040357</t>
  </si>
  <si>
    <t>Reggio nell'Emilia</t>
  </si>
  <si>
    <t>016000</t>
  </si>
  <si>
    <t>LATTERIA BURGUSIO - SOCIETA' AGRICOLA COOPERATIVA</t>
  </si>
  <si>
    <t>00125710210</t>
  </si>
  <si>
    <t>014000</t>
  </si>
  <si>
    <t>Bolzano/Bozen</t>
  </si>
  <si>
    <t>Trentino-Alto Adige</t>
  </si>
  <si>
    <t>SOCIETA' AGRICOLA SGARAVATTI LAND CONSORTILE A R.L.</t>
  </si>
  <si>
    <t>02677290922</t>
  </si>
  <si>
    <t>Cagliari</t>
  </si>
  <si>
    <t>Sardegna</t>
  </si>
  <si>
    <t>CONSORZIO MAISCOLTORI CEREALICOLTORI DEL PIAVE SOCIETA' AGRICOLA A R.L.</t>
  </si>
  <si>
    <t>00200670263</t>
  </si>
  <si>
    <t>Treviso</t>
  </si>
  <si>
    <t>A.P.C. ASSOCIAZIONE PRODUTTORI CAMPANI SOCIETA' COOPERATIVA AGRICOLA</t>
  </si>
  <si>
    <t>01531170627</t>
  </si>
  <si>
    <t>Benevento</t>
  </si>
  <si>
    <t>JOLLY CAFFE' - S.P.A.</t>
  </si>
  <si>
    <t>01349450484</t>
  </si>
  <si>
    <t>Firenze</t>
  </si>
  <si>
    <t>Toscana</t>
  </si>
  <si>
    <t>ORTO D'AUTORE S.R.L.- SOCIETA' AGRICOLA</t>
  </si>
  <si>
    <t>01647070703</t>
  </si>
  <si>
    <t>Campobasso</t>
  </si>
  <si>
    <t>Molise</t>
  </si>
  <si>
    <t>COOPERATIVA AGRICOLA BONIFICA LAMONE DI SERVIZI AI COLTIVATORI - SOCIETA' COOPERATIVA AGRICOLA PER AZIONI IN SIGLA COOP. BONIFICA LAMONE SOC. COOP. AGR. P.A.</t>
  </si>
  <si>
    <t>00860730399</t>
  </si>
  <si>
    <t>011140</t>
  </si>
  <si>
    <t>Ravenna</t>
  </si>
  <si>
    <t>Emilia-Romagna</t>
  </si>
  <si>
    <t>COOPERATIVA PRODUZIONE COSTIERAGRUMI SOCIETA' COOPERATIVA AGRICOL A</t>
  </si>
  <si>
    <t>05445570657</t>
  </si>
  <si>
    <t>016300</t>
  </si>
  <si>
    <t>Salerno</t>
  </si>
  <si>
    <t>Campania</t>
  </si>
  <si>
    <t>SOCIETA' IMMOBILIARE TOSCO EMILIANA S.I.T.E. S.R.L.</t>
  </si>
  <si>
    <t>01825420977</t>
  </si>
  <si>
    <t>011110</t>
  </si>
  <si>
    <t>Firenze</t>
  </si>
  <si>
    <t>Toscana</t>
  </si>
  <si>
    <t>ASSEC S.P.A. SOCIETA' AGRICOLA</t>
  </si>
  <si>
    <t>01750310540</t>
  </si>
  <si>
    <t>015000</t>
  </si>
  <si>
    <t>Roma</t>
  </si>
  <si>
    <t>Lazio</t>
  </si>
  <si>
    <t>011300</t>
  </si>
  <si>
    <t>Veneto</t>
  </si>
  <si>
    <t>Ragusa</t>
  </si>
  <si>
    <t>Sicilia</t>
  </si>
  <si>
    <t>LINEA VERDE NICOLINI S.R.L.</t>
  </si>
  <si>
    <t>00625090568</t>
  </si>
  <si>
    <t>VILLA NANI SOCIETA' AGRICOLA COOPERATIVA</t>
  </si>
  <si>
    <t>00776600298</t>
  </si>
  <si>
    <t>Rovigo</t>
  </si>
  <si>
    <t>FATTORIA DEI BARBI S.R.L. - SOCIETA' AGRICOLA (O ANCHE ABBREVIATO BARBI S.R.L. - SOCIETA' AGRICOLA ).</t>
  </si>
  <si>
    <t>00726130529</t>
  </si>
  <si>
    <t>012100</t>
  </si>
  <si>
    <t>Siena</t>
  </si>
  <si>
    <t>ETTORE GALASSO SOCIETA' AGRICOLA A RESPONSABILITA' LIMITATA, ABBI NABILE A CANTINE GALASSO S.A.R.L.,GALASSO S.A.R.L.,C.G. S.A.R.L.,GA.VI S.A.R.L., GA.VINI S.A.R.L.,ANCHE DEN.AI SOLI FINI DELL'IMB.TO DEI VINI IN:ETTORE GALASSO, C.G., GA.VI.,GA.IA.,CONTE D</t>
  </si>
  <si>
    <t>01903830691</t>
  </si>
  <si>
    <t>Chieti</t>
  </si>
  <si>
    <t>Abruzzo</t>
  </si>
  <si>
    <t>AZIENDA VITIVINICOLA NERVI SOCIETA' AGRICOLA S.R.L.</t>
  </si>
  <si>
    <t>00354050023</t>
  </si>
  <si>
    <t>Vercelli</t>
  </si>
  <si>
    <t>Piemonte</t>
  </si>
  <si>
    <t>C.P.N. SOCIETA' COOPERATIVA AGRICOLA</t>
  </si>
  <si>
    <t>02217410568</t>
  </si>
  <si>
    <t>Viterbo</t>
  </si>
  <si>
    <t>AGROVIVA SOCIETA' COOPERATIVA AGRICOLA</t>
  </si>
  <si>
    <t>01026180883</t>
  </si>
  <si>
    <t>016000</t>
  </si>
  <si>
    <t>BIORTO IBLEO SOCIETA' CONSORTILE A R.L.</t>
  </si>
  <si>
    <t>01549230884</t>
  </si>
  <si>
    <t>016100</t>
  </si>
  <si>
    <t>TENUTA DI ARCENO S.R.L. - SOCIETA' AGRICOLA</t>
  </si>
  <si>
    <t>01113960528</t>
  </si>
  <si>
    <t>CAPICHERA S.R.L. SOCIETA' AGRICOLA</t>
  </si>
  <si>
    <t>01688210903</t>
  </si>
  <si>
    <t>Sassari</t>
  </si>
  <si>
    <t>Sardegna</t>
  </si>
  <si>
    <t>CANTINA SOCIALE VITICOLTORI COLLINE ARNO SIEVE - (CANTINA SOCIALE VI.C.A.S.) SOCIETA' COOPERATIVA AGRICOLA E IN FORMA ABBREVIATA VI.C.A.S. SOCIETA' COOPERATIVA</t>
  </si>
  <si>
    <t>01368820484</t>
  </si>
  <si>
    <t>MILANESCHI S.R.L.</t>
  </si>
  <si>
    <t>01396340539</t>
  </si>
  <si>
    <t>Grosseto</t>
  </si>
  <si>
    <t>ALTESINO S.R.L. SOCIETA' AGRICOLA (OD ANCHE IN SIGLA OD IN FORM A ABBREVIATA PER L'IDENTIFICAZIONE DEI PRODOTTI ALTESINO S.R.L. E A.A.A. S.R. L.</t>
  </si>
  <si>
    <t>00865690523</t>
  </si>
  <si>
    <t>012100</t>
  </si>
  <si>
    <t>Siena</t>
  </si>
  <si>
    <t>Toscana</t>
  </si>
  <si>
    <t>016300</t>
  </si>
  <si>
    <t>014100</t>
  </si>
  <si>
    <t>Sardegna</t>
  </si>
  <si>
    <t>Pisa</t>
  </si>
  <si>
    <t>AZIENDA AGRICOLA DRUGOLO S.R.L. SOCIETA' AGRICOLA</t>
  </si>
  <si>
    <t>01865170151</t>
  </si>
  <si>
    <t>014600</t>
  </si>
  <si>
    <t>Brescia</t>
  </si>
  <si>
    <t>Lombardia</t>
  </si>
  <si>
    <t>AGRICOLA VITALE SRL - SOCIETA' AGRICOLA</t>
  </si>
  <si>
    <t>02552310613</t>
  </si>
  <si>
    <t>Caserta</t>
  </si>
  <si>
    <t>Campania</t>
  </si>
  <si>
    <t>CANTINA MESA S.R.L. - SOCIETA' AGRICOLA</t>
  </si>
  <si>
    <t>03754000929</t>
  </si>
  <si>
    <t>COOPERATIVA EVANCON SOC. COOP.</t>
  </si>
  <si>
    <t>00132450073</t>
  </si>
  <si>
    <t>Valle d'Aosta/Vallée d'Aoste</t>
  </si>
  <si>
    <t>016100</t>
  </si>
  <si>
    <t>Sicilia</t>
  </si>
  <si>
    <t>Veneto</t>
  </si>
  <si>
    <t>COOPERATIVA PRODUTTORI AGRICOLI VAL DI SERCHIO SOCIETA' AGRICOLA</t>
  </si>
  <si>
    <t>00204720502</t>
  </si>
  <si>
    <t>TENUTA ROVEGLIA ZWEIFEL-AZZONE S.R.L. SOCIETA' AGRICOLA IN FORMA ABBREVIATA TEN.ROV. S.R.L. SOCIETA' AGRICOLA O T.R. S.R.L. SOCIETA' ARICOLA, O TENUTA ROVEGLIA S.R.L. SOCIETA' AGRICOLA O ROVEGLIA S.R.L. SOCIETA' AGRICOLA</t>
  </si>
  <si>
    <t>01509370985</t>
  </si>
  <si>
    <t>Vicenza</t>
  </si>
  <si>
    <t>Friuli-Venezia Giulia</t>
  </si>
  <si>
    <t>LATTERIA SOCIALE DI TRISSINO SOCIETA' COOPERATIVA AGRICOLA</t>
  </si>
  <si>
    <t>00176940245</t>
  </si>
  <si>
    <t>014000</t>
  </si>
  <si>
    <t>AGROMAR-SOC.COOP.AGRICOLA A R.L.</t>
  </si>
  <si>
    <t>03321180634</t>
  </si>
  <si>
    <t>016000</t>
  </si>
  <si>
    <t>Napoli</t>
  </si>
  <si>
    <t>DI PASQUALE S.R.L.</t>
  </si>
  <si>
    <t>01993730850</t>
  </si>
  <si>
    <t>012000</t>
  </si>
  <si>
    <t>Caltanissetta</t>
  </si>
  <si>
    <t>SA MARIGOSA SOCIETA' CONSORTILE A R.L.</t>
  </si>
  <si>
    <t>01119730958</t>
  </si>
  <si>
    <t>Oristano</t>
  </si>
  <si>
    <t>FATTORIA MONSANTO DI BIANCHI FABRIZIO SOCIETA' AGRICOLA A RESPONSABILITA' LIMITATA (O, ANCHE, IN FORMA ABBREVIATA FATTORIA MONSANTO DI BIANCHI FABRIZIO S.A.R.L. O ANCORA, FATTORIA MONSANTO S.A.R.L. )</t>
  </si>
  <si>
    <t>06802660487</t>
  </si>
  <si>
    <t>Firenze</t>
  </si>
  <si>
    <t>TENIMENTI CIVA SOCIETA' AGRICOLA S.R.L.</t>
  </si>
  <si>
    <t>00522260306</t>
  </si>
  <si>
    <t>Udine</t>
  </si>
  <si>
    <t>MAZZUFERI GROUP SRL</t>
  </si>
  <si>
    <t>02630950596</t>
  </si>
  <si>
    <t>Latina</t>
  </si>
  <si>
    <t>Lazio</t>
  </si>
  <si>
    <t>AGRI NOVANTA SOCIETA' COOPERATIVA AGRICOLA</t>
  </si>
  <si>
    <t>01337150229</t>
  </si>
  <si>
    <t>Trento</t>
  </si>
  <si>
    <t>Trentino-Alto Adige</t>
  </si>
  <si>
    <t>CASEIFICIO COMPRENSORIALE CERCEN SOCIETA' COOPERATIVA AGRICOLA</t>
  </si>
  <si>
    <t>00249980228</t>
  </si>
  <si>
    <t>014000</t>
  </si>
  <si>
    <t>Trento</t>
  </si>
  <si>
    <t>Trentino-Alto Adige</t>
  </si>
  <si>
    <t>ARCOBALENO O.P.SOCIETA' COOPERATIVA AGRICOLA</t>
  </si>
  <si>
    <t>01330090885</t>
  </si>
  <si>
    <t>011300</t>
  </si>
  <si>
    <t>Ragusa</t>
  </si>
  <si>
    <t>Sicilia</t>
  </si>
  <si>
    <t>014600</t>
  </si>
  <si>
    <t>BERINGER BLASS ITALIA S.R.L. SOCIETA' AGRICOLA</t>
  </si>
  <si>
    <t>12926500153</t>
  </si>
  <si>
    <t>012100</t>
  </si>
  <si>
    <t>Firenze</t>
  </si>
  <si>
    <t>Toscana</t>
  </si>
  <si>
    <t>Puglia</t>
  </si>
  <si>
    <t>COOPERATIVA AGRICOLA MONTANA PIANTE OFFICINALI E PRODOTTI AGRICOLI NATURALI - CAMPO SOCIETA COOPERATIVA AGRICOLA O IN SIGLA C.A.M.P.O. S.C.A.</t>
  </si>
  <si>
    <t>00382180412</t>
  </si>
  <si>
    <t>012800</t>
  </si>
  <si>
    <t>Pesaro Urbino</t>
  </si>
  <si>
    <t>Marche</t>
  </si>
  <si>
    <t>TENUTE CAMPAGNOLA &amp; RIGHETTI SOC. COOP. AGR. A R.L.</t>
  </si>
  <si>
    <t>04274500232</t>
  </si>
  <si>
    <t>Verona</t>
  </si>
  <si>
    <t>Veneto</t>
  </si>
  <si>
    <t>BAGLIO DI PIANETTO S.R.L. - SOCIETA' AGRICOLA</t>
  </si>
  <si>
    <t>02940950245</t>
  </si>
  <si>
    <t>Vicenza</t>
  </si>
  <si>
    <t>ORTOFRUTTA PREGIATA ZUCCARELLA SOCIETA' COOPERATIVA AGRICOLA</t>
  </si>
  <si>
    <t>01376840771</t>
  </si>
  <si>
    <t>012500</t>
  </si>
  <si>
    <t>Matera</t>
  </si>
  <si>
    <t>Basilicata</t>
  </si>
  <si>
    <t>SUD RIENERGY SOCIETA' AGRICOLA S.R.L.</t>
  </si>
  <si>
    <t>03094550781</t>
  </si>
  <si>
    <t>011110</t>
  </si>
  <si>
    <t>Cosenza</t>
  </si>
  <si>
    <t>Calabria</t>
  </si>
  <si>
    <t>Lazio</t>
  </si>
  <si>
    <t>FEDERAZIONE PROVINCIALE ALLEVATORI BOVINI DI RAZZA BRUNA COOPERATIVA E SOCIETA' AGRICOLA</t>
  </si>
  <si>
    <t>00145030219</t>
  </si>
  <si>
    <t>016209</t>
  </si>
  <si>
    <t>Bolzano/Bozen</t>
  </si>
  <si>
    <t>SOCIETA' AGRICOLA ARABIAN INSPIRATION S.R.L.</t>
  </si>
  <si>
    <t>01966490516</t>
  </si>
  <si>
    <t>014300</t>
  </si>
  <si>
    <t>Roma</t>
  </si>
  <si>
    <t>DAUNIA &amp; BIO - SOCIETA' COOPERATIVA</t>
  </si>
  <si>
    <t>03798010710</t>
  </si>
  <si>
    <t>016300</t>
  </si>
  <si>
    <t>Foggia</t>
  </si>
  <si>
    <t>LATTERIA SOCIALE DI CALVENZANO SOCIETA' COOPERATIVA AGRICOLA</t>
  </si>
  <si>
    <t>00218310167</t>
  </si>
  <si>
    <t>Bergamo</t>
  </si>
  <si>
    <t>Lombardia</t>
  </si>
  <si>
    <t>SOCIETA' AGRICOLA CAMPOTENESE S.R.L.</t>
  </si>
  <si>
    <t>03329280782</t>
  </si>
  <si>
    <t>ICON FRUIT SOCIETA' COOPERATIVA AGRICOLA</t>
  </si>
  <si>
    <t>01330120773</t>
  </si>
  <si>
    <t>SOCIETA' AGRICOLA LA GEMMA SRL</t>
  </si>
  <si>
    <t>03673770982</t>
  </si>
  <si>
    <t>Brescia</t>
  </si>
  <si>
    <t>CONSORZIO ORTOFRUTTA SICILIA SOCIETA' COOPERATIVA AGRICOLA</t>
  </si>
  <si>
    <t>04001520875</t>
  </si>
  <si>
    <t>012300</t>
  </si>
  <si>
    <t>Catania</t>
  </si>
  <si>
    <t>COOPERATIVA AGRICOLA BRACCIANTI COMPRENSORIO CERVESE SOCIETA' COOPERATIVA AGRICOLA PER AZIONI IN SIGLA C.A.B. COMPRENSORIO CERVESE SOC.COOP. AGR. P.A.</t>
  </si>
  <si>
    <t>00082110396</t>
  </si>
  <si>
    <t>010000</t>
  </si>
  <si>
    <t>Ravenna</t>
  </si>
  <si>
    <t>Emilia-Romagna</t>
  </si>
  <si>
    <t>MASSACCIO SOCIETA' A RESPONSABILITA' LIMITATA SOCIETA' AGRICOLA IN FORMA ABBREVIATA MASSACCIO S.R.L. SOCIETA' AGRICOLA</t>
  </si>
  <si>
    <t>02879660427</t>
  </si>
  <si>
    <t>014200</t>
  </si>
  <si>
    <t>Ancona</t>
  </si>
  <si>
    <t>LUSUCO SOCIETA' AGRICOLA COOPERATIVA , ENUNCIABILE ANCHE LUSUCO SOC.AGR.COOP.</t>
  </si>
  <si>
    <t>01233160330</t>
  </si>
  <si>
    <t>016100</t>
  </si>
  <si>
    <t>Piacenza</t>
  </si>
  <si>
    <t>Emilia-Romagna</t>
  </si>
  <si>
    <t>LUNGADIGE VENETO SOCIETA' COOPERATIVA AGRICOLA</t>
  </si>
  <si>
    <t>03435140235</t>
  </si>
  <si>
    <t>016300</t>
  </si>
  <si>
    <t>Rovigo</t>
  </si>
  <si>
    <t>Veneto</t>
  </si>
  <si>
    <t>014100</t>
  </si>
  <si>
    <t>Verona</t>
  </si>
  <si>
    <t>SOCIETA' COOPERATIVA AGRICOLA TERRE DELLA DAUNIA A R.L.</t>
  </si>
  <si>
    <t>04170250718</t>
  </si>
  <si>
    <t>011310</t>
  </si>
  <si>
    <t>Foggia</t>
  </si>
  <si>
    <t>Puglia</t>
  </si>
  <si>
    <t>SORGEVA SOC. COOP. AGRICOLA IN SIGLA SORGEVA</t>
  </si>
  <si>
    <t>00051320380</t>
  </si>
  <si>
    <t>011140</t>
  </si>
  <si>
    <t>Ferrara</t>
  </si>
  <si>
    <t>AYA COOP. AGRICOLTURA - SOCIETA' AGRICOLA COOPERATIVA</t>
  </si>
  <si>
    <t>03988770230</t>
  </si>
  <si>
    <t>LATTERIA VALLE SOCIETA' COOPERATIVA AGRICOLA</t>
  </si>
  <si>
    <t>00149000358</t>
  </si>
  <si>
    <t>014000</t>
  </si>
  <si>
    <t>Reggio nell'Emilia</t>
  </si>
  <si>
    <t>MASTROJANNI S.R.L. - SOCIETA' AGRICOLA</t>
  </si>
  <si>
    <t>10089051006</t>
  </si>
  <si>
    <t>012100</t>
  </si>
  <si>
    <t>Roma</t>
  </si>
  <si>
    <t>Lazio</t>
  </si>
  <si>
    <t>Milano</t>
  </si>
  <si>
    <t>Lombardia</t>
  </si>
  <si>
    <t>CEREALI MARCHIORI S.R.L. - UNIPERSONALE</t>
  </si>
  <si>
    <t>01966340240</t>
  </si>
  <si>
    <t>Vicenza</t>
  </si>
  <si>
    <t>FATTORIA MAZZALUPO S.R.L.</t>
  </si>
  <si>
    <t>00359280518</t>
  </si>
  <si>
    <t>011000</t>
  </si>
  <si>
    <t>Arezzo</t>
  </si>
  <si>
    <t>Toscana</t>
  </si>
  <si>
    <t>SOCIETA' COOPERATIVA AGRICOLA CIRCE</t>
  </si>
  <si>
    <t>02767230598</t>
  </si>
  <si>
    <t>Latina</t>
  </si>
  <si>
    <t>S. PIETRO DEL GALLO - SOCIETA' AGRICOLA COOPERATIVA</t>
  </si>
  <si>
    <t>00526260047</t>
  </si>
  <si>
    <t>Cuneo</t>
  </si>
  <si>
    <t>Piemonte</t>
  </si>
  <si>
    <t>INNESTI LEOPARDI S.R.L. - SOCIETA' AGRICOLA</t>
  </si>
  <si>
    <t>01772600431</t>
  </si>
  <si>
    <t>013000</t>
  </si>
  <si>
    <t>Macerata</t>
  </si>
  <si>
    <t>Marche</t>
  </si>
  <si>
    <t>Brindisi</t>
  </si>
  <si>
    <t>MASSERIA LI VELI - SOCIETA' AGRICOLA S.R.L.</t>
  </si>
  <si>
    <t>01857250748</t>
  </si>
  <si>
    <t>010000</t>
  </si>
  <si>
    <t>SOCIETA' AGRICOLA QUERCIABELLA S.P.A. O IN FORMA ABBREVIATA AGRICOLA QUERCIABELLA S.P.A. O QUERCIABELLA S.P.A.</t>
  </si>
  <si>
    <t>03398390157</t>
  </si>
  <si>
    <t>TERA SEEDS SOCIETA' A RESPONSABILITA' LIMITATA CONSORTILE</t>
  </si>
  <si>
    <t>03806440404</t>
  </si>
  <si>
    <t>016409</t>
  </si>
  <si>
    <t>Forlì-Cesena</t>
  </si>
  <si>
    <t>LATTERIA SOCIALE DI BRANZI CASEARIA SOCIETA' AGRICOLA COOPERATIVA</t>
  </si>
  <si>
    <t>00231920166</t>
  </si>
  <si>
    <t>Bergamo</t>
  </si>
  <si>
    <t>SEMPREVERDE S.R.L. SOCIETA' AGRICOLA</t>
  </si>
  <si>
    <t>06773150724</t>
  </si>
  <si>
    <t>Bari</t>
  </si>
  <si>
    <t>SOCIETA' AGRICOLA AGRISISTEMA S.R.L.</t>
  </si>
  <si>
    <t>01305040527</t>
  </si>
  <si>
    <t>Siena</t>
  </si>
  <si>
    <t>Foggia</t>
  </si>
  <si>
    <t>Puglia</t>
  </si>
  <si>
    <t>LINEA VERDE S.R.L.</t>
  </si>
  <si>
    <t>00869800243</t>
  </si>
  <si>
    <t>016100</t>
  </si>
  <si>
    <t>Vicenza</t>
  </si>
  <si>
    <t>Veneto</t>
  </si>
  <si>
    <t>Campania</t>
  </si>
  <si>
    <t>REAL SERVICE SOCIETA' COOPERATIVA</t>
  </si>
  <si>
    <t>01650250333</t>
  </si>
  <si>
    <t>Brescia</t>
  </si>
  <si>
    <t>Lombardia</t>
  </si>
  <si>
    <t>COVIRO SOCIETA' CONSORTILE A RESPONSABILITA' LIMITATA IN SIGLA COVIRO SOC. CONS. A R.L.</t>
  </si>
  <si>
    <t>02217360391</t>
  </si>
  <si>
    <t>013000</t>
  </si>
  <si>
    <t>Ravenna</t>
  </si>
  <si>
    <t>Emilia-Romagna</t>
  </si>
  <si>
    <t>SAF SRL</t>
  </si>
  <si>
    <t>04102060987</t>
  </si>
  <si>
    <t>S.I.O. SOCIETA' ITALIANA OLEARIA S.P.A.</t>
  </si>
  <si>
    <t>01590290712</t>
  </si>
  <si>
    <t>012600</t>
  </si>
  <si>
    <t>Toscana</t>
  </si>
  <si>
    <t>SOCIETA' AGRICOLA TERRE FRIULANE S.R.L.</t>
  </si>
  <si>
    <t>01916200304</t>
  </si>
  <si>
    <t>012100</t>
  </si>
  <si>
    <t>Udine</t>
  </si>
  <si>
    <t>Friuli-Venezia Giulia</t>
  </si>
  <si>
    <t>CAVITRIA - CASA VINICOLA TRIACCA S.R.L. - TALE DENOMINAZIONE PO TRA' ESSERE ABBREVIATA IN CAVITRIA S.R.L. O IN CASA VINICOLA TRIACCA S.R.L.</t>
  </si>
  <si>
    <t>00635380140</t>
  </si>
  <si>
    <t>Sondrio</t>
  </si>
  <si>
    <t>CASCINA BOSCO GEROLO SOCIETA' AGRICOLA S.R.L.</t>
  </si>
  <si>
    <t>01547740330</t>
  </si>
  <si>
    <t>014100</t>
  </si>
  <si>
    <t>Piacenza</t>
  </si>
  <si>
    <t>ALLEVAMENTI FALCO S.R.L.</t>
  </si>
  <si>
    <t>02363070612</t>
  </si>
  <si>
    <t>014700</t>
  </si>
  <si>
    <t>Caserta</t>
  </si>
  <si>
    <t>MONTEVERRO S.R.L. - SOCIETA' AGRICOLA</t>
  </si>
  <si>
    <t>04032300966</t>
  </si>
  <si>
    <t>Grosseto</t>
  </si>
  <si>
    <t>SOCIETA' AGRICOLA FLOVER S.R.L.</t>
  </si>
  <si>
    <t>02535690982</t>
  </si>
  <si>
    <t>011920</t>
  </si>
  <si>
    <t>SOCIETA' AGRICOLA VALIANO S.R.L.</t>
  </si>
  <si>
    <t>01231970524</t>
  </si>
  <si>
    <t>Siena</t>
  </si>
  <si>
    <t>AZIENDA AGRICOLA ISOLA DELLA NATURA MARKETING S.R.L.</t>
  </si>
  <si>
    <t>01298580893</t>
  </si>
  <si>
    <t>012300</t>
  </si>
  <si>
    <t>Siracusa</t>
  </si>
  <si>
    <t>Sicilia</t>
  </si>
  <si>
    <t>CANTINA SOCIALE COOPERATIVA DI SAN DONACI SOCIETA' COOPERATIVA AGRICOLA</t>
  </si>
  <si>
    <t>00061570743</t>
  </si>
  <si>
    <t>Brindisi</t>
  </si>
  <si>
    <t>VIVAIO GREEN PLANT S.R.L. AGRICOLA</t>
  </si>
  <si>
    <t>01668010885</t>
  </si>
  <si>
    <t>Ragusa</t>
  </si>
  <si>
    <t>COOPERATIVA AGRICOLA MELCHIORRE</t>
  </si>
  <si>
    <t>01689140620</t>
  </si>
  <si>
    <t>012500</t>
  </si>
  <si>
    <t>Benevento</t>
  </si>
  <si>
    <t>MADONNA DI LORETO SOCIETA' COOPERATIVA AGRICOLA</t>
  </si>
  <si>
    <t>00614900694</t>
  </si>
  <si>
    <t>Chieti</t>
  </si>
  <si>
    <t>Abruzzo</t>
  </si>
  <si>
    <t>SOLSICANO SOCIETA' AGRICOLA A RESPONSABILITA' LIMITATA</t>
  </si>
  <si>
    <t>02298570223</t>
  </si>
  <si>
    <t>Trento</t>
  </si>
  <si>
    <t>Trentino-Alto Adige</t>
  </si>
  <si>
    <t>Forlì-Cesena</t>
  </si>
  <si>
    <t>Emilia-Romagna</t>
  </si>
  <si>
    <t>ORGANIZZAZIONE DI PRODUTTORI - ASSOCIAZIONE INTERPROVINCIALE PASTORI SARDI - SOCIETA' COOPERATIVA AGRICOLA IN FORMA ABBREVIATA A.S.P.I.- SOCIETA' COOPERATIVA AGRICOLA</t>
  </si>
  <si>
    <t>00656540952</t>
  </si>
  <si>
    <t>016100</t>
  </si>
  <si>
    <t>Sardegna</t>
  </si>
  <si>
    <t>016300</t>
  </si>
  <si>
    <t>Toscana</t>
  </si>
  <si>
    <t>FERNANDO PIGHIN &amp; FIGLI - SOCIETA' AGRICOLA A RESPONSABILITA' LIMITATA O PIU' BREVEMENTE EFFEPI - S.AGR. A R.L.</t>
  </si>
  <si>
    <t>02308630306</t>
  </si>
  <si>
    <t>012000</t>
  </si>
  <si>
    <t>Udine</t>
  </si>
  <si>
    <t>Friuli-Venezia Giulia</t>
  </si>
  <si>
    <t>LA CORATINA SOCIETA' COOPERATIVA</t>
  </si>
  <si>
    <t>00433470721</t>
  </si>
  <si>
    <t>016000</t>
  </si>
  <si>
    <t>Bari</t>
  </si>
  <si>
    <t>Puglia</t>
  </si>
  <si>
    <t>SOCIETA' AGRICOLA SICIL-VIVAI A R.L.</t>
  </si>
  <si>
    <t>01270160888</t>
  </si>
  <si>
    <t>013000</t>
  </si>
  <si>
    <t>Ragusa</t>
  </si>
  <si>
    <t>Sicilia</t>
  </si>
  <si>
    <t>SOCIETA' COOPERATIVA AGRICOLTORI E PRODUTTORI ORTOFRUTTICOLI SOCIETA' AGRICOLA</t>
  </si>
  <si>
    <t>01581560537</t>
  </si>
  <si>
    <t>Grosseto</t>
  </si>
  <si>
    <t>SOCIETA' COOPERATIVA AGRICOLA STALLA SOCIALE PIAZZOLA DI BIBBIANO</t>
  </si>
  <si>
    <t>00341560357</t>
  </si>
  <si>
    <t>014100</t>
  </si>
  <si>
    <t>Reggio nell'Emilia</t>
  </si>
  <si>
    <t>COOP.ORTOFRUTTICOLA S.BIAGIO</t>
  </si>
  <si>
    <t>04050311218</t>
  </si>
  <si>
    <t>011000</t>
  </si>
  <si>
    <t>Napoli</t>
  </si>
  <si>
    <t>Campania</t>
  </si>
  <si>
    <t>F.LLI VALCALCER S.R.L. - SOCIETA' AGRICOLA</t>
  </si>
  <si>
    <t>04673510659</t>
  </si>
  <si>
    <t>011320</t>
  </si>
  <si>
    <t>Salerno</t>
  </si>
  <si>
    <t>SOCIETA' COOPERATIVA LA PINETA</t>
  </si>
  <si>
    <t>02244020711</t>
  </si>
  <si>
    <t>Foggia</t>
  </si>
  <si>
    <t>COOPERATIVA LAVORATORI DELLA TERRA SOCIETA' COOPERATIVA AGRICOLA IN SIGLA C.L.T. SOC. COOP. AGRICOLA</t>
  </si>
  <si>
    <t>00512401209</t>
  </si>
  <si>
    <t>011140</t>
  </si>
  <si>
    <t>Bologna</t>
  </si>
  <si>
    <t>NUOVA AGRICOLTURA ORTOFRUTTICOLA SOCIETA' A RESPONSABILITA' LIMITATA</t>
  </si>
  <si>
    <t>01615970710</t>
  </si>
  <si>
    <t>Barletta-Andria-Trani</t>
  </si>
  <si>
    <t>CVA CANICATTI' SOCIETA' COOPERATIVA AGRICOLA</t>
  </si>
  <si>
    <t>00116290842</t>
  </si>
  <si>
    <t>012100</t>
  </si>
  <si>
    <t>Agrigento</t>
  </si>
  <si>
    <t>BIRRA SALENTO S.R.L. - SOCIETA' AGRICOLA</t>
  </si>
  <si>
    <t>04285260750</t>
  </si>
  <si>
    <t>011110</t>
  </si>
  <si>
    <t>Lecce</t>
  </si>
  <si>
    <t>SOCIETA' AGRICOLA KAMARINA S.R.L.</t>
  </si>
  <si>
    <t>01151190889</t>
  </si>
  <si>
    <t>011300</t>
  </si>
  <si>
    <t>CGS SEMENTI S.P.A.</t>
  </si>
  <si>
    <t>01363630433</t>
  </si>
  <si>
    <t>016409</t>
  </si>
  <si>
    <t>Terni</t>
  </si>
  <si>
    <t>Umbria</t>
  </si>
  <si>
    <t>COR SOCIETA' COOPERATIVA AGRICOLA</t>
  </si>
  <si>
    <t>04194020402</t>
  </si>
  <si>
    <t>VALVERDE SRL</t>
  </si>
  <si>
    <t>01518610835</t>
  </si>
  <si>
    <t>014700</t>
  </si>
  <si>
    <t>Messina</t>
  </si>
  <si>
    <t>Sicilia</t>
  </si>
  <si>
    <t>ORTONATURA LOMBARDIA SOCIETA' AGRICOLA COOPERATIVA</t>
  </si>
  <si>
    <t>11849100158</t>
  </si>
  <si>
    <t>011300</t>
  </si>
  <si>
    <t>Milano</t>
  </si>
  <si>
    <t>Lombardia</t>
  </si>
  <si>
    <t>COOPERATIVA PRODUTTORI SEMENTI DELLA VAL PUSTERIA SOCIETA' AGRICOLA</t>
  </si>
  <si>
    <t>00126490218</t>
  </si>
  <si>
    <t>016000</t>
  </si>
  <si>
    <t>Bolzano/Bozen</t>
  </si>
  <si>
    <t>Trentino-Alto Adige</t>
  </si>
  <si>
    <t>016300</t>
  </si>
  <si>
    <t>LA.C.ME. LAVORATORI CRISTIANI MEDICINESI SOCIETA' AGRICOLA COOPER ATIVA</t>
  </si>
  <si>
    <t>00678481201</t>
  </si>
  <si>
    <t>011000</t>
  </si>
  <si>
    <t>Bologna</t>
  </si>
  <si>
    <t>Emilia-Romagna</t>
  </si>
  <si>
    <t>Veneto</t>
  </si>
  <si>
    <t>Barletta-Andria-Trani</t>
  </si>
  <si>
    <t>Puglia</t>
  </si>
  <si>
    <t>AGRICOOP CANOSA SOCIETA' COOPERATIVA AGRICOLA</t>
  </si>
  <si>
    <t>03350360727</t>
  </si>
  <si>
    <t>013000</t>
  </si>
  <si>
    <t>COFRUITS SOC. COOP.</t>
  </si>
  <si>
    <t>00040930075</t>
  </si>
  <si>
    <t>012400</t>
  </si>
  <si>
    <t>Valle d'Aosta/Vallée d'Aoste</t>
  </si>
  <si>
    <t>Campania</t>
  </si>
  <si>
    <t>F.A. SERVICE SOCIETA' AGRICOLA S.R.L.</t>
  </si>
  <si>
    <t>03824160711</t>
  </si>
  <si>
    <t>011310</t>
  </si>
  <si>
    <t>Salerno</t>
  </si>
  <si>
    <t>Bari</t>
  </si>
  <si>
    <t>VALLE BRUNA SOCIETA' COOPERATIVA AGRICOLA</t>
  </si>
  <si>
    <t>00081200537</t>
  </si>
  <si>
    <t>015000</t>
  </si>
  <si>
    <t>Grosseto</t>
  </si>
  <si>
    <t>Toscana</t>
  </si>
  <si>
    <t>IL GERMOGLIO COOPERATIVA SOCIALE SOC. A R.L.</t>
  </si>
  <si>
    <t>00747740330</t>
  </si>
  <si>
    <t>011921</t>
  </si>
  <si>
    <t>Piacenza</t>
  </si>
  <si>
    <t>012100</t>
  </si>
  <si>
    <t>014200</t>
  </si>
  <si>
    <t>TRENTIN SOCIETA' AGRICOLA SRL</t>
  </si>
  <si>
    <t>04431680752</t>
  </si>
  <si>
    <t>Lecce</t>
  </si>
  <si>
    <t>LE VIGNE DEL DOGADO SOCIETA' AGRICOLA S.R.L.</t>
  </si>
  <si>
    <t>04007970272</t>
  </si>
  <si>
    <t>Venezia</t>
  </si>
  <si>
    <t>SOCIETA' AGRICOLA CERETO BASSO S.P.A.</t>
  </si>
  <si>
    <t>01801480987</t>
  </si>
  <si>
    <t>Brescia</t>
  </si>
  <si>
    <t>GIANNI STEA IMPORT - EXPORT SOCIETA' A RESPONSABILITA' LIMITATA</t>
  </si>
  <si>
    <t>06023530725</t>
  </si>
  <si>
    <t>012000</t>
  </si>
  <si>
    <t>TOBACCO INTERNATIONAL S.R.L.</t>
  </si>
  <si>
    <t>07442291212</t>
  </si>
  <si>
    <t>Napoli</t>
  </si>
  <si>
    <t>FUNGO PUGLIA - SOCIETA' COOPERATIVA A RESPONSABILITA' LIMITATA</t>
  </si>
  <si>
    <t>00432730729</t>
  </si>
  <si>
    <t>011320</t>
  </si>
  <si>
    <t>VINICOLA FILIPPI S.R.L.</t>
  </si>
  <si>
    <t>00084390392</t>
  </si>
  <si>
    <t>012100</t>
  </si>
  <si>
    <t>Ravenna</t>
  </si>
  <si>
    <t>Emilia-Romagna</t>
  </si>
  <si>
    <t>Lombardia</t>
  </si>
  <si>
    <t>Veneto</t>
  </si>
  <si>
    <t>CASA VINICOLA PIETRO NERA S.R.L. - LA SOCIETA' OPERERA' IN CAMPO VITIVINICOLO COME CASA VINICOLA PIETRO NERA SRL, CANTINA S.CARLO, CANTINA TELLINA, CA.VI.NE., VINATTIERI VALTELLINESI, CANTINIERI VALTELLINESI, CANTINA VALTELLINESE, CANTINA RAETHIA, FRATEL</t>
  </si>
  <si>
    <t>00141640144</t>
  </si>
  <si>
    <t>Sondrio</t>
  </si>
  <si>
    <t>Campania</t>
  </si>
  <si>
    <t>CASEIFICIO SOCIALE DI MINOZZO DI VILLA MINOZZO SOCIETA' COOPERATI VA AGRICOLA</t>
  </si>
  <si>
    <t>00129920351</t>
  </si>
  <si>
    <t>016000</t>
  </si>
  <si>
    <t>Reggio nell'Emilia</t>
  </si>
  <si>
    <t>GERMANI S.R.L.</t>
  </si>
  <si>
    <t>08584240967</t>
  </si>
  <si>
    <t>016100</t>
  </si>
  <si>
    <t>Lodi</t>
  </si>
  <si>
    <t>CASTELLO DI MELETO SOCIETA' AGRICOLA PER AZIONI</t>
  </si>
  <si>
    <t>00906740527</t>
  </si>
  <si>
    <t>Siena</t>
  </si>
  <si>
    <t>Toscana</t>
  </si>
  <si>
    <t>PIC ITALIA S.R.L.</t>
  </si>
  <si>
    <t>02083660544</t>
  </si>
  <si>
    <t>014600</t>
  </si>
  <si>
    <t>Perugia</t>
  </si>
  <si>
    <t>Umbria</t>
  </si>
  <si>
    <t>TENUTA SAN GIORGIO S.R.L. SOCIETA' AGRICOLA</t>
  </si>
  <si>
    <t>00296500267</t>
  </si>
  <si>
    <t>Treviso</t>
  </si>
  <si>
    <t>SOCIETA' AGRICOLA PUNZI S.R.L.</t>
  </si>
  <si>
    <t>03928390651</t>
  </si>
  <si>
    <t>011320</t>
  </si>
  <si>
    <t>Salerno</t>
  </si>
  <si>
    <t>SOCIETA' AGRICOLA TERRANTICA SOCIETA' A RESPONSABILITA' LIMITATA IN BREVE SOCIETA' AGRICOLA TERRANTICA S.R.L.</t>
  </si>
  <si>
    <t>01410810533</t>
  </si>
  <si>
    <t>011140</t>
  </si>
  <si>
    <t>Grosseto</t>
  </si>
  <si>
    <t>COOPERATIVA AGRICOLA BRACCIANTI DI BAGNACAVALLO E FAENZA SOCIETA' COOPERATIVA AGRICOLA IN SIGLA CAB BAGNACAVALLO E FAENZA SOC. COOP. AGR.</t>
  </si>
  <si>
    <t>00068870393</t>
  </si>
  <si>
    <t>SURRAU S.R.L.- SOCIETA' AGRICOLA</t>
  </si>
  <si>
    <t>02045680903</t>
  </si>
  <si>
    <t>Sassari</t>
  </si>
  <si>
    <t>Sardegna</t>
  </si>
  <si>
    <t>POGGIO ANTICO SOCIETA AGRICOLA A RESPONSABILITA LIMITATA CON UNICO SOCIO O BREVEMENTE AGRIPA SOCIETA' AGRICOLA SRL O FAPA SOCIETA' AGRICOLA SRL.</t>
  </si>
  <si>
    <t>00218560522</t>
  </si>
  <si>
    <t>AGRIPALMA SOCIETA' COOPERATIVA AGRICOLA</t>
  </si>
  <si>
    <t>02603690849</t>
  </si>
  <si>
    <t>Agrigento</t>
  </si>
  <si>
    <t>Sicilia</t>
  </si>
  <si>
    <t>014100</t>
  </si>
  <si>
    <t>FROMAGERIE HAUT VAL D'AYAS SOC. COOP.</t>
  </si>
  <si>
    <t>01043840071</t>
  </si>
  <si>
    <t>Valle d'Aosta/Vallée d'Aoste</t>
  </si>
  <si>
    <t>SOCIETA' AGRICOLA FRATELLI BARBA S.R.L., ENUNCIABILE ANCHE IN SIGLA SABA S.R.L.</t>
  </si>
  <si>
    <t>00283640670</t>
  </si>
  <si>
    <t>015000</t>
  </si>
  <si>
    <t>Teramo</t>
  </si>
  <si>
    <t>Abruzzo</t>
  </si>
  <si>
    <t>CANTINA DI MONTEFIASCONE SOCIETA' COOPERATIVA AGRICOLA</t>
  </si>
  <si>
    <t>00061350567</t>
  </si>
  <si>
    <t>Viterbo</t>
  </si>
  <si>
    <t>Lazio</t>
  </si>
  <si>
    <t>VALVERBE - SOCIETA' AGRICOLA COOPERATIVA</t>
  </si>
  <si>
    <t>02464530043</t>
  </si>
  <si>
    <t>016300</t>
  </si>
  <si>
    <t>Cuneo</t>
  </si>
  <si>
    <t>Piemonte</t>
  </si>
  <si>
    <t>Campania</t>
  </si>
  <si>
    <t>014100</t>
  </si>
  <si>
    <t>Veneto</t>
  </si>
  <si>
    <t>P.A.F. PRODUTTORI AGRICOLI DEL FUCINO O.P.O. SOCIETA' COOPERATIVA A R.L.</t>
  </si>
  <si>
    <t>00226170660</t>
  </si>
  <si>
    <t>011310</t>
  </si>
  <si>
    <t>L'Aquila</t>
  </si>
  <si>
    <t>Abruzzo</t>
  </si>
  <si>
    <t>AURICCHIO &amp; SONS SOCIETA' CONSORTILE AGRICOLA A RESPONSABILITA' L IMITATA</t>
  </si>
  <si>
    <t>08329970720</t>
  </si>
  <si>
    <t>Bari</t>
  </si>
  <si>
    <t>Puglia</t>
  </si>
  <si>
    <t>SUI.ME.- SUINICOLA MERIDIONALE S.R.L.</t>
  </si>
  <si>
    <t>01105280620</t>
  </si>
  <si>
    <t>014600</t>
  </si>
  <si>
    <t>Benevento</t>
  </si>
  <si>
    <t>COOPRAGRICOLA BISCEGLIESE SOCIETA' COOPERATIVA</t>
  </si>
  <si>
    <t>00841530728</t>
  </si>
  <si>
    <t>Barletta-Andria-Trani</t>
  </si>
  <si>
    <t>COOPERATIVA AGRICOLA COSMOFLORA</t>
  </si>
  <si>
    <t>01366740080</t>
  </si>
  <si>
    <t>016100</t>
  </si>
  <si>
    <t>Imperia</t>
  </si>
  <si>
    <t>Liguria</t>
  </si>
  <si>
    <t>TENUTA DI CAPEZZANA SOCIETA' A RESPONSABILITA' LIMITATA O, BREVEMENTE CAPEZZANA SRL</t>
  </si>
  <si>
    <t>01700950973</t>
  </si>
  <si>
    <t>012100</t>
  </si>
  <si>
    <t>Prato</t>
  </si>
  <si>
    <t>Toscana</t>
  </si>
  <si>
    <t>Siracusa</t>
  </si>
  <si>
    <t>Sicilia</t>
  </si>
  <si>
    <t>CANTINA SOCIALE DI PUIANELLO E COVIOLO SOCIETA' COOPERATIVA AGRIC OLA</t>
  </si>
  <si>
    <t>00143700359</t>
  </si>
  <si>
    <t>Reggio nell'Emilia</t>
  </si>
  <si>
    <t>Emilia-Romagna</t>
  </si>
  <si>
    <t>SOCIETA' AGRICOLA CASCINA SEI ORE S.R.L.</t>
  </si>
  <si>
    <t>02355930989</t>
  </si>
  <si>
    <t>011140</t>
  </si>
  <si>
    <t>Brescia</t>
  </si>
  <si>
    <t>Lombardia</t>
  </si>
  <si>
    <t>ALBIFRUTTA - SOCIETA' COOPERATIVA AGRICOLA</t>
  </si>
  <si>
    <t>00523590040</t>
  </si>
  <si>
    <t>SOCIETA' AGRICOLA CASE LEVI S.R.L.</t>
  </si>
  <si>
    <t>04223700263</t>
  </si>
  <si>
    <t>015000</t>
  </si>
  <si>
    <t>Treviso</t>
  </si>
  <si>
    <t>PODERE LE RIPI SOCIETA' AGRICOLA A R.L.</t>
  </si>
  <si>
    <t>00974960528</t>
  </si>
  <si>
    <t>Roma</t>
  </si>
  <si>
    <t>Lazio</t>
  </si>
  <si>
    <t>PRODUTTORI AGRICOLI SIRACUSANI ASSOCIATI MAGLIOCCO SOCIETA' COOPERATIVA AGRICOLA</t>
  </si>
  <si>
    <t>01919980894</t>
  </si>
  <si>
    <t>MIIM SOCIETA' AGRICOLA A RESPONSABILITA' LIMITATA</t>
  </si>
  <si>
    <t>03046790733</t>
  </si>
  <si>
    <t>Taranto</t>
  </si>
  <si>
    <t>SOCIETA' AGRICOLA PETRA SRL O IN FORMA ABBREVIATA S.A.P. S.R.L.</t>
  </si>
  <si>
    <t>01261500498</t>
  </si>
  <si>
    <t>Livorno</t>
  </si>
  <si>
    <t>ORTOFRUTTA CANDELA SOCIETA' AGRICOLA A RESPONSABILITA' LIMITATA</t>
  </si>
  <si>
    <t>05191940724</t>
  </si>
  <si>
    <t>SANTA CATERINA S.R.L. - SOCIETA' AGRICOLA</t>
  </si>
  <si>
    <t>02100150305</t>
  </si>
  <si>
    <t>Udine</t>
  </si>
  <si>
    <t>Friuli-Venezia Giulia</t>
  </si>
  <si>
    <t>OLEIFICIO COOPERATIVO PRODUTTORI AGRICOLI DI BITETTO SOC. COOP.</t>
  </si>
  <si>
    <t>00355380726</t>
  </si>
  <si>
    <t>AZIENDA AGRICOLA F.LLI BERLUCCHI S.R.L. - SOCIETA' AGRICOLA</t>
  </si>
  <si>
    <t>01555790177</t>
  </si>
  <si>
    <t>EUROCOOP - SOCIETA' COOPERATIVA AGRICOLA</t>
  </si>
  <si>
    <t>00927310722</t>
  </si>
  <si>
    <t>CASEARIA CROCETTA SOCIETA' COOPERATIVA AGRICOLA</t>
  </si>
  <si>
    <t>02721180350</t>
  </si>
  <si>
    <t>AGRO SYSTEM S.R.L.</t>
  </si>
  <si>
    <t>01436220931</t>
  </si>
  <si>
    <t>Pordenone</t>
  </si>
  <si>
    <t>LATTERIA SOCIALE S. GIORGIO SOCIETA' COOPERATIVA AGRICOLA</t>
  </si>
  <si>
    <t>00142010354</t>
  </si>
  <si>
    <t>014100</t>
  </si>
  <si>
    <t>Reggio nell'Emilia</t>
  </si>
  <si>
    <t>Emilia-Romagna</t>
  </si>
  <si>
    <t>CANTINA COOPERATIVA DI PITIGLIANO, SOCIETA' AGRICOLA COOPERATIVA</t>
  </si>
  <si>
    <t>00070470539</t>
  </si>
  <si>
    <t>012100</t>
  </si>
  <si>
    <t>Grosseto</t>
  </si>
  <si>
    <t>Toscana</t>
  </si>
  <si>
    <t>BIRLA SOCIETA' AGRICOLA S.R.L.</t>
  </si>
  <si>
    <t>02247320209</t>
  </si>
  <si>
    <t>014600</t>
  </si>
  <si>
    <t>Brescia</t>
  </si>
  <si>
    <t>Lombardia</t>
  </si>
  <si>
    <t>016100</t>
  </si>
  <si>
    <t>Foggia</t>
  </si>
  <si>
    <t>Puglia</t>
  </si>
  <si>
    <t>SOCIETA' AGRICOLA TICINO VIVAI S.R.L.</t>
  </si>
  <si>
    <t>04865840963</t>
  </si>
  <si>
    <t>013000</t>
  </si>
  <si>
    <t>Milano</t>
  </si>
  <si>
    <t>ROMAGNA IMPIANTI SRL</t>
  </si>
  <si>
    <t>03290781206</t>
  </si>
  <si>
    <t>Bologna</t>
  </si>
  <si>
    <t>IL NOCETO SOCIETA' COOPERATIVA AGRICOLA</t>
  </si>
  <si>
    <t>03137810267</t>
  </si>
  <si>
    <t>016300</t>
  </si>
  <si>
    <t>Treviso</t>
  </si>
  <si>
    <t>Veneto</t>
  </si>
  <si>
    <t>AGRINOVA BIO 2000 - ASSOCIAZIONE PRODUTTORI AGRICOLI BIOLOGICI - SOCIETA' COOPERATIVA</t>
  </si>
  <si>
    <t>03640970871</t>
  </si>
  <si>
    <t>011300</t>
  </si>
  <si>
    <t>Catania</t>
  </si>
  <si>
    <t>Sicilia</t>
  </si>
  <si>
    <t>MARCHESI GINORI LISCI S.R.L. SOCIETA' AGRICOLA</t>
  </si>
  <si>
    <t>01405010487</t>
  </si>
  <si>
    <t>011110</t>
  </si>
  <si>
    <t>Firenze</t>
  </si>
  <si>
    <t>CIPRIANI ANTONIO S.R.L.</t>
  </si>
  <si>
    <t>01334180138</t>
  </si>
  <si>
    <t>011900</t>
  </si>
  <si>
    <t>Como</t>
  </si>
  <si>
    <t>D'ARIES S.R.L.</t>
  </si>
  <si>
    <t>01926550714</t>
  </si>
  <si>
    <t>012600</t>
  </si>
  <si>
    <t>MONALDI AGRICOLA S.R.L.</t>
  </si>
  <si>
    <t>04200410233</t>
  </si>
  <si>
    <t>014700</t>
  </si>
  <si>
    <t>Verona</t>
  </si>
  <si>
    <t>VITAFRUIT SOCIETA' AGRICOLA S.R.L.</t>
  </si>
  <si>
    <t>02829530217</t>
  </si>
  <si>
    <t>012000</t>
  </si>
  <si>
    <t>Bolzano/Bozen</t>
  </si>
  <si>
    <t>Trentino-Alto Adige</t>
  </si>
  <si>
    <t>COOPERNOCCIOLE SOCIETA' COOPERATIVA AGRICOLA</t>
  </si>
  <si>
    <t>00060700564</t>
  </si>
  <si>
    <t>Viterbo</t>
  </si>
  <si>
    <t>Lazio</t>
  </si>
  <si>
    <t>SOCIETA' AGRICOLA MILELLA S.R.L.</t>
  </si>
  <si>
    <t>05862960720</t>
  </si>
  <si>
    <t>Bari</t>
  </si>
  <si>
    <t>AGRICOLA VITTORIO SOCIETA' AGRICOLA A RESPONSABILITA'LIMITATA</t>
  </si>
  <si>
    <t>03347730982</t>
  </si>
  <si>
    <t>014200</t>
  </si>
  <si>
    <t>012100</t>
  </si>
  <si>
    <t>Campania</t>
  </si>
  <si>
    <t>015000</t>
  </si>
  <si>
    <t>AZIENDA BUFALINA FRANZESE SOCIETA' AGRICOLA S.R.L.</t>
  </si>
  <si>
    <t>04190780611</t>
  </si>
  <si>
    <t>014100</t>
  </si>
  <si>
    <t>Caserta</t>
  </si>
  <si>
    <t>LA LIVREA SOCIETA' AGRICOLA SRL</t>
  </si>
  <si>
    <t>02653650594</t>
  </si>
  <si>
    <t>011990</t>
  </si>
  <si>
    <t>Latina</t>
  </si>
  <si>
    <t>Lazio</t>
  </si>
  <si>
    <t>CANTINA SOCIALE S. ANTONIO SOCIETA' COOPERATIVA AGRICOLA</t>
  </si>
  <si>
    <t>00141240812</t>
  </si>
  <si>
    <t>Trapani</t>
  </si>
  <si>
    <t>Sicilia</t>
  </si>
  <si>
    <t>COAGRI PISA SOCIETA' AGRICOLA COOPERATIVA A R.L.</t>
  </si>
  <si>
    <t>01220830507</t>
  </si>
  <si>
    <t>016100</t>
  </si>
  <si>
    <t>Pisa</t>
  </si>
  <si>
    <t>Toscana</t>
  </si>
  <si>
    <t>LA VITE D'ORO S.R.L.</t>
  </si>
  <si>
    <t>02702960044</t>
  </si>
  <si>
    <t>Cuneo</t>
  </si>
  <si>
    <t>Piemonte</t>
  </si>
  <si>
    <t>RISERIA LA PILA SOCIETA' AGRICOLA A R.L.</t>
  </si>
  <si>
    <t>04412700231</t>
  </si>
  <si>
    <t>011200</t>
  </si>
  <si>
    <t>Verona</t>
  </si>
  <si>
    <t>Veneto</t>
  </si>
  <si>
    <t>AZIENDA VITIVINICOLA PIETRO GAZZOLA - SOCIETA' AGRICOLA A RESPONSABILITA' LIMITATA ENUNCIABILE ANCHE A.V.P.G. SRL</t>
  </si>
  <si>
    <t>01484540339</t>
  </si>
  <si>
    <t>Piacenza</t>
  </si>
  <si>
    <t>Emilia-Romagna</t>
  </si>
  <si>
    <t>ARCADIA SOCIETA' AGRICOLA SRL</t>
  </si>
  <si>
    <t>01119510939</t>
  </si>
  <si>
    <t>Pordenone</t>
  </si>
  <si>
    <t>Friuli-Venezia Giulia</t>
  </si>
  <si>
    <t>COOPERATIVA AGRICOLA GALATERO SOCIETA' COOPERATIVA AGRICOLA</t>
  </si>
  <si>
    <t>02215590049</t>
  </si>
  <si>
    <t>016300</t>
  </si>
  <si>
    <t>SOCIETA' AGRICOLA VALSERENA S.R.L.</t>
  </si>
  <si>
    <t>00587600347</t>
  </si>
  <si>
    <t>Parma</t>
  </si>
  <si>
    <t>AGRIVIGNA B.D.E. S.R.L.</t>
  </si>
  <si>
    <t>01433670526</t>
  </si>
  <si>
    <t>Siena</t>
  </si>
  <si>
    <t>LA TORRE DI CASTEL ROCCHERO - VITICOLTORI ASSOCIATI - SOCIETA' C OOPERATIVA AGRICOLA</t>
  </si>
  <si>
    <t>00072040058</t>
  </si>
  <si>
    <t>Asti</t>
  </si>
  <si>
    <t>FRANCO IMPOSIMATO SOCIETA' COOPERATIVA AGRICOLA PER AZIONI</t>
  </si>
  <si>
    <t>01566200612</t>
  </si>
  <si>
    <t>011300</t>
  </si>
  <si>
    <t>NECOTIUM S.R.L. - SOCIETA' AGRICOLA</t>
  </si>
  <si>
    <t>06631671002</t>
  </si>
  <si>
    <t>Udine</t>
  </si>
  <si>
    <t>AZZURRA SOCIETA' COOPERATIVA AGRICOLA</t>
  </si>
  <si>
    <t>06955250482</t>
  </si>
  <si>
    <t>Firenze</t>
  </si>
  <si>
    <t>TENUTA DI COLTIBUONO - SOCIETA' AGRICOLA A RESPONSABILITA' LIMITA TA UNIPERSONALE IN FORMA ABBREVIATA TENUTA DI COLTIBUONO - S.R.L. UNIPERSONALE</t>
  </si>
  <si>
    <t>00516920527</t>
  </si>
  <si>
    <t>DELTAFRUTTA S. PIETRO IN CASALE SOCIETA' COOPERATIVA AGRICOLA</t>
  </si>
  <si>
    <t>00503991200</t>
  </si>
  <si>
    <t>Bologna</t>
  </si>
  <si>
    <t>AGRI MONTRESOR SOCIETA' AGRICOLA A RESPONSABILITA' LIMITATA CHE POTRA' ESSERE ABBREVIATA IN MONT.AGRI S.R.L. AGRICOLA E A.M. S.R.L. AGRICOLA</t>
  </si>
  <si>
    <t>04850730237</t>
  </si>
  <si>
    <t>O.P. SABINA - SOCIETA COOPERATIVA AGRICOLA</t>
  </si>
  <si>
    <t>02842450641</t>
  </si>
  <si>
    <t>Avellino</t>
  </si>
  <si>
    <t>ANCEO - GROTTAGLIE - TERRE IONICHE - SOCIETA' COOPERATIVA AGRICOLA</t>
  </si>
  <si>
    <t>02610160737</t>
  </si>
  <si>
    <t>012100</t>
  </si>
  <si>
    <t>Taranto</t>
  </si>
  <si>
    <t>Puglia</t>
  </si>
  <si>
    <t>VIRIDEA BRESCIA S.R.L.</t>
  </si>
  <si>
    <t>08286520963</t>
  </si>
  <si>
    <t>016100</t>
  </si>
  <si>
    <t>Milano</t>
  </si>
  <si>
    <t>Lombardia</t>
  </si>
  <si>
    <t>RIVABIANCA COOPERATIVA ALLEVATORI DI BUFALE PIANA DI PAESTUM SOCIETA' AGRICOLA</t>
  </si>
  <si>
    <t>02887740658</t>
  </si>
  <si>
    <t>014100</t>
  </si>
  <si>
    <t>Salerno</t>
  </si>
  <si>
    <t>Campania</t>
  </si>
  <si>
    <t>COOPERATIVA PASTORI CALABRESI SOCIETA' AGRICOLA</t>
  </si>
  <si>
    <t>02402360800</t>
  </si>
  <si>
    <t>016209</t>
  </si>
  <si>
    <t>Reggio di Calabria</t>
  </si>
  <si>
    <t>Calabria</t>
  </si>
  <si>
    <t>Friuli-Venezia Giulia</t>
  </si>
  <si>
    <t>VALLE DEL COGHINAS SOCIETA' COOPERATIVA AGRICOLA</t>
  </si>
  <si>
    <t>01693600908</t>
  </si>
  <si>
    <t>016300</t>
  </si>
  <si>
    <t>Sassari</t>
  </si>
  <si>
    <t>Sardegna</t>
  </si>
  <si>
    <t>SOCIETA' AGRICOLA VELTRI S.R.L.</t>
  </si>
  <si>
    <t>02080840784</t>
  </si>
  <si>
    <t>011310</t>
  </si>
  <si>
    <t>Catanzaro</t>
  </si>
  <si>
    <t>Latina</t>
  </si>
  <si>
    <t>Lazio</t>
  </si>
  <si>
    <t>Emilia-Romagna</t>
  </si>
  <si>
    <t>Siena</t>
  </si>
  <si>
    <t>Toscana</t>
  </si>
  <si>
    <t>MC VIVAI ITALIA SOCIETA' COOPERATIVA AGRICOLA</t>
  </si>
  <si>
    <t>01621210937</t>
  </si>
  <si>
    <t>Pordenone</t>
  </si>
  <si>
    <t>ORTICOLA TOMBOLILLO SOCIETA' AGRICOLA S.R.L.</t>
  </si>
  <si>
    <t>02911170591</t>
  </si>
  <si>
    <t>SOCIETA' AGRICOLA M.M. GROUP S.R.L.</t>
  </si>
  <si>
    <t>04315870230</t>
  </si>
  <si>
    <t>012800</t>
  </si>
  <si>
    <t>Verona</t>
  </si>
  <si>
    <t>Veneto</t>
  </si>
  <si>
    <t>014600</t>
  </si>
  <si>
    <t>SOCIETA' AGRICOLA CAPANNELLE S.R.L.</t>
  </si>
  <si>
    <t>00936340520</t>
  </si>
  <si>
    <t>SOCIETA' AGRICOLA GENEETIC S.R.L.</t>
  </si>
  <si>
    <t>02826680353</t>
  </si>
  <si>
    <t>Reggio nell'Emilia</t>
  </si>
  <si>
    <t>SPEZIALI ANTENORE S.R.L.</t>
  </si>
  <si>
    <t>01412420208</t>
  </si>
  <si>
    <t>Mantova</t>
  </si>
  <si>
    <t>AN.SA.PE.SOCIETA' COOPERATIVA AGRICOLA</t>
  </si>
  <si>
    <t>00267070662</t>
  </si>
  <si>
    <t>011110</t>
  </si>
  <si>
    <t>L'Aquila</t>
  </si>
  <si>
    <t>Abruzzo</t>
  </si>
  <si>
    <t>COOPERATIVA PRODUTTORI AGRICOLI GIUDICARIESI SOCIETA' COOPERATIVA AGRICOLA IN SIGLA CO.P.A.G. SOCIETA' COOPERATIVA AGRICOLA</t>
  </si>
  <si>
    <t>00369150222</t>
  </si>
  <si>
    <t>Trento</t>
  </si>
  <si>
    <t>Trentino-Alto Adige</t>
  </si>
  <si>
    <t>SOCIETA' COOPERATIVA AGRICOLA PRODUTTORI LATTE MAIELLETTA</t>
  </si>
  <si>
    <t>00103890695</t>
  </si>
  <si>
    <t>014500</t>
  </si>
  <si>
    <t>Chieti</t>
  </si>
  <si>
    <t>TENUTA DEL BUONAMICO SOCIETA' AGRICOLA S.R.L. O IN BREVE: TENUTA DEL BUONAMICO SOC. AGRICOLA S.R.L O ANCHE: TDB SOCIETA' AGRICOLA S.R.L. OPPURE: T.D.B. SOCIETA' AGRICOLA S.R.L.</t>
  </si>
  <si>
    <t>05585560963</t>
  </si>
  <si>
    <t>Lucca</t>
  </si>
  <si>
    <t>Torino</t>
  </si>
  <si>
    <t>Piemonte</t>
  </si>
  <si>
    <t>AURORA S.R.L. - SOCIETA' AGRICOLA</t>
  </si>
  <si>
    <t>02043860788</t>
  </si>
  <si>
    <t>011920</t>
  </si>
  <si>
    <t>Cosenza</t>
  </si>
  <si>
    <t>Calabria</t>
  </si>
  <si>
    <t>BERRY GRIESSER SRL SOCIETA' AGRICOLA</t>
  </si>
  <si>
    <t>03142870215</t>
  </si>
  <si>
    <t>012500</t>
  </si>
  <si>
    <t>Bolzano/Bozen</t>
  </si>
  <si>
    <t>Trentino-Alto Adige</t>
  </si>
  <si>
    <t>016300</t>
  </si>
  <si>
    <t>Puglia</t>
  </si>
  <si>
    <t>LATTERIA SOCIALE NUOVA LAGO RAZZA SOCIETA' COOPERATIVA AGRICOLA</t>
  </si>
  <si>
    <t>00147790356</t>
  </si>
  <si>
    <t>014100</t>
  </si>
  <si>
    <t>Reggio nell'Emilia</t>
  </si>
  <si>
    <t>Emilia-Romagna</t>
  </si>
  <si>
    <t>ARTIGIANSEMENTI S.R.L..</t>
  </si>
  <si>
    <t>00834050437</t>
  </si>
  <si>
    <t>016409</t>
  </si>
  <si>
    <t>Macerata</t>
  </si>
  <si>
    <t>Marche</t>
  </si>
  <si>
    <t>016100</t>
  </si>
  <si>
    <t>AVANTI - SOCIETA' COOPERATIVA AGRICOLA</t>
  </si>
  <si>
    <t>00115340812</t>
  </si>
  <si>
    <t>012100</t>
  </si>
  <si>
    <t>Trapani</t>
  </si>
  <si>
    <t>Sicilia</t>
  </si>
  <si>
    <t>SOCIETA' AGRICOLA MASSERIA BORGO DEI TRULLI SOCIETA' A RESPONSABILITA' LIMITATA IN FORMA ABBR.TA SOC. AGR. M. BORGO DEI TRULLI SRL O SOC. AGR. M.B. DEI T. SRL</t>
  </si>
  <si>
    <t>03042980734</t>
  </si>
  <si>
    <t>Taranto</t>
  </si>
  <si>
    <t>011140</t>
  </si>
  <si>
    <t>SOCIETA' AGRICOLA COOPERATIVA 3 P PIEMONTE SIGLABILE 3 P PIEMONTE COOP. AGR.</t>
  </si>
  <si>
    <t>02099370013</t>
  </si>
  <si>
    <t>014700</t>
  </si>
  <si>
    <t>L'ALBA SOCIETA' COOPERATIVA AGRICOLA</t>
  </si>
  <si>
    <t>01376441216</t>
  </si>
  <si>
    <t>Napoli</t>
  </si>
  <si>
    <t>Campania</t>
  </si>
  <si>
    <t>IL BIROCCIO SOCIETA' COOPERATIVA AGRICOLA</t>
  </si>
  <si>
    <t>00206570426</t>
  </si>
  <si>
    <t>Ancona</t>
  </si>
  <si>
    <t>LATTERIA SOCIALE DI CARNOLA SOCIETA' COOPERATIVA AGRICOLA</t>
  </si>
  <si>
    <t>00143070357</t>
  </si>
  <si>
    <t>Toscana</t>
  </si>
  <si>
    <t>CONSORZIO PRODUTTORI AGRICOLI DI RUMO SOCIETA' COOPERATIVA AGRICOLA</t>
  </si>
  <si>
    <t>00126080225</t>
  </si>
  <si>
    <t>Trento</t>
  </si>
  <si>
    <t>SOCIETA' AGRICOLA CAMIGLIANO S.R.L. PIU' BREVEMENTE DETTA CAMIGLIANO S.R.L.</t>
  </si>
  <si>
    <t>05316371003</t>
  </si>
  <si>
    <t>Siena</t>
  </si>
  <si>
    <t>SINUBIO SOCIETA' COOPERATIVA AGRICOLA</t>
  </si>
  <si>
    <t>02543220814</t>
  </si>
  <si>
    <t>012300</t>
  </si>
  <si>
    <t>COOPERATIVA PRODUTTORI AGRICOLI DI PEZZE DI GRECO CO.P.A.PE. - SOCIETA' COOPERATIVA AGRICOLA</t>
  </si>
  <si>
    <t>00061590741</t>
  </si>
  <si>
    <t>012600</t>
  </si>
  <si>
    <t>Brindisi</t>
  </si>
  <si>
    <t>AVICOLA MONTORFANO S.R.L.</t>
  </si>
  <si>
    <t>02712520168</t>
  </si>
  <si>
    <t>Bergamo</t>
  </si>
  <si>
    <t>Lombardia</t>
  </si>
  <si>
    <t>016000</t>
  </si>
  <si>
    <t>Basilicata</t>
  </si>
  <si>
    <t>016300</t>
  </si>
  <si>
    <t>Puglia</t>
  </si>
  <si>
    <t>015000</t>
  </si>
  <si>
    <t>Toscana</t>
  </si>
  <si>
    <t>Catania</t>
  </si>
  <si>
    <t>Sicilia</t>
  </si>
  <si>
    <t>AGRIARTE S.R.L.</t>
  </si>
  <si>
    <t>01357540523</t>
  </si>
  <si>
    <t>016100</t>
  </si>
  <si>
    <t>Siena</t>
  </si>
  <si>
    <t>CENTRO MAIS BASSO MONFERRATO-SOCIETA' AGRIGOLA COOPERATIVA IDENTI FICATA COME C.M.B.M. - SOC. AGR. COOPERATIVA</t>
  </si>
  <si>
    <t>00600940068</t>
  </si>
  <si>
    <t>Alessandria</t>
  </si>
  <si>
    <t>Piemonte</t>
  </si>
  <si>
    <t>TERRE DEL GUA' - SOCIETA' COOPERATIVA AGRICOLA</t>
  </si>
  <si>
    <t>03247040243</t>
  </si>
  <si>
    <t>Padova</t>
  </si>
  <si>
    <t>Veneto</t>
  </si>
  <si>
    <t>011300</t>
  </si>
  <si>
    <t>COMPAGNIA AGRICOLA ITALIANA - SOCIETA' COOPERATIVA AGRICOLA</t>
  </si>
  <si>
    <t>01605030707</t>
  </si>
  <si>
    <t>Campobasso</t>
  </si>
  <si>
    <t>Molise</t>
  </si>
  <si>
    <t>PRIMO SOLE - SOC. COOP. AGRICOLA</t>
  </si>
  <si>
    <t>00602070773</t>
  </si>
  <si>
    <t>Matera</t>
  </si>
  <si>
    <t>VALLEPICCIOLA S.R.L. SOCIETA' AGRICOLA</t>
  </si>
  <si>
    <t>00733340525</t>
  </si>
  <si>
    <t>012100</t>
  </si>
  <si>
    <t>Emilia-Romagna</t>
  </si>
  <si>
    <t>CARPINETO VINIFERA S.R.L. SOCIETA' AGRICOLA O IN SIGLA CARPINETO V. SOC. AGR. S.R.L. O C. VINIFERA SOC. AGR. S.R.L. O C.V. SOC. AGR. S.R.L. O CAR . VIN. SOC. AGR. S.R.L.</t>
  </si>
  <si>
    <t>04500890480</t>
  </si>
  <si>
    <t>Firenze</t>
  </si>
  <si>
    <t>ECOGRUPPO ITALIA S.R.L.</t>
  </si>
  <si>
    <t>03481400871</t>
  </si>
  <si>
    <t>SOCIETA' AGRICOLA MASSERIE AMICHE S.R.L.</t>
  </si>
  <si>
    <t>07272670725</t>
  </si>
  <si>
    <t>Bari</t>
  </si>
  <si>
    <t>SOCIETA' AGRICOLA DE LUCA S.R.L.</t>
  </si>
  <si>
    <t>02978960793</t>
  </si>
  <si>
    <t>Crotone</t>
  </si>
  <si>
    <t>Calabria</t>
  </si>
  <si>
    <t>Cuneo</t>
  </si>
  <si>
    <t>PODERI LUIGI EINAUDI AZIENDA AGRICOLA S.R.L. SIGLABILE EINAUDI S.R.L. OVVERO PEA S.R.L.</t>
  </si>
  <si>
    <t>02262000041</t>
  </si>
  <si>
    <t>TORRE DI MEZZO OP SOCIETA' CONSORTILE A RESPONSABILITA' LIMITATA</t>
  </si>
  <si>
    <t>02283180780</t>
  </si>
  <si>
    <t>Cosenza</t>
  </si>
  <si>
    <t>ECOTRASP SRL</t>
  </si>
  <si>
    <t>01562700383</t>
  </si>
  <si>
    <t>Ferrara</t>
  </si>
  <si>
    <t>TOLAINI SOCIETA' AGRICOLA - S.R.L.</t>
  </si>
  <si>
    <t>00964890529</t>
  </si>
  <si>
    <t>012100</t>
  </si>
  <si>
    <t>Siena</t>
  </si>
  <si>
    <t>Toscana</t>
  </si>
  <si>
    <t>016300</t>
  </si>
  <si>
    <t>Napoli</t>
  </si>
  <si>
    <t>Campania</t>
  </si>
  <si>
    <t>CAIAROSSA S.R.L. SOCIETA' AGRICOLA</t>
  </si>
  <si>
    <t>01457850509</t>
  </si>
  <si>
    <t>Pisa</t>
  </si>
  <si>
    <t>VIGNETO SAN MIGUEL SOCIETA' AGRICOLA A RESPONSABILITA' LIMITATA</t>
  </si>
  <si>
    <t>06779720488</t>
  </si>
  <si>
    <t>Firenze</t>
  </si>
  <si>
    <t>016100</t>
  </si>
  <si>
    <t>Salerno</t>
  </si>
  <si>
    <t>Ravenna</t>
  </si>
  <si>
    <t>Emilia-Romagna</t>
  </si>
  <si>
    <t>OP PLATANO MELANDRO LATTE - SOCIETA' AGRICOLA COOPERATIVA</t>
  </si>
  <si>
    <t>01939620769</t>
  </si>
  <si>
    <t>016209</t>
  </si>
  <si>
    <t>Potenza</t>
  </si>
  <si>
    <t>Basilicata</t>
  </si>
  <si>
    <t>L'ORTOFRUTTIFERO SOCIETA' AGRICOLA A RESPONSABILITA' LIMITATA ABB REVIABILE IN L'</t>
  </si>
  <si>
    <t>02279570507</t>
  </si>
  <si>
    <t>013000</t>
  </si>
  <si>
    <t>LA FRAGOLA SOCIETA' COOPERATIVA AGRICOLA</t>
  </si>
  <si>
    <t>08443591212</t>
  </si>
  <si>
    <t>TERRATECH SOCIETA' COOPERATIVA AGRICOLA IN SIGLA: TERRATECH SOC. COOP. AGRICOLA</t>
  </si>
  <si>
    <t>00182940395</t>
  </si>
  <si>
    <t>Foggia</t>
  </si>
  <si>
    <t>Puglia</t>
  </si>
  <si>
    <t>AGROMECCANICA NEGRONI S.R.L.</t>
  </si>
  <si>
    <t>01560280164</t>
  </si>
  <si>
    <t>Bergamo</t>
  </si>
  <si>
    <t>Lombardia</t>
  </si>
  <si>
    <t>Piemonte</t>
  </si>
  <si>
    <t>MATILDE SOCIETA' COOPERATIVA AGRICOLA</t>
  </si>
  <si>
    <t>02049380385</t>
  </si>
  <si>
    <t>Ferrara</t>
  </si>
  <si>
    <t>015000</t>
  </si>
  <si>
    <t>COOPERATIVA MACCHINE AGRICOLE SOLIERESE SOCIETA' AGRICOLA COOPERATIVA IN SIGLA C.M.A. SOLIERESE</t>
  </si>
  <si>
    <t>02537110369</t>
  </si>
  <si>
    <t>Modena</t>
  </si>
  <si>
    <t>CARPINONE S.R.L. AGRICOLA</t>
  </si>
  <si>
    <t>04144140714</t>
  </si>
  <si>
    <t>BIO SYSTEM S.R.L</t>
  </si>
  <si>
    <t>02004400996</t>
  </si>
  <si>
    <t>Milano</t>
  </si>
  <si>
    <t>CANTINA TRE CASTELLI - SOCIETA' COOPERATIVA AGRICOLA - SIGLABILE CANTINA TRE CASTELLI S.C.A.</t>
  </si>
  <si>
    <t>00156900060</t>
  </si>
  <si>
    <t>Alessandria</t>
  </si>
  <si>
    <t>TENUTA AGRILAT S.R.L. SOCIETA' AGRICOLA</t>
  </si>
  <si>
    <t>05482640652</t>
  </si>
  <si>
    <t>COPAL - COOPERATIVA PARMENSE ALLEVATORI SOCIETA' AGRICOLA COOPERATIVA</t>
  </si>
  <si>
    <t>00625910344</t>
  </si>
  <si>
    <t>Parma</t>
  </si>
  <si>
    <t>ACETAIA TERRA DEL TUONO SOCIETA' AGRICOLA S.R.L.</t>
  </si>
  <si>
    <t>02886600366</t>
  </si>
  <si>
    <t>015000</t>
  </si>
  <si>
    <t>Emilia-Romagna</t>
  </si>
  <si>
    <t>Campania</t>
  </si>
  <si>
    <t>LATTERIA SOCIALE FONDO SOCIETA' COOPERATIVA AGRICOLA</t>
  </si>
  <si>
    <t>00125980227</t>
  </si>
  <si>
    <t>014100</t>
  </si>
  <si>
    <t>Trento</t>
  </si>
  <si>
    <t>Trentino-Alto Adige</t>
  </si>
  <si>
    <t>AZIENDA AGRICOLA LORENZON SOCIETA' AGRICOLA S.R.L. IN BREVE AZIENDA AGRICOLA LORENZON S.R.L.</t>
  </si>
  <si>
    <t>00352560312</t>
  </si>
  <si>
    <t>012100</t>
  </si>
  <si>
    <t>Gorizia</t>
  </si>
  <si>
    <t>Friuli-Venezia Giulia</t>
  </si>
  <si>
    <t>Puglia</t>
  </si>
  <si>
    <t>SOCIETA' AGRICOLA STRA' DEL MILIONE SRL</t>
  </si>
  <si>
    <t>03268560988</t>
  </si>
  <si>
    <t>Verona</t>
  </si>
  <si>
    <t>Veneto</t>
  </si>
  <si>
    <t>SERVIZIO &amp; QUALITA' S.R.L.</t>
  </si>
  <si>
    <t>03544160967</t>
  </si>
  <si>
    <t>016100</t>
  </si>
  <si>
    <t>Lodi</t>
  </si>
  <si>
    <t>Lombardia</t>
  </si>
  <si>
    <t>014700</t>
  </si>
  <si>
    <t>Napoli</t>
  </si>
  <si>
    <t>VIVO SOCIETA' AGRICOLA A R.L.</t>
  </si>
  <si>
    <t>01856640477</t>
  </si>
  <si>
    <t>012000</t>
  </si>
  <si>
    <t>Pistoia</t>
  </si>
  <si>
    <t>Toscana</t>
  </si>
  <si>
    <t>ELAIOPOLIO COOPERATIVO DELLA RIFORMA FONDIARIA DI RUVO DI PUGLIA SOCIETA' COOPERATIVA AGRICOLA</t>
  </si>
  <si>
    <t>00379880727</t>
  </si>
  <si>
    <t>Bari</t>
  </si>
  <si>
    <t>MORO GROUP S.R.L.</t>
  </si>
  <si>
    <t>04846020263</t>
  </si>
  <si>
    <t>Treviso</t>
  </si>
  <si>
    <t>SALCHETO S.R.L. SOCIETA' AGRICOLA SOCIETA' BENEFIT</t>
  </si>
  <si>
    <t>01034860526</t>
  </si>
  <si>
    <t>Siena</t>
  </si>
  <si>
    <t>LA CANOVA - SOCIETA' AGRICOLA S.R.L.</t>
  </si>
  <si>
    <t>00542950985</t>
  </si>
  <si>
    <t>Brescia</t>
  </si>
  <si>
    <t>SOCIETA' AGRICOLA MARAMOTTI LOMBARDINI S.R.L.</t>
  </si>
  <si>
    <t>01250730353</t>
  </si>
  <si>
    <t>Reggio nell'Emilia</t>
  </si>
  <si>
    <t>SOCIETA' AGRICOLA LA DECIMA S.R.L.</t>
  </si>
  <si>
    <t>02352181206</t>
  </si>
  <si>
    <t>Vicenza</t>
  </si>
  <si>
    <t>ORGANIZZAZIONE PRODUTTORI ALBENGA SOCIETA' AGRICOLA COOPERATIVA SIGLABILE OPALBENGA - SOC. COOP. AGRICOLA</t>
  </si>
  <si>
    <t>01501860090</t>
  </si>
  <si>
    <t>012800</t>
  </si>
  <si>
    <t>Savona</t>
  </si>
  <si>
    <t>Liguria</t>
  </si>
  <si>
    <t>SOCIETA' AGRICOLA AGROAVICOLA COLELLA S.R.L.</t>
  </si>
  <si>
    <t>05038831219</t>
  </si>
  <si>
    <t>FATTORIA DONATELLI SOCIETA' AGRICOLA S.R.L.</t>
  </si>
  <si>
    <t>01986410668</t>
  </si>
  <si>
    <t>011000</t>
  </si>
  <si>
    <t>L'Aquila</t>
  </si>
  <si>
    <t>Abruzzo</t>
  </si>
  <si>
    <t>SOCIETA' AGRICOLA PANDA S.R.L.</t>
  </si>
  <si>
    <t>05030420151</t>
  </si>
  <si>
    <t>011140</t>
  </si>
  <si>
    <t>Milano</t>
  </si>
  <si>
    <t>CANTINE DEL NOTAIO SOCIETA' AGRICOLA A RESPONSABILITA' LIMITATA</t>
  </si>
  <si>
    <t>01721610762</t>
  </si>
  <si>
    <t>Potenza</t>
  </si>
  <si>
    <t>Basilicata</t>
  </si>
  <si>
    <t>CASEIFICIO SOCIALE DI SABBIONARA SOCIETA' COOPERATIVA AGRICOLA</t>
  </si>
  <si>
    <t>00159770221</t>
  </si>
  <si>
    <t>AGRICOLA PUNICA S.P.A. DENOMINAZIONE ABBREVIATA: AGRIPUNICA S.P.A.</t>
  </si>
  <si>
    <t>02758730929</t>
  </si>
  <si>
    <t>Sardegna</t>
  </si>
  <si>
    <t>SOCIETA' AGRICOLA FORESTALE LA TORRE SOCIETA' A RESPONSABILITA' L IMITATA</t>
  </si>
  <si>
    <t>02106221001</t>
  </si>
  <si>
    <t>Roma</t>
  </si>
  <si>
    <t>Lazio</t>
  </si>
  <si>
    <t>SIRCH SOCIETA' AGRICOLA A RESPONSABILITA' LIMITATA IN FORMA ABBREVIATA CRU: CHALE, ALTRESI' IN FORMA ABBREVIATA MAGIS</t>
  </si>
  <si>
    <t>02823210303</t>
  </si>
  <si>
    <t>012100</t>
  </si>
  <si>
    <t>Udine</t>
  </si>
  <si>
    <t>Friuli-Venezia Giulia</t>
  </si>
  <si>
    <t>EUROFORAGGI SOCIETA' AGRICOLA S.R.L.</t>
  </si>
  <si>
    <t>03575840404</t>
  </si>
  <si>
    <t>016100</t>
  </si>
  <si>
    <t>Forlì-Cesena</t>
  </si>
  <si>
    <t>Emilia-Romagna</t>
  </si>
  <si>
    <t>COOPERATIVA AGRICOLA TERRE DI FEDERICO - SOCIETA' AGRICOLA COOPERTIVA</t>
  </si>
  <si>
    <t>06831930729</t>
  </si>
  <si>
    <t>011300</t>
  </si>
  <si>
    <t>Barletta-Andria-Trani</t>
  </si>
  <si>
    <t>Puglia</t>
  </si>
  <si>
    <t>OLIVERO ORGANIC SOCIETA' AGRICOLA COOPERATIVA</t>
  </si>
  <si>
    <t>03748360041</t>
  </si>
  <si>
    <t>016300</t>
  </si>
  <si>
    <t>Cuneo</t>
  </si>
  <si>
    <t>Piemonte</t>
  </si>
  <si>
    <t>M.T.M. MOVIMENTO TERRA MECCANIZZATO S.R.L.</t>
  </si>
  <si>
    <t>04254400486</t>
  </si>
  <si>
    <t>Firenze</t>
  </si>
  <si>
    <t>Toscana</t>
  </si>
  <si>
    <t>COLLINE AMIATINE SOCIETA' AGRICOLA COOPERATIVA</t>
  </si>
  <si>
    <t>01034170538</t>
  </si>
  <si>
    <t>Grosseto</t>
  </si>
  <si>
    <t>Crotone</t>
  </si>
  <si>
    <t>Calabria</t>
  </si>
  <si>
    <t>COOPERATIVA AGRICOLA MONTESANTO - C.A.M. - A RESPONSABILITA' LIMITATA</t>
  </si>
  <si>
    <t>00091930438</t>
  </si>
  <si>
    <t>Macerata</t>
  </si>
  <si>
    <t>Marche</t>
  </si>
  <si>
    <t>Campania</t>
  </si>
  <si>
    <t>CANTINA SOCIALE DI CESENA - SOCIETA' AGRICOLA COOPERATIVA</t>
  </si>
  <si>
    <t>00143880409</t>
  </si>
  <si>
    <t>SOCIETA' AGRICOLA CHIA CASTELLO ROMITORIO TENUTA GHIACCIO FORTE S.R.L.</t>
  </si>
  <si>
    <t>00991970526</t>
  </si>
  <si>
    <t>Siena</t>
  </si>
  <si>
    <t>014100</t>
  </si>
  <si>
    <t>CASTELLO DI QUERCETO SOCIETA' AGRICOLA - SOCIETA' PER AZIONI (OD ANCHE IN FORMA ABBREVIATA C.D.Q.S.A. SPA O CON IL NOME PER L'IDENTIFICAZIONE DEI PRODOTTI: CASTELLO DI QUERCETO O C.D.Q.</t>
  </si>
  <si>
    <t>01532490487</t>
  </si>
  <si>
    <t>ORGANIZZAZIONE DEI PRODUTTORI OLIVICOLI A.O.C. - SOCIETA' COOPERATIVA AGRICOLA</t>
  </si>
  <si>
    <t>01468710791</t>
  </si>
  <si>
    <t>FATTORIA SAN MICHELE A TORRI SOCIETA' AGRICOLA S.R.L.</t>
  </si>
  <si>
    <t>06274470480</t>
  </si>
  <si>
    <t>SOCIETA'AGRICOLA SILLA - S.R.L.</t>
  </si>
  <si>
    <t>06135480488</t>
  </si>
  <si>
    <t>ROCCA DI FRASSINELLO S.R.L. SOCIETA' AGRICOLA IN SIGLA ROCCA DI F RASSINELLO S.A.R.L.</t>
  </si>
  <si>
    <t>00990260523</t>
  </si>
  <si>
    <t>AZIENDA AGROBUFALINA PONTEROTTO S.R.L. SOCIETA' AGRICOLA</t>
  </si>
  <si>
    <t>03635010618</t>
  </si>
  <si>
    <t>Caserta</t>
  </si>
  <si>
    <t>AZIENDA AGRICOLA MIRABELLA S.R.L. - SOCIETA' AGRICOLA</t>
  </si>
  <si>
    <t>01069920179</t>
  </si>
  <si>
    <t>012100</t>
  </si>
  <si>
    <t>Brescia</t>
  </si>
  <si>
    <t>Lombardia</t>
  </si>
  <si>
    <t>LE TENUTE MARIANIS S.R.L. SOCIETA' AGRICOLA</t>
  </si>
  <si>
    <t>01725120933</t>
  </si>
  <si>
    <t>014200</t>
  </si>
  <si>
    <t>Udine</t>
  </si>
  <si>
    <t>Friuli-Venezia Giulia</t>
  </si>
  <si>
    <t>014700</t>
  </si>
  <si>
    <t>Forlì-Cesena</t>
  </si>
  <si>
    <t>Emilia-Romagna</t>
  </si>
  <si>
    <t>O.P. CANTINA SOCIALE ALCIDE DE GASPERI SOCIETA' COOPERATIVA AGRICOLA IAP</t>
  </si>
  <si>
    <t>00130340714</t>
  </si>
  <si>
    <t>016100</t>
  </si>
  <si>
    <t>Foggia</t>
  </si>
  <si>
    <t>Puglia</t>
  </si>
  <si>
    <t>AGRICOLA BRANDINI SOCIETA' AGRICOLA A RESPONSABILITA' LIMITATA ABBREVIABILE IN AGRICOLA BRANDINI SOC. AGR. A R.L.</t>
  </si>
  <si>
    <t>03185550047</t>
  </si>
  <si>
    <t>Cuneo</t>
  </si>
  <si>
    <t>Piemonte</t>
  </si>
  <si>
    <t>FLORICOLTURA FRATELLI BARBAZZA S.R.L.</t>
  </si>
  <si>
    <t>02306890266</t>
  </si>
  <si>
    <t>011900</t>
  </si>
  <si>
    <t>Treviso</t>
  </si>
  <si>
    <t>Veneto</t>
  </si>
  <si>
    <t>SOCIETA' AGRICOLA PASTA PANARESE S.R.L.</t>
  </si>
  <si>
    <t>01523520524</t>
  </si>
  <si>
    <t>011110</t>
  </si>
  <si>
    <t>Siena</t>
  </si>
  <si>
    <t>Toscana</t>
  </si>
  <si>
    <t>CHIARI S.R.L.</t>
  </si>
  <si>
    <t>00583590989</t>
  </si>
  <si>
    <t>LE FOGLIE SOCIETA' COOPERATIVA AGRICOLA</t>
  </si>
  <si>
    <t>04283400408</t>
  </si>
  <si>
    <t>016300</t>
  </si>
  <si>
    <t>SOLAGRI SOCIETA' COOPERATIVA</t>
  </si>
  <si>
    <t>01469621211</t>
  </si>
  <si>
    <t>Napoli</t>
  </si>
  <si>
    <t>Campania</t>
  </si>
  <si>
    <t>014000</t>
  </si>
  <si>
    <t>BSTORE SOCIETA AGRICOLA A RESPONSABILITA LIMITATA, IN FORMA ABB REVIATA BSTORE SRL AGRICOLA</t>
  </si>
  <si>
    <t>02251080467</t>
  </si>
  <si>
    <t>011921</t>
  </si>
  <si>
    <t>Lucca</t>
  </si>
  <si>
    <t>ANNOVI E GASPARINI S.R.L.</t>
  </si>
  <si>
    <t>02000520359</t>
  </si>
  <si>
    <t>Reggio nell'Emilia</t>
  </si>
  <si>
    <t>010000</t>
  </si>
  <si>
    <t>Salerno</t>
  </si>
  <si>
    <t>S. FERDINANDO SOCIETA' COOPERATIVA A R.L.</t>
  </si>
  <si>
    <t>03614900656</t>
  </si>
  <si>
    <t>CASEIFICIO SOCIALE BEATO MARCO SOCIETA' AGRICOLA COOPERATIVA ABBREVIABILE IN CAS. SOC. BEATO MARCO SOC. AGR. COOP.</t>
  </si>
  <si>
    <t>00163310360</t>
  </si>
  <si>
    <t>Modena</t>
  </si>
  <si>
    <t>SOCIETA' AGRICOLA FORESTALE CERASINA SRL</t>
  </si>
  <si>
    <t>01812220745</t>
  </si>
  <si>
    <t>Brindisi</t>
  </si>
  <si>
    <t>COKY S.R.L. SOCIETA' AGRICOLA</t>
  </si>
  <si>
    <t>02760690590</t>
  </si>
  <si>
    <t>Latina</t>
  </si>
  <si>
    <t>Lazio</t>
  </si>
  <si>
    <t>CANTINA DI CONA S.P.A.</t>
  </si>
  <si>
    <t>00188320279</t>
  </si>
  <si>
    <t>Venezia</t>
  </si>
  <si>
    <t>FLORGENESI SOCIETA' COOPERATIVA AGRICOLA A R.L.</t>
  </si>
  <si>
    <t>02036090385</t>
  </si>
  <si>
    <t>Ferrara</t>
  </si>
  <si>
    <t>Veneto</t>
  </si>
  <si>
    <t>VALCARNE COOPERATIVA FELTRINA SAN VITTORE PRODUTTORI AGRICOLI - S OCIETA' AGRICOLA COOPERATIVA</t>
  </si>
  <si>
    <t>00130840259</t>
  </si>
  <si>
    <t>016000</t>
  </si>
  <si>
    <t>Belluno</t>
  </si>
  <si>
    <t>CANTINA SOCIALE COOPERATIVA DI QUISTELLO SOCIETA' AGRICOLA COOPERATIVA</t>
  </si>
  <si>
    <t>00157040205</t>
  </si>
  <si>
    <t>012100</t>
  </si>
  <si>
    <t>Mantova</t>
  </si>
  <si>
    <t>Lombardia</t>
  </si>
  <si>
    <t>ANTICA FATTORIA LA PARRINA SOCIETA' AGRICOLA S.R.L.</t>
  </si>
  <si>
    <t>01387150533</t>
  </si>
  <si>
    <t>Grosseto</t>
  </si>
  <si>
    <t>Toscana</t>
  </si>
  <si>
    <t>FRUTTA CORRENTE SOCIETA' AGRICOLA SRL</t>
  </si>
  <si>
    <t>04283770610</t>
  </si>
  <si>
    <t>012500</t>
  </si>
  <si>
    <t>Caserta</t>
  </si>
  <si>
    <t>Campania</t>
  </si>
  <si>
    <t>Bari</t>
  </si>
  <si>
    <t>Puglia</t>
  </si>
  <si>
    <t>016100</t>
  </si>
  <si>
    <t>REVA SOCIETA' AGRICOLA A RESPONSABILITA' LIMITATA SIGLABILE RE'VA S.R.L. O RE'VA S.R.L. AGR.</t>
  </si>
  <si>
    <t>03074850045</t>
  </si>
  <si>
    <t>Cuneo</t>
  </si>
  <si>
    <t>Piemonte</t>
  </si>
  <si>
    <t>AS.PRO.PAT. PIEMONTE - SOCIETA' COOPERATIVA AGRICOLA</t>
  </si>
  <si>
    <t>01249320068</t>
  </si>
  <si>
    <t>Alessandria</t>
  </si>
  <si>
    <t>Cosenza</t>
  </si>
  <si>
    <t>Calabria</t>
  </si>
  <si>
    <t>016300</t>
  </si>
  <si>
    <t>Viterbo</t>
  </si>
  <si>
    <t>Lazio</t>
  </si>
  <si>
    <t>COOP. AGRUMI - SOCIETA' COOPERATIVA</t>
  </si>
  <si>
    <t>02879040786</t>
  </si>
  <si>
    <t>CONSORZIO COOPERATIVO VIRGINIA TRADE - SOCIETA' COOPERATIVA AGRICOLA</t>
  </si>
  <si>
    <t>02986570543</t>
  </si>
  <si>
    <t>Perugia</t>
  </si>
  <si>
    <t>Umbria</t>
  </si>
  <si>
    <t>RIPAGNOLA SOCIETA' AGRICOLA S.R.L.</t>
  </si>
  <si>
    <t>05894020725</t>
  </si>
  <si>
    <t>011310</t>
  </si>
  <si>
    <t>SOCIETA' AGRICOLA MIANI S.R.L.</t>
  </si>
  <si>
    <t>01963900368</t>
  </si>
  <si>
    <t>011910</t>
  </si>
  <si>
    <t>Modena</t>
  </si>
  <si>
    <t>Emilia-Romagna</t>
  </si>
  <si>
    <t>SAMETO SOCIETA' AGRICOLA A RESPONSABILITA' LIMITATA ENUNCIABILE ANCHE COME SOCIETA' AGRICOLA SAMIA S.R.L. , MASSERIA SAMIA SOCIETA' AGRICOLA S.R.L. , TENUTE SAN MARZANO SOCIETA' AGRICOLA S.R.L. .</t>
  </si>
  <si>
    <t>03276170739</t>
  </si>
  <si>
    <t>Taranto</t>
  </si>
  <si>
    <t>SOCIETA' AGRICOLA TRAPANI S.R.L.</t>
  </si>
  <si>
    <t>01945440814</t>
  </si>
  <si>
    <t>011921</t>
  </si>
  <si>
    <t>Trapani</t>
  </si>
  <si>
    <t>Sicilia</t>
  </si>
  <si>
    <t>CO.VI.MER. SOCIETA' COOPERATIVA AGRICOLA</t>
  </si>
  <si>
    <t>02034790655</t>
  </si>
  <si>
    <t>013000</t>
  </si>
  <si>
    <t>Salerno</t>
  </si>
  <si>
    <t>COOPERATIVA SOCIALE IL BETTOLINO SOCIETA' COOPERATIVA ABBREVIA BILE IN COOPERATIVA SOCIALE IL BETTOLINO S.C.</t>
  </si>
  <si>
    <t>01386310351</t>
  </si>
  <si>
    <t>011320</t>
  </si>
  <si>
    <t>Reggio nell'Emilia</t>
  </si>
  <si>
    <t>LA MAGGIORA SOCIETA' COOPERATIVA AGRICOLA</t>
  </si>
  <si>
    <t>01403161217</t>
  </si>
  <si>
    <t>Napoli</t>
  </si>
  <si>
    <t>ALLEVAMENTI TONIATTI S.R.L.</t>
  </si>
  <si>
    <t>02169180300</t>
  </si>
  <si>
    <t>016209</t>
  </si>
  <si>
    <t>Venezia</t>
  </si>
  <si>
    <t>2015 SOCIETA' AGRICOLA A RESPONSABILITA' LIMITATA</t>
  </si>
  <si>
    <t>04041660616</t>
  </si>
  <si>
    <t>014100</t>
  </si>
  <si>
    <t>ARTIGIANCARNI S.R.L. SOCIETA' AGRICOLA</t>
  </si>
  <si>
    <t>01941230565</t>
  </si>
  <si>
    <t>014200</t>
  </si>
  <si>
    <t>TOSCANO MANDATORICCIO ANGELA S.R.L.</t>
  </si>
  <si>
    <t>02563520788</t>
  </si>
  <si>
    <t>AGRICOLA CASALE S.R.L. - SOCIETA' AGRICOLA</t>
  </si>
  <si>
    <t>04224620403</t>
  </si>
  <si>
    <t>014700</t>
  </si>
  <si>
    <t>Forlì-Cesena</t>
  </si>
  <si>
    <t>Emilia-Romagna</t>
  </si>
  <si>
    <t>TENUTA LAMBORGHINI S.R.L. SOCIETA' AGRICOLA</t>
  </si>
  <si>
    <t>00301960548</t>
  </si>
  <si>
    <t>012100</t>
  </si>
  <si>
    <t>Milano</t>
  </si>
  <si>
    <t>Lombardia</t>
  </si>
  <si>
    <t>Vicenza</t>
  </si>
  <si>
    <t>Veneto</t>
  </si>
  <si>
    <t>016300</t>
  </si>
  <si>
    <t>MORMORAIA SRL - SOCIETA' AGRICOLA</t>
  </si>
  <si>
    <t>00714370525</t>
  </si>
  <si>
    <t>Siena</t>
  </si>
  <si>
    <t>Toscana</t>
  </si>
  <si>
    <t>LE CORTI S.P.A. SOCIETA' AGRICOLA</t>
  </si>
  <si>
    <t>01786620482</t>
  </si>
  <si>
    <t>Firenze</t>
  </si>
  <si>
    <t>011310</t>
  </si>
  <si>
    <t>LEGNAIA VIVAI SOCIETA' AGRICOLA A R.L.</t>
  </si>
  <si>
    <t>05314510487</t>
  </si>
  <si>
    <t>011300</t>
  </si>
  <si>
    <t>SOC. COOP. V.NAPOLITANO</t>
  </si>
  <si>
    <t>03055760718</t>
  </si>
  <si>
    <t>Foggia</t>
  </si>
  <si>
    <t>Puglia</t>
  </si>
  <si>
    <t>AZIENDA AGRICOLA SAN FELICE S.R.L.</t>
  </si>
  <si>
    <t>02057930238</t>
  </si>
  <si>
    <t>Verona</t>
  </si>
  <si>
    <t>014100</t>
  </si>
  <si>
    <t>COOPERATIVA INTERCOMUNALE PRODUTTORI ORTOFRUTTICOLI - SOCIETA' COOPERATIVA AGRICOLA ABBREVIABILE IN C.I.P.O.F. S.C.A.</t>
  </si>
  <si>
    <t>00188060362</t>
  </si>
  <si>
    <t>Modena</t>
  </si>
  <si>
    <t>Sicilia</t>
  </si>
  <si>
    <t>Agrigento</t>
  </si>
  <si>
    <t>TENUTA VICCHIOMAGGIO S.R.L. SOCIETA' AGRICOLA</t>
  </si>
  <si>
    <t>04026470486</t>
  </si>
  <si>
    <t>Cuneo</t>
  </si>
  <si>
    <t>Piemonte</t>
  </si>
  <si>
    <t>SICILY COMMERCE 2.0 S.R.L.</t>
  </si>
  <si>
    <t>02836190849</t>
  </si>
  <si>
    <t>016100</t>
  </si>
  <si>
    <t>LATTERIA SOCIALE VILLA DI CASTELGOMBERTO SOCIETA' COOPERATIVA AGR ICOLA</t>
  </si>
  <si>
    <t>00183640242</t>
  </si>
  <si>
    <t>GIARDANGO S.R.L. SOCIETA' AGRICOLA</t>
  </si>
  <si>
    <t>08344240968</t>
  </si>
  <si>
    <t>013000</t>
  </si>
  <si>
    <t>Monza e della Brianza</t>
  </si>
  <si>
    <t>CANTINA SOCIALE DI CASORZO E ZONE LIMITROFE SOCIETA' AGRICOLA COO PERATIVA, SIGLABILE IN CANTINA SOCIALE DI CASORZO, OPPURE IN SOC. AGRICOLA COOP. CASORZO, OPPURE IN CANTINA DI CASORZO S.A.C.</t>
  </si>
  <si>
    <t>00070830054</t>
  </si>
  <si>
    <t>Asti</t>
  </si>
  <si>
    <t>COOPERATIVA AGRICOLA BUSCHESE - SOCIETA' AGRICOLA COOPERATIVA</t>
  </si>
  <si>
    <t>00298480047</t>
  </si>
  <si>
    <t>016209</t>
  </si>
  <si>
    <t>MONT FALLERE SOCIETA' COOPERATIVA SOCIALE</t>
  </si>
  <si>
    <t>00516330073</t>
  </si>
  <si>
    <t>011900</t>
  </si>
  <si>
    <t>Valle d'Aosta/Vallée d'Aoste</t>
  </si>
  <si>
    <t>011310</t>
  </si>
  <si>
    <t>Campania</t>
  </si>
  <si>
    <t>CASELLE SOCIETA' AGRICOLA A RESPONSABILITA' LIMITATA</t>
  </si>
  <si>
    <t>00885540658</t>
  </si>
  <si>
    <t>011320</t>
  </si>
  <si>
    <t>Salerno</t>
  </si>
  <si>
    <t>APULIA SEMI SOCIETA' A RESPONSABILITA' LIMITATA</t>
  </si>
  <si>
    <t>07212120724</t>
  </si>
  <si>
    <t>016400</t>
  </si>
  <si>
    <t>Bari</t>
  </si>
  <si>
    <t>Puglia</t>
  </si>
  <si>
    <t>FELLINE SOCIETA' AGRICOLA A R.L.</t>
  </si>
  <si>
    <t>02939250730</t>
  </si>
  <si>
    <t>012100</t>
  </si>
  <si>
    <t>Taranto</t>
  </si>
  <si>
    <t>SOCIETA' AGRICOLA CASTELLANINA S.R.L.</t>
  </si>
  <si>
    <t>02330110392</t>
  </si>
  <si>
    <t>011110</t>
  </si>
  <si>
    <t>Ravenna</t>
  </si>
  <si>
    <t>Emilia-Romagna</t>
  </si>
  <si>
    <t>SOCIETA' COOPERATIVA AGRICOLA SINCARPA</t>
  </si>
  <si>
    <t>00123800690</t>
  </si>
  <si>
    <t>Chieti</t>
  </si>
  <si>
    <t>Abruzzo</t>
  </si>
  <si>
    <t>PLANET FARMS ITALIA SOCIETA' AGRICOLA S.R.L. SOCIETA' BENEFIT, IN FORMA ABBREVIATA PLANET FARMS ITALIA SOCIETA' AGRICOLA S.R.L. SB</t>
  </si>
  <si>
    <t>10295660962</t>
  </si>
  <si>
    <t>Milano</t>
  </si>
  <si>
    <t>Lombardia</t>
  </si>
  <si>
    <t>Pordenone</t>
  </si>
  <si>
    <t>Friuli-Venezia Giulia</t>
  </si>
  <si>
    <t>AGRICOLA IL BORGO SRL</t>
  </si>
  <si>
    <t>15150591004</t>
  </si>
  <si>
    <t>Roma</t>
  </si>
  <si>
    <t>Lazio</t>
  </si>
  <si>
    <t>016300</t>
  </si>
  <si>
    <t>CANTINE CAVALLI SOCIETA' COOPERATIVA AGRICOLA PER AZIONI</t>
  </si>
  <si>
    <t>02443010398</t>
  </si>
  <si>
    <t>PERARTE SOCIETA' COOPERATIVA AGRICOLA</t>
  </si>
  <si>
    <t>01732210388</t>
  </si>
  <si>
    <t>Ferrara</t>
  </si>
  <si>
    <t>Piemonte</t>
  </si>
  <si>
    <t>Sicilia</t>
  </si>
  <si>
    <t>FUTURISO</t>
  </si>
  <si>
    <t>02573070022</t>
  </si>
  <si>
    <t>016100</t>
  </si>
  <si>
    <t>Vercelli</t>
  </si>
  <si>
    <t>SOCIETA' AGRICOLA CIMOLAI S.R.L.</t>
  </si>
  <si>
    <t>01740710932</t>
  </si>
  <si>
    <t>CANTINE RALLO S.P.A. - SOCIETA' AGRICOLA IN BREVE RALLO S.P.A. - SOCIETA' AGRICOLA O C.R. S.P.A. - SOCIETA' AGRICOLA</t>
  </si>
  <si>
    <t>01518500812</t>
  </si>
  <si>
    <t>Trapani</t>
  </si>
  <si>
    <t>SPONTELLA S.R.L.</t>
  </si>
  <si>
    <t>02831450735</t>
  </si>
  <si>
    <t>Salerno</t>
  </si>
  <si>
    <t>Campania</t>
  </si>
  <si>
    <t>Lombardia</t>
  </si>
  <si>
    <t>COOP.AGRI.BIO. L'ARCOBALENO SOCIETA' COOPERATIVA AGRICOLA</t>
  </si>
  <si>
    <t>01873170847</t>
  </si>
  <si>
    <t>016100</t>
  </si>
  <si>
    <t>Agrigento</t>
  </si>
  <si>
    <t>Sicilia</t>
  </si>
  <si>
    <t>015000</t>
  </si>
  <si>
    <t>016300</t>
  </si>
  <si>
    <t>Friuli-Venezia Giulia</t>
  </si>
  <si>
    <t>BAGLIO DEL CRISTO DI CAMPOBELLO SOCIETA' AGRICOLA A.R.L. IN FOR MA ABBREVIATA BAGLIO DEL CRISTO DI CAMPOBELLO S.R.L. O BAGLIO DEL CRISTO DI C AMPOBELLO O BAGLIO DEL CRISTO</t>
  </si>
  <si>
    <t>02190950846</t>
  </si>
  <si>
    <t>012100</t>
  </si>
  <si>
    <t>AGRIA FIORITA S.R.L. SOCIETA' AGRICOLA</t>
  </si>
  <si>
    <t>02247750652</t>
  </si>
  <si>
    <t>013000</t>
  </si>
  <si>
    <t>CANTINA DEL FUCINO SOCIETA' COOPERATIVA AGRICOLA</t>
  </si>
  <si>
    <t>00081450660</t>
  </si>
  <si>
    <t>L'Aquila</t>
  </si>
  <si>
    <t>Abruzzo</t>
  </si>
  <si>
    <t>011140</t>
  </si>
  <si>
    <t>INCAMPAGNA RETE DI PRODUZIONE SOSTENIBILE ED OFFERTA SOLIDALE IN FORMA ABBREVIATA INCAMPAGNA RETE</t>
  </si>
  <si>
    <t>01838120895</t>
  </si>
  <si>
    <t>012300</t>
  </si>
  <si>
    <t>Siracusa</t>
  </si>
  <si>
    <t>QUINTODECIMO SOCIETA' AGRICOLA S.R.L.</t>
  </si>
  <si>
    <t>02895100648</t>
  </si>
  <si>
    <t>Avellino</t>
  </si>
  <si>
    <t>COOPERATIVA DI SVILUPPO AGRICOLO MOLARA SOCIETA' COOPERATIVA AGRI COLA IN SIGLA COOPERATIVA AGRICOLA MOLARA</t>
  </si>
  <si>
    <t>00106560642</t>
  </si>
  <si>
    <t>016209</t>
  </si>
  <si>
    <t>ECOFRUIT SOCIETA' COOPERATIVA AGRICOLA</t>
  </si>
  <si>
    <t>05433580825</t>
  </si>
  <si>
    <t>Palermo</t>
  </si>
  <si>
    <t>SOCIETA' AGRICOLA LA VALLETTA S.R.L.</t>
  </si>
  <si>
    <t>04236920163</t>
  </si>
  <si>
    <t>Bergamo</t>
  </si>
  <si>
    <t>GREENWAY SOCIETA' AGRICOLA A R.L.</t>
  </si>
  <si>
    <t>02613120308</t>
  </si>
  <si>
    <t>Udine</t>
  </si>
  <si>
    <t>APA SERVICES SOCIETA' COOPERATIVA</t>
  </si>
  <si>
    <t>02930260167</t>
  </si>
  <si>
    <t>Lombardia</t>
  </si>
  <si>
    <t>Emilia-Romagna</t>
  </si>
  <si>
    <t>AGRILORUSSO SOCIETA' AGRICOLA COOPERATIVA</t>
  </si>
  <si>
    <t>07633550723</t>
  </si>
  <si>
    <t>016100</t>
  </si>
  <si>
    <t>Barletta-Andria-Trani</t>
  </si>
  <si>
    <t>Puglia</t>
  </si>
  <si>
    <t>ASSOPROLI CALABRIA SOCIETA' COOPERATIVA</t>
  </si>
  <si>
    <t>00905760781</t>
  </si>
  <si>
    <t>011000</t>
  </si>
  <si>
    <t>Cosenza</t>
  </si>
  <si>
    <t>Calabria</t>
  </si>
  <si>
    <t>FATTORIA TORRE A CONA SOCIETA' AGRICOLA S.R.L.</t>
  </si>
  <si>
    <t>05026700483</t>
  </si>
  <si>
    <t>012100</t>
  </si>
  <si>
    <t>Firenze</t>
  </si>
  <si>
    <t>Toscana</t>
  </si>
  <si>
    <t>KAGGERA - SOCIETA' COOPERATIVA AGRICOLA</t>
  </si>
  <si>
    <t>00063170815</t>
  </si>
  <si>
    <t>Trapani</t>
  </si>
  <si>
    <t>Sicilia</t>
  </si>
  <si>
    <t>016300</t>
  </si>
  <si>
    <t>SOCIETA' AGRICOLA CASE BASSE DI GIANFRANCO SOLDERA S.R.L.</t>
  </si>
  <si>
    <t>01483450522</t>
  </si>
  <si>
    <t>Siena</t>
  </si>
  <si>
    <t>011310</t>
  </si>
  <si>
    <t>SOCIETA' AGRICOLA SEMPRE FRESCO S.R.L.</t>
  </si>
  <si>
    <t>02348970209</t>
  </si>
  <si>
    <t>011300</t>
  </si>
  <si>
    <t>Mantova</t>
  </si>
  <si>
    <t>SOCIETA' AGRICOLA 67# SRL</t>
  </si>
  <si>
    <t>04194420404</t>
  </si>
  <si>
    <t>Forlì-Cesena</t>
  </si>
  <si>
    <t>014100</t>
  </si>
  <si>
    <t>Salerno</t>
  </si>
  <si>
    <t>Campania</t>
  </si>
  <si>
    <t>LA SERRA SOCIETA' COOPERATIVA AGRICOLA</t>
  </si>
  <si>
    <t>00205570666</t>
  </si>
  <si>
    <t>016000</t>
  </si>
  <si>
    <t>L'Aquila</t>
  </si>
  <si>
    <t>Abruzzo</t>
  </si>
  <si>
    <t>011140</t>
  </si>
  <si>
    <t>BOREAL SRL SOCIETA' AGRICOLA</t>
  </si>
  <si>
    <t>03523940652</t>
  </si>
  <si>
    <t>VIVAI COOPERATIVI SOCIETA' AGRICOLA COOPERATIVA</t>
  </si>
  <si>
    <t>00140860206</t>
  </si>
  <si>
    <t>011910</t>
  </si>
  <si>
    <t>AXE AGRICOLTURA PER L'ENERGIA SOCIETA' AGRICOLA A R.L.</t>
  </si>
  <si>
    <t>02825841204</t>
  </si>
  <si>
    <t>Bologna</t>
  </si>
  <si>
    <t>AZIENDA VIVAISTICA TAMMARO SOCIETA' AGRICOLA S.R.L.</t>
  </si>
  <si>
    <t>07158701214</t>
  </si>
  <si>
    <t>013000</t>
  </si>
  <si>
    <t>Napoli</t>
  </si>
  <si>
    <t>Marche</t>
  </si>
  <si>
    <t>VITIVINICOLA COSTADORO SOCIETA' AGRICOLA S.R.L.</t>
  </si>
  <si>
    <t>01814170443</t>
  </si>
  <si>
    <t>Ascoli Piceno</t>
  </si>
  <si>
    <t>COMATAB SRL</t>
  </si>
  <si>
    <t>02030910646</t>
  </si>
  <si>
    <t>Benevento</t>
  </si>
  <si>
    <t>TENUTA CAVALIER PEPE SOCIETA' AGRICOLA S.R.L.</t>
  </si>
  <si>
    <t>02595130648</t>
  </si>
  <si>
    <t>Avellino</t>
  </si>
  <si>
    <t>RIO MILK S.R.L. SOCIETA' AGRICOLA</t>
  </si>
  <si>
    <t>01856090764</t>
  </si>
  <si>
    <t>016209</t>
  </si>
  <si>
    <t>Potenza</t>
  </si>
  <si>
    <t>Basilicata</t>
  </si>
  <si>
    <t>PUNTO LATTE SOCIETA' AGRICOLA COOPERATIVA</t>
  </si>
  <si>
    <t>02565350366</t>
  </si>
  <si>
    <t>014000</t>
  </si>
  <si>
    <t>Modena</t>
  </si>
  <si>
    <t>Emilia-Romagna</t>
  </si>
  <si>
    <t>RETEBIO SOCIETA' COOPERATIVA AGRICOLA</t>
  </si>
  <si>
    <t>02249220357</t>
  </si>
  <si>
    <t>016100</t>
  </si>
  <si>
    <t>Reggio nell'Emilia</t>
  </si>
  <si>
    <t>012100</t>
  </si>
  <si>
    <t>Lombardia</t>
  </si>
  <si>
    <t>011110</t>
  </si>
  <si>
    <t>Torino</t>
  </si>
  <si>
    <t>Piemonte</t>
  </si>
  <si>
    <t>AGRISEMENTI LEBBIOLI S.R.L.</t>
  </si>
  <si>
    <t>02532160617</t>
  </si>
  <si>
    <t>016409</t>
  </si>
  <si>
    <t>Caserta</t>
  </si>
  <si>
    <t>Campania</t>
  </si>
  <si>
    <t>Sicilia</t>
  </si>
  <si>
    <t>SOCIETA' AGRICOLA LUNADORO S.R.L.</t>
  </si>
  <si>
    <t>01425800529</t>
  </si>
  <si>
    <t>Siena</t>
  </si>
  <si>
    <t>Toscana</t>
  </si>
  <si>
    <t>Bergamo</t>
  </si>
  <si>
    <t>016300</t>
  </si>
  <si>
    <t>Verona</t>
  </si>
  <si>
    <t>Veneto</t>
  </si>
  <si>
    <t>AGRICOLA BAGNARA SOCIETA' COOPERATIVA AGRICOLA A RESPONSABILITA'</t>
  </si>
  <si>
    <t>02377070392</t>
  </si>
  <si>
    <t>Ravenna</t>
  </si>
  <si>
    <t>SOCIETA' AGRICOLA CAZZOLA PAOLO E DAMIANO S.R.L.</t>
  </si>
  <si>
    <t>03900960232</t>
  </si>
  <si>
    <t>011140</t>
  </si>
  <si>
    <t>012600</t>
  </si>
  <si>
    <t>QUATTRO PORTONI S.R.L. - SOCIETA' AGRICOLA</t>
  </si>
  <si>
    <t>01330290162</t>
  </si>
  <si>
    <t>014100</t>
  </si>
  <si>
    <t>AGRI WORLDWIDE S.R.L. SOCIETA' AGRICOLA</t>
  </si>
  <si>
    <t>11471680014</t>
  </si>
  <si>
    <t>F.LLI BERNABINI SRL</t>
  </si>
  <si>
    <t>00243770401</t>
  </si>
  <si>
    <t>010000</t>
  </si>
  <si>
    <t>Forlì-Cesena</t>
  </si>
  <si>
    <t>CASA VINICOLA FAZIO SOCIETA' AGRICOLA A RESPONSABILITA' LIMITATA</t>
  </si>
  <si>
    <t>01870390810</t>
  </si>
  <si>
    <t>Trapani</t>
  </si>
  <si>
    <t>FATTORIA GIUSEPPE SAVINI S.R.L.</t>
  </si>
  <si>
    <t>00939220679</t>
  </si>
  <si>
    <t>Teramo</t>
  </si>
  <si>
    <t>Abruzzo</t>
  </si>
  <si>
    <t>TENUTA AGRARIA LA PIEVE S.R.L. LA SOCIETA' POTRA' ESSERE RICONOSCIBILE ANCHE DALL'USO DEI SEGUENTI LOGOTIPI: LA PIEVE E TENUTA AGRARIA LA PIEVE</t>
  </si>
  <si>
    <t>00127800514</t>
  </si>
  <si>
    <t>Arezzo</t>
  </si>
  <si>
    <t>Lazio</t>
  </si>
  <si>
    <t>FUTURA AGRICOLA 2015 - SOCIETA' AGRICOLA A R.L.</t>
  </si>
  <si>
    <t>13558521004</t>
  </si>
  <si>
    <t>Roma</t>
  </si>
  <si>
    <t>A. AGRICOLA SAN FRANCESCO S.R.L. A SOCIO UNICO</t>
  </si>
  <si>
    <t>05885710961</t>
  </si>
  <si>
    <t>014000</t>
  </si>
  <si>
    <t>Milano</t>
  </si>
  <si>
    <t>Lombardia</t>
  </si>
  <si>
    <t>011140</t>
  </si>
  <si>
    <t>Veneto</t>
  </si>
  <si>
    <t>ARTURO PELIZZATTI PEREGO S.R.L. - SOCIETA' AGRICOLA IN BREVE AR.PE.PE - S.R.L. SOCIETA' AGRICOLA</t>
  </si>
  <si>
    <t>00574540142</t>
  </si>
  <si>
    <t>012100</t>
  </si>
  <si>
    <t>Sondrio</t>
  </si>
  <si>
    <t>011310</t>
  </si>
  <si>
    <t>COOPERATIVA AGRICOLA PRODUTTORI CARNI PIEMONTESI GARANTITE DEL DOGLIANESE - BOVINLANGA SOCIETA' AGRICOLA COOPERATIVA SIGLABILE B OVINLANGA SOC. AGR. COOP.</t>
  </si>
  <si>
    <t>02240820049</t>
  </si>
  <si>
    <t>016300</t>
  </si>
  <si>
    <t>Cuneo</t>
  </si>
  <si>
    <t>Piemonte</t>
  </si>
  <si>
    <t>VOLPEDO FRUTTA SOCIETA' AGRICOLA COOPERATIVA</t>
  </si>
  <si>
    <t>01575900061</t>
  </si>
  <si>
    <t>016000</t>
  </si>
  <si>
    <t>Alessandria</t>
  </si>
  <si>
    <t>SOCIETA' AGRICOLA FORESTALE MORICA SRL</t>
  </si>
  <si>
    <t>01345240434</t>
  </si>
  <si>
    <t>Macerata</t>
  </si>
  <si>
    <t>Marche</t>
  </si>
  <si>
    <t>AZIENDA AGRICOLA CASA DIVINA PROVVIDENZA S.R.L. - SOCIETA' AGRICO LA</t>
  </si>
  <si>
    <t>10488521005</t>
  </si>
  <si>
    <t>Roma</t>
  </si>
  <si>
    <t>Lazio</t>
  </si>
  <si>
    <t>CONSORZIO ORTOVIVAISTI PISTOIESI SOCIETA' COOPERATIVA AGRICOLA</t>
  </si>
  <si>
    <t>00187930474</t>
  </si>
  <si>
    <t>Pistoia</t>
  </si>
  <si>
    <t>Toscana</t>
  </si>
  <si>
    <t>SOCIETA' AGRICOLA MELE S.R.L.</t>
  </si>
  <si>
    <t>05691751217</t>
  </si>
  <si>
    <t>014700</t>
  </si>
  <si>
    <t>Napoli</t>
  </si>
  <si>
    <t>Campania</t>
  </si>
  <si>
    <t>IL VIGNETO - SOCIETA' AGRICOLA A RESPONSABILITA' LIMITATA O PIU' BREVEMENTE IL VIGNETO - SOCIETA' AGRICOLA A R.L.</t>
  </si>
  <si>
    <t>00211560537</t>
  </si>
  <si>
    <t>010000</t>
  </si>
  <si>
    <t>Grosseto</t>
  </si>
  <si>
    <t>DONNA OLIMPIA 1898 SRL - SOCIETA' AGRICOLA -</t>
  </si>
  <si>
    <t>01415650496</t>
  </si>
  <si>
    <t>Livorno</t>
  </si>
  <si>
    <t>CASTELLO BONOMI TENUTE IN FRANCIACORTA SOCIETA' AGRICOLA A RESPON SABILITA' LIMITATA</t>
  </si>
  <si>
    <t>03034170989</t>
  </si>
  <si>
    <t>Brescia</t>
  </si>
  <si>
    <t>SOCIETA' AGRICOLA COLLINA DEL SOLE S.R.L.</t>
  </si>
  <si>
    <t>03932120268</t>
  </si>
  <si>
    <t>Treviso</t>
  </si>
  <si>
    <t>BALLABIO SOCIETA' AGRICOLA S.R.L. O PER ABBREVIAZIONE BALLABIO SOC. AGR. S.R.L.</t>
  </si>
  <si>
    <t>00473600187</t>
  </si>
  <si>
    <t>Pavia</t>
  </si>
  <si>
    <t>TENUTE BALDO SOCIETA' AGRICOLA S.R.L.</t>
  </si>
  <si>
    <t>03652970546</t>
  </si>
  <si>
    <t>Perugia</t>
  </si>
  <si>
    <t>Umbria</t>
  </si>
  <si>
    <t>COOPERGREEN COOPERATIVA AGRICOLA</t>
  </si>
  <si>
    <t>01955550668</t>
  </si>
  <si>
    <t>L'Aquila</t>
  </si>
  <si>
    <t>Abruzzo</t>
  </si>
  <si>
    <t>VERDE VALDASO SOCIETA' COOPERATIVA IN BREVE VERDE VALDASO SOC. COOP.</t>
  </si>
  <si>
    <t>01693680447</t>
  </si>
  <si>
    <t>016300</t>
  </si>
  <si>
    <t>Fermo</t>
  </si>
  <si>
    <t>Marche</t>
  </si>
  <si>
    <t>ANTICA LATTERIA CENTRO RE SOCIETA' COOPERATIVA AGRICOLA</t>
  </si>
  <si>
    <t>02654850359</t>
  </si>
  <si>
    <t>014100</t>
  </si>
  <si>
    <t>Reggio nell'Emilia</t>
  </si>
  <si>
    <t>Emilia-Romagna</t>
  </si>
  <si>
    <t>LA CUPA SOCIETA' COOPERATIVA AGRICOLA</t>
  </si>
  <si>
    <t>04562780751</t>
  </si>
  <si>
    <t>Lecce</t>
  </si>
  <si>
    <t>Puglia</t>
  </si>
  <si>
    <t>SU'ENTU AGRICOLA S.R.L.</t>
  </si>
  <si>
    <t>03214150926</t>
  </si>
  <si>
    <t>012100</t>
  </si>
  <si>
    <t>Sardegna</t>
  </si>
  <si>
    <t>RICOVAR SOCIETA' AGRICOLA A RESPONSABILITA' LIMITATA</t>
  </si>
  <si>
    <t>01473250056</t>
  </si>
  <si>
    <t>011110</t>
  </si>
  <si>
    <t>Asti</t>
  </si>
  <si>
    <t>Piemonte</t>
  </si>
  <si>
    <t>UNIONE PRODUTTORI AGRICOLI LOCALI SOCIETA' COOPERATIVA AGRICOLA IN SIGLA U.P.A.L.</t>
  </si>
  <si>
    <t>00061630745</t>
  </si>
  <si>
    <t>Brindisi</t>
  </si>
  <si>
    <t>011300</t>
  </si>
  <si>
    <t>SOCIETA' COOPERATIVA AGRICOLA SAN CHIRICO</t>
  </si>
  <si>
    <t>01863960710</t>
  </si>
  <si>
    <t>016000</t>
  </si>
  <si>
    <t>Foggia</t>
  </si>
  <si>
    <t>Lombardia</t>
  </si>
  <si>
    <t>MAIANO SOCIETA' AGRICOLA S.R.L.</t>
  </si>
  <si>
    <t>06450610487</t>
  </si>
  <si>
    <t>012600</t>
  </si>
  <si>
    <t>Firenze</t>
  </si>
  <si>
    <t>Toscana</t>
  </si>
  <si>
    <t>ENERGIA VERDE TRUCCAZZANO SOCIETA' AGRICOLA S.R.L.</t>
  </si>
  <si>
    <t>04178760163</t>
  </si>
  <si>
    <t>Milano</t>
  </si>
  <si>
    <t>016209</t>
  </si>
  <si>
    <t>SEMAR S.R.L.</t>
  </si>
  <si>
    <t>00532800323</t>
  </si>
  <si>
    <t>Trieste</t>
  </si>
  <si>
    <t>Friuli-Venezia Giulia</t>
  </si>
  <si>
    <t>SOCIETA' AGRICOLA RIDOLFI S.R.L.</t>
  </si>
  <si>
    <t>01313870527</t>
  </si>
  <si>
    <t>Siena</t>
  </si>
  <si>
    <t>MAJOLINI S.R.L. SOCIETA' AGRICOLA</t>
  </si>
  <si>
    <t>01878710175</t>
  </si>
  <si>
    <t>Brescia</t>
  </si>
  <si>
    <t>ERBE AROMATICHE PANCALIERI - SOCIETA' COOPERATIVA AGRICOLA SIGLABILE ERBE AROMATICHE PANCALIERI SOC. COOP. AGR.</t>
  </si>
  <si>
    <t>04788840017</t>
  </si>
  <si>
    <t>Torino</t>
  </si>
  <si>
    <t>CONSORZIO PRODUTTORI CARNE BOVINA PREGIATA DELLE RAZZE ITALIANE IN SIGLA C.C.B.I. - CONSORZIO CARNI BOVINI ITALIANI</t>
  </si>
  <si>
    <t>01843800549</t>
  </si>
  <si>
    <t>Perugia</t>
  </si>
  <si>
    <t>Umbria</t>
  </si>
  <si>
    <t>011110</t>
  </si>
  <si>
    <t>Emilia-Romagna</t>
  </si>
  <si>
    <t>RESORT VESUVIO SOCIETA' AGRICOLA S.R.L.</t>
  </si>
  <si>
    <t>04489631210</t>
  </si>
  <si>
    <t>012300</t>
  </si>
  <si>
    <t>Napoli</t>
  </si>
  <si>
    <t>Campania</t>
  </si>
  <si>
    <t>MORISFARMS S.R.L. SOCIETA' AGRICOLA</t>
  </si>
  <si>
    <t>01092500535</t>
  </si>
  <si>
    <t>012600</t>
  </si>
  <si>
    <t>Grosseto</t>
  </si>
  <si>
    <t>Toscana</t>
  </si>
  <si>
    <t>CONSORZIO ORTOFRUTTICOLO VAL DI GRESTA SOCIETA' COOPERATIVA AGRICOLA</t>
  </si>
  <si>
    <t>00128200227</t>
  </si>
  <si>
    <t>016100</t>
  </si>
  <si>
    <t>Trento</t>
  </si>
  <si>
    <t>Trentino-Alto Adige</t>
  </si>
  <si>
    <t>Roma</t>
  </si>
  <si>
    <t>Lazio</t>
  </si>
  <si>
    <t>CANTINA SOCIALE GIULIANO TEATINO SOCIETA' COOPERATIVA AGRICOLA IN ACRONIMO C.S.G.T. S.C.A.</t>
  </si>
  <si>
    <t>00091520692</t>
  </si>
  <si>
    <t>012100</t>
  </si>
  <si>
    <t>Chieti</t>
  </si>
  <si>
    <t>Abruzzo</t>
  </si>
  <si>
    <t>CONSORZIO INTERPROVINCIALE COOPERATIVE AGRICOLE C.I.C.A. - BOLOGNA SOCIETA' COOPERATIVA</t>
  </si>
  <si>
    <t>00557590379</t>
  </si>
  <si>
    <t>010000</t>
  </si>
  <si>
    <t>Bologna</t>
  </si>
  <si>
    <t>SISTEMI AGRO BIOLOGICI SOCIETA' AGRICOLA S.R.L.</t>
  </si>
  <si>
    <t>02372160024</t>
  </si>
  <si>
    <t>Biella</t>
  </si>
  <si>
    <t>Piemonte</t>
  </si>
  <si>
    <t>FRANTOIO COOPERATIVO VALDELSANO SOCIETA' COOPERATIVA AGRICOLA</t>
  </si>
  <si>
    <t>00910630482</t>
  </si>
  <si>
    <t>Siena</t>
  </si>
  <si>
    <t>SOCIETA' AGRICOLA CA' BIANCHINA S.R.L.</t>
  </si>
  <si>
    <t>01801710383</t>
  </si>
  <si>
    <t>Ferrara</t>
  </si>
  <si>
    <t>LAND CHERRY SOCIETA' AGRICOLA S.R.L.</t>
  </si>
  <si>
    <t>01732460892</t>
  </si>
  <si>
    <t>011300</t>
  </si>
  <si>
    <t>Catania</t>
  </si>
  <si>
    <t>Sicilia</t>
  </si>
  <si>
    <t>SOCIETA' AGRICOLA MONALFUNGO S.R.L.</t>
  </si>
  <si>
    <t>01284110051</t>
  </si>
  <si>
    <t>011310</t>
  </si>
  <si>
    <t>Asti</t>
  </si>
  <si>
    <t>BASILICA CAFAGGIO - SOCIETA' AGRICOLA A RESPONSABILITA' LIMITATA</t>
  </si>
  <si>
    <t>03266770480</t>
  </si>
  <si>
    <t>Firenze</t>
  </si>
  <si>
    <t>ANTICA CASA VINICOLA SCARPA SOCIETA' AGRICOLA S.R.L. IN FORMA ABBREVIATA ANTICA CASA VINICOLA SCARPA - SCARPA PODERI BRICCHI - SCARPA VINI - MONVIGLIERO VINEYARD VILLAS BY SCARPA</t>
  </si>
  <si>
    <t>00070140058</t>
  </si>
  <si>
    <t>I.C.M.T. INDUSTRIALI COSTRUZIONI MECCANICHE TOR CERVARA - S R.L I N FORMA ABBREVIATA I.C.M.T. SRL</t>
  </si>
  <si>
    <t>01477571002</t>
  </si>
  <si>
    <t>014000</t>
  </si>
  <si>
    <t>011110</t>
  </si>
  <si>
    <t>Verona</t>
  </si>
  <si>
    <t>Veneto</t>
  </si>
  <si>
    <t>AGRICOLA ORIANI &amp; PECCHIA SRL</t>
  </si>
  <si>
    <t>02514330592</t>
  </si>
  <si>
    <t>011300</t>
  </si>
  <si>
    <t>Latina</t>
  </si>
  <si>
    <t>Lazio</t>
  </si>
  <si>
    <t>Venezia</t>
  </si>
  <si>
    <t>MILAGROSS SOCIETA' COOPERATIVA AGRICOLA</t>
  </si>
  <si>
    <t>03392170837</t>
  </si>
  <si>
    <t>012900</t>
  </si>
  <si>
    <t>Messina</t>
  </si>
  <si>
    <t>Sicilia</t>
  </si>
  <si>
    <t>Lombardia</t>
  </si>
  <si>
    <t>AZIENDA VIVAISTICA REGIONALE UMBRAFLOR</t>
  </si>
  <si>
    <t>02493000547</t>
  </si>
  <si>
    <t>013000</t>
  </si>
  <si>
    <t>Perugia</t>
  </si>
  <si>
    <t>Umbria</t>
  </si>
  <si>
    <t>Campania</t>
  </si>
  <si>
    <t>STAGNO LOMBARDO BIOGAS SOCIETA' AGRICOLA A R.L.</t>
  </si>
  <si>
    <t>02642130211</t>
  </si>
  <si>
    <t>Friuli-Venezia Giulia</t>
  </si>
  <si>
    <t>TENUTA MONTEMAGNO SOCIETA' AGRICOLA S.P.A.</t>
  </si>
  <si>
    <t>05089970965</t>
  </si>
  <si>
    <t>012100</t>
  </si>
  <si>
    <t>Milano</t>
  </si>
  <si>
    <t>Salerno</t>
  </si>
  <si>
    <t>POCENIA BIOGAS - SOCIETA' COOPERATIVA AGRICOLA</t>
  </si>
  <si>
    <t>02616510307</t>
  </si>
  <si>
    <t>016300</t>
  </si>
  <si>
    <t>Udine</t>
  </si>
  <si>
    <t>Cuneo</t>
  </si>
  <si>
    <t>Piemonte</t>
  </si>
  <si>
    <t>BENI DI BATASIOLO S.P.A.</t>
  </si>
  <si>
    <t>02124830049</t>
  </si>
  <si>
    <t>SOCIETA' AGRICOLA TENUTA SAN FRANCESCO - S.R.L.</t>
  </si>
  <si>
    <t>04779170655</t>
  </si>
  <si>
    <t>ENIBIOCH4IN MOMO SOCIETA' AGRICOLA - S.R.L.</t>
  </si>
  <si>
    <t>02157710035</t>
  </si>
  <si>
    <t>TENUTE SANTA MARGHERITA S.R.L. - SOCIETA' AGRICOLA</t>
  </si>
  <si>
    <t>04419910262</t>
  </si>
  <si>
    <t>TORRE A CENAIA SOCIETA' AGRICOLA S.R.L. SOCIETA' UNIPERSONALE</t>
  </si>
  <si>
    <t>02061740508</t>
  </si>
  <si>
    <t>012100</t>
  </si>
  <si>
    <t>Pisa</t>
  </si>
  <si>
    <t>Toscana</t>
  </si>
  <si>
    <t>Puglia</t>
  </si>
  <si>
    <t>FUTURA S.R.L. SOCIETA' AGRICOLA</t>
  </si>
  <si>
    <t>02348880598</t>
  </si>
  <si>
    <t>011320</t>
  </si>
  <si>
    <t>Latina</t>
  </si>
  <si>
    <t>Lazio</t>
  </si>
  <si>
    <t>011110</t>
  </si>
  <si>
    <t>IL CARRO S.R.L. - SOCIETA' AGRICOLA</t>
  </si>
  <si>
    <t>06227910723</t>
  </si>
  <si>
    <t>014500</t>
  </si>
  <si>
    <t>Bari</t>
  </si>
  <si>
    <t>Lombardia</t>
  </si>
  <si>
    <t>VALORIZZAZIONE AMBIENTALE S.R.L. - SOCIETA' AGRICOLA</t>
  </si>
  <si>
    <t>02247410182</t>
  </si>
  <si>
    <t>010000</t>
  </si>
  <si>
    <t>Milano</t>
  </si>
  <si>
    <t>Salerno</t>
  </si>
  <si>
    <t>Campania</t>
  </si>
  <si>
    <t>011000</t>
  </si>
  <si>
    <t>SOCIETA' AGRICOLA TERENZI S.R.L.</t>
  </si>
  <si>
    <t>01266200532</t>
  </si>
  <si>
    <t>Grosseto</t>
  </si>
  <si>
    <t>012300</t>
  </si>
  <si>
    <t>Piemonte</t>
  </si>
  <si>
    <t>Emilia-Romagna</t>
  </si>
  <si>
    <t>Ravenna</t>
  </si>
  <si>
    <t>016100</t>
  </si>
  <si>
    <t>Cuneo</t>
  </si>
  <si>
    <t>COOPERATIVA CENTRO AGRICOLO ALTO VITERBESE SOCIETA' COOPERATIVA AGRICOLA</t>
  </si>
  <si>
    <t>01371800564</t>
  </si>
  <si>
    <t>Viterbo</t>
  </si>
  <si>
    <t>AGRINORD ENERGIA S.R.L. SOCIETA' AGRICOLA</t>
  </si>
  <si>
    <t>10298210013</t>
  </si>
  <si>
    <t>OM SOCIETA' AGRICOLA A R.L.</t>
  </si>
  <si>
    <t>02639370390</t>
  </si>
  <si>
    <t>013000</t>
  </si>
  <si>
    <t>CASEIFICIO SAN SIMONE SOCIETA' COOPERATIVA AGRICOLA</t>
  </si>
  <si>
    <t>00461920357</t>
  </si>
  <si>
    <t>014100</t>
  </si>
  <si>
    <t>Reggio nell'Emilia</t>
  </si>
  <si>
    <t>TERUZZI &amp; PUTHOD S.R.L. - SOCIETA' AGRICOLA IN FORMA ABBREVIATA T&amp;P S.R.L. - SOCIETA' AGRICOLA T&amp;P. S.R.L. - SOCIETA' AGRICOLA</t>
  </si>
  <si>
    <t>01383090527</t>
  </si>
  <si>
    <t>Siena</t>
  </si>
  <si>
    <t>GUIDO COCCI GRIFONI &amp; C. S.R.L. SOCIETA' AGRICOLA IN SIGLA GC G S.R.L. ED AI SOLI FINI DELL'INDIVIDUAZIONE DELL'IMBOTTIGLIATORE PUO' ADOTTARE IN ALTERNATIVA ALLA DENOMINAZIONE SOCIALE LE SIGLE: TCG , COCCI GRIFONI - C OCCI GRIFONI ESTATE - FAMILY</t>
  </si>
  <si>
    <t>01961800446</t>
  </si>
  <si>
    <t>Ascoli Piceno</t>
  </si>
  <si>
    <t>Marche</t>
  </si>
  <si>
    <t>SELEFUNG S.R.L. DI RICCIARDIELLO G. SOCIETA' AGRICOLA</t>
  </si>
  <si>
    <t>04660020654</t>
  </si>
  <si>
    <t>PALMIRANO BIOGAS SOCIETA' AGRICOLA A R.L.</t>
  </si>
  <si>
    <t>01866230384</t>
  </si>
  <si>
    <t>Ferrara</t>
  </si>
  <si>
    <t>Campania</t>
  </si>
  <si>
    <t>CIVA S.R.L.</t>
  </si>
  <si>
    <t>00757280359</t>
  </si>
  <si>
    <t>016000</t>
  </si>
  <si>
    <t>Reggio nell'Emilia</t>
  </si>
  <si>
    <t>Emilia-Romagna</t>
  </si>
  <si>
    <t>Toscana</t>
  </si>
  <si>
    <t>FATTORIA VITICCIO SOCIETA' AGRICOLA A RESPONSABILITA' LIMITATA</t>
  </si>
  <si>
    <t>03962340489</t>
  </si>
  <si>
    <t>012100</t>
  </si>
  <si>
    <t>Firenze</t>
  </si>
  <si>
    <t>Lazio</t>
  </si>
  <si>
    <t>BONISER SOCIETA' AGRICOLA S.R.L.</t>
  </si>
  <si>
    <t>04981640875</t>
  </si>
  <si>
    <t>012800</t>
  </si>
  <si>
    <t>Catania</t>
  </si>
  <si>
    <t>Sicilia</t>
  </si>
  <si>
    <t>IL MONTE - SOCIETA' COOPERATIVA AGRICOLA</t>
  </si>
  <si>
    <t>01203540800</t>
  </si>
  <si>
    <t>Reggio di Calabria</t>
  </si>
  <si>
    <t>Calabria</t>
  </si>
  <si>
    <t>013000</t>
  </si>
  <si>
    <t>011140</t>
  </si>
  <si>
    <t>PASTORE - SOCIETA' CONSORTILE AGRICOLA A RESPONSABILITA' LIMITATA</t>
  </si>
  <si>
    <t>05376570650</t>
  </si>
  <si>
    <t>011320</t>
  </si>
  <si>
    <t>Salerno</t>
  </si>
  <si>
    <t>CENTRO ATTIVITA' VIVAISTICHE SOCIETA' COOPERATIVA AGRICOLA</t>
  </si>
  <si>
    <t>00763960390</t>
  </si>
  <si>
    <t>Ravenna</t>
  </si>
  <si>
    <t>Friuli-Venezia Giulia</t>
  </si>
  <si>
    <t>FONDAZIONE DANIELE MORO</t>
  </si>
  <si>
    <t>01641870934</t>
  </si>
  <si>
    <t>Pordenone</t>
  </si>
  <si>
    <t>SOCIETA' AGRICOLA SANT' EUFEMIA A RESPONSABILITA' LIMITATA</t>
  </si>
  <si>
    <t>02111000598</t>
  </si>
  <si>
    <t>012500</t>
  </si>
  <si>
    <t>Latina</t>
  </si>
  <si>
    <t>AGRICOLTURA NUOVA SOCIETA' COOPERATIVA SOCIALE AGRICOLA INTEGRAT A</t>
  </si>
  <si>
    <t>01126141009</t>
  </si>
  <si>
    <t>015000</t>
  </si>
  <si>
    <t>Roma</t>
  </si>
  <si>
    <t>Lazio</t>
  </si>
  <si>
    <t>AGRICOLA PUGLIESE TERZODIECI S.R.L. SOCIETA' AGRICOLA</t>
  </si>
  <si>
    <t>03005960731</t>
  </si>
  <si>
    <t>012500</t>
  </si>
  <si>
    <t>Taranto</t>
  </si>
  <si>
    <t>Puglia</t>
  </si>
  <si>
    <t>016100</t>
  </si>
  <si>
    <t>011110</t>
  </si>
  <si>
    <t>Lombardia</t>
  </si>
  <si>
    <t>ORGANIZZAZIONE DEI PRODUTTORI OLIVICOLI AS.PR.OL.COSENZA SOCIETA' COOPERATIVA AGRICOLA</t>
  </si>
  <si>
    <t>00922720784</t>
  </si>
  <si>
    <t>Cosenza</t>
  </si>
  <si>
    <t>Calabria</t>
  </si>
  <si>
    <t>SOCIETA' AGRICOLA AGRIQUALITY S.R.L.</t>
  </si>
  <si>
    <t>02553140738</t>
  </si>
  <si>
    <t>012100</t>
  </si>
  <si>
    <t>016300</t>
  </si>
  <si>
    <t>LOMBARDIA ALLEVA S.R.L.</t>
  </si>
  <si>
    <t>00302660204</t>
  </si>
  <si>
    <t>016209</t>
  </si>
  <si>
    <t>Cremona</t>
  </si>
  <si>
    <t>RENIERI S.R.L. - SOCIETA' AGRICOLA</t>
  </si>
  <si>
    <t>00776540528</t>
  </si>
  <si>
    <t>Siena</t>
  </si>
  <si>
    <t>Toscana</t>
  </si>
  <si>
    <t>SINIS AGRICOLA - CONSORZIO TERRE DEI GIGANTI - SOCIETA' COOPERATIVA</t>
  </si>
  <si>
    <t>01145740955</t>
  </si>
  <si>
    <t>Oristano</t>
  </si>
  <si>
    <t>Sardegna</t>
  </si>
  <si>
    <t>Milano</t>
  </si>
  <si>
    <t>FATTORIA MONTECCHIO SOCIETA' AGRICOLA A RESPONSABILITA' LIMITATA</t>
  </si>
  <si>
    <t>06880540486</t>
  </si>
  <si>
    <t>Firenze</t>
  </si>
  <si>
    <t>CANTINA COLONNELLA SOCIETA' COOPERATIVA AGRICOLA</t>
  </si>
  <si>
    <t>00106800675</t>
  </si>
  <si>
    <t>Teramo</t>
  </si>
  <si>
    <t>Abruzzo</t>
  </si>
  <si>
    <t>AZIENDA AGRICOLA TREQUANDA S.R.L. SOCIETA' UNIPERSONALE</t>
  </si>
  <si>
    <t>04158010969</t>
  </si>
  <si>
    <t>BASTIANICH S.R.L. - SOCIETA' AGRICOLA</t>
  </si>
  <si>
    <t>02475400301</t>
  </si>
  <si>
    <t>Udine</t>
  </si>
  <si>
    <t>Friuli-Venezia Giulia</t>
  </si>
  <si>
    <t>SOCIETA' COOPERATIVA AGRICOLA COLLE ALTO A R.L.</t>
  </si>
  <si>
    <t>01598230603</t>
  </si>
  <si>
    <t>Frosinone</t>
  </si>
  <si>
    <t>OIKOS COOPERATIVA SOCIALE A R.L.</t>
  </si>
  <si>
    <t>02826040160</t>
  </si>
  <si>
    <t>Bergamo</t>
  </si>
  <si>
    <t>LATTERIA SOCIALE DEL CIGARELLO SOCIETA' COOPERATIVA AGRICOLA</t>
  </si>
  <si>
    <t>00143930352</t>
  </si>
  <si>
    <t>014100</t>
  </si>
  <si>
    <t>Reggio nell'Emilia</t>
  </si>
  <si>
    <t>Emilia-Romagna</t>
  </si>
  <si>
    <t>011110</t>
  </si>
  <si>
    <t>Lombardia</t>
  </si>
  <si>
    <t>012100</t>
  </si>
  <si>
    <t>Roma</t>
  </si>
  <si>
    <t>Lazio</t>
  </si>
  <si>
    <t>011140</t>
  </si>
  <si>
    <t>ARALDICA VIGNETI - SOCIETA' COOPERATIVA AGRICOLA</t>
  </si>
  <si>
    <t>00227390051</t>
  </si>
  <si>
    <t>Asti</t>
  </si>
  <si>
    <t>Piemonte</t>
  </si>
  <si>
    <t>SOCIETA' AGRICOLA AMPELEIA S.R.L.</t>
  </si>
  <si>
    <t>01267340535</t>
  </si>
  <si>
    <t>Grosseto</t>
  </si>
  <si>
    <t>Toscana</t>
  </si>
  <si>
    <t>Caserta</t>
  </si>
  <si>
    <t>Campania</t>
  </si>
  <si>
    <t>016000</t>
  </si>
  <si>
    <t>Puglia</t>
  </si>
  <si>
    <t>015000</t>
  </si>
  <si>
    <t>Forlì-Cesena</t>
  </si>
  <si>
    <t>Marche</t>
  </si>
  <si>
    <t>MASTAI FERRETTI SOCIETA' AGRICOLA - SOCIETA' A RESPONSABILITA' LIMITATA</t>
  </si>
  <si>
    <t>02629750429</t>
  </si>
  <si>
    <t>Ancona</t>
  </si>
  <si>
    <t>GRIGI ALLEVAMENTI SOCIETA' AGRICOLA S.R.L.</t>
  </si>
  <si>
    <t>03529490546</t>
  </si>
  <si>
    <t>Perugia</t>
  </si>
  <si>
    <t>Umbria</t>
  </si>
  <si>
    <t>L'ARCOBALENO SOCIETA' COOPERATIVA AGRICOLA</t>
  </si>
  <si>
    <t>02234290845</t>
  </si>
  <si>
    <t>012300</t>
  </si>
  <si>
    <t>Agrigento</t>
  </si>
  <si>
    <t>Sicilia</t>
  </si>
  <si>
    <t>G.D.S. AGROENERGIA S.R.L. SOCIETA' AGRICOLA</t>
  </si>
  <si>
    <t>06650880963</t>
  </si>
  <si>
    <t>Lodi</t>
  </si>
  <si>
    <t>ASSORO SOCIETA' COOPERATIVA AGRICOLA IN BREVE ASSORO S.C.A. O VVERO ASSORO</t>
  </si>
  <si>
    <t>02323740403</t>
  </si>
  <si>
    <t>011310</t>
  </si>
  <si>
    <t>OLEIFICIO COOPERATIVO COLTIVATORI DIRETTI DI SANNICANDRO DI BARI SOC. COOP.</t>
  </si>
  <si>
    <t>00474240728</t>
  </si>
  <si>
    <t>Bari</t>
  </si>
  <si>
    <t>SOCIETA' AGRICOLA CASTELLO DEL TERRICCIO - SOCIETA' A RESPONSABI LITA' LIMITATA O PIU' BREVEMENTE SOCIETA' AGRICOLA CASTELLO DEL TERRICCIO - S. R.L. O SOCIETA' AGRICOLA C. DEL TERRICCIO - S.R.L. O ANCORA SOCIETA' AGRICOL A C.D.T. - S.R.L.</t>
  </si>
  <si>
    <t>01082101005</t>
  </si>
  <si>
    <t>011000</t>
  </si>
  <si>
    <t>MARCHESINI S.R.L.</t>
  </si>
  <si>
    <t>02409840549</t>
  </si>
  <si>
    <t>014700</t>
  </si>
  <si>
    <t>SOCIETA' COOPERATIVA FALODE</t>
  </si>
  <si>
    <t>01182430619</t>
  </si>
  <si>
    <t>AZIENDA AGRICOLA RISERVA SAN MASSIMO - SOCIETA' AGRICOLA - S.R.L.</t>
  </si>
  <si>
    <t>01837320157</t>
  </si>
  <si>
    <t>011200</t>
  </si>
  <si>
    <t>Pavia</t>
  </si>
  <si>
    <t>SOCIETA' AGRICOLA FOSSA MALA S.R.L.</t>
  </si>
  <si>
    <t>01397040930</t>
  </si>
  <si>
    <t>012100</t>
  </si>
  <si>
    <t>Pordenone</t>
  </si>
  <si>
    <t>Friuli-Venezia Giulia</t>
  </si>
  <si>
    <t>016100</t>
  </si>
  <si>
    <t>Lombardia</t>
  </si>
  <si>
    <t>FATTORIA IL PALAGIO SOCIETA' AGRICOLA A RESPONSABILITA' LIMITATA, O, IN FORMA ABBREVIATA, FATTORIA IL PALAGIO S.R.L., FATTORIA IL PALAGIO SOC.AGR. R.L., FATTORIA IL PALAGIO SOC. AGRICOLA R.L., FATTORIA IL PALAGIO SOCIETA' AGRIC OLA R.L., FATTORIA IL PALA</t>
  </si>
  <si>
    <t>00293120523</t>
  </si>
  <si>
    <t>011000</t>
  </si>
  <si>
    <t>Siena</t>
  </si>
  <si>
    <t>Toscana</t>
  </si>
  <si>
    <t>CAPO SOCIETA' COOPERATIVA AGRICOLA P.A.</t>
  </si>
  <si>
    <t>00192790681</t>
  </si>
  <si>
    <t>016300</t>
  </si>
  <si>
    <t>Pescara</t>
  </si>
  <si>
    <t>Abruzzo</t>
  </si>
  <si>
    <t>SOCIETA' AGRICOLA BIOLOGICA DEL PARCO SRL</t>
  </si>
  <si>
    <t>03707030965</t>
  </si>
  <si>
    <t>014200</t>
  </si>
  <si>
    <t>Cremona</t>
  </si>
  <si>
    <t>Emilia-Romagna</t>
  </si>
  <si>
    <t>FLORA POMPEI SOCIETA' COOPERATIVA A RESPONSABILITA' LIMITATA</t>
  </si>
  <si>
    <t>01266361219</t>
  </si>
  <si>
    <t>011910</t>
  </si>
  <si>
    <t>Napoli</t>
  </si>
  <si>
    <t>Campania</t>
  </si>
  <si>
    <t>AZIENDA AGRICOLA SERRE PONTINE S.R.L.</t>
  </si>
  <si>
    <t>02381450598</t>
  </si>
  <si>
    <t>011920</t>
  </si>
  <si>
    <t>Latina</t>
  </si>
  <si>
    <t>Lazio</t>
  </si>
  <si>
    <t>VINOVA SOCIETA COOPERATIVA</t>
  </si>
  <si>
    <t>04324060161</t>
  </si>
  <si>
    <t>Bergamo</t>
  </si>
  <si>
    <t>LA GERLA DI SERGIO ROSSI S.R.L. SOCIETA' AGRICOLA</t>
  </si>
  <si>
    <t>01337110520</t>
  </si>
  <si>
    <t>011310</t>
  </si>
  <si>
    <t>ALLEVAMENTO GIO SOCIETA' AGRICOLA S.R.L.</t>
  </si>
  <si>
    <t>06211801219</t>
  </si>
  <si>
    <t>016209</t>
  </si>
  <si>
    <t>AJPROL SOCIETA' COOPERATIVA AGRICOLA DEI PRODUTTORI OLIVICOLI</t>
  </si>
  <si>
    <t>02593580737</t>
  </si>
  <si>
    <t>010000</t>
  </si>
  <si>
    <t>Taranto</t>
  </si>
  <si>
    <t>Puglia</t>
  </si>
  <si>
    <t>CAPO PASSERO PRODUCTION SOCIETA' COOPERATIVA AGRICOLA</t>
  </si>
  <si>
    <t>02000130894</t>
  </si>
  <si>
    <t>Siracusa</t>
  </si>
  <si>
    <t>Sicilia</t>
  </si>
  <si>
    <t>LAVORO E SALUTE - VINI TELARO SOCIETA' COOPERATIVA AGRICOLA</t>
  </si>
  <si>
    <t>01730930615</t>
  </si>
  <si>
    <t>Caserta</t>
  </si>
  <si>
    <t>SELVA CAPUZZA SOCIETA' AGRICOLA SRL - AI FINI DELL'IMBOTTIGLIAM ENTO DEI PRODOTTI PROPRI DELLA SOCIETA' POTRA' ESSERE SEMPLIFICATA IN: SELVA CAPUZZA, SOCIETA' AGRICOLA SELVA CAPUZZA, VISCONTI, AGRICOLA VISCONTI, ANTICA CASA VISCONTI, HIRUNDO, COLLI A LAG</t>
  </si>
  <si>
    <t>01578710988</t>
  </si>
  <si>
    <t>Brescia</t>
  </si>
  <si>
    <t>SOCIETA' AGRICOLA VENTURINI BALDINI - S.R.L.</t>
  </si>
  <si>
    <t>00753090356</t>
  </si>
  <si>
    <t>Reggio nell'Emilia</t>
  </si>
  <si>
    <t>AVICOLA RAIA SOCIETA' AGRICOLA A R.L.</t>
  </si>
  <si>
    <t>01582450621</t>
  </si>
  <si>
    <t>014700</t>
  </si>
  <si>
    <t>Benevento</t>
  </si>
  <si>
    <t>SOCIETA' AGRICOLA S.A.B. MILANO S.R.L.</t>
  </si>
  <si>
    <t>04511730162</t>
  </si>
  <si>
    <t>REGINELLA S.R.L. SOCIETA' AGRICOLA</t>
  </si>
  <si>
    <t>01655690897</t>
  </si>
  <si>
    <t>015000</t>
  </si>
  <si>
    <t>Siracusa</t>
  </si>
  <si>
    <t>Sicilia</t>
  </si>
  <si>
    <t>LATTERIA SOCIALE DI BEDUZZO INFERIORE SOCIETA' AGRICOLA COOPERATIVA</t>
  </si>
  <si>
    <t>00161540349</t>
  </si>
  <si>
    <t>014100</t>
  </si>
  <si>
    <t>Parma</t>
  </si>
  <si>
    <t>Emilia-Romagna</t>
  </si>
  <si>
    <t>GAMMA VERDE S.R.L.</t>
  </si>
  <si>
    <t>01400130132</t>
  </si>
  <si>
    <t>013000</t>
  </si>
  <si>
    <t>Como</t>
  </si>
  <si>
    <t>Lombardia</t>
  </si>
  <si>
    <t>Ragusa</t>
  </si>
  <si>
    <t>L'ORTO.IT SOCIETA' COOPERATIVA AGRICOLA</t>
  </si>
  <si>
    <t>01682150667</t>
  </si>
  <si>
    <t>016100</t>
  </si>
  <si>
    <t>L'Aquila</t>
  </si>
  <si>
    <t>Abruzzo</t>
  </si>
  <si>
    <t>011300</t>
  </si>
  <si>
    <t>Modena</t>
  </si>
  <si>
    <t>016300</t>
  </si>
  <si>
    <t>011110</t>
  </si>
  <si>
    <t>Foggia</t>
  </si>
  <si>
    <t>Puglia</t>
  </si>
  <si>
    <t>SOCIETA' AGRICOLA E.VER. GREEN S.R.L.</t>
  </si>
  <si>
    <t>03919380232</t>
  </si>
  <si>
    <t>Verona</t>
  </si>
  <si>
    <t>Veneto</t>
  </si>
  <si>
    <t>012600</t>
  </si>
  <si>
    <t>SOCIETA' AGRICOLA HAPPYFLOR S.R.L.</t>
  </si>
  <si>
    <t>02568010363</t>
  </si>
  <si>
    <t>AZIENDA GULFI SOCIETA' AGRICOLA S.R.L.</t>
  </si>
  <si>
    <t>08985340960</t>
  </si>
  <si>
    <t>012100</t>
  </si>
  <si>
    <t>VILLA LENA SOCIETA' AGRICOLA S.R.L.</t>
  </si>
  <si>
    <t>06362720481</t>
  </si>
  <si>
    <t>Pisa</t>
  </si>
  <si>
    <t>Toscana</t>
  </si>
  <si>
    <t>SOCIETA' AGRICOLA AGAVE S.R.L.</t>
  </si>
  <si>
    <t>04441290964</t>
  </si>
  <si>
    <t>011910</t>
  </si>
  <si>
    <t>Milano</t>
  </si>
  <si>
    <t>PANDORA S.R.L.</t>
  </si>
  <si>
    <t>08023370722</t>
  </si>
  <si>
    <t>Barletta-Andria-Trani</t>
  </si>
  <si>
    <t>ENIBIOCH4IN ALEXANDRIA S.R.L. SOCIETA' AGRICOLA</t>
  </si>
  <si>
    <t>02294800061</t>
  </si>
  <si>
    <t>ULIVETO SOCIETA' AGRICOLA A RESPONSABILITA' LIMITATA</t>
  </si>
  <si>
    <t>07754480726</t>
  </si>
  <si>
    <t>Bari</t>
  </si>
  <si>
    <t>AOP AMBRO SOCIETA' COOPERATIVA AGRICOLA A.R.L.</t>
  </si>
  <si>
    <t>04663800656</t>
  </si>
  <si>
    <t>D'ARAPRI' SOCIETA' AGRICOLA S.R.L.</t>
  </si>
  <si>
    <t>01647690716</t>
  </si>
  <si>
    <t>LUPAIA S.R.L. SOCIETA' AGRICOLA</t>
  </si>
  <si>
    <t>01421530526</t>
  </si>
  <si>
    <t>011120</t>
  </si>
  <si>
    <t>Siena</t>
  </si>
  <si>
    <t>Toscana</t>
  </si>
  <si>
    <t>AGRICOLA MONTONE S.R.L. SOCIETA' AGRICOLA</t>
  </si>
  <si>
    <t>00868410390</t>
  </si>
  <si>
    <t>011310</t>
  </si>
  <si>
    <t>Ravenna</t>
  </si>
  <si>
    <t>Emilia-Romagna</t>
  </si>
  <si>
    <t>016300</t>
  </si>
  <si>
    <t>011110</t>
  </si>
  <si>
    <t>Lombardia</t>
  </si>
  <si>
    <t>SOCIETA' AGRICOLA POGGIO DIVINO S.R.L.</t>
  </si>
  <si>
    <t>01281350536</t>
  </si>
  <si>
    <t>012100</t>
  </si>
  <si>
    <t>Grosseto</t>
  </si>
  <si>
    <t>NURA SOCIETA' AGRICOLA A RESPONSABILITA' LIMITATA ENUNCIABILE AN CHE NURA SOC. AGR. A R.L.</t>
  </si>
  <si>
    <t>01705140331</t>
  </si>
  <si>
    <t>Piacenza</t>
  </si>
  <si>
    <t>Lazio</t>
  </si>
  <si>
    <t>AGRI ENERGIA ISTIA SOCIETA' AGRICOLA SOCIETA' A RESPONSABILITA' LIMITATA O IN FORMA ABBREVIATA AGRI ENERGIA ISTIA SOCIETA' AGRICOLA S.R.L.</t>
  </si>
  <si>
    <t>01482100532</t>
  </si>
  <si>
    <t>Parma</t>
  </si>
  <si>
    <t>SOCIETA' AGRICOLA MONTERINALDI S.R.L.</t>
  </si>
  <si>
    <t>00255710527</t>
  </si>
  <si>
    <t>Bologna</t>
  </si>
  <si>
    <t>SANTA CROCE SOCIETA' AGRICOLA A R.L.</t>
  </si>
  <si>
    <t>15203201007</t>
  </si>
  <si>
    <t>Roma</t>
  </si>
  <si>
    <t>SOCIETA' AGRICOLA AG.MA S.R.L.</t>
  </si>
  <si>
    <t>02365000187</t>
  </si>
  <si>
    <t>011200</t>
  </si>
  <si>
    <t>Pavia</t>
  </si>
  <si>
    <t>G S A SRL</t>
  </si>
  <si>
    <t>03203421205</t>
  </si>
  <si>
    <t>ENIBIOCH4IN GRUPELLUM SOCIETA' AGRICOLA - S.R.L.</t>
  </si>
  <si>
    <t>02268950181</t>
  </si>
  <si>
    <t>Milano</t>
  </si>
  <si>
    <t>CONSORZIO ORTOFRUTTICOLO ZEVIANO SOCIETA' COOPERATIVA AGRICOLA ABBREVIATA CON SIGLA C.O.Z. SOC. COOP. AGR. ED ANCHE COZ SCA</t>
  </si>
  <si>
    <t>02787750237</t>
  </si>
  <si>
    <t>016100</t>
  </si>
  <si>
    <t>Verona</t>
  </si>
  <si>
    <t>Veneto</t>
  </si>
  <si>
    <t>ENZA ZADEN ITALIA SOCIETA' AGRICOLA S.R.L.</t>
  </si>
  <si>
    <t>03373810237</t>
  </si>
  <si>
    <t>011329</t>
  </si>
  <si>
    <t>Viterbo</t>
  </si>
  <si>
    <t>Lazio</t>
  </si>
  <si>
    <t>AGRINOVA SRL SOCIETA' AGRICOLA</t>
  </si>
  <si>
    <t>01896650684</t>
  </si>
  <si>
    <t>011300</t>
  </si>
  <si>
    <t>Pescara</t>
  </si>
  <si>
    <t>Abruzzo</t>
  </si>
  <si>
    <t>016000</t>
  </si>
  <si>
    <t>014100</t>
  </si>
  <si>
    <t>Sicilia</t>
  </si>
  <si>
    <t>PRODUTTORI NOCCIOLE ASSOCIATI SOCIETA' COOPERATIVA SIGLABILE, OVE CONSENTITO DALLA LEGGE IN AGRI LANGHE NUT S.C.</t>
  </si>
  <si>
    <t>03806820043</t>
  </si>
  <si>
    <t>016300</t>
  </si>
  <si>
    <t>Cuneo</t>
  </si>
  <si>
    <t>Piemonte</t>
  </si>
  <si>
    <t>COOPERATIVA DI PRODUTTORI DI PATATE DEL FRIULI VENEZIA GIULIA - O VOLEDO DI ZOPPOLA (ITALIA) SOCIETA' COOPERATIVA AGRICOLA IN SIGLA CO.PRO.PA. SOC. COOP. AGR.</t>
  </si>
  <si>
    <t>00150880938</t>
  </si>
  <si>
    <t>Pordenone</t>
  </si>
  <si>
    <t>Friuli-Venezia Giulia</t>
  </si>
  <si>
    <t>Emilia-Romagna</t>
  </si>
  <si>
    <t>SOCIETA' PER LA BONIFICA DEI TERRENI FERRARESI E PER IMPRESE AGRICOLE S.P.A. SOCIETA' AGRICOLA</t>
  </si>
  <si>
    <t>00050540384</t>
  </si>
  <si>
    <t>011000</t>
  </si>
  <si>
    <t>Ferrara</t>
  </si>
  <si>
    <t>PALAGETTO - S.R.L. SOCIETA'' AGRICOLA</t>
  </si>
  <si>
    <t>00786230524</t>
  </si>
  <si>
    <t>012100</t>
  </si>
  <si>
    <t>Siena</t>
  </si>
  <si>
    <t>Toscana</t>
  </si>
  <si>
    <t>MACELLO SOCIALE VALLE BORMIDA - SOC. AGR. COOP.</t>
  </si>
  <si>
    <t>00306020041</t>
  </si>
  <si>
    <t>CONDULMER SRL</t>
  </si>
  <si>
    <t>00222310260</t>
  </si>
  <si>
    <t>Treviso</t>
  </si>
  <si>
    <t>COOPERATIVA ORTOFLOROFRUTTICOLA ANDORESE SOCIETA' COOPERATIVA</t>
  </si>
  <si>
    <t>00405330093</t>
  </si>
  <si>
    <t>Savona</t>
  </si>
  <si>
    <t>Liguria</t>
  </si>
  <si>
    <t>011110</t>
  </si>
  <si>
    <t>COTTANERA SOCIETA' AGRICOLA A RESPONSABILITA' LIMITATA</t>
  </si>
  <si>
    <t>03121500833</t>
  </si>
  <si>
    <t>Messina</t>
  </si>
  <si>
    <t>VAL SELE - S.R.L.</t>
  </si>
  <si>
    <t>03462670658</t>
  </si>
  <si>
    <t>Salerno</t>
  </si>
  <si>
    <t>Campania</t>
  </si>
  <si>
    <t>CONSORZIO ORTOFRUTTICOLO CENTRO ITALIA SOC.CONS. COOP. AGRICOLA</t>
  </si>
  <si>
    <t>02224860540</t>
  </si>
  <si>
    <t>Perugia</t>
  </si>
  <si>
    <t>Umbria</t>
  </si>
  <si>
    <t>CACI SRL - SOCIETA' AGRICOLA</t>
  </si>
  <si>
    <t>02795361209</t>
  </si>
  <si>
    <t>Bologna</t>
  </si>
  <si>
    <t>ITAGRO-SERVIZI S.R.L.S.</t>
  </si>
  <si>
    <t>03617821206</t>
  </si>
  <si>
    <t>BINDELLA S.R.L. SOCIETA' AGRICOLA</t>
  </si>
  <si>
    <t>00815100524</t>
  </si>
  <si>
    <t>GINO CAMPAGNOLA SOC. COOP. AGRICOLA A R.L.</t>
  </si>
  <si>
    <t>04257530230</t>
  </si>
  <si>
    <t>012100</t>
  </si>
  <si>
    <t>Verona</t>
  </si>
  <si>
    <t>Veneto</t>
  </si>
  <si>
    <t>ENO CACCIA COOPERATIVA SOCIALE SOCIETA' AGRICOLA ONLUS O PIU' BREVEMENTE ENO CACCIA C.S.S.A. ONLUS</t>
  </si>
  <si>
    <t>03065590980</t>
  </si>
  <si>
    <t>Brescia</t>
  </si>
  <si>
    <t>Lombardia</t>
  </si>
  <si>
    <t>TENUTA IL PALAGIO DI STING E TRUDIE SOCIETA' AGRICOLA A RESPONSAB ILITA' LIMITATA ANCHE ABBREVIABILE IN TENUTA IL PALAGIO DI STING E TRUDIE S.R. L. SOCIETA' AGRICOLA</t>
  </si>
  <si>
    <t>05476060487</t>
  </si>
  <si>
    <t>012000</t>
  </si>
  <si>
    <t>Firenze</t>
  </si>
  <si>
    <t>Toscana</t>
  </si>
  <si>
    <t>016000</t>
  </si>
  <si>
    <t>011140</t>
  </si>
  <si>
    <t>L.S. GROUP AGROMECCANICA S.R.L.</t>
  </si>
  <si>
    <t>03374550980</t>
  </si>
  <si>
    <t>016100</t>
  </si>
  <si>
    <t>Campania</t>
  </si>
  <si>
    <t>CORILANGA SOCIETA' AGRICOLA COOPERATIVA</t>
  </si>
  <si>
    <t>03344490044</t>
  </si>
  <si>
    <t>016300</t>
  </si>
  <si>
    <t>Cuneo</t>
  </si>
  <si>
    <t>Piemonte</t>
  </si>
  <si>
    <t>OFFICINALIS SRL SOCIETA' AGRICOLA</t>
  </si>
  <si>
    <t>04332910241</t>
  </si>
  <si>
    <t>Vicenza</t>
  </si>
  <si>
    <t>AZIENDE AGRICOLE A GESTIONE ASSOCIATA CAMPOTENESE</t>
  </si>
  <si>
    <t>00880150784</t>
  </si>
  <si>
    <t>014100</t>
  </si>
  <si>
    <t>Cosenza</t>
  </si>
  <si>
    <t>Calabria</t>
  </si>
  <si>
    <t>SOCIETA' AGRICOLA LA MARCHESA S.R.L.</t>
  </si>
  <si>
    <t>01609090764</t>
  </si>
  <si>
    <t>Potenza</t>
  </si>
  <si>
    <t>Basilicata</t>
  </si>
  <si>
    <t>CONSORZIO TABACCHICOLTORI MONTE GRAPPA DI BASSANO DEL GRAPPA, CASTELFRANCO VENETO E NOVENTA VICENTINA SOCIETA' COOPERATIVA AGRICOLA</t>
  </si>
  <si>
    <t>00172190241</t>
  </si>
  <si>
    <t>011500</t>
  </si>
  <si>
    <t>GRIESSER FRUIT SRL SOCIETA' AGRICOLA</t>
  </si>
  <si>
    <t>03017000211</t>
  </si>
  <si>
    <t>012500</t>
  </si>
  <si>
    <t>Bolzano/Bozen</t>
  </si>
  <si>
    <t>Trentino-Alto Adige</t>
  </si>
  <si>
    <t>FULL SOCIETA' AGRICOLA S.R.L.</t>
  </si>
  <si>
    <t>03459860783</t>
  </si>
  <si>
    <t>012400</t>
  </si>
  <si>
    <t>Emilia-Romagna</t>
  </si>
  <si>
    <t>OROSEM S.R.L.</t>
  </si>
  <si>
    <t>02854510167</t>
  </si>
  <si>
    <t>011910</t>
  </si>
  <si>
    <t>Bergamo</t>
  </si>
  <si>
    <t>SOCIETA' COOPERATIVA AGRICOLA AGROCARNE SUD - SOCIETA' COOPERATIV A A RESPONSABILITA' LIMITATA</t>
  </si>
  <si>
    <t>00255230765</t>
  </si>
  <si>
    <t>015000</t>
  </si>
  <si>
    <t>GIOVANI COLTIVATORI SOCIETA' AGRICOLA S.R.L.</t>
  </si>
  <si>
    <t>02240530614</t>
  </si>
  <si>
    <t>Caserta</t>
  </si>
  <si>
    <t>FATTORIE SAN LORENZO S.R.L. - SOCIETA' AGRICOLA</t>
  </si>
  <si>
    <t>01964450207</t>
  </si>
  <si>
    <t>Mantova</t>
  </si>
  <si>
    <t>SOCIETA' AGRICOLA CRAVERA AGROENERGIE S.R.L.</t>
  </si>
  <si>
    <t>02473900187</t>
  </si>
  <si>
    <t>Pavia</t>
  </si>
  <si>
    <t>A.R.A. ASSOCIAZIONE ROMAGNOLA APICOLTORI SOCIETA' COOPERATIVA AGR ICOLA IN SIGLA ARA S.C. AGRICOLA</t>
  </si>
  <si>
    <t>00873920391</t>
  </si>
  <si>
    <t>Ravenna</t>
  </si>
  <si>
    <t>COOPERATIVA AGRICOLA S. SABINA - S.R.L. -</t>
  </si>
  <si>
    <t>00243290665</t>
  </si>
  <si>
    <t>L'Aquila</t>
  </si>
  <si>
    <t>Abruzzo</t>
  </si>
  <si>
    <t>PRODUTTORI OLIO EXTRA VERGINE DI OLIVA DEL LAGO DI GARDA O.P. OLIVICOLTORI - REGIONE VENETO SOCIETA' COOPERATIVA AGRICOLA IN BREVE P.O.G. S.C.A.</t>
  </si>
  <si>
    <t>01744260231</t>
  </si>
  <si>
    <t>016000</t>
  </si>
  <si>
    <t>Verona</t>
  </si>
  <si>
    <t>Veneto</t>
  </si>
  <si>
    <t>016300</t>
  </si>
  <si>
    <t>014700</t>
  </si>
  <si>
    <t>AZIENDA AGRICOLA F.LLI MENGONI S.R.L.</t>
  </si>
  <si>
    <t>00184360543</t>
  </si>
  <si>
    <t>Perugia</t>
  </si>
  <si>
    <t>Umbria</t>
  </si>
  <si>
    <t>016100</t>
  </si>
  <si>
    <t>Lombardia</t>
  </si>
  <si>
    <t>SOCIETA' AGRICOLA TENUTA LA MASSA S.R.L.</t>
  </si>
  <si>
    <t>04570500233</t>
  </si>
  <si>
    <t>012100</t>
  </si>
  <si>
    <t>Firenze</t>
  </si>
  <si>
    <t>Toscana</t>
  </si>
  <si>
    <t>A.PRO.ZOO PRODUTTORI ZOOTECNICI - SOCIETA' COOPERATIVA</t>
  </si>
  <si>
    <t>01543480782</t>
  </si>
  <si>
    <t>016209</t>
  </si>
  <si>
    <t>Cosenza</t>
  </si>
  <si>
    <t>Calabria</t>
  </si>
  <si>
    <t>Milano</t>
  </si>
  <si>
    <t>OPERAZERODUE SOCIETA' AGRICOLA SRL</t>
  </si>
  <si>
    <t>03976560361</t>
  </si>
  <si>
    <t>Modena</t>
  </si>
  <si>
    <t>Emilia-Romagna</t>
  </si>
  <si>
    <t>ROCCA DI CAPRILEONE IMPRESA AGRICOLA COOP. PER AZIONI</t>
  </si>
  <si>
    <t>00115690828</t>
  </si>
  <si>
    <t>Palermo</t>
  </si>
  <si>
    <t>Sicilia</t>
  </si>
  <si>
    <t>MILANO SEMENTI SOCIETA' COOPERATIVA AGRICOLA</t>
  </si>
  <si>
    <t>10775660961</t>
  </si>
  <si>
    <t>016409</t>
  </si>
  <si>
    <t>BIAGI ADELIO S.R.L.</t>
  </si>
  <si>
    <t>02775130186</t>
  </si>
  <si>
    <t>Pavia</t>
  </si>
  <si>
    <t>TITIGNANO SOCIETA' AGRICOLA SRL</t>
  </si>
  <si>
    <t>01219330550</t>
  </si>
  <si>
    <t>012000</t>
  </si>
  <si>
    <t>Terni</t>
  </si>
  <si>
    <t>LA TERRA E IL CIELO SOCIET+ AGRICOLA COOPERATIVA</t>
  </si>
  <si>
    <t>00673870424</t>
  </si>
  <si>
    <t>Ancona</t>
  </si>
  <si>
    <t>Marche</t>
  </si>
  <si>
    <t>SOC. COOP. VITICOLTORI BRESSANONE/NOVACELLA E DINTORNI - SOCIETA' AGRICOLA, IN BREVE WPG</t>
  </si>
  <si>
    <t>00160400214</t>
  </si>
  <si>
    <t>Bolzano/Bozen</t>
  </si>
  <si>
    <t>Trentino-Alto Adige</t>
  </si>
  <si>
    <t>AZIENDA AGRICOLA LURETTA SOCIETA' A RESPONSABILITA' LIMITATA ENUNCIABILE ANCHE LURETTA S.R.L.</t>
  </si>
  <si>
    <t>00678430190</t>
  </si>
  <si>
    <t>Piacenza</t>
  </si>
  <si>
    <t>3 AMICI INDIANI S.R.L.S.</t>
  </si>
  <si>
    <t>04519590238</t>
  </si>
  <si>
    <t>ANSITZ HIRSCHPRUNN SOCIETA' AGRICOLA A RESPONSABILITA' LIMITATA</t>
  </si>
  <si>
    <t>01431480217</t>
  </si>
  <si>
    <t>012000</t>
  </si>
  <si>
    <t>Bolzano/Bozen</t>
  </si>
  <si>
    <t>Trentino-Alto Adige</t>
  </si>
  <si>
    <t>011310</t>
  </si>
  <si>
    <t>Puglia</t>
  </si>
  <si>
    <t>SA.NA S.R.L.</t>
  </si>
  <si>
    <t>01781991201</t>
  </si>
  <si>
    <t>011140</t>
  </si>
  <si>
    <t>Bologna</t>
  </si>
  <si>
    <t>Emilia-Romagna</t>
  </si>
  <si>
    <t>OLEIFICIO COOPERATIVO DELLA RIFORMA FONDIARIA DI SERRANOVA C OOPERATIVA S.P.A.</t>
  </si>
  <si>
    <t>00061300745</t>
  </si>
  <si>
    <t>016100</t>
  </si>
  <si>
    <t>Brindisi</t>
  </si>
  <si>
    <t>AZIENDA AGRICOLA DI PIETRO S.R.L.</t>
  </si>
  <si>
    <t>05516640728</t>
  </si>
  <si>
    <t>012600</t>
  </si>
  <si>
    <t>Barletta-Andria-Trani</t>
  </si>
  <si>
    <t>L'AGRICOLA LATIANESE SOCIETA' COOPERATIVA</t>
  </si>
  <si>
    <t>00060200748</t>
  </si>
  <si>
    <t>012100</t>
  </si>
  <si>
    <t>Sicilia</t>
  </si>
  <si>
    <t>POGGIOTONDO SOCIETA' AGRICOLA S.R.L.</t>
  </si>
  <si>
    <t>05195400485</t>
  </si>
  <si>
    <t>Firenze</t>
  </si>
  <si>
    <t>Toscana</t>
  </si>
  <si>
    <t>FRUTTA BY SUD SOCIETA' COOPERATIVA AGRICOLA</t>
  </si>
  <si>
    <t>03052800806</t>
  </si>
  <si>
    <t>016300</t>
  </si>
  <si>
    <t>Reggio di Calabria</t>
  </si>
  <si>
    <t>Calabria</t>
  </si>
  <si>
    <t>011110</t>
  </si>
  <si>
    <t>Verona</t>
  </si>
  <si>
    <t>Veneto</t>
  </si>
  <si>
    <t>TECNOVITE S.R.L.</t>
  </si>
  <si>
    <t>03497120281</t>
  </si>
  <si>
    <t>Padova</t>
  </si>
  <si>
    <t>SOCIETA' AGRICOLA MERLOTTA S.R.L.</t>
  </si>
  <si>
    <t>00877490235</t>
  </si>
  <si>
    <t>014200</t>
  </si>
  <si>
    <t>NATURBIO SOCIETA' AGRICOLA S.R.L.</t>
  </si>
  <si>
    <t>07687350723</t>
  </si>
  <si>
    <t>Lombardia</t>
  </si>
  <si>
    <t>QUADRA S.R.L. SOCIETA' AGRICOLA</t>
  </si>
  <si>
    <t>03055570166</t>
  </si>
  <si>
    <t>Brescia</t>
  </si>
  <si>
    <t>AVICOLA SALERNITANA - S.R.L.</t>
  </si>
  <si>
    <t>03203860659</t>
  </si>
  <si>
    <t>014700</t>
  </si>
  <si>
    <t>Salerno</t>
  </si>
  <si>
    <t>Campania</t>
  </si>
  <si>
    <t>SOCIETA' AGRICOLA SANTA TRESA S.R.L. IN BREVE SANTA TRESA , SA.TR. S.R.L. , TR S.R.L. , S.A. CORTESE , CORTE IBLA , TERRE DI KAMA , FEUDO S.T. , SOC. AGR. SANTA TRESA , SO.SA.TR. , CORTE DI SABUCI E LA CORTE</t>
  </si>
  <si>
    <t>01203510886</t>
  </si>
  <si>
    <t>Ragusa</t>
  </si>
  <si>
    <t>B.S. SOCIETA' AGRICOLA S.R.L.</t>
  </si>
  <si>
    <t>04891340657</t>
  </si>
  <si>
    <t>011910</t>
  </si>
  <si>
    <t>SOCIETA' AGRICOLA LA CERRETA S.R.L.</t>
  </si>
  <si>
    <t>01004990519</t>
  </si>
  <si>
    <t>Perugia</t>
  </si>
  <si>
    <t>Umbria</t>
  </si>
  <si>
    <t>CACCIA AL PIANO 1868 SOCIETA' AGRICOLA S.R.L.</t>
  </si>
  <si>
    <t>00938160165</t>
  </si>
  <si>
    <t>Livorno</t>
  </si>
  <si>
    <t>SEGASIDDA S.R.L</t>
  </si>
  <si>
    <t>01360450900</t>
  </si>
  <si>
    <t>Sassari</t>
  </si>
  <si>
    <t>Sardegna</t>
  </si>
  <si>
    <t>012100</t>
  </si>
  <si>
    <t>Brescia</t>
  </si>
  <si>
    <t>Lombardia</t>
  </si>
  <si>
    <t>A.B.C. MARSALA - SOCIETA' COOPERATIVA AGRICOLA</t>
  </si>
  <si>
    <t>00339970816</t>
  </si>
  <si>
    <t>016300</t>
  </si>
  <si>
    <t>Trapani</t>
  </si>
  <si>
    <t>Sicilia</t>
  </si>
  <si>
    <t>011000</t>
  </si>
  <si>
    <t>Campania</t>
  </si>
  <si>
    <t>SOCIETA' AGRICOLA S. BERNARDINO S.R.L.</t>
  </si>
  <si>
    <t>03354190179</t>
  </si>
  <si>
    <t>014100</t>
  </si>
  <si>
    <t>016100</t>
  </si>
  <si>
    <t>Veneto</t>
  </si>
  <si>
    <t>TENUTA DI ANGORIS S.R.L. SOCIETA' AGRICOLA</t>
  </si>
  <si>
    <t>00051120319</t>
  </si>
  <si>
    <t>011140</t>
  </si>
  <si>
    <t>Gorizia</t>
  </si>
  <si>
    <t>Friuli-Venezia Giulia</t>
  </si>
  <si>
    <t>Salerno</t>
  </si>
  <si>
    <t>TRE MONTI SOCIETA' AGRICOLA S.R.L.</t>
  </si>
  <si>
    <t>00527301204</t>
  </si>
  <si>
    <t>Bologna</t>
  </si>
  <si>
    <t>Emilia-Romagna</t>
  </si>
  <si>
    <t>SOCIETA' CONSORTILE DI DOLO PER LA COMMERCIALIZZAZIONE DEI PRODOT TI AGRICOLI A R.L.</t>
  </si>
  <si>
    <t>03419820273</t>
  </si>
  <si>
    <t>Venezia</t>
  </si>
  <si>
    <t>COOPERATIVA PRODUTTORI AGLIO PIACENTINO SOCIETA' COOPERATIVA AGRI COLA ENUNCIABILE ANCHE CO.P.A.P. SOC. COOP. A R.L.</t>
  </si>
  <si>
    <t>00275150332</t>
  </si>
  <si>
    <t>Piacenza</t>
  </si>
  <si>
    <t>Padova</t>
  </si>
  <si>
    <t>SOCIETA' AGRICOLA LAVACCHIO SRL</t>
  </si>
  <si>
    <t>04984810483</t>
  </si>
  <si>
    <t>Firenze</t>
  </si>
  <si>
    <t>Toscana</t>
  </si>
  <si>
    <t>VIVAI NISCHLER DI NISCHLER GEORG S.R.L. UNIPERSONALE</t>
  </si>
  <si>
    <t>04016860233</t>
  </si>
  <si>
    <t>013000</t>
  </si>
  <si>
    <t>Verona</t>
  </si>
  <si>
    <t>PASCOLI ALTI S.R.L.</t>
  </si>
  <si>
    <t>04157950280</t>
  </si>
  <si>
    <t>FUTURAGRO SOCIETA' COOPERATIVA AGRICOLA A.R.L.</t>
  </si>
  <si>
    <t>02197500651</t>
  </si>
  <si>
    <t>011329</t>
  </si>
  <si>
    <t>COOPERATIVA SOCIALE NUOVI ORIZZONTI</t>
  </si>
  <si>
    <t>00766110241</t>
  </si>
  <si>
    <t>011300</t>
  </si>
  <si>
    <t>Vicenza</t>
  </si>
  <si>
    <t>LA FATTORIA AGRI &amp; SERVICE SOCIETA'' COOPERATIVA AGRICOLA</t>
  </si>
  <si>
    <t>02942540549</t>
  </si>
  <si>
    <t>016100</t>
  </si>
  <si>
    <t>Perugia</t>
  </si>
  <si>
    <t>Umbria</t>
  </si>
  <si>
    <t>AZIENDE AGRICOLE CIRULLI SOCIETA' AGRICOLA A RESPONSABILITA' LIMI TATA</t>
  </si>
  <si>
    <t>00240620690</t>
  </si>
  <si>
    <t>012100</t>
  </si>
  <si>
    <t>Chieti</t>
  </si>
  <si>
    <t>Abruzzo</t>
  </si>
  <si>
    <t>Veneto</t>
  </si>
  <si>
    <t>016300</t>
  </si>
  <si>
    <t>Cuneo</t>
  </si>
  <si>
    <t>Piemonte</t>
  </si>
  <si>
    <t>Marche</t>
  </si>
  <si>
    <t>CANTINA DI TORTONA - VIGNAIOLI DEL TORTONESE - SOCIETA' COOPERA TIVA AGRICOLA, IDENTIFICABILE CON LE SIGLE CANTINA DI TORTONA S.C.A. OPPURE V IGNAIOLI DEL TORTONESE S.C.A. OPPURE C.T. S.C.A. OPPURE V.D.T. S.C.A.</t>
  </si>
  <si>
    <t>00156950065</t>
  </si>
  <si>
    <t>Alessandria</t>
  </si>
  <si>
    <t>VILLA MANGIACANE S.R.L.</t>
  </si>
  <si>
    <t>02329460485</t>
  </si>
  <si>
    <t>012600</t>
  </si>
  <si>
    <t>Firenze</t>
  </si>
  <si>
    <t>Toscana</t>
  </si>
  <si>
    <t>AGROTEC SRL</t>
  </si>
  <si>
    <t>02575020272</t>
  </si>
  <si>
    <t>Venezia</t>
  </si>
  <si>
    <t>011140</t>
  </si>
  <si>
    <t>SOCIETA' AGRICOLA TENUTA MATTIONI S.R.L.</t>
  </si>
  <si>
    <t>02825510544</t>
  </si>
  <si>
    <t>CERERE SOCIETA' COOPERATIVA AGRICOLA</t>
  </si>
  <si>
    <t>03516571217</t>
  </si>
  <si>
    <t>Napoli</t>
  </si>
  <si>
    <t>Campania</t>
  </si>
  <si>
    <t>CENTRO COOPERATIVO AGROALIMENTARE SANNITA (CECAS) SOCIETA' COOPERATIVA AGRICOLA IN SIGLA CECAS S.C.</t>
  </si>
  <si>
    <t>00068040625</t>
  </si>
  <si>
    <t>Benevento</t>
  </si>
  <si>
    <t>CIARROCCHI VIVAI SOCIETA' AGRICOLA A RESPONSABILITA' LIMITATA</t>
  </si>
  <si>
    <t>01191120441</t>
  </si>
  <si>
    <t>011910</t>
  </si>
  <si>
    <t>Ascoli Piceno</t>
  </si>
  <si>
    <t>BIANCOVISO SOCIETA' COOPERATIVA AGRICOLA</t>
  </si>
  <si>
    <t>03682580042</t>
  </si>
  <si>
    <t>Puglia</t>
  </si>
  <si>
    <t>FRUIT ALBA SOCIETA' COOPERATIVA AGRICOLA A MUTUALITA' PREVALENTE</t>
  </si>
  <si>
    <t>03324400781</t>
  </si>
  <si>
    <t>Cosenza</t>
  </si>
  <si>
    <t>Calabria</t>
  </si>
  <si>
    <t>VIVAI F.LLI ZANELLA S.R.L.</t>
  </si>
  <si>
    <t>02795630249</t>
  </si>
  <si>
    <t>013000</t>
  </si>
  <si>
    <t>Vicenza</t>
  </si>
  <si>
    <t>MASSERIA CHINUNNO SOCIETA' AGRICOLA A RESPONSABILITA' LIMITATA</t>
  </si>
  <si>
    <t>07972250729</t>
  </si>
  <si>
    <t>015000</t>
  </si>
  <si>
    <t>Bari</t>
  </si>
  <si>
    <t>MEDIFLOR S.R.L.</t>
  </si>
  <si>
    <t>03595381215</t>
  </si>
  <si>
    <t>011310</t>
  </si>
  <si>
    <t>Napoli</t>
  </si>
  <si>
    <t>Campania</t>
  </si>
  <si>
    <t>Puglia</t>
  </si>
  <si>
    <t>AGRITURISMO RINI SRL - SOCIETA' AGRICOLA</t>
  </si>
  <si>
    <t>00820190148</t>
  </si>
  <si>
    <t>014100</t>
  </si>
  <si>
    <t>Sondrio</t>
  </si>
  <si>
    <t>Lombardia</t>
  </si>
  <si>
    <t>010000</t>
  </si>
  <si>
    <t>MIONETTO VINEYARDS S.R.L. SOCIETA' AGRICOLA</t>
  </si>
  <si>
    <t>04924890264</t>
  </si>
  <si>
    <t>012100</t>
  </si>
  <si>
    <t>Treviso</t>
  </si>
  <si>
    <t>Veneto</t>
  </si>
  <si>
    <t>CASEIFICIO SOCIALE SAN SALVATORE SOCIETA' AGRICOLA COOPERATIVA</t>
  </si>
  <si>
    <t>00161700349</t>
  </si>
  <si>
    <t>Parma</t>
  </si>
  <si>
    <t>Emilia-Romagna</t>
  </si>
  <si>
    <t>Lazio</t>
  </si>
  <si>
    <t>016300</t>
  </si>
  <si>
    <t>Foggia</t>
  </si>
  <si>
    <t>SOCIETA' AGRICOLA POGGIO SALVI DI MONTALCINO S.R.L.</t>
  </si>
  <si>
    <t>00822850525</t>
  </si>
  <si>
    <t>Siena</t>
  </si>
  <si>
    <t>Toscana</t>
  </si>
  <si>
    <t>TENUTE PIERALISI SOCIETA' A RESPONSABILITA' LIMITATA SOCIETA' AGR ICOLA</t>
  </si>
  <si>
    <t>01381030426</t>
  </si>
  <si>
    <t>Ancona</t>
  </si>
  <si>
    <t>Marche</t>
  </si>
  <si>
    <t>SOCIETA' COOPERATIVA AGRICOLA BASSO PIAVE</t>
  </si>
  <si>
    <t>00642580278</t>
  </si>
  <si>
    <t>016000</t>
  </si>
  <si>
    <t>Venezia</t>
  </si>
  <si>
    <t>Salerno</t>
  </si>
  <si>
    <t>AGRI IMPOL S.R.L. - SOCIETA' AGRICOLA UNIPERSONALE</t>
  </si>
  <si>
    <t>04660630650</t>
  </si>
  <si>
    <t>014930</t>
  </si>
  <si>
    <t>COOPAD - COOPERATIVA PRODUTTORI AGRICOLI DELLA DAUNIA</t>
  </si>
  <si>
    <t>03687980718</t>
  </si>
  <si>
    <t>FRANTOIO GALLOTTI S.R.L.</t>
  </si>
  <si>
    <t>11824221003</t>
  </si>
  <si>
    <t>Roma</t>
  </si>
  <si>
    <t>SOCIETA' AGRICOLA TERRE DI DEMETRA S.R.L.</t>
  </si>
  <si>
    <t>02656350812</t>
  </si>
  <si>
    <t>012600</t>
  </si>
  <si>
    <t>Trapani</t>
  </si>
  <si>
    <t>Sicilia</t>
  </si>
  <si>
    <t>ABBAZIA SANTA ANASTASIA S.R.L. AGRICOLA</t>
  </si>
  <si>
    <t>02682990821</t>
  </si>
  <si>
    <t>Palermo</t>
  </si>
  <si>
    <t>PAOLO E NOEMIA D'AMICO SOCIETA' AGRICOLA A R.L.</t>
  </si>
  <si>
    <t>00871051009</t>
  </si>
  <si>
    <t>MIGNANO S.R.L. SOCIETA' AGRICOLA PRODUZIONI GIOVANI PIANTE</t>
  </si>
  <si>
    <t>08026091218</t>
  </si>
  <si>
    <t>011320</t>
  </si>
  <si>
    <t>LA COOPERATIVA AGRICOLA VENETA DUE SOCIETA' COOPERATIVA</t>
  </si>
  <si>
    <t>04615030287</t>
  </si>
  <si>
    <t>Padova</t>
  </si>
  <si>
    <t>SOCIETA' AGRICOLA IL NUOVO BOSCO S.R.L.</t>
  </si>
  <si>
    <t>02281050969</t>
  </si>
  <si>
    <t>015000</t>
  </si>
  <si>
    <t>Monza e della Brianza</t>
  </si>
  <si>
    <t>CANTINE ROMAGNOLI VILLO' TENUTE NURA SOCIETA' AGRICOLA S.R.L. ENU NCIABILE ANCHE CANTINE ROMAGNOLI VILLO' SOCIETA' AGRICOLA SRL OPPURE ROMAGNOLI V ILLO' SRL OPPURE C.R.V. SRL OPPURE TENUTE NURA SOCIETA' AGRICOLA SRL OPPURE TE NUTE NURA SRL</t>
  </si>
  <si>
    <t>01693450338</t>
  </si>
  <si>
    <t>Piacenza</t>
  </si>
  <si>
    <t>Campania</t>
  </si>
  <si>
    <t>UNIONE PRODUTTORI OLIVICOLI SICILIA SOCIETA' COOPERATIVA AGRICOLA</t>
  </si>
  <si>
    <t>02774430843</t>
  </si>
  <si>
    <t>012600</t>
  </si>
  <si>
    <t>Agrigento</t>
  </si>
  <si>
    <t>Sicilia</t>
  </si>
  <si>
    <t>Veneto</t>
  </si>
  <si>
    <t>016300</t>
  </si>
  <si>
    <t>CANTINA SOCIALE BERGAMASCA - SOCIETA' COOPERATIVA AGRICOLA</t>
  </si>
  <si>
    <t>00231740168</t>
  </si>
  <si>
    <t>012100</t>
  </si>
  <si>
    <t>Bergamo</t>
  </si>
  <si>
    <t>Lombardia</t>
  </si>
  <si>
    <t>SOCIETA' AGRICOLA CENTOLANI S.R.L. IN SIGLA A.C. S.R.L.</t>
  </si>
  <si>
    <t>05267210630</t>
  </si>
  <si>
    <t>Siena</t>
  </si>
  <si>
    <t>Toscana</t>
  </si>
  <si>
    <t>SOCIETA' AGRICOLA TORRE PENNA S.R.L.</t>
  </si>
  <si>
    <t>03172570545</t>
  </si>
  <si>
    <t>Perugia</t>
  </si>
  <si>
    <t>Umbria</t>
  </si>
  <si>
    <t>SOCIETA' COOPERATIVA AGRICOLA CHIARAMONTE</t>
  </si>
  <si>
    <t>01553840842</t>
  </si>
  <si>
    <t>011329</t>
  </si>
  <si>
    <t>SAN PIO - SOCIETA' COOPERATIVA AGRICOLA</t>
  </si>
  <si>
    <t>02225780804</t>
  </si>
  <si>
    <t>012300</t>
  </si>
  <si>
    <t>Reggio di Calabria</t>
  </si>
  <si>
    <t>Calabria</t>
  </si>
  <si>
    <t>VERDE ORO - SOCIETA' COOPERATIVA</t>
  </si>
  <si>
    <t>01700040890</t>
  </si>
  <si>
    <t>011300</t>
  </si>
  <si>
    <t>Siracusa</t>
  </si>
  <si>
    <t>LA FORTEZZA SOCIETA' AGRICOLA S.R.L.</t>
  </si>
  <si>
    <t>01473850624</t>
  </si>
  <si>
    <t>Benevento</t>
  </si>
  <si>
    <t>Latina</t>
  </si>
  <si>
    <t>Lazio</t>
  </si>
  <si>
    <t>014100</t>
  </si>
  <si>
    <t>Napoli</t>
  </si>
  <si>
    <t>SOCIETA' AGRICOLA GIANSANTI S.R.L.</t>
  </si>
  <si>
    <t>06813761001</t>
  </si>
  <si>
    <t>015000</t>
  </si>
  <si>
    <t>Roma</t>
  </si>
  <si>
    <t>MH CACTILAND SOCIETA' AGRICOLA A RESPONSABILITA' LIMITATA</t>
  </si>
  <si>
    <t>02575320599</t>
  </si>
  <si>
    <t>011910</t>
  </si>
  <si>
    <t>011110</t>
  </si>
  <si>
    <t>SPAZIO VERDE SOCIETA' COOPERATIVA AGRICOLA</t>
  </si>
  <si>
    <t>00941230229</t>
  </si>
  <si>
    <t>011920</t>
  </si>
  <si>
    <t>Trento</t>
  </si>
  <si>
    <t>Trentino-Alto Adige</t>
  </si>
  <si>
    <t>Emilia-Romagna</t>
  </si>
  <si>
    <t>A.CO.PR.OL - ORGANIZZAZIONE DI PRODUTTORI OLIVICOLI SOCIETA' COOP ERATIVA IN SIGLA A.CO.PR.OL SOC. COOP.</t>
  </si>
  <si>
    <t>01433750799</t>
  </si>
  <si>
    <t>Catanzaro</t>
  </si>
  <si>
    <t>ALESSANDRO DI CAMPOREALE SOCIETA' COOPERATIVA AGRICOLA IN BREVE ALESSANDRO DI CAMPOREALE SOC. COOP. AGR. OVVERO ALESSANDRO DI CAMPOREALE S.C.A.</t>
  </si>
  <si>
    <t>05400050828</t>
  </si>
  <si>
    <t>Palermo</t>
  </si>
  <si>
    <t>CANTINA SOCIALE DELL'ALTO BELICE - SOCIETA' COOPERATIVA AGRICOLA IN BREVE CANTINA SOCIALE DELL'ALTO BELICE O CANTINA DELL' ALTO BELICE O C.S.ALTO BELICE O CANTINA ALTO BELICE O CANTINA SOCIALE ALTO BELICE</t>
  </si>
  <si>
    <t>00690650825</t>
  </si>
  <si>
    <t>CORAL PLANT S.R.L. - SOCIETA' AGRICOLA</t>
  </si>
  <si>
    <t>09087111218</t>
  </si>
  <si>
    <t>013000</t>
  </si>
  <si>
    <t>LATTERIA DI SUMMAGA - SOCIETA' COOPERATIVA AGRICOLA</t>
  </si>
  <si>
    <t>00385360276</t>
  </si>
  <si>
    <t>Venezia</t>
  </si>
  <si>
    <t>SOCIETA' AGRICOLA OLITORES A RESPONSABILITA' LIMITATA</t>
  </si>
  <si>
    <t>01666420334</t>
  </si>
  <si>
    <t>Piacenza</t>
  </si>
  <si>
    <t>SOCIETA' AGRICOLA AF GREEN S.R.L.</t>
  </si>
  <si>
    <t>01541410195</t>
  </si>
  <si>
    <t>011300</t>
  </si>
  <si>
    <t>Lodi</t>
  </si>
  <si>
    <t>Lombardia</t>
  </si>
  <si>
    <t>014100</t>
  </si>
  <si>
    <t>Veneto</t>
  </si>
  <si>
    <t>012600</t>
  </si>
  <si>
    <t>Puglia</t>
  </si>
  <si>
    <t>SOCIETA' AGRICOLA SAN GIOVANNI S.R.L.</t>
  </si>
  <si>
    <t>01823800477</t>
  </si>
  <si>
    <t>013000</t>
  </si>
  <si>
    <t>Pistoia</t>
  </si>
  <si>
    <t>Toscana</t>
  </si>
  <si>
    <t>011310</t>
  </si>
  <si>
    <t>012100</t>
  </si>
  <si>
    <t>ADRIATICA FERTILIZZANTI S.R.L.</t>
  </si>
  <si>
    <t>03095040279</t>
  </si>
  <si>
    <t>016209</t>
  </si>
  <si>
    <t>Venezia</t>
  </si>
  <si>
    <t>CANTINA SOCIALE DI SANT'ANTIOCO - SOCIETA' COOPERATIVA AGRICOLA CON DENOMINAZIONI ABBREVIATE C.S.S. ANTIOCO - SOC. COOP. AGR. O CANTINE SARDUS PATER - SOC. COOP. AGR. -</t>
  </si>
  <si>
    <t>00148730922</t>
  </si>
  <si>
    <t>Sardegna</t>
  </si>
  <si>
    <t>BI AGRICOLA S.R.L. - SOCIETA' AGRICOLA</t>
  </si>
  <si>
    <t>01939230353</t>
  </si>
  <si>
    <t>010000</t>
  </si>
  <si>
    <t>Reggio nell'Emilia</t>
  </si>
  <si>
    <t>Emilia-Romagna</t>
  </si>
  <si>
    <t>OLEIFICIO COOPERATIVO COLTIVATORI DIRETTI E PRODUTTORI DI OSTUNI SOCIETA' COOPERATIVA SOCIETA' AGRICOLA IN SIGLA: OLEIFICIO COOPERATIVO DI OSTUNI SOC. COOP.</t>
  </si>
  <si>
    <t>00061160743</t>
  </si>
  <si>
    <t>Brindisi</t>
  </si>
  <si>
    <t>FEUDO MACCARI SOCIETA' AGRICOLA S.R.L. O IN SIGLA F.M. SOCIETA' A GRICOLA S.R.L. O FM SOC. AGR. SRL</t>
  </si>
  <si>
    <t>01973460890</t>
  </si>
  <si>
    <t>Siracusa</t>
  </si>
  <si>
    <t>Sicilia</t>
  </si>
  <si>
    <t>ABC GENETIX S.R.L.</t>
  </si>
  <si>
    <t>05788920964</t>
  </si>
  <si>
    <t>GARDEN SCHIO S.R.L.</t>
  </si>
  <si>
    <t>02426990244</t>
  </si>
  <si>
    <t>016000</t>
  </si>
  <si>
    <t>Vicenza</t>
  </si>
  <si>
    <t>TENUTA DI ARTIMINO SOCIETA' AGRICOLA S.R.L.</t>
  </si>
  <si>
    <t>02370160976</t>
  </si>
  <si>
    <t>Prato</t>
  </si>
  <si>
    <t>SOCIETA' AGRICOLA IL CONTE VILLA PRANDONE S.R.L. IN BREVE SOCIETA' AGRICOLA IL CO.VI. S.R.L.</t>
  </si>
  <si>
    <t>02030230441</t>
  </si>
  <si>
    <t>Ascoli Piceno</t>
  </si>
  <si>
    <t>Marche</t>
  </si>
  <si>
    <t>SOCIETA' AGRICOLA BUBALUS S.R.L.</t>
  </si>
  <si>
    <t>01316260882</t>
  </si>
  <si>
    <t>Ragusa</t>
  </si>
  <si>
    <t>VEGELAND SOCIETA' AGRICOLA S.R.L.</t>
  </si>
  <si>
    <t>03905770719</t>
  </si>
  <si>
    <t>Foggia</t>
  </si>
  <si>
    <t>LATTERIA SOCIALE NUOVA MANDRIO SOCIETA' COOPERATIVA AGRICOLA</t>
  </si>
  <si>
    <t>00275360352</t>
  </si>
  <si>
    <t>CLARABELLA - SOCIETA' COOPERATIVA SOCIALE AGRICOLA - ONLUS</t>
  </si>
  <si>
    <t>02288390988</t>
  </si>
  <si>
    <t>Brescia</t>
  </si>
  <si>
    <t>PIANA IMPIANTI DI CONDOLUCI DOMENICO &amp; C. S.R.L.S.</t>
  </si>
  <si>
    <t>03061620807</t>
  </si>
  <si>
    <t>016100</t>
  </si>
  <si>
    <t>Reggio di Calabria</t>
  </si>
  <si>
    <t>Calabria</t>
  </si>
  <si>
    <t>Brescia</t>
  </si>
  <si>
    <t>Lombardia</t>
  </si>
  <si>
    <t>TENUTA MONTEFANTINO - SOCIETA' AGRICOLA COOPERATIVA</t>
  </si>
  <si>
    <t>03140500046</t>
  </si>
  <si>
    <t>016300</t>
  </si>
  <si>
    <t>Cuneo</t>
  </si>
  <si>
    <t>Piemonte</t>
  </si>
  <si>
    <t>011310</t>
  </si>
  <si>
    <t>NOGALBA SOC. CONS. AGRICOLA A R.L.</t>
  </si>
  <si>
    <t>01071990293</t>
  </si>
  <si>
    <t>016000</t>
  </si>
  <si>
    <t>Rovigo</t>
  </si>
  <si>
    <t>Veneto</t>
  </si>
  <si>
    <t>CASTELLO LA LECCIA SOCIETA' AGRICOLA S.R.L.</t>
  </si>
  <si>
    <t>00520660523</t>
  </si>
  <si>
    <t>012100</t>
  </si>
  <si>
    <t>Siena</t>
  </si>
  <si>
    <t>Toscana</t>
  </si>
  <si>
    <t>Sicilia</t>
  </si>
  <si>
    <t>Salerno</t>
  </si>
  <si>
    <t>Campania</t>
  </si>
  <si>
    <t>NICOLA GATTA SRL AGRICOLA</t>
  </si>
  <si>
    <t>04037270982</t>
  </si>
  <si>
    <t>VILLA VIGNAMAGGIO SOCIETA' AGRICOLA S.R.L. IN SIGLA VGO SOCIETA' AGRICOLA S.R.L. OPPURE FI10164 SOCIETA' AGRICOLA S.R.L.</t>
  </si>
  <si>
    <t>04072370481</t>
  </si>
  <si>
    <t>Firenze</t>
  </si>
  <si>
    <t>ROSA FLOR S.R.L.</t>
  </si>
  <si>
    <t>02942730983</t>
  </si>
  <si>
    <t>013000</t>
  </si>
  <si>
    <t>EXTRA VIRGIN OLIVE OIL DELLA CAMPANIA S.C. A R.L.</t>
  </si>
  <si>
    <t>05087420658</t>
  </si>
  <si>
    <t>012600</t>
  </si>
  <si>
    <t>CANTINA TERRE DE' TRINCI SOCIETA' COOPERATIVA AGRICOLA</t>
  </si>
  <si>
    <t>01907180549</t>
  </si>
  <si>
    <t>Perugia</t>
  </si>
  <si>
    <t>Umbria</t>
  </si>
  <si>
    <t>VYTASOLE SOCIETA' AGRICOLA A RESPONSABILITA' LIMITATA</t>
  </si>
  <si>
    <t>01875140475</t>
  </si>
  <si>
    <t>Pistoia</t>
  </si>
  <si>
    <t>FILIERE GREEN SOCIETA' AGRICOLA COOPERATIVA</t>
  </si>
  <si>
    <t>12083170014</t>
  </si>
  <si>
    <t>Torino</t>
  </si>
  <si>
    <t>G.F. S.P.A. CONSORTILE - SOCIETA' AGRICOLA</t>
  </si>
  <si>
    <t>03887270407</t>
  </si>
  <si>
    <t>Forlì-Cesena</t>
  </si>
  <si>
    <t>Emilia-Romagna</t>
  </si>
  <si>
    <t>LE VIGNE DI ZAMO' S.R.L. - SOCIETA' AGRICOLA</t>
  </si>
  <si>
    <t>01667250300</t>
  </si>
  <si>
    <t>Udine</t>
  </si>
  <si>
    <t>Friuli-Venezia Giulia</t>
  </si>
  <si>
    <t>AGRONATURA SOCIETA' COOPERATIVA AGRICOLA</t>
  </si>
  <si>
    <t>01286190069</t>
  </si>
  <si>
    <t>012800</t>
  </si>
  <si>
    <t>Alessandria</t>
  </si>
  <si>
    <t>SOC.COOP. AGRICOLA SALVUCCIO</t>
  </si>
  <si>
    <t>01766610891</t>
  </si>
  <si>
    <t>Siracusa</t>
  </si>
  <si>
    <t>016100</t>
  </si>
  <si>
    <t>Trentino-Alto Adige</t>
  </si>
  <si>
    <t>SOCIETA' AGRICOLA I.A.T.C. S.R.L.</t>
  </si>
  <si>
    <t>03292640541</t>
  </si>
  <si>
    <t>015000</t>
  </si>
  <si>
    <t>Perugia</t>
  </si>
  <si>
    <t>Umbria</t>
  </si>
  <si>
    <t>011310</t>
  </si>
  <si>
    <t>Lecce</t>
  </si>
  <si>
    <t>Puglia</t>
  </si>
  <si>
    <t>Lazio</t>
  </si>
  <si>
    <t>TENUTE STEFANO FARINA S.R.L. SOCIETA' AGRICOLA</t>
  </si>
  <si>
    <t>04009690753</t>
  </si>
  <si>
    <t>012100</t>
  </si>
  <si>
    <t>DIANELLA SOCIETA' AGRICOLA A R.L.</t>
  </si>
  <si>
    <t>06804790480</t>
  </si>
  <si>
    <t>Firenze</t>
  </si>
  <si>
    <t>Toscana</t>
  </si>
  <si>
    <t>SOCIETA' AGRICOLA COLLI ETRUSCHI SOCIETA' COOPERATIVA</t>
  </si>
  <si>
    <t>00302380563</t>
  </si>
  <si>
    <t>012600</t>
  </si>
  <si>
    <t>Viterbo</t>
  </si>
  <si>
    <t>AGRO TECNICA S.R.L.</t>
  </si>
  <si>
    <t>01306860246</t>
  </si>
  <si>
    <t>Vicenza</t>
  </si>
  <si>
    <t>Veneto</t>
  </si>
  <si>
    <t>VITACI' SOCIETA' COOPERATIVA AGRICOLA</t>
  </si>
  <si>
    <t>03548780786</t>
  </si>
  <si>
    <t>Cosenza</t>
  </si>
  <si>
    <t>Calabria</t>
  </si>
  <si>
    <t>BROMOTIRRENA S.R.L.</t>
  </si>
  <si>
    <t>00290730597</t>
  </si>
  <si>
    <t>Latina</t>
  </si>
  <si>
    <t>SANT'ANDREA S.R.L. SOCIETA' AGRICOLA</t>
  </si>
  <si>
    <t>04981340658</t>
  </si>
  <si>
    <t>Salerno</t>
  </si>
  <si>
    <t>Campania</t>
  </si>
  <si>
    <t>COPAM SOCIETA' COOPERATIVA AGRICOLA</t>
  </si>
  <si>
    <t>02250830789</t>
  </si>
  <si>
    <t>Bolzano/Bozen</t>
  </si>
  <si>
    <t>Lombardia</t>
  </si>
  <si>
    <t>BELGUARDO S.R.L. SOCIETA' AGRICOLA IN SIGLA BELGUARDO S.R.L. AG RICOLA O BELGUARDO SOCIETA' A RESPONSABILITA' LIMITATA AGRICOLA</t>
  </si>
  <si>
    <t>00930250527</t>
  </si>
  <si>
    <t>Siena</t>
  </si>
  <si>
    <t>OPERA IN FIORE SOCIETA' COOPERATIVA SOCIALE</t>
  </si>
  <si>
    <t>04578520969</t>
  </si>
  <si>
    <t>Milano</t>
  </si>
  <si>
    <t>LIBRANDI - SOCIETA' AGRICOLA PER AZIONI</t>
  </si>
  <si>
    <t>02672650799</t>
  </si>
  <si>
    <t>Crotone</t>
  </si>
  <si>
    <t>APEC SRL</t>
  </si>
  <si>
    <t>02327030215</t>
  </si>
  <si>
    <t>FITOCONSULT S.R.L.</t>
  </si>
  <si>
    <t>03614540122</t>
  </si>
  <si>
    <t>013000</t>
  </si>
  <si>
    <t>Varese</t>
  </si>
  <si>
    <t>LA FATTORIA DI MAGLIANO S.R.L. SOCIETA' AGRICOLA</t>
  </si>
  <si>
    <t>01696350469</t>
  </si>
  <si>
    <t>Lucca</t>
  </si>
  <si>
    <t>016100</t>
  </si>
  <si>
    <t>Cremona</t>
  </si>
  <si>
    <t>Lombardia</t>
  </si>
  <si>
    <t>I PASTINI S.R.L. - SOCIETA' AGRICOLA IN FORMA ABBREVIATA I PASTINI S.R.L.</t>
  </si>
  <si>
    <t>04856590726</t>
  </si>
  <si>
    <t>012100</t>
  </si>
  <si>
    <t>Bari</t>
  </si>
  <si>
    <t>Puglia</t>
  </si>
  <si>
    <t>Veneto</t>
  </si>
  <si>
    <t>SAN FRANCESCO S.R.L. SOCIETA' AGRICOLA</t>
  </si>
  <si>
    <t>10717000961</t>
  </si>
  <si>
    <t>015000</t>
  </si>
  <si>
    <t>Milano</t>
  </si>
  <si>
    <t>ZANGIROLAMI S.R.L.</t>
  </si>
  <si>
    <t>01551380387</t>
  </si>
  <si>
    <t>Ferrara</t>
  </si>
  <si>
    <t>Emilia-Romagna</t>
  </si>
  <si>
    <t>Sicilia</t>
  </si>
  <si>
    <t>ZISOLA S.R.L. SOCIETA' AGRICOLA O IN SIGLA ZISOLA SOCIETA' A RES PONSABILITA' LIMITATA AGRICOLA</t>
  </si>
  <si>
    <t>01112990526</t>
  </si>
  <si>
    <t>Siracusa</t>
  </si>
  <si>
    <t>Brescia</t>
  </si>
  <si>
    <t>014600</t>
  </si>
  <si>
    <t>011300</t>
  </si>
  <si>
    <t>TENUTA LA GIUSTINIANA S.R.L. - SOCIETA' AGRICOLA SIGLABILE IN T.L.G. S.R.L.</t>
  </si>
  <si>
    <t>01574100069</t>
  </si>
  <si>
    <t>Alessandria</t>
  </si>
  <si>
    <t>Piemonte</t>
  </si>
  <si>
    <t>AGRI CULTURA LAMERI SOCIETA' AGRICOLA S.R.L.</t>
  </si>
  <si>
    <t>01766800195</t>
  </si>
  <si>
    <t>011140</t>
  </si>
  <si>
    <t>LA SCARIONA SOCIETA' AGRICOLA SRL</t>
  </si>
  <si>
    <t>04010760983</t>
  </si>
  <si>
    <t>SOCIETA' COOPERATIVA AGRICOLA CA' MAGRE</t>
  </si>
  <si>
    <t>02079840233</t>
  </si>
  <si>
    <t>Verona</t>
  </si>
  <si>
    <t>AGRICOOP SOCIETA' COOPERATIVA AGRICOLA</t>
  </si>
  <si>
    <t>01132970813</t>
  </si>
  <si>
    <t>011329</t>
  </si>
  <si>
    <t>Trapani</t>
  </si>
  <si>
    <t>ALLEVAMENTO FOLLI SRL</t>
  </si>
  <si>
    <t>02149381200</t>
  </si>
  <si>
    <t>016209</t>
  </si>
  <si>
    <t>Bologna</t>
  </si>
  <si>
    <t>SOCIETA' AGRICOLA DIBENEDETTO S.R.L.</t>
  </si>
  <si>
    <t>06294140725</t>
  </si>
  <si>
    <t>012600</t>
  </si>
  <si>
    <t>Barletta-Andria-Trani</t>
  </si>
  <si>
    <t>AUDARYA SOCIETA' AGRICOLA S.R.L.</t>
  </si>
  <si>
    <t>03960890923</t>
  </si>
  <si>
    <t>Sardegna</t>
  </si>
  <si>
    <t>016100</t>
  </si>
  <si>
    <t>Salerno</t>
  </si>
  <si>
    <t>Campania</t>
  </si>
  <si>
    <t>011110</t>
  </si>
  <si>
    <t>Milano</t>
  </si>
  <si>
    <t>Lombardia</t>
  </si>
  <si>
    <t>CAMPOMAGGIO 86 SOCIETA' A RESPONSABILITA' LIMITATA SOCIETA' AGRI COLA SIGLA DENOMINAZIONE: CAMPOMAGGIO 86 SRL SOCIETA' AGRICOLA</t>
  </si>
  <si>
    <t>00958040438</t>
  </si>
  <si>
    <t>011140</t>
  </si>
  <si>
    <t>Macerata</t>
  </si>
  <si>
    <t>Marche</t>
  </si>
  <si>
    <t>Brescia</t>
  </si>
  <si>
    <t>SOCIETA' AGRICOLA SAROS - SRL</t>
  </si>
  <si>
    <t>03153150713</t>
  </si>
  <si>
    <t>Foggia</t>
  </si>
  <si>
    <t>Puglia</t>
  </si>
  <si>
    <t>012100</t>
  </si>
  <si>
    <t>Bari</t>
  </si>
  <si>
    <t>LA MURESE SOCIETA' COOPERATIVA AGRICOLA</t>
  </si>
  <si>
    <t>01923120768</t>
  </si>
  <si>
    <t>016300</t>
  </si>
  <si>
    <t>Potenza</t>
  </si>
  <si>
    <t>Basilicata</t>
  </si>
  <si>
    <t>DISISA S.R.L. SOCIETA' AGRICOLA</t>
  </si>
  <si>
    <t>04793160823</t>
  </si>
  <si>
    <t>Palermo</t>
  </si>
  <si>
    <t>Sicilia</t>
  </si>
  <si>
    <t>CHAMPAGNE SOC. COOP.</t>
  </si>
  <si>
    <t>00493040075</t>
  </si>
  <si>
    <t>014100</t>
  </si>
  <si>
    <t>Valle d'Aosta/Vallée d'Aoste</t>
  </si>
  <si>
    <t>SOCIETA' AGRICOLA PROGETTO MERISTEMA S.R.L.</t>
  </si>
  <si>
    <t>04628220651</t>
  </si>
  <si>
    <t>011300</t>
  </si>
  <si>
    <t>GOLDEN FRUIT S.R.L. SOCIETA' AGRICOLA</t>
  </si>
  <si>
    <t>01915980856</t>
  </si>
  <si>
    <t>011310</t>
  </si>
  <si>
    <t>Caltanissetta</t>
  </si>
  <si>
    <t>I PINI S.R.L.</t>
  </si>
  <si>
    <t>04331960486</t>
  </si>
  <si>
    <t>011000</t>
  </si>
  <si>
    <t>Firenze</t>
  </si>
  <si>
    <t>Toscana</t>
  </si>
  <si>
    <t>Catania</t>
  </si>
  <si>
    <t>QUASANI SOCIETA' AGRICOLA A RESPONSABILITA' LIMITATA</t>
  </si>
  <si>
    <t>07992600721</t>
  </si>
  <si>
    <t>012500</t>
  </si>
  <si>
    <t>CONSORZIO SUPERBROWN DI BOLZANO E TRENTO</t>
  </si>
  <si>
    <t>01472910221</t>
  </si>
  <si>
    <t>016209</t>
  </si>
  <si>
    <t>Trento</t>
  </si>
  <si>
    <t>Trentino-Alto Adige</t>
  </si>
  <si>
    <t>SOCIETA' AGRICOLA LA CURTENSE S.R.L. O IN FORMA ABBREVIATA SOC. AGR. LA CURTENSE S.R.L.</t>
  </si>
  <si>
    <t>03342100983</t>
  </si>
  <si>
    <t>RONCA SOCIETA' COOPERATIVA AGRICOLA</t>
  </si>
  <si>
    <t>05942320655</t>
  </si>
  <si>
    <t>SOCIETA' COOPERATIVA AGROCASEARIA</t>
  </si>
  <si>
    <t>01872170129</t>
  </si>
  <si>
    <t>SOCIETA' COOPERATIVA AGRICOLA APICOLTORI ETNEI</t>
  </si>
  <si>
    <t>00515050870</t>
  </si>
  <si>
    <t>014000</t>
  </si>
  <si>
    <t>TENUTA CARLEONE DI CASTIGLIONI S.R.L. SOCIETA' AGRICOLA</t>
  </si>
  <si>
    <t>00291660520</t>
  </si>
  <si>
    <t>Siena</t>
  </si>
  <si>
    <t>VALLE REALE S.R.L. SOCIETA' AGRICOLA</t>
  </si>
  <si>
    <t>00231460239</t>
  </si>
  <si>
    <t>Pescara</t>
  </si>
  <si>
    <t>Abruzzo</t>
  </si>
  <si>
    <t>ASSOCIAZIONE OLIVICOLTORI SANNITI SOCIETA' COOPERATIVA AGRICOLA</t>
  </si>
  <si>
    <t>00168990620</t>
  </si>
  <si>
    <t>Benevento</t>
  </si>
  <si>
    <t>COOPERATIVA AGRICOLA VOGHIERESE A R.L.</t>
  </si>
  <si>
    <t>01946960380</t>
  </si>
  <si>
    <t>Ferrara</t>
  </si>
  <si>
    <t>Emilia-Romagna</t>
  </si>
  <si>
    <t>RAPOLLA FIORENTE SOCIETA' COOPERATIVA AGRICOLA</t>
  </si>
  <si>
    <t>00276070760</t>
  </si>
  <si>
    <t>AZIENDA AGRICOLA VAL DI ROSE - SOCIETA' A RESPONSABILITA' LIMITATA</t>
  </si>
  <si>
    <t>01727450544</t>
  </si>
  <si>
    <t>011000</t>
  </si>
  <si>
    <t>Perugia</t>
  </si>
  <si>
    <t>Umbria</t>
  </si>
  <si>
    <t>Sicilia</t>
  </si>
  <si>
    <t>TENUTA DEL FONTINO SOCIETA' AGRICOLA S.R.L.</t>
  </si>
  <si>
    <t>00291270536</t>
  </si>
  <si>
    <t>Grosseto</t>
  </si>
  <si>
    <t>Toscana</t>
  </si>
  <si>
    <t>MC GENETICS S.R.L.</t>
  </si>
  <si>
    <t>03862680984</t>
  </si>
  <si>
    <t>016209</t>
  </si>
  <si>
    <t>Brescia</t>
  </si>
  <si>
    <t>Lombardia</t>
  </si>
  <si>
    <t>COMPAGNIA TOSCANA SIGARI SOCIETA' AGRICOLA SRL</t>
  </si>
  <si>
    <t>01917800540</t>
  </si>
  <si>
    <t>011500</t>
  </si>
  <si>
    <t>Arezzo</t>
  </si>
  <si>
    <t>012100</t>
  </si>
  <si>
    <t>RONCO MARGHERITA SOCIETA' AGRICOLA S.R.L.</t>
  </si>
  <si>
    <t>02808900308</t>
  </si>
  <si>
    <t>Pordenone</t>
  </si>
  <si>
    <t>Friuli-Venezia Giulia</t>
  </si>
  <si>
    <t>LUGLI PRIMO E FRANCO S.R.L.</t>
  </si>
  <si>
    <t>01836030369</t>
  </si>
  <si>
    <t>016100</t>
  </si>
  <si>
    <t>Modena</t>
  </si>
  <si>
    <t>Emilia-Romagna</t>
  </si>
  <si>
    <t>AGRICOLTURA CAPODARCO SOCIETA' COOPERATIVA SOCIALE</t>
  </si>
  <si>
    <t>01175191004</t>
  </si>
  <si>
    <t>011300</t>
  </si>
  <si>
    <t>Roma</t>
  </si>
  <si>
    <t>Lazio</t>
  </si>
  <si>
    <t>SOCIETA' AGRICOLA BORGO CASTELLO PANICAGLIA SRL</t>
  </si>
  <si>
    <t>03656830548</t>
  </si>
  <si>
    <t>015000</t>
  </si>
  <si>
    <t>ANTICO ULIVETO - S.R.L.</t>
  </si>
  <si>
    <t>01956360430</t>
  </si>
  <si>
    <t>011120</t>
  </si>
  <si>
    <t>Macerata</t>
  </si>
  <si>
    <t>Marche</t>
  </si>
  <si>
    <t>TENUTA DI FRASSINETO S.R.L. SOCIETA' AGRICOLA</t>
  </si>
  <si>
    <t>01384840391</t>
  </si>
  <si>
    <t>011140</t>
  </si>
  <si>
    <t>Ravenna</t>
  </si>
  <si>
    <t>TENUTA VILLA TRASQUA S.R.L. - SOCIETA' AGRICOLA</t>
  </si>
  <si>
    <t>00742700529</t>
  </si>
  <si>
    <t>Siena</t>
  </si>
  <si>
    <t>011110</t>
  </si>
  <si>
    <t>COOPERATIVA SOCIALE L'ORTO SOCIETA' COOPERATIVA SOCIALE IN SIGL A L'ORTO SOC. COOP. SOCIALE .</t>
  </si>
  <si>
    <t>00578401200</t>
  </si>
  <si>
    <t>010000</t>
  </si>
  <si>
    <t>Bologna</t>
  </si>
  <si>
    <t>SOCIETA' COOPERATIVA AGRICOLTURA, TURISMO E SERVIZI MONTE MAGGIORE SIGLABILE A.T.S. MONTEMAGGIORE</t>
  </si>
  <si>
    <t>01697830717</t>
  </si>
  <si>
    <t>Foggia</t>
  </si>
  <si>
    <t>Puglia</t>
  </si>
  <si>
    <t>AGRICOLA CERETTESE</t>
  </si>
  <si>
    <t>02136220015</t>
  </si>
  <si>
    <t>Torino</t>
  </si>
  <si>
    <t>Piemonte</t>
  </si>
  <si>
    <t>TERRE DEL PIEMONTE SOCIETA' COOPERATIVA</t>
  </si>
  <si>
    <t>01509680052</t>
  </si>
  <si>
    <t>Asti</t>
  </si>
  <si>
    <t>MARCONI ITALIA S.P.A.</t>
  </si>
  <si>
    <t>00866250897</t>
  </si>
  <si>
    <t>012500</t>
  </si>
  <si>
    <t>Siracusa</t>
  </si>
  <si>
    <t>FATTORIA PIANETTI SOCIETA' AGRICOLA A RESPONSABILITA' LIMITATA</t>
  </si>
  <si>
    <t>01237880537</t>
  </si>
  <si>
    <t>VERA SOCIETA' COOPERATIVA AGRICOLA</t>
  </si>
  <si>
    <t>07387320729</t>
  </si>
  <si>
    <t>Potenza</t>
  </si>
  <si>
    <t>Basilicata</t>
  </si>
  <si>
    <t>016100</t>
  </si>
  <si>
    <t>SOCIETA' AGRICOLA PICCOLO FIORE S.R.L.</t>
  </si>
  <si>
    <t>02353810183</t>
  </si>
  <si>
    <t>015000</t>
  </si>
  <si>
    <t>Milano</t>
  </si>
  <si>
    <t>Lombardia</t>
  </si>
  <si>
    <t>Campania</t>
  </si>
  <si>
    <t>STELLA DEL SUD - S.R.L.</t>
  </si>
  <si>
    <t>02456360656</t>
  </si>
  <si>
    <t>012000</t>
  </si>
  <si>
    <t>Salerno</t>
  </si>
  <si>
    <t>SOCIETA' AGRICOLA SAN FAUSTINO S.R.L.</t>
  </si>
  <si>
    <t>01143161006</t>
  </si>
  <si>
    <t>Roma</t>
  </si>
  <si>
    <t>Lazio</t>
  </si>
  <si>
    <t>NUTITALY S.R.L.</t>
  </si>
  <si>
    <t>02958450641</t>
  </si>
  <si>
    <t>012500</t>
  </si>
  <si>
    <t>Avellino</t>
  </si>
  <si>
    <t>AGRIDEA S.R.L.S. - SOCIETA' AGRICOLA</t>
  </si>
  <si>
    <t>04204380713</t>
  </si>
  <si>
    <t>011000</t>
  </si>
  <si>
    <t>Foggia</t>
  </si>
  <si>
    <t>Puglia</t>
  </si>
  <si>
    <t>MADONNA DELLA NEVE SRL SOCIETA' AGRICOLA</t>
  </si>
  <si>
    <t>01551640194</t>
  </si>
  <si>
    <t>Cremona</t>
  </si>
  <si>
    <t>VIVAI BIOPLANT SOCIETA' AGRICOLA S.R.L.</t>
  </si>
  <si>
    <t>01749650881</t>
  </si>
  <si>
    <t>013000</t>
  </si>
  <si>
    <t>Ragusa</t>
  </si>
  <si>
    <t>Sicilia</t>
  </si>
  <si>
    <t>COOPERATIVA PRODUTTORI AGRICOLI - CO.PR.AG. - SOCIETA' COOPERATIVA AGRICOLA</t>
  </si>
  <si>
    <t>00639400183</t>
  </si>
  <si>
    <t>011200</t>
  </si>
  <si>
    <t>Pavia</t>
  </si>
  <si>
    <t>Caltanissetta</t>
  </si>
  <si>
    <t>TENUTA CHIARAMONTE SOCIETA' AGRICOLA S.R.L.</t>
  </si>
  <si>
    <t>00933490880</t>
  </si>
  <si>
    <t>012600</t>
  </si>
  <si>
    <t>FEUDI DEL PISCIOTTO S.R.L.</t>
  </si>
  <si>
    <t>05239200826</t>
  </si>
  <si>
    <t>012100</t>
  </si>
  <si>
    <t>TENIMENTI GRIECO S.R.L.</t>
  </si>
  <si>
    <t>01696340700</t>
  </si>
  <si>
    <t>Campobasso</t>
  </si>
  <si>
    <t>Molise</t>
  </si>
  <si>
    <t>CORTE DEI FIORI SOCIETA' AGRICOLA S.R.L.</t>
  </si>
  <si>
    <t>02077130389</t>
  </si>
  <si>
    <t>011929</t>
  </si>
  <si>
    <t>Ferrara</t>
  </si>
  <si>
    <t>Emilia-Romagna</t>
  </si>
  <si>
    <t>FLORENZIO SOCIETA' AGRICOLA A R.L.</t>
  </si>
  <si>
    <t>08092330722</t>
  </si>
  <si>
    <t>Bari</t>
  </si>
  <si>
    <t>AGROALIMENTARE DONNA TERESA SOCIETA' AGRICOLA A RESPONSABILITA' LIMITATA</t>
  </si>
  <si>
    <t>02163910744</t>
  </si>
  <si>
    <t>011120</t>
  </si>
  <si>
    <t>Brindisi</t>
  </si>
  <si>
    <t>AZIENDA AGRICOLA PUCCIARELLA S.R.L. SOCIETA' UNIPERSONALE</t>
  </si>
  <si>
    <t>04157990963</t>
  </si>
  <si>
    <t>011110</t>
  </si>
  <si>
    <t>Milano</t>
  </si>
  <si>
    <t>Lombardia</t>
  </si>
  <si>
    <t>COOPERATIVA OLIVICOLTORI DEL PARTEOLLA SOCIETA' COOPERATIVA AGRICOLA DENOMINAZIONE ABBREVIATA: C.O.PAR. SOC. COOP. AGRICOLA</t>
  </si>
  <si>
    <t>00594260929</t>
  </si>
  <si>
    <t>016100</t>
  </si>
  <si>
    <t>Sardegna</t>
  </si>
  <si>
    <t>COOPERATIVA AGRICOLA PRODUTTORI CAPPERI (C.A.P.C.) SOCIETA' COOPE RATIVA</t>
  </si>
  <si>
    <t>00122360811</t>
  </si>
  <si>
    <t>016409</t>
  </si>
  <si>
    <t>Trapani</t>
  </si>
  <si>
    <t>Sicilia</t>
  </si>
  <si>
    <t>PACI COSTRUZIONI S.R.L.</t>
  </si>
  <si>
    <t>02680870413</t>
  </si>
  <si>
    <t>Pesaro Urbino</t>
  </si>
  <si>
    <t>Marche</t>
  </si>
  <si>
    <t>AZIENDA AGRICOLA BIASUZZI S.R.L.</t>
  </si>
  <si>
    <t>02085220263</t>
  </si>
  <si>
    <t>014300</t>
  </si>
  <si>
    <t>Treviso</t>
  </si>
  <si>
    <t>Veneto</t>
  </si>
  <si>
    <t>Padova</t>
  </si>
  <si>
    <t>CASTAGNOLI S.R.L.</t>
  </si>
  <si>
    <t>01727680405</t>
  </si>
  <si>
    <t>016209</t>
  </si>
  <si>
    <t>Forlì-Cesena</t>
  </si>
  <si>
    <t>Emilia-Romagna</t>
  </si>
  <si>
    <t>016300</t>
  </si>
  <si>
    <t>FATTORIA SARDI SOCIETA' AGRICOLA A RESPONSABILITA' LIMITATA</t>
  </si>
  <si>
    <t>02090550464</t>
  </si>
  <si>
    <t>012100</t>
  </si>
  <si>
    <t>Lucca</t>
  </si>
  <si>
    <t>Toscana</t>
  </si>
  <si>
    <t>FONIO SOCIETA' COOPERATIVA AGRICOLA A RESPONSABILITA' LIMITATA</t>
  </si>
  <si>
    <t>07415490015</t>
  </si>
  <si>
    <t>Torino</t>
  </si>
  <si>
    <t>Piemonte</t>
  </si>
  <si>
    <t>P.E.Q. AGRI SOCIETA' AGRICOLA A R.L.</t>
  </si>
  <si>
    <t>01789920095</t>
  </si>
  <si>
    <t>Savona</t>
  </si>
  <si>
    <t>Liguria</t>
  </si>
  <si>
    <t>SOCIETA' AGRICOLA ZITO &amp; F.LLI S.R.L.</t>
  </si>
  <si>
    <t>00472930791</t>
  </si>
  <si>
    <t>Crotone</t>
  </si>
  <si>
    <t>Calabria</t>
  </si>
  <si>
    <t>AGRIPHARMA SOCIETA' COOPERATIVA AGRICOLA</t>
  </si>
  <si>
    <t>02251420283</t>
  </si>
  <si>
    <t>CUNIOLA SOCIETA' AGRICOLA A RESPONSABILITA' LIMITATA</t>
  </si>
  <si>
    <t>04121480372</t>
  </si>
  <si>
    <t>011140</t>
  </si>
  <si>
    <t>Bologna</t>
  </si>
  <si>
    <t>COOPERATIVA AGRICOLA FATTORIE MONREGALESI SOCIETA' COOPERATIVA AGRICOLA SIGLABILE, OVE CONSENTITO, FATTORIE MONREGALESI SOC. COOP. AGR.</t>
  </si>
  <si>
    <t>02293990046</t>
  </si>
  <si>
    <t>Cuneo</t>
  </si>
  <si>
    <t>NIPPON SOCIETA' AGRICOLA A RESPONSABILITA' LIMITATA</t>
  </si>
  <si>
    <t>03140760137</t>
  </si>
  <si>
    <t>013000</t>
  </si>
  <si>
    <t>Como</t>
  </si>
  <si>
    <t>AGRI RETE SERVICE - SOCIETA' COOPERATIVA</t>
  </si>
  <si>
    <t>09103241007</t>
  </si>
  <si>
    <t>016100</t>
  </si>
  <si>
    <t>Roma</t>
  </si>
  <si>
    <t>Lazio</t>
  </si>
  <si>
    <t>SOCIETA' AGRICOLA CASEIFICIO POGGIO CASTRO SRL</t>
  </si>
  <si>
    <t>01292580360</t>
  </si>
  <si>
    <t>014100</t>
  </si>
  <si>
    <t>Modena</t>
  </si>
  <si>
    <t>Emilia-Romagna</t>
  </si>
  <si>
    <t>Campania</t>
  </si>
  <si>
    <t>LEONESSA VIVAI - SOCIETA' AGRICOLA A RESPONSABILITA' LIMITATA</t>
  </si>
  <si>
    <t>03442240986</t>
  </si>
  <si>
    <t>011910</t>
  </si>
  <si>
    <t>Brescia</t>
  </si>
  <si>
    <t>Lombardia</t>
  </si>
  <si>
    <t>Sicilia</t>
  </si>
  <si>
    <t>CARNIAGRICOLA SOCIETA' AGRICOLA A RESPONSABILITA' LIMITATA</t>
  </si>
  <si>
    <t>00536230303</t>
  </si>
  <si>
    <t>011000</t>
  </si>
  <si>
    <t>Udine</t>
  </si>
  <si>
    <t>Friuli-Venezia Giulia</t>
  </si>
  <si>
    <t>015000</t>
  </si>
  <si>
    <t>Perugia</t>
  </si>
  <si>
    <t>Umbria</t>
  </si>
  <si>
    <t>Veneto</t>
  </si>
  <si>
    <t>LA FLORICOLA SOCIETA' AGRICOLA S.R.L.</t>
  </si>
  <si>
    <t>01677680884</t>
  </si>
  <si>
    <t>013000</t>
  </si>
  <si>
    <t>Ragusa</t>
  </si>
  <si>
    <t>SOCIETA' AGRICOLA LE CAMPAGNOLE S.R.L. F.LLI MANELLA</t>
  </si>
  <si>
    <t>04226040162</t>
  </si>
  <si>
    <t>Bergamo</t>
  </si>
  <si>
    <t>G.B. AGRICOLA S.R.L.</t>
  </si>
  <si>
    <t>01946830641</t>
  </si>
  <si>
    <t>011310</t>
  </si>
  <si>
    <t>Avellino</t>
  </si>
  <si>
    <t>SOCIETA' AGRICOLA LA BURLA - CASCINE DEL SOLE S.R.L.</t>
  </si>
  <si>
    <t>02169670029</t>
  </si>
  <si>
    <t>Vercelli</t>
  </si>
  <si>
    <t>Piemonte</t>
  </si>
  <si>
    <t>012800</t>
  </si>
  <si>
    <t>SOCIETA' AGRICOLA POMAR SRL</t>
  </si>
  <si>
    <t>04076491002</t>
  </si>
  <si>
    <t>EUROPIEMONT SOCIETA' AGRICOLA S.R.L.</t>
  </si>
  <si>
    <t>02720570049</t>
  </si>
  <si>
    <t>Cuneo</t>
  </si>
  <si>
    <t>L'ARCAVERDE SOCIETA' AGRICOLA S.R.L.</t>
  </si>
  <si>
    <t>01509760557</t>
  </si>
  <si>
    <t>Terni</t>
  </si>
  <si>
    <t>SOCIETA' AGRICOLA ANTICHI ORTI DI ASSISI S.R.L.</t>
  </si>
  <si>
    <t>03458340548</t>
  </si>
  <si>
    <t>MEDITERRANEA SOCIETA' AGRICOLA SRL</t>
  </si>
  <si>
    <t>03882040284</t>
  </si>
  <si>
    <t>011140</t>
  </si>
  <si>
    <t>Padova</t>
  </si>
  <si>
    <t>016100</t>
  </si>
  <si>
    <t>Sicilia</t>
  </si>
  <si>
    <t>FLORA SICULA SOCIETA' COOPERATIVA AGRICOLA</t>
  </si>
  <si>
    <t>05051680873</t>
  </si>
  <si>
    <t>012000</t>
  </si>
  <si>
    <t>Catania</t>
  </si>
  <si>
    <t>LA FENICE - S.R.L. SOCIETA' AGRICOLA</t>
  </si>
  <si>
    <t>01806700611</t>
  </si>
  <si>
    <t>014100</t>
  </si>
  <si>
    <t>Caserta</t>
  </si>
  <si>
    <t>Campania</t>
  </si>
  <si>
    <t>Emilia-Romagna</t>
  </si>
  <si>
    <t>BREWERY S.R.L. SOCIETA' AGRICOLA</t>
  </si>
  <si>
    <t>04701650287</t>
  </si>
  <si>
    <t>011140</t>
  </si>
  <si>
    <t>Padova</t>
  </si>
  <si>
    <t>Veneto</t>
  </si>
  <si>
    <t>ORGANIZZAZIONE DEI PRODUTTORI OLIVICOLI C.S.O. - CONSORZIO SALENT INO DEGLI OLIVICOLTORI - SOCIETA' COOPERATIVA AGRICOLA</t>
  </si>
  <si>
    <t>01215490747</t>
  </si>
  <si>
    <t>Lecce</t>
  </si>
  <si>
    <t>Puglia</t>
  </si>
  <si>
    <t>SOCIETA' COOPERATIVA AGRICOLA PRODUTTORI OLIVICOLI MESSINESI -A .P.O.M.</t>
  </si>
  <si>
    <t>01607660832</t>
  </si>
  <si>
    <t>Messina</t>
  </si>
  <si>
    <t>011110</t>
  </si>
  <si>
    <t>Brescia</t>
  </si>
  <si>
    <t>Lombardia</t>
  </si>
  <si>
    <t>016000</t>
  </si>
  <si>
    <t>AGRIVERDE SOCIETA' AGRICOLA COOPERATIVA IN SIGLA AGRIVERDE SOC. AGR. COOP.</t>
  </si>
  <si>
    <t>01633250368</t>
  </si>
  <si>
    <t>013000</t>
  </si>
  <si>
    <t>Modena</t>
  </si>
  <si>
    <t>012100</t>
  </si>
  <si>
    <t>CORTE AURA SRL SOCIETA' AGRICOLA</t>
  </si>
  <si>
    <t>03323360986</t>
  </si>
  <si>
    <t>MARCHESI ALFIERI SRL SOCIETA' AGRICOLA</t>
  </si>
  <si>
    <t>05619200016</t>
  </si>
  <si>
    <t>Asti</t>
  </si>
  <si>
    <t>Piemonte</t>
  </si>
  <si>
    <t>Salerno</t>
  </si>
  <si>
    <t>SOCIETA' AGRICOLA BROGIONI LE MOSSE S.R.L.</t>
  </si>
  <si>
    <t>01327800528</t>
  </si>
  <si>
    <t>Siena</t>
  </si>
  <si>
    <t>Toscana</t>
  </si>
  <si>
    <t>ALIARA VINI SOCIETA' AGRICOLA S.R.L. ALIARA SOC. AGR. SRL SAAV SOC. AGR. SRL VA SOC. AGR. SRL</t>
  </si>
  <si>
    <t>03541160549</t>
  </si>
  <si>
    <t>Perugia</t>
  </si>
  <si>
    <t>Umbria</t>
  </si>
  <si>
    <t>VIVO SRL SOCIETA' AGRICOLA</t>
  </si>
  <si>
    <t>04361530407</t>
  </si>
  <si>
    <t>011321</t>
  </si>
  <si>
    <t>Forlì-Cesena</t>
  </si>
  <si>
    <t>C &amp; F ENERGY SOCIETA' AGRICOLA S.R.L.</t>
  </si>
  <si>
    <t>05106230658</t>
  </si>
  <si>
    <t>AGRIPONTINA SOCIETA' COOPERATIVA AGRICOLA</t>
  </si>
  <si>
    <t>03105880599</t>
  </si>
  <si>
    <t>011310</t>
  </si>
  <si>
    <t>Latina</t>
  </si>
  <si>
    <t>Lazio</t>
  </si>
  <si>
    <t>SOCIETA' AGRICOLA BATISO S.R.L. (PER BREVITA' BATISO S.R.L. )</t>
  </si>
  <si>
    <t>04172150262</t>
  </si>
  <si>
    <t>Treviso</t>
  </si>
  <si>
    <t>CONSORZIO AGRICOLO SARDAFLORA</t>
  </si>
  <si>
    <t>02483870925</t>
  </si>
  <si>
    <t>Cagliari</t>
  </si>
  <si>
    <t>Sardegna</t>
  </si>
  <si>
    <t>TENUTA AGRICOLA IL MOLINO DI GRACE S.R.L. - SOCIETA' AGRICOLA</t>
  </si>
  <si>
    <t>04900810484</t>
  </si>
  <si>
    <t>Firenze</t>
  </si>
  <si>
    <t>Calabria</t>
  </si>
  <si>
    <t>Foggia</t>
  </si>
  <si>
    <t>Puglia</t>
  </si>
  <si>
    <t>FATTORIA DELLA TALOSA - SOCIETA' AGRICOLA A RESPONSABILITA' LIMI- TATA</t>
  </si>
  <si>
    <t>00136070521</t>
  </si>
  <si>
    <t>012600</t>
  </si>
  <si>
    <t>Siena</t>
  </si>
  <si>
    <t>Toscana</t>
  </si>
  <si>
    <t>012300</t>
  </si>
  <si>
    <t>Sicilia</t>
  </si>
  <si>
    <t>OLIVETI DAUNI IN CONFAGRICOLTURA FOGGIA SOCIETA' COOPERATIVA AGRICOLA</t>
  </si>
  <si>
    <t>03991860713</t>
  </si>
  <si>
    <t>016300</t>
  </si>
  <si>
    <t>AGRIBIOS SOCIETA' COOPERATIVA AGRICOLA</t>
  </si>
  <si>
    <t>01859910471</t>
  </si>
  <si>
    <t>016100</t>
  </si>
  <si>
    <t>Pistoia</t>
  </si>
  <si>
    <t>Emilia-Romagna</t>
  </si>
  <si>
    <t>BARONE G.R. MACRI' S.R.L. - SOCIETA' AGRICOLA</t>
  </si>
  <si>
    <t>06711350634</t>
  </si>
  <si>
    <t>012100</t>
  </si>
  <si>
    <t>Reggio di Calabria</t>
  </si>
  <si>
    <t>SOCIETA' AGRICOLA PANIZZI S.R.L.</t>
  </si>
  <si>
    <t>01142050523</t>
  </si>
  <si>
    <t>FRUTTOMANIA SOCIETA' COOPERATIVA AGRICOLA</t>
  </si>
  <si>
    <t>02089470849</t>
  </si>
  <si>
    <t>Agrigento</t>
  </si>
  <si>
    <t>LA LOMELLINA DI GAVI SOCIETA' AGRICOLA, SOCIETA' A RESPONSABILITA ' LIMITATA</t>
  </si>
  <si>
    <t>02122010065</t>
  </si>
  <si>
    <t>Alessandria</t>
  </si>
  <si>
    <t>Piemonte</t>
  </si>
  <si>
    <t>APICOLTURA MANFREDINI MARIO S.R.L.</t>
  </si>
  <si>
    <t>01963000367</t>
  </si>
  <si>
    <t>014930</t>
  </si>
  <si>
    <t>Modena</t>
  </si>
  <si>
    <t>CASTELVECCHIO - SOCIETA' AGRICOLA - A R.L.</t>
  </si>
  <si>
    <t>00395790314</t>
  </si>
  <si>
    <t>Gorizia</t>
  </si>
  <si>
    <t>Friuli-Venezia Giulia</t>
  </si>
  <si>
    <t>AGRICOLA SALATINO S.R.L.</t>
  </si>
  <si>
    <t>08376570720</t>
  </si>
  <si>
    <t>Bari</t>
  </si>
  <si>
    <t>PODERE BRIZIO S.R.L. SOCIETA' AGRICOLA</t>
  </si>
  <si>
    <t>00894540525</t>
  </si>
  <si>
    <t>P &amp; P SOCIETA' A RESPONSABILITA' LIMITATA SEMPLIFICATA</t>
  </si>
  <si>
    <t>02801880804</t>
  </si>
  <si>
    <t>www.p&amp;pautonline.it</t>
  </si>
  <si>
    <t>GIARDINI CONTI THUN SOCIETA' AGRICOLA A R.L.</t>
  </si>
  <si>
    <t>03911850984</t>
  </si>
  <si>
    <t>Brescia</t>
  </si>
  <si>
    <t>Lombardia</t>
  </si>
  <si>
    <t>AGRISERVICE CHIANTI S.R.L.</t>
  </si>
  <si>
    <t>01175080520</t>
  </si>
  <si>
    <t>016100</t>
  </si>
  <si>
    <t>Siena</t>
  </si>
  <si>
    <t>Toscana</t>
  </si>
  <si>
    <t>Cosenza</t>
  </si>
  <si>
    <t>Calabria</t>
  </si>
  <si>
    <t>Piemonte</t>
  </si>
  <si>
    <t>SOCIETA' AGRICOLA AROMADOMUS S.R.L.</t>
  </si>
  <si>
    <t>05667740657</t>
  </si>
  <si>
    <t>012800</t>
  </si>
  <si>
    <t>Salerno</t>
  </si>
  <si>
    <t>Campania</t>
  </si>
  <si>
    <t>SOCIETA' AGRICOLA SUSAFA S.R.L.</t>
  </si>
  <si>
    <t>06063890823</t>
  </si>
  <si>
    <t>012600</t>
  </si>
  <si>
    <t>Palermo</t>
  </si>
  <si>
    <t>Sicilia</t>
  </si>
  <si>
    <t>LA VALLE - SOCIETA' COOPERATIVA AGRICOLA ORTOFRUTTICOLA</t>
  </si>
  <si>
    <t>01144830591</t>
  </si>
  <si>
    <t>016300</t>
  </si>
  <si>
    <t>Latina</t>
  </si>
  <si>
    <t>Lazio</t>
  </si>
  <si>
    <t>CENTROCARNE SOCIETA' AGRICOLA S.R.L.</t>
  </si>
  <si>
    <t>02025800679</t>
  </si>
  <si>
    <t>014200</t>
  </si>
  <si>
    <t>Teramo</t>
  </si>
  <si>
    <t>Abruzzo</t>
  </si>
  <si>
    <t>012300</t>
  </si>
  <si>
    <t>Napoli</t>
  </si>
  <si>
    <t>014100</t>
  </si>
  <si>
    <t>SAVUTO SRL</t>
  </si>
  <si>
    <t>01486680786</t>
  </si>
  <si>
    <t>014930</t>
  </si>
  <si>
    <t>IL CONVENTO SOCIETA' AGRICOLA A R. L.</t>
  </si>
  <si>
    <t>06095681216</t>
  </si>
  <si>
    <t>MSG S.R.L. SOCIETA' AGRICOLA</t>
  </si>
  <si>
    <t>03423340789</t>
  </si>
  <si>
    <t>011140</t>
  </si>
  <si>
    <t>SOCIETA' COOPERATIVA SOCIALE FATTORIA CONCA D'ORO A R.L.</t>
  </si>
  <si>
    <t>03694360243</t>
  </si>
  <si>
    <t>011310</t>
  </si>
  <si>
    <t>Vicenza</t>
  </si>
  <si>
    <t>Veneto</t>
  </si>
  <si>
    <t>SOCIETA' AGRICOLA CASTEL DEL LUPO S.R.L.</t>
  </si>
  <si>
    <t>00310520184</t>
  </si>
  <si>
    <t>012100</t>
  </si>
  <si>
    <t>Pavia</t>
  </si>
  <si>
    <t>Lombardia</t>
  </si>
  <si>
    <t>Verona</t>
  </si>
  <si>
    <t>SOCIETA' AGRICOLA CASCINA NUOVA SRL</t>
  </si>
  <si>
    <t>10565740015</t>
  </si>
  <si>
    <t>Torino</t>
  </si>
  <si>
    <t>011910</t>
  </si>
  <si>
    <t>FATTORIA COLLELEPRE SOCIETA' AGRICOLA A R.L.</t>
  </si>
  <si>
    <t>04461710610</t>
  </si>
  <si>
    <t>Caserta</t>
  </si>
  <si>
    <t>Marche</t>
  </si>
  <si>
    <t>SOCIETA' AGRICOLA BRIANZA VIVAI S.R.L.</t>
  </si>
  <si>
    <t>09429920961</t>
  </si>
  <si>
    <t>Monza e della Brianza</t>
  </si>
  <si>
    <t>AGRICOLA MARCHE SOCIETA' A RESPONSABILITA' LIMITATA - SOCIETA' AGRICOLA IN SIGLA AGRICOLA MARCHE S.R.L.</t>
  </si>
  <si>
    <t>02209470422</t>
  </si>
  <si>
    <t>014600</t>
  </si>
  <si>
    <t>Ancona</t>
  </si>
  <si>
    <t>LA GENOVESA SOCIETA' COOPERATIVA SOCIALE</t>
  </si>
  <si>
    <t>01451600231</t>
  </si>
  <si>
    <t>LA CANTINA S.R.L.</t>
  </si>
  <si>
    <t>15602081000</t>
  </si>
  <si>
    <t>Roma</t>
  </si>
  <si>
    <t>Ferrara</t>
  </si>
  <si>
    <t>Emilia-Romagna</t>
  </si>
  <si>
    <t>ORTOBIOFLORA SOCIETA' AGRICOLA A R.L.</t>
  </si>
  <si>
    <t>01373010774</t>
  </si>
  <si>
    <t>011320</t>
  </si>
  <si>
    <t>Matera</t>
  </si>
  <si>
    <t>Basilicata</t>
  </si>
  <si>
    <t>AZIENDA AGRICOLA SAN GIOVANNI SRL SOCIETA' AGRICOLA O IN FORMA AB BREVIATA A.A.S.G. SRL SOCIETA' AGRICOLA</t>
  </si>
  <si>
    <t>00719330987</t>
  </si>
  <si>
    <t>012100</t>
  </si>
  <si>
    <t>Brescia</t>
  </si>
  <si>
    <t>Lombardia</t>
  </si>
  <si>
    <t>011300</t>
  </si>
  <si>
    <t>Sicilia</t>
  </si>
  <si>
    <t>Campania</t>
  </si>
  <si>
    <t>COOPERATIVA AGRICOLA MASSA QUARTIGIANA - SOCIETA' COOPERATIVA</t>
  </si>
  <si>
    <t>00132060385</t>
  </si>
  <si>
    <t>016000</t>
  </si>
  <si>
    <t>VITICOLTORI INGAUNI SOCIETA' AGRICOLA COOPERATIVA O IN SIGLA C.V.I. - SOC. COOP. AGRICOLA</t>
  </si>
  <si>
    <t>00313020091</t>
  </si>
  <si>
    <t>Savona</t>
  </si>
  <si>
    <t>Liguria</t>
  </si>
  <si>
    <t>SOCIETA' AGRICOLA PODERE RUBINO SOCIETA' A RESPONSABILITA' LIMITA TA</t>
  </si>
  <si>
    <t>01440120523</t>
  </si>
  <si>
    <t>Siena</t>
  </si>
  <si>
    <t>Toscana</t>
  </si>
  <si>
    <t>TENUTA DI PIETRA PORZIA SOCIETA' AGRICOLA S.R.L.</t>
  </si>
  <si>
    <t>01417560156</t>
  </si>
  <si>
    <t>Milano</t>
  </si>
  <si>
    <t>LA CROTTA DI VEGNERON - COOPERATIVA AGRICOLA - SIGLA: LA CROTTA DI VEGNERON COOP. AGR. O LA CROTTA DI VEGNERON SOC. COOP. AGR. COOPERATIVA AGRICOLA CON MUTUALITA' PREVALENTE LA CROTTA DI VEGNERON O LA CROTTA DI VEGNERON CMP</t>
  </si>
  <si>
    <t>00355710070</t>
  </si>
  <si>
    <t>Valle d'Aosta/Vallée d'Aoste</t>
  </si>
  <si>
    <t>RUBINO - SOCIETA' COOPERATIVA</t>
  </si>
  <si>
    <t>01901020766</t>
  </si>
  <si>
    <t>Potenza</t>
  </si>
  <si>
    <t>Ragusa</t>
  </si>
  <si>
    <t>COOP DUE G SOCIETA' COOPERATIVA AGRICOLA</t>
  </si>
  <si>
    <t>05287430655</t>
  </si>
  <si>
    <t>015000</t>
  </si>
  <si>
    <t>Salerno</t>
  </si>
  <si>
    <t>Roma</t>
  </si>
  <si>
    <t>Lazio</t>
  </si>
  <si>
    <t>SOCIETA' AGRICOLA CASAL DI PARI S.R.L.</t>
  </si>
  <si>
    <t>01281060531</t>
  </si>
  <si>
    <t>Grosseto</t>
  </si>
  <si>
    <t>SOCIETA' AGRICOLA CANTINA DELLA VALTENESI E DELLA LUGANA SRL</t>
  </si>
  <si>
    <t>04020910982</t>
  </si>
  <si>
    <t>VALLE DELL'ACATE COOPERATIVA AGRICOLA</t>
  </si>
  <si>
    <t>00217010883</t>
  </si>
  <si>
    <t>IMPRESA ENOAGRICOLA S.R.L. SOCIETA' AGRICOLA</t>
  </si>
  <si>
    <t>01000951002</t>
  </si>
  <si>
    <t>012000</t>
  </si>
  <si>
    <t>VIRIDIS - SOCIETA' COOPERATIVA</t>
  </si>
  <si>
    <t>01410280935</t>
  </si>
  <si>
    <t>013000</t>
  </si>
  <si>
    <t>Pordenone</t>
  </si>
  <si>
    <t>Friuli-Venezia Giulia</t>
  </si>
  <si>
    <t>TENUTA BORGO CONVENTI S.R.L. SOCIETA' AGRICOLA</t>
  </si>
  <si>
    <t>01027110319</t>
  </si>
  <si>
    <t>Gorizia</t>
  </si>
  <si>
    <t>SOCIETA' AGRICOLA MARIOTTI S.R.L.</t>
  </si>
  <si>
    <t>01921920540</t>
  </si>
  <si>
    <t>011000</t>
  </si>
  <si>
    <t>Perugia</t>
  </si>
  <si>
    <t>Umbria</t>
  </si>
  <si>
    <t>AZIENDA AGRICOLA POGGIO DESTO SOCIETA' COOPERATIVA AGRICOLA</t>
  </si>
  <si>
    <t>02098090505</t>
  </si>
  <si>
    <t>013000</t>
  </si>
  <si>
    <t>Pisa</t>
  </si>
  <si>
    <t>Toscana</t>
  </si>
  <si>
    <t>POGGIOVALLE S.R.L.</t>
  </si>
  <si>
    <t>00431480540</t>
  </si>
  <si>
    <t>010000</t>
  </si>
  <si>
    <t>Campania</t>
  </si>
  <si>
    <t>SOCIETA' AGRICOLA INDACO S.R.L.</t>
  </si>
  <si>
    <t>06632920481</t>
  </si>
  <si>
    <t>012600</t>
  </si>
  <si>
    <t>Firenze</t>
  </si>
  <si>
    <t>SOCIETA' AGRICOLA SEMPREVERDE SALENTO SOCIETA' A RESPONSABILITA' LIMITATA</t>
  </si>
  <si>
    <t>02420250744</t>
  </si>
  <si>
    <t>011310</t>
  </si>
  <si>
    <t>Brindisi</t>
  </si>
  <si>
    <t>Puglia</t>
  </si>
  <si>
    <t>CANTINA CASTIADAS SOCIETA' COOPERATIVA AGRICOLA</t>
  </si>
  <si>
    <t>00147020929</t>
  </si>
  <si>
    <t>012100</t>
  </si>
  <si>
    <t>Sardegna</t>
  </si>
  <si>
    <t>Foggia</t>
  </si>
  <si>
    <t>016000</t>
  </si>
  <si>
    <t>Lombardia</t>
  </si>
  <si>
    <t>011140</t>
  </si>
  <si>
    <t>TENUTA DEL LAGO SOCIETA' AGRICOLA A R.L.</t>
  </si>
  <si>
    <t>03956640613</t>
  </si>
  <si>
    <t>014100</t>
  </si>
  <si>
    <t>Caserta</t>
  </si>
  <si>
    <t>SOCIETA' AGRICOLA GIOVINE SRL</t>
  </si>
  <si>
    <t>04302070273</t>
  </si>
  <si>
    <t>Venezia</t>
  </si>
  <si>
    <t>Veneto</t>
  </si>
  <si>
    <t>AN FED AGRI S.R.L. SOCIETA' AGRICOLA</t>
  </si>
  <si>
    <t>01877340032</t>
  </si>
  <si>
    <t>011200</t>
  </si>
  <si>
    <t>Novara</t>
  </si>
  <si>
    <t>Piemonte</t>
  </si>
  <si>
    <t>Milano</t>
  </si>
  <si>
    <t>PASTORE CARLINO S.R.L.</t>
  </si>
  <si>
    <t>01998920183</t>
  </si>
  <si>
    <t>016100</t>
  </si>
  <si>
    <t>Pavia</t>
  </si>
  <si>
    <t>CONSORZIO VIVAISTI EUROPEI SOCIETA' AGRICOLA COOPERATIVA</t>
  </si>
  <si>
    <t>00398940205</t>
  </si>
  <si>
    <t>Mantova</t>
  </si>
  <si>
    <t>SOCIETA' AGRICOLA A.R.T.E. S.R.L.</t>
  </si>
  <si>
    <t>03555220718</t>
  </si>
  <si>
    <t>CASTELL'IN VILLA - S.P.A. SOCIETA' AGRICOLA</t>
  </si>
  <si>
    <t>00801770520</t>
  </si>
  <si>
    <t>Siena</t>
  </si>
  <si>
    <t>LA PESCAIA SOCIETA' AGRICOLA S.R.L.</t>
  </si>
  <si>
    <t>01206590539</t>
  </si>
  <si>
    <t>Grosseto</t>
  </si>
  <si>
    <t>TENUTA LA MARCHESA SOCIETA' AGRICOLA S.R.L.</t>
  </si>
  <si>
    <t>06112320152</t>
  </si>
  <si>
    <t>CALCAGNO PAOLO SOCIETA' AGRICOLA S.R.L.</t>
  </si>
  <si>
    <t>01734180092</t>
  </si>
  <si>
    <t>012800</t>
  </si>
  <si>
    <t>Savona</t>
  </si>
  <si>
    <t>Liguria</t>
  </si>
  <si>
    <t>PAT FLOR SOCIETA' COOPERATIVA AGRICOLA A RESPONSABILITA' LIMITATA ABBREVIABILE IN PAT FLOR S.C.A.R.L.</t>
  </si>
  <si>
    <t>01429160086</t>
  </si>
  <si>
    <t>016300</t>
  </si>
  <si>
    <t>Imperia</t>
  </si>
  <si>
    <t>Liguria</t>
  </si>
  <si>
    <t>Siena</t>
  </si>
  <si>
    <t>Toscana</t>
  </si>
  <si>
    <t>AZIENDA AGRICOLA CASA E. DI MIRAFIORE SOCIETA' AGRICOLA A RESPONSABILITA' LIMITATA SIGLABILE AZIENDA AGRICOLA MIRAFIORE O AZ. AGR. MIRAFIORE</t>
  </si>
  <si>
    <t>03753140049</t>
  </si>
  <si>
    <t>012100</t>
  </si>
  <si>
    <t>Cuneo</t>
  </si>
  <si>
    <t>Piemonte</t>
  </si>
  <si>
    <t>SOCIETA' AGRICOLA RIECINE S.R.L.</t>
  </si>
  <si>
    <t>00949430524</t>
  </si>
  <si>
    <t>IL BORGO DEL BALSAMICO SOCIETA' AGRICOLA S.R.L.</t>
  </si>
  <si>
    <t>02090800356</t>
  </si>
  <si>
    <t>Reggio nell'Emilia</t>
  </si>
  <si>
    <t>Emilia-Romagna</t>
  </si>
  <si>
    <t>011310</t>
  </si>
  <si>
    <t>CANTINA SOCIALE DI CASTAGNOLE MONFERRATO SOCIETA' COOPERATIVA AGRICOLA SIGLABILE IN CANTINA SOCIALE DI CASTAGNOLE MONFERRATO S.C.A.</t>
  </si>
  <si>
    <t>00059740050</t>
  </si>
  <si>
    <t>Asti</t>
  </si>
  <si>
    <t>FATTORIA OLIVETO S.P.A. - SOCIETA' AGRICOLA (IN SIGLA F.O. SPA SOCIETA' AGRICOLA OVVERO SOCIETA' AGRICOLA C.F.O. SPA )</t>
  </si>
  <si>
    <t>03085520488</t>
  </si>
  <si>
    <t>011110</t>
  </si>
  <si>
    <t>Firenze</t>
  </si>
  <si>
    <t>016100</t>
  </si>
  <si>
    <t>LA PROPOSTA - SOCIETA' COOPERATIVA SOCIALE - ONLUS</t>
  </si>
  <si>
    <t>00607880523</t>
  </si>
  <si>
    <t>COOPERATIVA AGRICOLA LA CORTE SOCIETA' AGRICOLA COOPERATIVA ABBREVIABILE IN LA CORTE SOC. AGR. COOP.</t>
  </si>
  <si>
    <t>01818920363</t>
  </si>
  <si>
    <t>Modena</t>
  </si>
  <si>
    <t>SOCIETA' AGRICOLA TOSETTO S.R.L.</t>
  </si>
  <si>
    <t>03287230282</t>
  </si>
  <si>
    <t>014100</t>
  </si>
  <si>
    <t>Padova</t>
  </si>
  <si>
    <t>Veneto</t>
  </si>
  <si>
    <t>CONSORZIO CIPOLLA DI CANNARA SOCIETA' COOPERATIVA AGRICOLA</t>
  </si>
  <si>
    <t>02906260548</t>
  </si>
  <si>
    <t>Perugia</t>
  </si>
  <si>
    <t>Umbria</t>
  </si>
  <si>
    <t>Sardegna</t>
  </si>
  <si>
    <t>AZIENDA VITIVINICOLA CASTELLO RAMETZ S.R.L.</t>
  </si>
  <si>
    <t>00634420210</t>
  </si>
  <si>
    <t>Bolzano/Bozen</t>
  </si>
  <si>
    <t>Trentino-Alto Adige</t>
  </si>
  <si>
    <t>SA RAJA SOCIETA' AGRICOLA A RESPONSABILITA' LIMITATA</t>
  </si>
  <si>
    <t>10809170961</t>
  </si>
  <si>
    <t>Sassari</t>
  </si>
  <si>
    <t>016100</t>
  </si>
  <si>
    <t>Puglia</t>
  </si>
  <si>
    <t>Sicilia</t>
  </si>
  <si>
    <t>Veneto</t>
  </si>
  <si>
    <t>SOCIETA' AGRICOLA CO.VI.SER. S.R.L.</t>
  </si>
  <si>
    <t>03959970751</t>
  </si>
  <si>
    <t>013000</t>
  </si>
  <si>
    <t>Lecce</t>
  </si>
  <si>
    <t>012600</t>
  </si>
  <si>
    <t>011110</t>
  </si>
  <si>
    <t>SANTA LUCIA SOCIETA' AGRICOLA A R.L.</t>
  </si>
  <si>
    <t>03978390981</t>
  </si>
  <si>
    <t>012100</t>
  </si>
  <si>
    <t>Brescia</t>
  </si>
  <si>
    <t>Lombardia</t>
  </si>
  <si>
    <t>GARDEN S.R.L.</t>
  </si>
  <si>
    <t>01852300548</t>
  </si>
  <si>
    <t>011000</t>
  </si>
  <si>
    <t>Perugia</t>
  </si>
  <si>
    <t>Umbria</t>
  </si>
  <si>
    <t>MADONNA DEL PIRAINO SOCIETA' COOPERATIVA AGRICOLA ED IN SIGLA MADONNA DEL PIRAINO S.C.A.</t>
  </si>
  <si>
    <t>00358990810</t>
  </si>
  <si>
    <t>Trapani</t>
  </si>
  <si>
    <t>VERDE IN OPERA S.R.L. AGRICOLA</t>
  </si>
  <si>
    <t>02209180682</t>
  </si>
  <si>
    <t>011910</t>
  </si>
  <si>
    <t>Pescara</t>
  </si>
  <si>
    <t>Abruzzo</t>
  </si>
  <si>
    <t>015000</t>
  </si>
  <si>
    <t>Emilia-Romagna</t>
  </si>
  <si>
    <t>TERRALSOLE S.R.L. SOCIETA' AGRICOLA</t>
  </si>
  <si>
    <t>00941690521</t>
  </si>
  <si>
    <t>Siena</t>
  </si>
  <si>
    <t>Toscana</t>
  </si>
  <si>
    <t>CASTELLO TRICERCHI SOCIETA' AGRICOLA A RESPONSABILITA' LIMITATA</t>
  </si>
  <si>
    <t>01534590524</t>
  </si>
  <si>
    <t>LAVORI AGRICOLI E INDUSTRIALI CAVAZZINI S.R.L.</t>
  </si>
  <si>
    <t>00265590208</t>
  </si>
  <si>
    <t>Mantova</t>
  </si>
  <si>
    <t>GRANDI LAVORI TAGLIABUE S.R.L. IN ABBREVIATO G.L.T. S.R.L.</t>
  </si>
  <si>
    <t>01564590139</t>
  </si>
  <si>
    <t>Como</t>
  </si>
  <si>
    <t>SOCIETA' AGRICOLA DEL SOLE SOCIETA' A RESPONSABILITA' LIMITATA</t>
  </si>
  <si>
    <t>06978280722</t>
  </si>
  <si>
    <t>Bari</t>
  </si>
  <si>
    <t>AGRIZOO SOCIETA' AGRICOLA COOPERATIVA</t>
  </si>
  <si>
    <t>00172670341</t>
  </si>
  <si>
    <t>Parma</t>
  </si>
  <si>
    <t>AGRICOLA JESSYFLOR - S.R.L.</t>
  </si>
  <si>
    <t>03850270715</t>
  </si>
  <si>
    <t>011310</t>
  </si>
  <si>
    <t>Foggia</t>
  </si>
  <si>
    <t>SOCIETA' AGRICOLA TENUTA CA' NEGRA S.R.L.</t>
  </si>
  <si>
    <t>11366270152</t>
  </si>
  <si>
    <t>Rovigo</t>
  </si>
  <si>
    <t>VIVAI CINTOLI S.R.L. SOCIETA' AGRICOLA</t>
  </si>
  <si>
    <t>01309510889</t>
  </si>
  <si>
    <t>011300</t>
  </si>
  <si>
    <t>Ragusa</t>
  </si>
  <si>
    <t>014100</t>
  </si>
  <si>
    <t>Lazio</t>
  </si>
  <si>
    <t>Torino</t>
  </si>
  <si>
    <t>Piemonte</t>
  </si>
  <si>
    <t>LA FAVORITA BOWLING S.R.L.</t>
  </si>
  <si>
    <t>03703400824</t>
  </si>
  <si>
    <t>014300</t>
  </si>
  <si>
    <t>Palermo</t>
  </si>
  <si>
    <t>Sicilia</t>
  </si>
  <si>
    <t>011110</t>
  </si>
  <si>
    <t>Veneto</t>
  </si>
  <si>
    <t>ALLEVAMENTO LE FONTANETTE - SOCIETA' AGRICOLA S.R.L.</t>
  </si>
  <si>
    <t>03010620015</t>
  </si>
  <si>
    <t>Emilia-Romagna</t>
  </si>
  <si>
    <t>012600</t>
  </si>
  <si>
    <t>CASEIFICIO COOPERATIVO DI ALTISSIMO SOCIETA' COOPERATIVA AGRICOLA</t>
  </si>
  <si>
    <t>00263080244</t>
  </si>
  <si>
    <t>Vicenza</t>
  </si>
  <si>
    <t>BORGO I VICELLI SRL</t>
  </si>
  <si>
    <t>06079410483</t>
  </si>
  <si>
    <t>Firenze</t>
  </si>
  <si>
    <t>Toscana</t>
  </si>
  <si>
    <t>OINOE SOCIETA' AGRICOLA S.R.L.</t>
  </si>
  <si>
    <t>02703880340</t>
  </si>
  <si>
    <t>012100</t>
  </si>
  <si>
    <t>Parma</t>
  </si>
  <si>
    <t>TERRE DI VALTER SOCIETA' AGRICOLA S.R.L.</t>
  </si>
  <si>
    <t>02773930645</t>
  </si>
  <si>
    <t>Avellino</t>
  </si>
  <si>
    <t>Campania</t>
  </si>
  <si>
    <t>ALLEVAMENTO CINQUE STELLE SOCIETA' AGRICOLA A R.L.</t>
  </si>
  <si>
    <t>06852631008</t>
  </si>
  <si>
    <t>Roma</t>
  </si>
  <si>
    <t>TERRE DEI PALLAVICINI S.R.L.</t>
  </si>
  <si>
    <t>11472881009</t>
  </si>
  <si>
    <t>CHACO S.R.L. SOCIETA' AGRICOLA</t>
  </si>
  <si>
    <t>01139400079</t>
  </si>
  <si>
    <t>Valle d'Aosta/Vallée d'Aoste</t>
  </si>
  <si>
    <t>VILLA PILLO S.R.L. - SOCIETA' AGRICOLA</t>
  </si>
  <si>
    <t>05129340484</t>
  </si>
  <si>
    <t>SOCIETA' AGRICOLA AGROTEC 2 SARL</t>
  </si>
  <si>
    <t>03010630279</t>
  </si>
  <si>
    <t>011140</t>
  </si>
  <si>
    <t>Venezia</t>
  </si>
  <si>
    <t>SOCIETA' AGRICOLA DONNACHIARA S.R.L.</t>
  </si>
  <si>
    <t>02432540645</t>
  </si>
  <si>
    <t>012100</t>
  </si>
  <si>
    <t>Avellino</t>
  </si>
  <si>
    <t>Campania</t>
  </si>
  <si>
    <t>013000</t>
  </si>
  <si>
    <t>Sicilia</t>
  </si>
  <si>
    <t>GEAGRI SOCIETA' CONSORTILE AGRICOLA A R.L.</t>
  </si>
  <si>
    <t>00679360776</t>
  </si>
  <si>
    <t>016300</t>
  </si>
  <si>
    <t>Taranto</t>
  </si>
  <si>
    <t>Puglia</t>
  </si>
  <si>
    <t>SOCIETA' AGRICOLA TERRA MAZAR - ASSULI WINERY S.R.L. O IN SIGLA S OCIETA' AGRICOLA TERRA MAZAR S.R.L. O TERRA MAZAR S.R.L. O SOCIETA' AGRICOLA ASS ULI WINERY S.R.L. O ASSULI WINERY S.R.L. O SOCIETA' AGRICOLA T.M. S.R.L. O SOCIE TA' AGRICOLA A.W. S.R.L. O</t>
  </si>
  <si>
    <t>02431690813</t>
  </si>
  <si>
    <t>Trapani</t>
  </si>
  <si>
    <t>SOCIETA' COOPERATIVA AGRICOLA TRA CEREALICOLTORI DI CAPITANATA IN CONFAGRICOLTURA</t>
  </si>
  <si>
    <t>04160050714</t>
  </si>
  <si>
    <t>Foggia</t>
  </si>
  <si>
    <t>SOCIETA' AGRICOLA TORRACCIA DEL PIANTAVIGNA S.R.L.</t>
  </si>
  <si>
    <t>01963520034</t>
  </si>
  <si>
    <t>Novara</t>
  </si>
  <si>
    <t>Piemonte</t>
  </si>
  <si>
    <t>CORSIRA SOCIETA' COOPERATIVA AGRICOLA</t>
  </si>
  <si>
    <t>00232920595</t>
  </si>
  <si>
    <t>011000</t>
  </si>
  <si>
    <t>Latina</t>
  </si>
  <si>
    <t>Lazio</t>
  </si>
  <si>
    <t>AZIENDA AGRICOLA GATTI PAOLO S.R.L.</t>
  </si>
  <si>
    <t>00192800126</t>
  </si>
  <si>
    <t>011920</t>
  </si>
  <si>
    <t>Varese</t>
  </si>
  <si>
    <t>Lombardia</t>
  </si>
  <si>
    <t>TERRA DEI PADRI S.R.L. - SOCIETA' AGRICOLA</t>
  </si>
  <si>
    <t>03465600751</t>
  </si>
  <si>
    <t>Lecce</t>
  </si>
  <si>
    <t>016100</t>
  </si>
  <si>
    <t>Toscana</t>
  </si>
  <si>
    <t>014100</t>
  </si>
  <si>
    <t>IPERVERDE S.R.L. SOCIETA' AGRICOLA</t>
  </si>
  <si>
    <t>00653940148</t>
  </si>
  <si>
    <t>011900</t>
  </si>
  <si>
    <t>Sondrio</t>
  </si>
  <si>
    <t>SOCIETA' AGRICOLA TENUTA LE QUINTE SOCIETA' A RESPONSABILITA' LIMITATA IN SIGLA SOCIETA' AGRICOLA TENUTA LE QUINTE S.R.L.</t>
  </si>
  <si>
    <t>10035511004</t>
  </si>
  <si>
    <t>Roma</t>
  </si>
  <si>
    <t>015000</t>
  </si>
  <si>
    <t>SOCIETA' AGRICOLA TENUTA DEI SETTE CIELI S.R.L.</t>
  </si>
  <si>
    <t>06232740966</t>
  </si>
  <si>
    <t>Livorno</t>
  </si>
  <si>
    <t>AZIENDA AGRICOLA MONTEBELLI S.R.L. SOCIETA' AGRICOLA</t>
  </si>
  <si>
    <t>06504130631</t>
  </si>
  <si>
    <t>010000</t>
  </si>
  <si>
    <t>Grosseto</t>
  </si>
  <si>
    <t>PIETRAFITTA SOCIETA' AGRICOLA A R.L.</t>
  </si>
  <si>
    <t>00301400529</t>
  </si>
  <si>
    <t>Siena</t>
  </si>
  <si>
    <t>ORTI PICENI SOCIETA' COOPERATIVA AGRICOLA A RESPONSABILITA' LIMITATA, IN BREVE ORTI PICENI SOCIETA' COOPERATIVA AGRICOLA</t>
  </si>
  <si>
    <t>01899610446</t>
  </si>
  <si>
    <t>Ascoli Piceno</t>
  </si>
  <si>
    <t>Marche</t>
  </si>
  <si>
    <t>GAGLIOLE SOCIETA' AGRICOLA S.R.L.</t>
  </si>
  <si>
    <t>00784430522</t>
  </si>
  <si>
    <t>012000</t>
  </si>
  <si>
    <t>SOCIETA' AGRICOLA DOSIO VIGNETI S.R.L. O IN BREVE S.A.D.V. SRL</t>
  </si>
  <si>
    <t>03336520048</t>
  </si>
  <si>
    <t>Cuneo</t>
  </si>
  <si>
    <t>AGRIVESUVIO SOCIETA' COOPERATIVA</t>
  </si>
  <si>
    <t>01443561210</t>
  </si>
  <si>
    <t>COOPERATIVA ALLEVATORI PUTIGNANO , IN SIGLA CAP</t>
  </si>
  <si>
    <t>00270500721</t>
  </si>
  <si>
    <t>Bari</t>
  </si>
  <si>
    <t>MICOTEC S.R.L. SOCIETA' AGRICOLA</t>
  </si>
  <si>
    <t>03864570720</t>
  </si>
  <si>
    <t>CENTROFIORE 2 SOCIETA' A RESPONSABILITA' LIMITATA SEMPLIFICATA AGRICOLA</t>
  </si>
  <si>
    <t>02555320221</t>
  </si>
  <si>
    <t>Trento</t>
  </si>
  <si>
    <t>Trentino-Alto Adige</t>
  </si>
  <si>
    <t>ANTICA FATTORIA IL LAGO S.R.L.</t>
  </si>
  <si>
    <t>02043330766</t>
  </si>
  <si>
    <t>012500</t>
  </si>
  <si>
    <t>Potenza</t>
  </si>
  <si>
    <t>Basilicata</t>
  </si>
  <si>
    <t>LA COLLINA SOCIETA' COOPERATIVA AGRICOLA IN FORMA ABBREVIATA LA COLLINA S.C.A.</t>
  </si>
  <si>
    <t>00436970354</t>
  </si>
  <si>
    <t>Reggio nell'Emilia</t>
  </si>
  <si>
    <t>Emilia-Romagna</t>
  </si>
  <si>
    <t>GRUPPO IFE S.R.L. SOCIETA' AGRICOLA</t>
  </si>
  <si>
    <t>01100320777</t>
  </si>
  <si>
    <t>013000</t>
  </si>
  <si>
    <t>Matera</t>
  </si>
  <si>
    <t>Basilicata</t>
  </si>
  <si>
    <t>COOP. AGRICOLA CHIANTISER OVVERO CHIANTISER SOC. COOP. AGRICOLA</t>
  </si>
  <si>
    <t>04410650487</t>
  </si>
  <si>
    <t>016100</t>
  </si>
  <si>
    <t>Firenze</t>
  </si>
  <si>
    <t>Toscana</t>
  </si>
  <si>
    <t>Siena</t>
  </si>
  <si>
    <t>012100</t>
  </si>
  <si>
    <t>Emilia-Romagna</t>
  </si>
  <si>
    <t>Lombardia</t>
  </si>
  <si>
    <t>VETIVARIA SRL</t>
  </si>
  <si>
    <t>12983290151</t>
  </si>
  <si>
    <t>011910</t>
  </si>
  <si>
    <t>Milano</t>
  </si>
  <si>
    <t>014100</t>
  </si>
  <si>
    <t>TENUTE SANNELLA SOCIETA' AGRICOLA S.R.L.</t>
  </si>
  <si>
    <t>03980790715</t>
  </si>
  <si>
    <t>Foggia</t>
  </si>
  <si>
    <t>Puglia</t>
  </si>
  <si>
    <t>SOCIETA' AGRICOLA TATTONI VILLA A SESTA S.P.A.</t>
  </si>
  <si>
    <t>00898570528</t>
  </si>
  <si>
    <t>012300</t>
  </si>
  <si>
    <t>IL COLOMBAIO DI CENCIO S.R.L. SOCIETA' AGRICOLA</t>
  </si>
  <si>
    <t>00897390522</t>
  </si>
  <si>
    <t>TENUTA COLLE DELLA POMARA S.R.L. - SOCIETA' AGRICOLA</t>
  </si>
  <si>
    <t>02947150781</t>
  </si>
  <si>
    <t>Cosenza</t>
  </si>
  <si>
    <t>Calabria</t>
  </si>
  <si>
    <t>FEUDI TOSCANA - CAMPO ALLE COMETE SOCIETA' AGRICOLA A R.L.</t>
  </si>
  <si>
    <t>02882440643</t>
  </si>
  <si>
    <t>Livorno</t>
  </si>
  <si>
    <t>SOCIETA' COOPERATIVA RINASCITA</t>
  </si>
  <si>
    <t>00694630823</t>
  </si>
  <si>
    <t>011310</t>
  </si>
  <si>
    <t>Palermo</t>
  </si>
  <si>
    <t>Sicilia</t>
  </si>
  <si>
    <t>SOCIETA' AGRICOLA LE CARRUBE SRL</t>
  </si>
  <si>
    <t>02583850744</t>
  </si>
  <si>
    <t>Brindisi</t>
  </si>
  <si>
    <t>CANTINA FIORENTINO S.R.L. SOCIETA' AGRICOLA</t>
  </si>
  <si>
    <t>04649630755</t>
  </si>
  <si>
    <t>Lecce</t>
  </si>
  <si>
    <t>Catania</t>
  </si>
  <si>
    <t>SOCIETA' AGRICOLA GENESI SOCIETA' A RESPONSABILITA' LIMITATA</t>
  </si>
  <si>
    <t>03823130368</t>
  </si>
  <si>
    <t>012800</t>
  </si>
  <si>
    <t>Modena</t>
  </si>
  <si>
    <t>OROVERDE S.R.L. - SOCIETA' AGRICOLA</t>
  </si>
  <si>
    <t>03307430870</t>
  </si>
  <si>
    <t>012100</t>
  </si>
  <si>
    <t>Puglia</t>
  </si>
  <si>
    <t>AGRISERVIZI S.R.L.</t>
  </si>
  <si>
    <t>04007910237</t>
  </si>
  <si>
    <t>016100</t>
  </si>
  <si>
    <t>Verona</t>
  </si>
  <si>
    <t>Veneto</t>
  </si>
  <si>
    <t>LA PANDOLFA NOELIA RICCI SOCIETA' AGRICOLA A R.L. O IN BREVE LA PANDOLFA SOCIETA' AGRICOLA A R.L. O ANCORA IN BREVE NOELIA RICCI SOCIETA' AGRICOLA A R.L.</t>
  </si>
  <si>
    <t>03509000406</t>
  </si>
  <si>
    <t>Forlì-Cesena</t>
  </si>
  <si>
    <t>Emilia-Romagna</t>
  </si>
  <si>
    <t>Friuli-Venezia Giulia</t>
  </si>
  <si>
    <t>011140</t>
  </si>
  <si>
    <t>011310</t>
  </si>
  <si>
    <t>Marche</t>
  </si>
  <si>
    <t>TSM S.R.L.</t>
  </si>
  <si>
    <t>03592070712</t>
  </si>
  <si>
    <t>Foggia</t>
  </si>
  <si>
    <t>CAMPODELSOLE S.R.L. SOCIETA' AGRICOLA</t>
  </si>
  <si>
    <t>02385380403</t>
  </si>
  <si>
    <t>SOCIETA' AGRICOLA TENUTA VILLANOVA S.R.L.</t>
  </si>
  <si>
    <t>00465620318</t>
  </si>
  <si>
    <t>Gorizia</t>
  </si>
  <si>
    <t>ORTO BUONO - SOCIETA' COOPERATIVA AGRICOLA</t>
  </si>
  <si>
    <t>04033850753</t>
  </si>
  <si>
    <t>Lecce</t>
  </si>
  <si>
    <t>BIOLAND S.R.L. SOCIETA' AGRICOLA</t>
  </si>
  <si>
    <t>02641930595</t>
  </si>
  <si>
    <t>Latina</t>
  </si>
  <si>
    <t>Lazio</t>
  </si>
  <si>
    <t>GIANNITESSARI SOCIETA' AGRICOLA S.R.L.</t>
  </si>
  <si>
    <t>04187460235</t>
  </si>
  <si>
    <t>VILLA GRANT SOCIETA' AGRICOLA A RESPONSABILITA' LIMITATA</t>
  </si>
  <si>
    <t>06705351002</t>
  </si>
  <si>
    <t>015000</t>
  </si>
  <si>
    <t>Roma</t>
  </si>
  <si>
    <t>TRIONFI HONORATI ANTONIO SOCIETA' A RESPONSABILITA' LIMITATA - SO CIETA' AGRICOLA IN SIGLA TRIONFI HONORATI ANTONIO S.R.L. AGRICOLA</t>
  </si>
  <si>
    <t>00136660420</t>
  </si>
  <si>
    <t>Ancona</t>
  </si>
  <si>
    <t>VITIS IN VULTURE - SOCIETA' COOPERATIVA AGRICOLA</t>
  </si>
  <si>
    <t>01654000767</t>
  </si>
  <si>
    <t>Potenza</t>
  </si>
  <si>
    <t>Basilicata</t>
  </si>
  <si>
    <t>COOPERATIVA S.ANTONIO IN VAL TALEGGIO - SOCIETA' AGRICOLA</t>
  </si>
  <si>
    <t>00604050161</t>
  </si>
  <si>
    <t>015000</t>
  </si>
  <si>
    <t>Bergamo</t>
  </si>
  <si>
    <t>Lombardia</t>
  </si>
  <si>
    <t>SOCIETA' COOPERATIVA AGRICOLA LORETANA PER AZIONI (IN SIGLA S.C.A.L. - SOC. COOP. P.A.)</t>
  </si>
  <si>
    <t>00224450684</t>
  </si>
  <si>
    <t>016300</t>
  </si>
  <si>
    <t>Pescara</t>
  </si>
  <si>
    <t>Abruzzo</t>
  </si>
  <si>
    <t>NUOVA AGRICOLA GIRASOLE SOCIETA' COOPERATIVA AGRICOLA E SOCIALE</t>
  </si>
  <si>
    <t>02246520288</t>
  </si>
  <si>
    <t>011000</t>
  </si>
  <si>
    <t>Padova</t>
  </si>
  <si>
    <t>Veneto</t>
  </si>
  <si>
    <t>RTP SRL SOCIETA' AGRICOLA</t>
  </si>
  <si>
    <t>02354590354</t>
  </si>
  <si>
    <t>012100</t>
  </si>
  <si>
    <t>Reggio nell'Emilia</t>
  </si>
  <si>
    <t>Emilia-Romagna</t>
  </si>
  <si>
    <t>GARDEN PLAN S.R.L.</t>
  </si>
  <si>
    <t>02631410418</t>
  </si>
  <si>
    <t>011910</t>
  </si>
  <si>
    <t>Pesaro Urbino</t>
  </si>
  <si>
    <t>Marche</t>
  </si>
  <si>
    <t>VALLI UNITE SOCIETA' COOPERATIVA AGRICOLA</t>
  </si>
  <si>
    <t>00930460068</t>
  </si>
  <si>
    <t>Alessandria</t>
  </si>
  <si>
    <t>Piemonte</t>
  </si>
  <si>
    <t>PIAN DEL MAGGIO SOCIETA' AGRICOLA S.R.L.</t>
  </si>
  <si>
    <t>03310100171</t>
  </si>
  <si>
    <t>Brescia</t>
  </si>
  <si>
    <t>011110</t>
  </si>
  <si>
    <t>VIALE NICOLA S.R.L.</t>
  </si>
  <si>
    <t>04435160272</t>
  </si>
  <si>
    <t>016100</t>
  </si>
  <si>
    <t>Venezia</t>
  </si>
  <si>
    <t>APROL CAMPANIA - SOCIETA' COOPERATIVA AGRICOLA</t>
  </si>
  <si>
    <t>00867970659</t>
  </si>
  <si>
    <t>012600</t>
  </si>
  <si>
    <t>Napoli</t>
  </si>
  <si>
    <t>Campania</t>
  </si>
  <si>
    <t>Puglia</t>
  </si>
  <si>
    <t>AZIENDA AGRICOLA LE MANDRIE S.R.L. SOCIETA' AGRICOLA IN BREVE AZIENDA AGRICOLA LE MANDRIE S.R.L.</t>
  </si>
  <si>
    <t>02015170547</t>
  </si>
  <si>
    <t>Perugia</t>
  </si>
  <si>
    <t>Umbria</t>
  </si>
  <si>
    <t>SOCIETA' AGRICOLA DERBUSCO S.R.L.</t>
  </si>
  <si>
    <t>02692740984</t>
  </si>
  <si>
    <t>COOPERATIVA ALBA SOC. COOP. AGRICOLA A R. L.</t>
  </si>
  <si>
    <t>00786110429</t>
  </si>
  <si>
    <t>Ancona</t>
  </si>
  <si>
    <t>PANTALEO AGRICOLTURA SOCIETA' AGRICOLA S.R.L.</t>
  </si>
  <si>
    <t>02187280744</t>
  </si>
  <si>
    <t>Brindisi</t>
  </si>
  <si>
    <t>SG VIVAI SOCIETA' AGRICOLA A RESPONSABILITA' LIMITATA</t>
  </si>
  <si>
    <t>05316880656</t>
  </si>
  <si>
    <t>012800</t>
  </si>
  <si>
    <t>Salerno</t>
  </si>
  <si>
    <t>PRN SERVICE SOCIETA' COOPERATIVA AGRICOLA</t>
  </si>
  <si>
    <t>03045770801</t>
  </si>
  <si>
    <t>016100</t>
  </si>
  <si>
    <t>Reggio di Calabria</t>
  </si>
  <si>
    <t>Calabria</t>
  </si>
  <si>
    <t>ANNABELLE SOCIETA' AGRICOLA A R.L.</t>
  </si>
  <si>
    <t>04229581212</t>
  </si>
  <si>
    <t>011120</t>
  </si>
  <si>
    <t>Napoli</t>
  </si>
  <si>
    <t>Campania</t>
  </si>
  <si>
    <t>Siena</t>
  </si>
  <si>
    <t>Toscana</t>
  </si>
  <si>
    <t>Lombardia</t>
  </si>
  <si>
    <t>Brescia</t>
  </si>
  <si>
    <t>SOCIETA' AGRICOLA CANNETA S.R.L.(OD ANCHE IN SIGLA PER L'IDENTIFI CAZIONE DEI PRODOTTI: PODERE CANNETA S.R.L. E AZIENDA AGRICOLA I MORI S.R.L. )</t>
  </si>
  <si>
    <t>00694780529</t>
  </si>
  <si>
    <t>012100</t>
  </si>
  <si>
    <t>Bologna</t>
  </si>
  <si>
    <t>Emilia-Romagna</t>
  </si>
  <si>
    <t>Puglia</t>
  </si>
  <si>
    <t>ARBOREA SOCIETA' AGRICOLA COOPERATIVA</t>
  </si>
  <si>
    <t>01977531209</t>
  </si>
  <si>
    <t>013000</t>
  </si>
  <si>
    <t>FATTORIA GAGGIO SOCIETA' AGRICOLA S.R.L.</t>
  </si>
  <si>
    <t>03008970125</t>
  </si>
  <si>
    <t>012500</t>
  </si>
  <si>
    <t>Varese</t>
  </si>
  <si>
    <t>BUONO ENERGIA SOCIETA' AGRICOLA S.R.L.</t>
  </si>
  <si>
    <t>01152260863</t>
  </si>
  <si>
    <t>012900</t>
  </si>
  <si>
    <t>Agrigento</t>
  </si>
  <si>
    <t>Sicilia</t>
  </si>
  <si>
    <t>STALLA SOCIALE S. LUCIA - BORTOLANI SOCIETA' AGRICOLA COOPERATIVA</t>
  </si>
  <si>
    <t>00524751203</t>
  </si>
  <si>
    <t>016209</t>
  </si>
  <si>
    <t>TENUTA LA CHIUSA - SOCIETA' AGRICOLA A RESPONSABILITA' LIMITATA</t>
  </si>
  <si>
    <t>01431840493</t>
  </si>
  <si>
    <t>Livorno</t>
  </si>
  <si>
    <t>SOCIETA' AGRICOLA DEGLI DEI S.R.L.</t>
  </si>
  <si>
    <t>04245930484</t>
  </si>
  <si>
    <t>Firenze</t>
  </si>
  <si>
    <t>GASTALDI SOCIETA' AGRICOLA COOPERATIVA</t>
  </si>
  <si>
    <t>02743190049</t>
  </si>
  <si>
    <t>016300</t>
  </si>
  <si>
    <t>Cuneo</t>
  </si>
  <si>
    <t>Piemonte</t>
  </si>
  <si>
    <t>SOCIETA' AGRICOLA PISCIOTTA - SOCIETA' A RESPONSABILITA' LIMITATA SEMPLIFICATA</t>
  </si>
  <si>
    <t>02561120813</t>
  </si>
  <si>
    <t>012600</t>
  </si>
  <si>
    <t>Trapani</t>
  </si>
  <si>
    <t>AZIENDA AGRICOLA MONZIO COMPAGNONI SRL - SOCIETA' AGRICOLA</t>
  </si>
  <si>
    <t>02328430166</t>
  </si>
  <si>
    <t>CANTOR - SOCIETA' COOPERATIVA AGRICOLA</t>
  </si>
  <si>
    <t>03954550616</t>
  </si>
  <si>
    <t>Caserta</t>
  </si>
  <si>
    <t>CONSORZIO VIVAISTI DI TERRA D'OTRANTO - IN SIGLA C.V.T.O.</t>
  </si>
  <si>
    <t>03512180757</t>
  </si>
  <si>
    <t>011910</t>
  </si>
  <si>
    <t>Lecce</t>
  </si>
  <si>
    <t>SOCIETA' COOPERATIVA ORTOFLORICOLA SANT'ANTONIO SOC. A R.L.</t>
  </si>
  <si>
    <t>01524311212</t>
  </si>
  <si>
    <t>011910</t>
  </si>
  <si>
    <t>Napoli</t>
  </si>
  <si>
    <t>Campania</t>
  </si>
  <si>
    <t>CONSORZIO ARTEMIDE</t>
  </si>
  <si>
    <t>04791220728</t>
  </si>
  <si>
    <t>016000</t>
  </si>
  <si>
    <t>Bari</t>
  </si>
  <si>
    <t>Puglia</t>
  </si>
  <si>
    <t>FUNTAMARA COOP.ORTOLANI DEL FUCINO SOCIETA' COOPERATIVA</t>
  </si>
  <si>
    <t>00629230665</t>
  </si>
  <si>
    <t>016100</t>
  </si>
  <si>
    <t>L'Aquila</t>
  </si>
  <si>
    <t>Abruzzo</t>
  </si>
  <si>
    <t>AZIENDA AGRICOLA CAVOTI S.R.L.</t>
  </si>
  <si>
    <t>04898180759</t>
  </si>
  <si>
    <t>014700</t>
  </si>
  <si>
    <t>Lecce</t>
  </si>
  <si>
    <t>015000</t>
  </si>
  <si>
    <t>Lombardia</t>
  </si>
  <si>
    <t>Roma</t>
  </si>
  <si>
    <t>Lazio</t>
  </si>
  <si>
    <t>Emilia-Romagna</t>
  </si>
  <si>
    <t>SOCIETA' COOPERATIVA AGRICOLA MADONNA DEL ROSARIO</t>
  </si>
  <si>
    <t>00921030722</t>
  </si>
  <si>
    <t>COOPERATIVA AGRICOLA NUOVA BELEO SOCIETA' COOPERATIVA</t>
  </si>
  <si>
    <t>01265980357</t>
  </si>
  <si>
    <t>Reggio nell'Emilia</t>
  </si>
  <si>
    <t>PODERE L'AGAVE SOCIETA' AGRICOLA S.R.L.</t>
  </si>
  <si>
    <t>10420690967</t>
  </si>
  <si>
    <t>012600</t>
  </si>
  <si>
    <t>Milano</t>
  </si>
  <si>
    <t>012000</t>
  </si>
  <si>
    <t>L'AVICOLA DEL SOLE SRL</t>
  </si>
  <si>
    <t>04166190712</t>
  </si>
  <si>
    <t>Foggia</t>
  </si>
  <si>
    <t>SOCIETA' AGRICOLA VALLANTICA TACCONI OTTELIO S.R.L.</t>
  </si>
  <si>
    <t>01323930550</t>
  </si>
  <si>
    <t>SOCIETA' AGRICOLA LA GALIZIA S.R.L.</t>
  </si>
  <si>
    <t>04972640157</t>
  </si>
  <si>
    <t>011000</t>
  </si>
  <si>
    <t>S.ISIDORO S.R.L. - SOCIETA' AGRICOLA</t>
  </si>
  <si>
    <t>00802030569</t>
  </si>
  <si>
    <t>011110</t>
  </si>
  <si>
    <t>Viterbo</t>
  </si>
  <si>
    <t>SUEDTIROLER BERGZIEGENMILCH GENOSSENSCHAFT UND LANDWIRTSCHAFTLICHE GESELLSCHAFT</t>
  </si>
  <si>
    <t>02512670213</t>
  </si>
  <si>
    <t>014000</t>
  </si>
  <si>
    <t>Bolzano/Bozen</t>
  </si>
  <si>
    <t>Trentino-Alto Adige</t>
  </si>
  <si>
    <t>Emilia-Romagna</t>
  </si>
  <si>
    <t>Campania</t>
  </si>
  <si>
    <t>U.B.I. S.R.L. - SOCIETA' AGRICOLA</t>
  </si>
  <si>
    <t>01731120547</t>
  </si>
  <si>
    <t>011140</t>
  </si>
  <si>
    <t>Perugia</t>
  </si>
  <si>
    <t>Umbria</t>
  </si>
  <si>
    <t>C.B.M. S.R.L. - CATTLE BREEDING MANAGEMENT - SOCIETA' AGRICOLA A R.L.</t>
  </si>
  <si>
    <t>01332400421</t>
  </si>
  <si>
    <t>014700</t>
  </si>
  <si>
    <t>Ancona</t>
  </si>
  <si>
    <t>Marche</t>
  </si>
  <si>
    <t>RONCO CALINO SOCIETA' AGRICOLA S.R.L.</t>
  </si>
  <si>
    <t>03946180985</t>
  </si>
  <si>
    <t>012100</t>
  </si>
  <si>
    <t>Brescia</t>
  </si>
  <si>
    <t>Lombardia</t>
  </si>
  <si>
    <t>AZIENDA AGRICOLA VITTORIO S.R.L.</t>
  </si>
  <si>
    <t>04609080751</t>
  </si>
  <si>
    <t>011320</t>
  </si>
  <si>
    <t>Lecce</t>
  </si>
  <si>
    <t>Puglia</t>
  </si>
  <si>
    <t>FATTORIA SANT'APPIANO SOCIETA' AGRICOLA A RESPONSABILITA' LIMITAT A</t>
  </si>
  <si>
    <t>00538580481</t>
  </si>
  <si>
    <t>Firenze</t>
  </si>
  <si>
    <t>Toscana</t>
  </si>
  <si>
    <t>Lazio</t>
  </si>
  <si>
    <t>013000</t>
  </si>
  <si>
    <t>NUOVA LINEA SOCIETA' A RESPONSABILITA' LIMITATA SEMPLIFICATA</t>
  </si>
  <si>
    <t>01586940296</t>
  </si>
  <si>
    <t>016100</t>
  </si>
  <si>
    <t>Bologna</t>
  </si>
  <si>
    <t>MICROBIRRIFICIO OPPERBACCO SOCIETA' AGRICOLA S.R.L.</t>
  </si>
  <si>
    <t>01678680677</t>
  </si>
  <si>
    <t>011110</t>
  </si>
  <si>
    <t>Teramo</t>
  </si>
  <si>
    <t>Abruzzo</t>
  </si>
  <si>
    <t>FRANCHINI FARM S.R.L. SOCIETA' AGRICOLA</t>
  </si>
  <si>
    <t>08555440729</t>
  </si>
  <si>
    <t>Bari</t>
  </si>
  <si>
    <t>FARAO S.R.L. SOCIETA' AGRICOLA</t>
  </si>
  <si>
    <t>05829170652</t>
  </si>
  <si>
    <t>Salerno</t>
  </si>
  <si>
    <t>CONTI PIANTE RIETI SOCIETA' A RESPONSABILITA' LIMITATA</t>
  </si>
  <si>
    <t>00040440570</t>
  </si>
  <si>
    <t>Rieti</t>
  </si>
  <si>
    <t>VITICOLTORI DEL TABURNO SOCIETA' COOPERATIVA AGRICOLA (IN SIGLA VITICOLTORI DEL TABURNO S.C.)</t>
  </si>
  <si>
    <t>01169920624</t>
  </si>
  <si>
    <t>Benevento</t>
  </si>
  <si>
    <t>POJER S.R.L.</t>
  </si>
  <si>
    <t>00580260214</t>
  </si>
  <si>
    <t>Bolzano/Bozen</t>
  </si>
  <si>
    <t>Trentino-Alto Adige</t>
  </si>
  <si>
    <t>COOP AGRUSIB - SOCIETA' AGRICOLA COOPERATIVA</t>
  </si>
  <si>
    <t>02361670785</t>
  </si>
  <si>
    <t>012300</t>
  </si>
  <si>
    <t>Cosenza</t>
  </si>
  <si>
    <t>Calabria</t>
  </si>
  <si>
    <t>SOCIETA' AGRICOLA TENUTA AMBROSINI S.R.L.</t>
  </si>
  <si>
    <t>03247480985</t>
  </si>
  <si>
    <t>AA S.R.L. - SOCIETA' AGRICOLA</t>
  </si>
  <si>
    <t>04227791219</t>
  </si>
  <si>
    <t>011310</t>
  </si>
  <si>
    <t>Napoli</t>
  </si>
  <si>
    <t>Campania</t>
  </si>
  <si>
    <t>010000</t>
  </si>
  <si>
    <t>Puglia</t>
  </si>
  <si>
    <t>016100</t>
  </si>
  <si>
    <t>Piemonte</t>
  </si>
  <si>
    <t>DON LUIGI SOCIETA' AGRICOLA S.R.L.</t>
  </si>
  <si>
    <t>02339990745</t>
  </si>
  <si>
    <t>Brindisi</t>
  </si>
  <si>
    <t>VILLA CURINA RESORT S.R.L. SOCIETA' AGRICOLA</t>
  </si>
  <si>
    <t>01521630523</t>
  </si>
  <si>
    <t>012600</t>
  </si>
  <si>
    <t>Siena</t>
  </si>
  <si>
    <t>Toscana</t>
  </si>
  <si>
    <t>SOUTHERN SEED S.R.L.</t>
  </si>
  <si>
    <t>01197730888</t>
  </si>
  <si>
    <t>011000</t>
  </si>
  <si>
    <t>Ragusa</t>
  </si>
  <si>
    <t>Sicilia</t>
  </si>
  <si>
    <t>016300</t>
  </si>
  <si>
    <t>STORIE AROMATICHE SOC. AGR. S.R.L.</t>
  </si>
  <si>
    <t>08935341217</t>
  </si>
  <si>
    <t>011990</t>
  </si>
  <si>
    <t>BAGLIO DIAR SOCIETA' COOPERATIVA AGRICOLA A R. L. IN FORMA ABBREVIATA BAGLIO DIAR SOC. COOP. AGR. A R.L.</t>
  </si>
  <si>
    <t>02730620818</t>
  </si>
  <si>
    <t>012100</t>
  </si>
  <si>
    <t>Trapani</t>
  </si>
  <si>
    <t>SCARPARI SOCIETA' COOPERATIVA</t>
  </si>
  <si>
    <t>02061930802</t>
  </si>
  <si>
    <t>012300</t>
  </si>
  <si>
    <t>Reggio di Calabria</t>
  </si>
  <si>
    <t>Calabria</t>
  </si>
  <si>
    <t>TERRE DI NANO NG - SOCIETA' AGRICOLA A RESPONSABILITA' LIMITATA</t>
  </si>
  <si>
    <t>01011870522</t>
  </si>
  <si>
    <t>FATTORIA DI MONTICELLO SOCIETA' AGRICOLA S.R.L.</t>
  </si>
  <si>
    <t>01385950553</t>
  </si>
  <si>
    <t>011110</t>
  </si>
  <si>
    <t>Terni</t>
  </si>
  <si>
    <t>Umbria</t>
  </si>
  <si>
    <t>SOCIETA' AGRICOLA HORUS 2 S.R.L.</t>
  </si>
  <si>
    <t>01452580887</t>
  </si>
  <si>
    <t>AAA SOCIETA' AGRICOLA A RESPONSABILITA' LIMITATA</t>
  </si>
  <si>
    <t>14256331001</t>
  </si>
  <si>
    <t>Roma</t>
  </si>
  <si>
    <t>Lazio</t>
  </si>
  <si>
    <t>Veneto</t>
  </si>
  <si>
    <t>FATTORIA MONTALBANO SOCIETA' AGRICOLA A R.L.</t>
  </si>
  <si>
    <t>04029180488</t>
  </si>
  <si>
    <t>Firenze</t>
  </si>
  <si>
    <t>OSIOFLOR SOCIETA' AGRICOLA S.R.L.</t>
  </si>
  <si>
    <t>04039590163</t>
  </si>
  <si>
    <t>011910</t>
  </si>
  <si>
    <t>Bergamo</t>
  </si>
  <si>
    <t>Lombardia</t>
  </si>
  <si>
    <t>CANTINA DEI COLLI DI CREA - SOCIETA' COOPERATIVA AGRICOLA</t>
  </si>
  <si>
    <t>00162740062</t>
  </si>
  <si>
    <t>Alessandria</t>
  </si>
  <si>
    <t>MARECO S.R.L.</t>
  </si>
  <si>
    <t>02533220287</t>
  </si>
  <si>
    <t>Padova</t>
  </si>
  <si>
    <t>VIKE SOCIETA' AGRICOLA S.R.L.</t>
  </si>
  <si>
    <t>01467860886</t>
  </si>
  <si>
    <t>011300</t>
  </si>
  <si>
    <t>SOCIETA' AGRICOLA M.B. GARDEN SRL</t>
  </si>
  <si>
    <t>01261720450</t>
  </si>
  <si>
    <t>Massa-Carrara</t>
  </si>
  <si>
    <t>LE FOGLIE VERDI - SOCIETA' COOPERATIVA AGRICOLA</t>
  </si>
  <si>
    <t>05014900871</t>
  </si>
  <si>
    <t>Catania</t>
  </si>
  <si>
    <t>LE MASSERIE PIANO SOCIETA' AGRICOLA S.R.L</t>
  </si>
  <si>
    <t>02860070644</t>
  </si>
  <si>
    <t>014100</t>
  </si>
  <si>
    <t>Avellino</t>
  </si>
  <si>
    <t>Campania</t>
  </si>
  <si>
    <t>Toscana</t>
  </si>
  <si>
    <t>TENUTA DI BIBBIANO SOCIETA' AGRICOLA S.R.L.O BREVEMENTE BIBBIANO SOCIETA' AGRICOLA S.R.L.</t>
  </si>
  <si>
    <t>00522320522</t>
  </si>
  <si>
    <t>012100</t>
  </si>
  <si>
    <t>Siena</t>
  </si>
  <si>
    <t>Lazio</t>
  </si>
  <si>
    <t>FATTORIA LA FIORITA S.R.L. SOCIETA' AGRICOLA</t>
  </si>
  <si>
    <t>00823640529</t>
  </si>
  <si>
    <t>Veneto</t>
  </si>
  <si>
    <t>016300</t>
  </si>
  <si>
    <t>Puglia</t>
  </si>
  <si>
    <t>TENUTA PLANITIA SOCIETA' AGRICOLA A RESPONSABILITA' LIMITATA</t>
  </si>
  <si>
    <t>04372780272</t>
  </si>
  <si>
    <t>Venezia</t>
  </si>
  <si>
    <t>PRESTIGE PLANTS SOCIETA' AGRICOLA A RESPONSABILITA' LIMITATA</t>
  </si>
  <si>
    <t>02439770591</t>
  </si>
  <si>
    <t>013000</t>
  </si>
  <si>
    <t>Latina</t>
  </si>
  <si>
    <t>LOMBARDIA FOOD SRL SOCIETA' AGRICOLA</t>
  </si>
  <si>
    <t>04074930985</t>
  </si>
  <si>
    <t>011990</t>
  </si>
  <si>
    <t>Brescia</t>
  </si>
  <si>
    <t>Lombardia</t>
  </si>
  <si>
    <t>011140</t>
  </si>
  <si>
    <t>Emilia-Romagna</t>
  </si>
  <si>
    <t>PISTOIA PIANTE SOCIETA' A RESPONSABILITA' LIMITATA AGRICOLA</t>
  </si>
  <si>
    <t>01905640478</t>
  </si>
  <si>
    <t>Pistoia</t>
  </si>
  <si>
    <t>016100</t>
  </si>
  <si>
    <t>Piemonte</t>
  </si>
  <si>
    <t>ICARIO SOCIETA' AGRICOLA A RESPONSABILITA' LIMITATA</t>
  </si>
  <si>
    <t>05858341000</t>
  </si>
  <si>
    <t>012000</t>
  </si>
  <si>
    <t>OLIVICOLA DI CANINO SOCIETA' AGRICOLA COOPERATIVA A RESPONSABILIT A' LIMITATA</t>
  </si>
  <si>
    <t>01309230561</t>
  </si>
  <si>
    <t>Viterbo</t>
  </si>
  <si>
    <t>AZIENDA AGRICOLA CASTELLO DI CORBARA SOCIETA' A RESPONSABILITA' LIMITATA</t>
  </si>
  <si>
    <t>10237631006</t>
  </si>
  <si>
    <t>Roma</t>
  </si>
  <si>
    <t>Reggio nell'Emilia</t>
  </si>
  <si>
    <t>SEPPUNISI - SOCIETA' COOPERATIVA AGRICOLA</t>
  </si>
  <si>
    <t>02289700748</t>
  </si>
  <si>
    <t>014000</t>
  </si>
  <si>
    <t>Brindisi</t>
  </si>
  <si>
    <t>ROMANFRUIT SOCIETA' AGRICOLA A RESPONSABILITA' LIMITATA</t>
  </si>
  <si>
    <t>03344190651</t>
  </si>
  <si>
    <t>011000</t>
  </si>
  <si>
    <t>Salerno</t>
  </si>
  <si>
    <t>BOSCHI CELATI SRL SOCIETA' AGRICOLA</t>
  </si>
  <si>
    <t>00726890338</t>
  </si>
  <si>
    <t>Piacenza</t>
  </si>
  <si>
    <t>AZIENDA AGRICOLA MARINO FIORI S.R.L.</t>
  </si>
  <si>
    <t>09012150018</t>
  </si>
  <si>
    <t>011920</t>
  </si>
  <si>
    <t>Torino</t>
  </si>
  <si>
    <t>COOPERATIVA AGRICOLA DEL LEVANTE SOCIETA' COOPERATIVA</t>
  </si>
  <si>
    <t>00173300997</t>
  </si>
  <si>
    <t>011921</t>
  </si>
  <si>
    <t>Genova</t>
  </si>
  <si>
    <t>Liguria</t>
  </si>
  <si>
    <t>DEL CONTE S.R.L. SOCIETA' AGRICOLA</t>
  </si>
  <si>
    <t>01778810489</t>
  </si>
  <si>
    <t>Firenze</t>
  </si>
  <si>
    <t>LA LUCERNA SOCIETA' COOPERATIVA AGRICOLA</t>
  </si>
  <si>
    <t>01237870355</t>
  </si>
  <si>
    <t>011310</t>
  </si>
  <si>
    <t>MAESTRI ECOLOGIA S.R.L.</t>
  </si>
  <si>
    <t>02330610342</t>
  </si>
  <si>
    <t>Parma</t>
  </si>
  <si>
    <t>SOCIETA' AGRICOLA SOLAR FARM S.R.L.</t>
  </si>
  <si>
    <t>02569310846</t>
  </si>
  <si>
    <t>011320</t>
  </si>
  <si>
    <t>Trento</t>
  </si>
  <si>
    <t>Trentino-Alto Adige</t>
  </si>
  <si>
    <t>Salerno</t>
  </si>
  <si>
    <t>Campania</t>
  </si>
  <si>
    <t>012100</t>
  </si>
  <si>
    <t>COOPERATIVA AGRICOLA LA FIORITA - SOCIETA' COOPERATIVA AGRICOLA</t>
  </si>
  <si>
    <t>00229040258</t>
  </si>
  <si>
    <t>015000</t>
  </si>
  <si>
    <t>Belluno</t>
  </si>
  <si>
    <t>Veneto</t>
  </si>
  <si>
    <t>011110</t>
  </si>
  <si>
    <t>016100</t>
  </si>
  <si>
    <t>Emilia-Romagna</t>
  </si>
  <si>
    <t>IL FARNETO SOCIETA' AGRICOLA SOCIETA' A RESPONSABILITA' LIMITATA ABBREVIABILE IN IL FARNETO SOCIETA' AGRICOLA S.R.L.</t>
  </si>
  <si>
    <t>01478780354</t>
  </si>
  <si>
    <t>Reggio nell'Emilia</t>
  </si>
  <si>
    <t>Toscana</t>
  </si>
  <si>
    <t>MIGLIOZZI SEMENTI S.R.L.</t>
  </si>
  <si>
    <t>01890640434</t>
  </si>
  <si>
    <t>016409</t>
  </si>
  <si>
    <t>Macerata</t>
  </si>
  <si>
    <t>Marche</t>
  </si>
  <si>
    <t>LE VOLPI &amp; MONTE FASOLO SOCIETA' AGRICOLA S.R.L.</t>
  </si>
  <si>
    <t>04337910287</t>
  </si>
  <si>
    <t>010000</t>
  </si>
  <si>
    <t>Padova</t>
  </si>
  <si>
    <t>LEVII S.R.L. SOCIETA' AGRICOLA</t>
  </si>
  <si>
    <t>02281240206</t>
  </si>
  <si>
    <t>Trento</t>
  </si>
  <si>
    <t>Trentino-Alto Adige</t>
  </si>
  <si>
    <t>Lazio</t>
  </si>
  <si>
    <t>MERIDIANA S.R.L. - SOCIETA' AGRICOLA</t>
  </si>
  <si>
    <t>03343450650</t>
  </si>
  <si>
    <t>011910</t>
  </si>
  <si>
    <t>SOCIETA' AGRICOLA BORGO PAGLIANETTO S.R.L.</t>
  </si>
  <si>
    <t>01058860436</t>
  </si>
  <si>
    <t>MARCHESE DI CAMUGLIANO S.R.L. SOCIETA' AGRICOLA</t>
  </si>
  <si>
    <t>02075260501</t>
  </si>
  <si>
    <t>Pisa</t>
  </si>
  <si>
    <t>AGRICOLA PECCIA SOCIETA' COOPERATIVA</t>
  </si>
  <si>
    <t>02269920548</t>
  </si>
  <si>
    <t>Perugia</t>
  </si>
  <si>
    <t>Umbria</t>
  </si>
  <si>
    <t>ASSOCIAZIONE COOPERATIVA OLIVICOLA SOCIETA' COOPERATIVA</t>
  </si>
  <si>
    <t>02067891008</t>
  </si>
  <si>
    <t>Roma</t>
  </si>
  <si>
    <t>DIANO SCAVI S.R.L.</t>
  </si>
  <si>
    <t>03235000043</t>
  </si>
  <si>
    <t>016100</t>
  </si>
  <si>
    <t>Cuneo</t>
  </si>
  <si>
    <t>Piemonte</t>
  </si>
  <si>
    <t>012100</t>
  </si>
  <si>
    <t>Veneto</t>
  </si>
  <si>
    <t>016300</t>
  </si>
  <si>
    <t>011140</t>
  </si>
  <si>
    <t>Puglia</t>
  </si>
  <si>
    <t>IL CRINALE SOCIETA' COOPERATIVA AGRICOLA</t>
  </si>
  <si>
    <t>02693290351</t>
  </si>
  <si>
    <t>Reggio nell'Emilia</t>
  </si>
  <si>
    <t>Emilia-Romagna</t>
  </si>
  <si>
    <t>Foggia</t>
  </si>
  <si>
    <t>LA FRUTTA DEL PONTE SOCIETA' COOPERATIVA</t>
  </si>
  <si>
    <t>03468620871</t>
  </si>
  <si>
    <t>011300</t>
  </si>
  <si>
    <t>Catania</t>
  </si>
  <si>
    <t>Sicilia</t>
  </si>
  <si>
    <t>ASSOCIAZIONE PRODUTTORI OLIVICOLI TOSCANI SOCIETA' COOPERATIVA AG RICOLA A R.L.</t>
  </si>
  <si>
    <t>01560220509</t>
  </si>
  <si>
    <t>Pisa</t>
  </si>
  <si>
    <t>Toscana</t>
  </si>
  <si>
    <t>014100</t>
  </si>
  <si>
    <t>Campania</t>
  </si>
  <si>
    <t>SOCIETA' AGRICOLA LA FASANARA S.R.L. DI PASTORE MARIO &amp; C.</t>
  </si>
  <si>
    <t>04026780652</t>
  </si>
  <si>
    <t>011310</t>
  </si>
  <si>
    <t>Salerno</t>
  </si>
  <si>
    <t>COSTANTINOPOLI SOCIETA' COOPERATIVA AGRICOLA</t>
  </si>
  <si>
    <t>07243550725</t>
  </si>
  <si>
    <t>Barletta-Andria-Trani</t>
  </si>
  <si>
    <t>GARFAGNANA COOP. - ALTA VALLE DEL SERCHIO SOCIETA' COOPERATIVA AGRICOLA</t>
  </si>
  <si>
    <t>01550040461</t>
  </si>
  <si>
    <t>011110</t>
  </si>
  <si>
    <t>Lucca</t>
  </si>
  <si>
    <t>SOCIETA' AGRICOLA VIGNE MATTE S.R.L.</t>
  </si>
  <si>
    <t>03636520268</t>
  </si>
  <si>
    <t>Treviso</t>
  </si>
  <si>
    <t>Lombardia</t>
  </si>
  <si>
    <t>SOCIETA' AGRICOLA CHIARI 2 AGROENERGIA S.R.L.</t>
  </si>
  <si>
    <t>03506510985</t>
  </si>
  <si>
    <t>Brescia</t>
  </si>
  <si>
    <t>FRANTOIO SOCIALE DEL COMPITESE SOCIETA' COOPERATIVA</t>
  </si>
  <si>
    <t>00376950465</t>
  </si>
  <si>
    <t>012600</t>
  </si>
  <si>
    <t>SOCIETA' AGRICOLA CASA CORNACCHI S.R.L.</t>
  </si>
  <si>
    <t>01501150518</t>
  </si>
  <si>
    <t>010000</t>
  </si>
  <si>
    <t>Arezzo</t>
  </si>
  <si>
    <t>PRIME ALTURE SOCIETA' AGRICOLA S.R.L.</t>
  </si>
  <si>
    <t>02337220186</t>
  </si>
  <si>
    <t>Pavia</t>
  </si>
  <si>
    <t>SOCIETA' AGRICOLA OFFICINA DEL SOLE SRL</t>
  </si>
  <si>
    <t>02010690440</t>
  </si>
  <si>
    <t>Ascoli Piceno</t>
  </si>
  <si>
    <t>Marche</t>
  </si>
  <si>
    <t>PRIMOSIC SOCIETA' AGRICOLA S.R.L., IN BREVE S.A.PRI. S.R.L.</t>
  </si>
  <si>
    <t>00471290312</t>
  </si>
  <si>
    <t>Gorizia</t>
  </si>
  <si>
    <t>Friuli-Venezia Giulia</t>
  </si>
  <si>
    <t>SOCIETA' AGRICOLA VILLA S.ANDREA S.U.R.L.</t>
  </si>
  <si>
    <t>06107860485</t>
  </si>
  <si>
    <t>Firenze</t>
  </si>
  <si>
    <t>GERLOSI SOCIETA' AGRICOLA SRL</t>
  </si>
  <si>
    <t>01680260195</t>
  </si>
  <si>
    <t>Cremona</t>
  </si>
  <si>
    <t>SOCIETA' AGRICOLA ERIAN S.R.L.</t>
  </si>
  <si>
    <t>02658080987</t>
  </si>
  <si>
    <t>CASCAVILLA S.R.L. - SOCIETA' AGRICOLA</t>
  </si>
  <si>
    <t>03639250715</t>
  </si>
  <si>
    <t>012400</t>
  </si>
  <si>
    <t>LA MONACESCA SOCIETA' AGRICOLA A RESPONSABILITA' LIMITATA</t>
  </si>
  <si>
    <t>02062410432</t>
  </si>
  <si>
    <t>012100</t>
  </si>
  <si>
    <t>Macerata</t>
  </si>
  <si>
    <t>Marche</t>
  </si>
  <si>
    <t>FRANTOIO DI SPELLO UCCD SOCIETA' COOPERATIVA AGRICOLA</t>
  </si>
  <si>
    <t>00246500540</t>
  </si>
  <si>
    <t>010000</t>
  </si>
  <si>
    <t>Perugia</t>
  </si>
  <si>
    <t>Umbria</t>
  </si>
  <si>
    <t>FATTORIA MANCINI S.R.L. SOCIETA' AGRICOLA</t>
  </si>
  <si>
    <t>02593150416</t>
  </si>
  <si>
    <t>Pesaro Urbino</t>
  </si>
  <si>
    <t>016100</t>
  </si>
  <si>
    <t>Emilia-Romagna</t>
  </si>
  <si>
    <t>SOCIETA' AGRICOLA CORETTO S.R.L.</t>
  </si>
  <si>
    <t>01035610789</t>
  </si>
  <si>
    <t>015000</t>
  </si>
  <si>
    <t>Cosenza</t>
  </si>
  <si>
    <t>Calabria</t>
  </si>
  <si>
    <t>NATURAGRI - SOCIETA' AGRICOLA S.R.L.</t>
  </si>
  <si>
    <t>01171130774</t>
  </si>
  <si>
    <t>011320</t>
  </si>
  <si>
    <t>Matera</t>
  </si>
  <si>
    <t>Basilicata</t>
  </si>
  <si>
    <t>SOCIETA' AGRICOLA FARM HOUSE S.R.L.</t>
  </si>
  <si>
    <t>03376920272</t>
  </si>
  <si>
    <t>Venezia</t>
  </si>
  <si>
    <t>Veneto</t>
  </si>
  <si>
    <t>011110</t>
  </si>
  <si>
    <t>TERRAVIVA S.R.L.</t>
  </si>
  <si>
    <t>03695750046</t>
  </si>
  <si>
    <t>Cuneo</t>
  </si>
  <si>
    <t>Piemonte</t>
  </si>
  <si>
    <t>FRANK &amp; SERAFICO SOCIETA' AGRICOLA A RESPONSABILITA' LIMITATA</t>
  </si>
  <si>
    <t>01403550534</t>
  </si>
  <si>
    <t>Grosseto</t>
  </si>
  <si>
    <t>Toscana</t>
  </si>
  <si>
    <t>RUSTICI SOCIETA' AGRICOLA A RESPONSABILITA' LIMITATA</t>
  </si>
  <si>
    <t>01598990537</t>
  </si>
  <si>
    <t>014100</t>
  </si>
  <si>
    <t>CANTINA SOCIALE DI GONZAGA SOCIETA' AGRICOLA COOPERATIVA</t>
  </si>
  <si>
    <t>00139610208</t>
  </si>
  <si>
    <t>Mantova</t>
  </si>
  <si>
    <t>Lombardia</t>
  </si>
  <si>
    <t>SAITA SOCIETA' A RESPONSABILITA' LIMITATA</t>
  </si>
  <si>
    <t>01011110614</t>
  </si>
  <si>
    <t>016209</t>
  </si>
  <si>
    <t>Caserta</t>
  </si>
  <si>
    <t>Campania</t>
  </si>
  <si>
    <t>LA MACCHIARELLA - SOCIETA' A RESPONSABILITA' LIMITATA</t>
  </si>
  <si>
    <t>13896351007</t>
  </si>
  <si>
    <t>014300</t>
  </si>
  <si>
    <t>Roma</t>
  </si>
  <si>
    <t>Lazio</t>
  </si>
  <si>
    <t>CONSORZIO VIVAISTI FRUTTICOLI ALTOATESINI SOCIETA' AGRICOLA COOPERATIVA</t>
  </si>
  <si>
    <t>01428790214</t>
  </si>
  <si>
    <t>011000</t>
  </si>
  <si>
    <t>Bolzano/Bozen</t>
  </si>
  <si>
    <t>Trentino-Alto Adige</t>
  </si>
  <si>
    <t>CANTINA ALTA PADOVANA SOCIETA' COOPERATIVA AGRICOLA</t>
  </si>
  <si>
    <t>00230220287</t>
  </si>
  <si>
    <t>Padova</t>
  </si>
  <si>
    <t>SOCIETA' AGRICOLA CHIARI 1 AGROENERGIA S.R.L.</t>
  </si>
  <si>
    <t>03506690985</t>
  </si>
  <si>
    <t>Brescia</t>
  </si>
  <si>
    <t>COOPERATIVA AGRICOLA CERVAROLO SOCIETA' COOPERATIVA AGRICOLA</t>
  </si>
  <si>
    <t>00445170350</t>
  </si>
  <si>
    <t>Reggio nell'Emilia</t>
  </si>
  <si>
    <t>CANTINE RIVIERA DEL BRENTA SOCIETA' COOPERATIVA</t>
  </si>
  <si>
    <t>00189310279</t>
  </si>
  <si>
    <t>SOCIETA' AGRICOLA MARUCA EXPORT S.R.L.</t>
  </si>
  <si>
    <t>03105730794</t>
  </si>
  <si>
    <t>Vibo Valentia</t>
  </si>
  <si>
    <t>Piemonte</t>
  </si>
  <si>
    <t>CIARROCCHI FLORICOLTURA SOCIETA' AGRICOLA A RESPONSABILITA' LIMITATA</t>
  </si>
  <si>
    <t>01994040440</t>
  </si>
  <si>
    <t>011900</t>
  </si>
  <si>
    <t>Ascoli Piceno</t>
  </si>
  <si>
    <t>Marche</t>
  </si>
  <si>
    <t>CONTINA - COOPERATIVA SOCIALE</t>
  </si>
  <si>
    <t>12166340153</t>
  </si>
  <si>
    <t>011300</t>
  </si>
  <si>
    <t>Milano</t>
  </si>
  <si>
    <t>Lombardia</t>
  </si>
  <si>
    <t>SOCIETA' AGRICOLA LA BOLLINA S.R.L.</t>
  </si>
  <si>
    <t>02252950064</t>
  </si>
  <si>
    <t>012100</t>
  </si>
  <si>
    <t>Alessandria</t>
  </si>
  <si>
    <t>SOLE CHE SORGE SOCIETA' AGRICOLA SRL</t>
  </si>
  <si>
    <t>05052580825</t>
  </si>
  <si>
    <t>013000</t>
  </si>
  <si>
    <t>Palermo</t>
  </si>
  <si>
    <t>Sicilia</t>
  </si>
  <si>
    <t>SOCIETA' AGRICOLA ROSARUBRA S.R.L.</t>
  </si>
  <si>
    <t>01991930684</t>
  </si>
  <si>
    <t>Pescara</t>
  </si>
  <si>
    <t>Abruzzo</t>
  </si>
  <si>
    <t>COOPERATIVA DELLA LENTICCHIA DI CASTELLUCCIO DI NORCIA</t>
  </si>
  <si>
    <t>02069780548</t>
  </si>
  <si>
    <t>011130</t>
  </si>
  <si>
    <t>Perugia</t>
  </si>
  <si>
    <t>Umbria</t>
  </si>
  <si>
    <t>SOCIETA' AGRICOLA AGRICANDO - SOCIETA' A RESPONSABILITA' LIMITATA</t>
  </si>
  <si>
    <t>04709640652</t>
  </si>
  <si>
    <t>Salerno</t>
  </si>
  <si>
    <t>Campania</t>
  </si>
  <si>
    <t>L'AVVENTURA SOCIETA' AGRICOLA A RESPONSABILITA' LIMITATA</t>
  </si>
  <si>
    <t>02894450606</t>
  </si>
  <si>
    <t>Frosinone</t>
  </si>
  <si>
    <t>Lazio</t>
  </si>
  <si>
    <t>Toscana</t>
  </si>
  <si>
    <t>CEREALIT S.R.L.</t>
  </si>
  <si>
    <t>10809540965</t>
  </si>
  <si>
    <t>016300</t>
  </si>
  <si>
    <t>Milano</t>
  </si>
  <si>
    <t>Lombardia</t>
  </si>
  <si>
    <t>Puglia</t>
  </si>
  <si>
    <t>SOCIETA' AGRARIA BURANCO S.R.L.</t>
  </si>
  <si>
    <t>01238240111</t>
  </si>
  <si>
    <t>012000</t>
  </si>
  <si>
    <t>La Spezia</t>
  </si>
  <si>
    <t>Liguria</t>
  </si>
  <si>
    <t>Emilia-Romagna</t>
  </si>
  <si>
    <t>014100</t>
  </si>
  <si>
    <t>Campania</t>
  </si>
  <si>
    <t>SOCIETA' AGRICOLA JOLE S.R.L.</t>
  </si>
  <si>
    <t>04780091213</t>
  </si>
  <si>
    <t>013000</t>
  </si>
  <si>
    <t>Napoli</t>
  </si>
  <si>
    <t>GRANDI VIVAI DI LUPPI CARLO SOCIETA' AGRICOLA A RESPONSABILITA' LIMITATA SEMPLIFICATA</t>
  </si>
  <si>
    <t>02568060038</t>
  </si>
  <si>
    <t>011920</t>
  </si>
  <si>
    <t>Verbano-Cusio-Ossola</t>
  </si>
  <si>
    <t>Piemonte</t>
  </si>
  <si>
    <t>Roma</t>
  </si>
  <si>
    <t>Lazio</t>
  </si>
  <si>
    <t>011000</t>
  </si>
  <si>
    <t>IL GARDEN SOCIETA' COOPERATIVA AGRICOLA</t>
  </si>
  <si>
    <t>02342010549</t>
  </si>
  <si>
    <t>Perugia</t>
  </si>
  <si>
    <t>Umbria</t>
  </si>
  <si>
    <t>CANTINA CERVETERI - SOCIETA' COOPERATIVA AGRICOLA</t>
  </si>
  <si>
    <t>00896771003</t>
  </si>
  <si>
    <t>012100</t>
  </si>
  <si>
    <t>011110</t>
  </si>
  <si>
    <t>KRAEUTERSCHLOESSL SRL - SOCIETA' AGRICOLA</t>
  </si>
  <si>
    <t>03096920214</t>
  </si>
  <si>
    <t>015000</t>
  </si>
  <si>
    <t>Bolzano/Bozen</t>
  </si>
  <si>
    <t>Trentino-Alto Adige</t>
  </si>
  <si>
    <t>LA FORNASE S.R.L. SOCIETA' AGRICOLA</t>
  </si>
  <si>
    <t>01686150937</t>
  </si>
  <si>
    <t>Pordenone</t>
  </si>
  <si>
    <t>Friuli-Venezia Giulia</t>
  </si>
  <si>
    <t>COOPERATIVA ALLEVATORI VALLE D'ITRIA C.A.V.I. SOCIETA' COOPERATI VA A.R.L.</t>
  </si>
  <si>
    <t>00061340741</t>
  </si>
  <si>
    <t>Brindisi</t>
  </si>
  <si>
    <t>SOCIETA' AGRICOLA MONACIANO - SOCIETA' A RESPONSABILITA' LIMITATA (ED ANCHE IN FORMA ABBREVIATA SOCIETA' AGRICOLA MONACIANO S.R.L. IN SIGLA MONACIANO SOC.AGR.A R.L. ).</t>
  </si>
  <si>
    <t>00860551001</t>
  </si>
  <si>
    <t>016000</t>
  </si>
  <si>
    <t>AZIENDA AGRICOLA FLOROVIVAISTICA BRIVIO - S.R.L.</t>
  </si>
  <si>
    <t>02360180133</t>
  </si>
  <si>
    <t>Lecco</t>
  </si>
  <si>
    <t>SOCIETA' AGRICOLA B &amp; B S.R.L.</t>
  </si>
  <si>
    <t>01215220334</t>
  </si>
  <si>
    <t>Piacenza</t>
  </si>
  <si>
    <t>FATTORIA SAN FELO SOCIETA' AGRICOLA A R.L.</t>
  </si>
  <si>
    <t>01258720539</t>
  </si>
  <si>
    <t>Grosseto</t>
  </si>
  <si>
    <t>FILODIVINO SOCIETA' AGRICOLA FORESTALE S.R.L.</t>
  </si>
  <si>
    <t>02578620425</t>
  </si>
  <si>
    <t>Ancona</t>
  </si>
  <si>
    <t>Marche</t>
  </si>
  <si>
    <t>Emilia-Romagna</t>
  </si>
  <si>
    <t>CARMASCIANDO SOCIETA' AGRICOLA S.R.L.</t>
  </si>
  <si>
    <t>02847700644</t>
  </si>
  <si>
    <t>014500</t>
  </si>
  <si>
    <t>Avellino</t>
  </si>
  <si>
    <t>Campania</t>
  </si>
  <si>
    <t>Sicilia</t>
  </si>
  <si>
    <t>016300</t>
  </si>
  <si>
    <t>SOCIETA' AGRICOLA GROTTA CAMPANILE SOCIETA' A RESPONSABILITA' LIMITATA</t>
  </si>
  <si>
    <t>09526521001</t>
  </si>
  <si>
    <t>012600</t>
  </si>
  <si>
    <t>Roma</t>
  </si>
  <si>
    <t>Lazio</t>
  </si>
  <si>
    <t>SOCIETA' AGRICOLA OPERA OMNIA S.R.L.</t>
  </si>
  <si>
    <t>02397100591</t>
  </si>
  <si>
    <t>011310</t>
  </si>
  <si>
    <t>Latina</t>
  </si>
  <si>
    <t>FORESE FIGLI S.R.L. SOCIETA' AGRICOLA</t>
  </si>
  <si>
    <t>01999760679</t>
  </si>
  <si>
    <t>015000</t>
  </si>
  <si>
    <t>Teramo</t>
  </si>
  <si>
    <t>Abruzzo</t>
  </si>
  <si>
    <t>PAESTUM COOPERATIVA - SOCIETA' AGRICOLA</t>
  </si>
  <si>
    <t>00483660650</t>
  </si>
  <si>
    <t>016209</t>
  </si>
  <si>
    <t>Salerno</t>
  </si>
  <si>
    <t>Reggio di Calabria</t>
  </si>
  <si>
    <t>Calabria</t>
  </si>
  <si>
    <t>SOCIETA' AGRICOLA BRIZIARELLI S.R.L.</t>
  </si>
  <si>
    <t>00617370549</t>
  </si>
  <si>
    <t>011000</t>
  </si>
  <si>
    <t>Perugia</t>
  </si>
  <si>
    <t>Umbria</t>
  </si>
  <si>
    <t>AZIENDA AGRICOLA NOTTOLA SRL</t>
  </si>
  <si>
    <t>00723200523</t>
  </si>
  <si>
    <t>012100</t>
  </si>
  <si>
    <t>Siena</t>
  </si>
  <si>
    <t>Toscana</t>
  </si>
  <si>
    <t>SOCIETA' AGRICOLA OLIANAS S.R.L.</t>
  </si>
  <si>
    <t>05288600488</t>
  </si>
  <si>
    <t>Sardegna</t>
  </si>
  <si>
    <t>TERRA ANTICA S.R.L. SOCIETA' AGRICOLA.</t>
  </si>
  <si>
    <t>01243530522</t>
  </si>
  <si>
    <t>Veneto</t>
  </si>
  <si>
    <t>FATTORIA ZERBINA S.R.L. SOCIETA' AGRICOLA</t>
  </si>
  <si>
    <t>02495710390</t>
  </si>
  <si>
    <t>Ravenna</t>
  </si>
  <si>
    <t>AGRITRATTOR SRL</t>
  </si>
  <si>
    <t>01445820887</t>
  </si>
  <si>
    <t>011140</t>
  </si>
  <si>
    <t>Ragusa</t>
  </si>
  <si>
    <t>CANTINA GIAMPIETRO PUGGIONI S.R.L. SOCIETA' AGRICOLA</t>
  </si>
  <si>
    <t>01398140911</t>
  </si>
  <si>
    <t>Nuoro</t>
  </si>
  <si>
    <t>011300</t>
  </si>
  <si>
    <t>SOCIETA' AGRICOLA CERAUDO ROBERTO S.R.L.</t>
  </si>
  <si>
    <t>03054290790</t>
  </si>
  <si>
    <t>Crotone</t>
  </si>
  <si>
    <t>FONDO ANTICO S.R.L. SOCIETA' AGRICOLA O IN FORMA ABBREVIATA F.A.S.A. S.R.L.</t>
  </si>
  <si>
    <t>01879040812</t>
  </si>
  <si>
    <t>Trapani</t>
  </si>
  <si>
    <t>AZIENDA VITIVINICOLA DUEMANI SOCIETA' AGRICOLA A RESPONSABILITA' LIMITATA ENUNCIABILE IN FORMA ABBREVIATA COME: AZIENDA VITIVINICOLA DUEMANI S.A.R.L.</t>
  </si>
  <si>
    <t>01751650464</t>
  </si>
  <si>
    <t>Trieste</t>
  </si>
  <si>
    <t>Friuli-Venezia Giulia</t>
  </si>
  <si>
    <t>N FRUIT - SOCIETA' COOPERATIVA AGRICOLA</t>
  </si>
  <si>
    <t>02892550803</t>
  </si>
  <si>
    <t>BARBAZZA BONSAI S.R.L.</t>
  </si>
  <si>
    <t>03822500264</t>
  </si>
  <si>
    <t>Treviso</t>
  </si>
  <si>
    <t>014700</t>
  </si>
  <si>
    <t>016100</t>
  </si>
  <si>
    <t>Campania</t>
  </si>
  <si>
    <t>COOPERATIVA CERASICOLTORI DELLA VALPOLICELLA SOCIETA COOPERATIVA</t>
  </si>
  <si>
    <t>00348150236</t>
  </si>
  <si>
    <t>012000</t>
  </si>
  <si>
    <t>Verona</t>
  </si>
  <si>
    <t>Veneto</t>
  </si>
  <si>
    <t>TERRE MARGARITELLI S.R.L. SOCIETA' AGRICOLA</t>
  </si>
  <si>
    <t>00643910540</t>
  </si>
  <si>
    <t>012100</t>
  </si>
  <si>
    <t>Perugia</t>
  </si>
  <si>
    <t>Umbria</t>
  </si>
  <si>
    <t>H2O WASSERTECHNIK SOCIETA' A RESPONSABILITA' LIMITATA SEMPLIFICATA</t>
  </si>
  <si>
    <t>02967580214</t>
  </si>
  <si>
    <t>Bolzano/Bozen</t>
  </si>
  <si>
    <t>Trentino-Alto Adige</t>
  </si>
  <si>
    <t>Catania</t>
  </si>
  <si>
    <t>Sicilia</t>
  </si>
  <si>
    <t>POGGIO TORSELLI S.R.L. SOCIETA' AGRICOLA</t>
  </si>
  <si>
    <t>04989060480</t>
  </si>
  <si>
    <t>Firenze</t>
  </si>
  <si>
    <t>Toscana</t>
  </si>
  <si>
    <t>TENUTE SELLA - SOCIETA' AGRICOLA A.R.L.</t>
  </si>
  <si>
    <t>01605260023</t>
  </si>
  <si>
    <t>Biella</t>
  </si>
  <si>
    <t>Piemonte</t>
  </si>
  <si>
    <t>SA.GI. FRUIT SOCIETA' AGRICOLA A RESPONSABILITA' LIMITATA SEMPLIFICATA</t>
  </si>
  <si>
    <t>03245150739</t>
  </si>
  <si>
    <t>012300</t>
  </si>
  <si>
    <t>Taranto</t>
  </si>
  <si>
    <t>Puglia</t>
  </si>
  <si>
    <t>PERTICAIA S.R.L. SOCIETA' AGRICOLA</t>
  </si>
  <si>
    <t>03565150541</t>
  </si>
  <si>
    <t>AZIENZA AGRICOLA VECCHIA MASSERIA S.R.L.</t>
  </si>
  <si>
    <t>05417850871</t>
  </si>
  <si>
    <t>012600</t>
  </si>
  <si>
    <t>CERBAIONA SOCIETA' AGRICOLA S.R.L.</t>
  </si>
  <si>
    <t>01343150528</t>
  </si>
  <si>
    <t>Siena</t>
  </si>
  <si>
    <t>SOCIETA' AGRICOLA BAGAGGERA S.R.L.</t>
  </si>
  <si>
    <t>02157140134</t>
  </si>
  <si>
    <t>014500</t>
  </si>
  <si>
    <t>Lecco</t>
  </si>
  <si>
    <t>Lombardia</t>
  </si>
  <si>
    <t>TENUTA ROCCA SOCIETA' AGRICOLA S.R.L.</t>
  </si>
  <si>
    <t>02848190043</t>
  </si>
  <si>
    <t>Cuneo</t>
  </si>
  <si>
    <t>SOCIETA' AGRICOLA SERENA S.R.L.</t>
  </si>
  <si>
    <t>01514210531</t>
  </si>
  <si>
    <t>011110</t>
  </si>
  <si>
    <t>Grosseto</t>
  </si>
  <si>
    <t>TENUTA TAMBARO S.R.L. SOCIETA' AGRICOLA</t>
  </si>
  <si>
    <t>08534991214</t>
  </si>
  <si>
    <t>012500</t>
  </si>
  <si>
    <t>Napoli</t>
  </si>
  <si>
    <t>OVOMONT - SOCIETA' A RESPONSABILITA' LIMITATA</t>
  </si>
  <si>
    <t>01695870640</t>
  </si>
  <si>
    <t>Avellino</t>
  </si>
  <si>
    <t>GREEN GRASS S.R.L. - SOCIETA' AGRICOLA</t>
  </si>
  <si>
    <t>01655300513</t>
  </si>
  <si>
    <t>013000</t>
  </si>
  <si>
    <t>Arezzo</t>
  </si>
  <si>
    <t>Toscana</t>
  </si>
  <si>
    <t>CANTINA SOCIALE CESANESE DEL PIGLIO SOCIETA' COOPERATIVA AGRICOLA</t>
  </si>
  <si>
    <t>00103020608</t>
  </si>
  <si>
    <t>012100</t>
  </si>
  <si>
    <t>Frosinone</t>
  </si>
  <si>
    <t>Lazio</t>
  </si>
  <si>
    <t>FATTORIA DELLE RIPALTE - SOCIETA' AGRICOLA SRL</t>
  </si>
  <si>
    <t>01545530493</t>
  </si>
  <si>
    <t>Livorno</t>
  </si>
  <si>
    <t>PORCELLANA FRANCESCO E FIGLI S.R.L.</t>
  </si>
  <si>
    <t>00114690050</t>
  </si>
  <si>
    <t>011910</t>
  </si>
  <si>
    <t>Asti</t>
  </si>
  <si>
    <t>Piemonte</t>
  </si>
  <si>
    <t>016100</t>
  </si>
  <si>
    <t>TERRE DI PUGLIA - LIBERA TERRA - SOCIETA' COOPERATIVA SOCIALE IN ACRONIMO TERRE DI PUGLIA - LIBERA TERRA - SOC. COOP. SOCIALE</t>
  </si>
  <si>
    <t>02197060748</t>
  </si>
  <si>
    <t>011110</t>
  </si>
  <si>
    <t>Brindisi</t>
  </si>
  <si>
    <t>Puglia</t>
  </si>
  <si>
    <t>PUNTO GARDEN - SOCIETA' COOPERATIVA AGRICOLA A R.L.</t>
  </si>
  <si>
    <t>02234630685</t>
  </si>
  <si>
    <t>Pescara</t>
  </si>
  <si>
    <t>Abruzzo</t>
  </si>
  <si>
    <t>SOCIETA' AGRICOLA LE DRIADI S.R.L.</t>
  </si>
  <si>
    <t>05627800484</t>
  </si>
  <si>
    <t>011300</t>
  </si>
  <si>
    <t>Firenze</t>
  </si>
  <si>
    <t>ALE.LORE SOCIETA' COOPERATIVA AGRICOLA</t>
  </si>
  <si>
    <t>02501280909</t>
  </si>
  <si>
    <t>Sassari</t>
  </si>
  <si>
    <t>Sardegna</t>
  </si>
  <si>
    <t>Campania</t>
  </si>
  <si>
    <t>ORTO AGRI GARDEN S.R.L.</t>
  </si>
  <si>
    <t>00860050624</t>
  </si>
  <si>
    <t>Benevento</t>
  </si>
  <si>
    <t>SOCIETA' AGRICOLA PIETRACAVALLA S.R.L.</t>
  </si>
  <si>
    <t>02699840985</t>
  </si>
  <si>
    <t>014300</t>
  </si>
  <si>
    <t>Brescia</t>
  </si>
  <si>
    <t>Lombardia</t>
  </si>
  <si>
    <t>Umbria</t>
  </si>
  <si>
    <t>TERRENO S.R.L. SOCIETA' AGRICOLA</t>
  </si>
  <si>
    <t>04031610480</t>
  </si>
  <si>
    <t>GRIGI SOCIETA' AGRICOLA S.R.L.</t>
  </si>
  <si>
    <t>02998490540</t>
  </si>
  <si>
    <t>Perugia</t>
  </si>
  <si>
    <t>AGRIVERDE SRL SOCIETA' AGRICOLA</t>
  </si>
  <si>
    <t>04706030659</t>
  </si>
  <si>
    <t>Salerno</t>
  </si>
  <si>
    <t>AZIENDA AGRICOLA MONTE CICOGNA SOCIETA' AGRICOLA A RESPONSABILITA' LIMITATA</t>
  </si>
  <si>
    <t>01976490985</t>
  </si>
  <si>
    <t>BOSCO ALBANO S.R.L. - SOCIETA' AGRICOLA</t>
  </si>
  <si>
    <t>01854940937</t>
  </si>
  <si>
    <t>012100</t>
  </si>
  <si>
    <t>Pordenone</t>
  </si>
  <si>
    <t>Friuli-Venezia Giulia</t>
  </si>
  <si>
    <t>011310</t>
  </si>
  <si>
    <t>Foggia</t>
  </si>
  <si>
    <t>Puglia</t>
  </si>
  <si>
    <t>016100</t>
  </si>
  <si>
    <t>Lombardia</t>
  </si>
  <si>
    <t>LAPORTA SOCIETA' AGRICOLA S.R.L.</t>
  </si>
  <si>
    <t>04086590728</t>
  </si>
  <si>
    <t>Barletta-Andria-Trani</t>
  </si>
  <si>
    <t>AGRISUN SOCIETA' AGRICOLA S.R.L.</t>
  </si>
  <si>
    <t>02692330604</t>
  </si>
  <si>
    <t>Bergamo</t>
  </si>
  <si>
    <t>SOCIETA' AGRICOLA PODERE VAL D'ORCIA S.R.L.</t>
  </si>
  <si>
    <t>01431600525</t>
  </si>
  <si>
    <t>012600</t>
  </si>
  <si>
    <t>Siena</t>
  </si>
  <si>
    <t>Toscana</t>
  </si>
  <si>
    <t>Ragusa</t>
  </si>
  <si>
    <t>Sicilia</t>
  </si>
  <si>
    <t>SOCIETA' AGRICOLA EFFEZETA A RESPONSABILITA' LIMITATA</t>
  </si>
  <si>
    <t>09455921008</t>
  </si>
  <si>
    <t>011910</t>
  </si>
  <si>
    <t>Roma</t>
  </si>
  <si>
    <t>Lazio</t>
  </si>
  <si>
    <t>AGRILAROSA SOCIETA' AGRICOLA S.R.L.</t>
  </si>
  <si>
    <t>06293080724</t>
  </si>
  <si>
    <t>GRANDA S.R.L.</t>
  </si>
  <si>
    <t>03837850043</t>
  </si>
  <si>
    <t>Cuneo</t>
  </si>
  <si>
    <t>Piemonte</t>
  </si>
  <si>
    <t>AZIENDA AGRICOLA VIGNA DOGARINA S.R.L.</t>
  </si>
  <si>
    <t>01805830260</t>
  </si>
  <si>
    <t>Treviso</t>
  </si>
  <si>
    <t>Veneto</t>
  </si>
  <si>
    <t>VALDIGNE - MONT BLANC SOC.COOP.</t>
  </si>
  <si>
    <t>00135630077</t>
  </si>
  <si>
    <t>014100</t>
  </si>
  <si>
    <t>Valle d'Aosta/Vallée d'Aoste</t>
  </si>
  <si>
    <t>SOCIETA' PESCIATINA D'OLIVICOLTURA SOCIETA' AGRICOLA COOPERATIVA</t>
  </si>
  <si>
    <t>01927020477</t>
  </si>
  <si>
    <t>013000</t>
  </si>
  <si>
    <t>Pistoia</t>
  </si>
  <si>
    <t>TENIMENTI LUIGI D'ALESSANDRO S.R.L.</t>
  </si>
  <si>
    <t>00177140514</t>
  </si>
  <si>
    <t>PIANOGRILLO S.R.L.</t>
  </si>
  <si>
    <t>01185360888</t>
  </si>
  <si>
    <t>011110</t>
  </si>
  <si>
    <t>POSTA FAUGNO S.R.L.S. AGRICOLA</t>
  </si>
  <si>
    <t>04146880713</t>
  </si>
  <si>
    <t>LA SERRA FIORITA SOCIETA' AGRICOLA S.R.L.</t>
  </si>
  <si>
    <t>03091070924</t>
  </si>
  <si>
    <t>Cagliari</t>
  </si>
  <si>
    <t>Sardegna</t>
  </si>
  <si>
    <t>SOCIETA' AGRICOLA CORTE POLFRANCESCHI S.R.L.</t>
  </si>
  <si>
    <t>04039920238</t>
  </si>
  <si>
    <t>Verona</t>
  </si>
  <si>
    <t>Lombardia</t>
  </si>
  <si>
    <t>1701 S.R.L. SOCIETA' AGRICOLA</t>
  </si>
  <si>
    <t>03397090980</t>
  </si>
  <si>
    <t>012100</t>
  </si>
  <si>
    <t>Brescia</t>
  </si>
  <si>
    <t>Emilia-Romagna</t>
  </si>
  <si>
    <t>AZIENDA AGRICOLA TENUTA MUSONE SOCIETA' AGRICOLA A RESPONSABILITA' LIMITATA DA INDICARE ANCHE COME AZIENDA AGRICOLA TENUTA MUSONE SOCIETA' AGRICOLA A R.L.</t>
  </si>
  <si>
    <t>01419770423</t>
  </si>
  <si>
    <t>010000</t>
  </si>
  <si>
    <t>Ancona</t>
  </si>
  <si>
    <t>Marche</t>
  </si>
  <si>
    <t>ANTEO SOCIETA' AGRICOLA - S.R.L.</t>
  </si>
  <si>
    <t>02643980606</t>
  </si>
  <si>
    <t>011300</t>
  </si>
  <si>
    <t>Frosinone</t>
  </si>
  <si>
    <t>Lazio</t>
  </si>
  <si>
    <t>011140</t>
  </si>
  <si>
    <t>AZIENDA AGRICOLA BASSI LUIGI SOCIETA' AGRICOLA SRL</t>
  </si>
  <si>
    <t>03053241208</t>
  </si>
  <si>
    <t>Bologna</t>
  </si>
  <si>
    <t>Sicilia</t>
  </si>
  <si>
    <t>EMILIANA AGRICOLA S.R.L. SOCIETA' AGRICOLA</t>
  </si>
  <si>
    <t>00170210397</t>
  </si>
  <si>
    <t>Ravenna</t>
  </si>
  <si>
    <t>SOCIETA' AGRICOLA VALLE ANTICA S.R.L.</t>
  </si>
  <si>
    <t>00171900558</t>
  </si>
  <si>
    <t>011110</t>
  </si>
  <si>
    <t>Terni</t>
  </si>
  <si>
    <t>Umbria</t>
  </si>
  <si>
    <t>Catania</t>
  </si>
  <si>
    <t>Friuli-Venezia Giulia</t>
  </si>
  <si>
    <t>014000</t>
  </si>
  <si>
    <t>AZIENDA AGRICOLA - VIVAI OLIVO TOFFOLI DI ALDO TOFFOLI E C. - S.R.L. -</t>
  </si>
  <si>
    <t>00423770932</t>
  </si>
  <si>
    <t>Pordenone</t>
  </si>
  <si>
    <t>SICILZOO S.R.L.</t>
  </si>
  <si>
    <t>00483630877</t>
  </si>
  <si>
    <t>AGRICOLA CALAFATA SOCIETA' COOPERATIVA AGRICOLA SOCIALE DI COMUNITA' - IMPRESA SOCIALE</t>
  </si>
  <si>
    <t>02230750461</t>
  </si>
  <si>
    <t>Lucca</t>
  </si>
  <si>
    <t>Toscana</t>
  </si>
  <si>
    <t>HTS SOCIETA' AGRICOLA A RESPONSABILITA' LIMITATA</t>
  </si>
  <si>
    <t>02151300502</t>
  </si>
  <si>
    <t>013000</t>
  </si>
  <si>
    <t>Pisa</t>
  </si>
  <si>
    <t>ORGANIZZAZIONE DI PRODUTTORI OLEIFICIO COOPERATIVO SAN MARTINO - SOCIETA' COOPERATIVA SIGLA O.P. OLEIFICIO COOPERATIVO SAN MARTINO</t>
  </si>
  <si>
    <t>00069060705</t>
  </si>
  <si>
    <t>012600</t>
  </si>
  <si>
    <t>Campobasso</t>
  </si>
  <si>
    <t>Molise</t>
  </si>
  <si>
    <t>AZIENDA AGRICOLA VILLA SIMONE DI COSTANTINI PIERO SOCIETA' A RES PONSABILITA' LIMITATA</t>
  </si>
  <si>
    <t>01388341008</t>
  </si>
  <si>
    <t>Roma</t>
  </si>
  <si>
    <t>016300</t>
  </si>
  <si>
    <t>013000</t>
  </si>
  <si>
    <t>012100</t>
  </si>
  <si>
    <t>Veneto</t>
  </si>
  <si>
    <t>AGRICOLA CAPALBIO SOCIETA' AGRICOLA A RESPONSABILITA' LIMITATA O IN FORMA ABBREVIATA AGRICOLA CAPALBIO SOCIETA' AGRICOLA A R.L.</t>
  </si>
  <si>
    <t>01681050538</t>
  </si>
  <si>
    <t>011320</t>
  </si>
  <si>
    <t>Grosseto</t>
  </si>
  <si>
    <t>Toscana</t>
  </si>
  <si>
    <t>SAN VALENTINO SOCIETA' AGRICOLA S.R.L.</t>
  </si>
  <si>
    <t>04285470409</t>
  </si>
  <si>
    <t>Rimini</t>
  </si>
  <si>
    <t>Emilia-Romagna</t>
  </si>
  <si>
    <t>TREVISAN S.R.L.</t>
  </si>
  <si>
    <t>01187330939</t>
  </si>
  <si>
    <t>016100</t>
  </si>
  <si>
    <t>Pordenone</t>
  </si>
  <si>
    <t>Friuli-Venezia Giulia</t>
  </si>
  <si>
    <t>MONTESTIGLIANO S.R.L. SOCIETA' AGRICOLA</t>
  </si>
  <si>
    <t>00245000526</t>
  </si>
  <si>
    <t>011110</t>
  </si>
  <si>
    <t>Siena</t>
  </si>
  <si>
    <t>LE FONTI A SAN GIORGIO SOCIETA' AGRICOLA S.R.L.</t>
  </si>
  <si>
    <t>05165080481</t>
  </si>
  <si>
    <t>Firenze</t>
  </si>
  <si>
    <t>COOPERATIVA SOCIALE LAGUNA FIORITA ONLUS SOCIETA' COOPERATIVA</t>
  </si>
  <si>
    <t>02660120276</t>
  </si>
  <si>
    <t>011920</t>
  </si>
  <si>
    <t>Venezia</t>
  </si>
  <si>
    <t>AZIENDA AGRICOLA DI MONTEPALDI - S.R.L.</t>
  </si>
  <si>
    <t>00658210489</t>
  </si>
  <si>
    <t>011310</t>
  </si>
  <si>
    <t>ORTOLANDA AGRICOLA SOCIETA' AGRICOLA A RESPONSABILITA' LIMITATA</t>
  </si>
  <si>
    <t>02060870595</t>
  </si>
  <si>
    <t>Latina</t>
  </si>
  <si>
    <t>Lazio</t>
  </si>
  <si>
    <t>LA MADONNINA SOCIETA' AGRICOLA S.R.L.</t>
  </si>
  <si>
    <t>01192590535</t>
  </si>
  <si>
    <t>SOCIETA' AGRICOLA TENUTA DI CASTELLARO S.R.L.</t>
  </si>
  <si>
    <t>03059680839</t>
  </si>
  <si>
    <t>Messina</t>
  </si>
  <si>
    <t>Sicilia</t>
  </si>
  <si>
    <t>SOCIETA' AGRICOLA GREPPO - BIONDI SANTI - SOCIETA' A RESPONSABILI TA' LIMITATA</t>
  </si>
  <si>
    <t>00521610527</t>
  </si>
  <si>
    <t>012000</t>
  </si>
  <si>
    <t>COOPERATIVA KORE SOCIETA' AGRICOLA</t>
  </si>
  <si>
    <t>02543440818</t>
  </si>
  <si>
    <t>Trapani</t>
  </si>
  <si>
    <t>UMBRIA TOP - SOCIETA' COOPERATIVA AGRICOLA</t>
  </si>
  <si>
    <t>03066840541</t>
  </si>
  <si>
    <t>Perugia</t>
  </si>
  <si>
    <t>Umbria</t>
  </si>
  <si>
    <t>S.A.B. SOCIETA' AGRICOLA DI BESNATE S.R.L.</t>
  </si>
  <si>
    <t>01572550125</t>
  </si>
  <si>
    <t>014300</t>
  </si>
  <si>
    <t>Varese</t>
  </si>
  <si>
    <t>Lombardia</t>
  </si>
  <si>
    <t>GIACOMELLI S.R.L. SOCIETA' AGRICOLA</t>
  </si>
  <si>
    <t>03591650134</t>
  </si>
  <si>
    <t>Como</t>
  </si>
  <si>
    <t>Forlì-Cesena</t>
  </si>
  <si>
    <t>Emilia-Romagna</t>
  </si>
  <si>
    <t>MASSERIA CUTURI SOCIETA' AGRICOLA A RESPONSABILITA' LIMITATA</t>
  </si>
  <si>
    <t>04243390285</t>
  </si>
  <si>
    <t>012600</t>
  </si>
  <si>
    <t>Padova</t>
  </si>
  <si>
    <t>Veneto</t>
  </si>
  <si>
    <t>011320</t>
  </si>
  <si>
    <t>Campania</t>
  </si>
  <si>
    <t>Abruzzo</t>
  </si>
  <si>
    <t>COOPERATIVA CERNITRICI MIMOSA - SOCIETA' COOPERATIVA</t>
  </si>
  <si>
    <t>01978470282</t>
  </si>
  <si>
    <t>016100</t>
  </si>
  <si>
    <t>Cremona</t>
  </si>
  <si>
    <t>Lombardia</t>
  </si>
  <si>
    <t>Grosseto</t>
  </si>
  <si>
    <t>Toscana</t>
  </si>
  <si>
    <t>Roma</t>
  </si>
  <si>
    <t>Lazio</t>
  </si>
  <si>
    <t>UCCELLINA LANDSCAPE SOCIETA' AGRICOLA A R.L.</t>
  </si>
  <si>
    <t>01537200535</t>
  </si>
  <si>
    <t>013000</t>
  </si>
  <si>
    <t>TOKITA SOCIETA' AGRICOLA SRL</t>
  </si>
  <si>
    <t>03908890407</t>
  </si>
  <si>
    <t>GB GENETICS COFA SRL</t>
  </si>
  <si>
    <t>01717650194</t>
  </si>
  <si>
    <t>014200</t>
  </si>
  <si>
    <t>GREEN ITALY SOCIETA' AGRICOLA S.R.L.</t>
  </si>
  <si>
    <t>06729001211</t>
  </si>
  <si>
    <t>011900</t>
  </si>
  <si>
    <t>Napoli</t>
  </si>
  <si>
    <t>012100</t>
  </si>
  <si>
    <t>SOCIETA' AGRICOLA BENEDETTI &amp; GRIGI SOCIETA' A RESPONSABILITA' LIMITATA - PER BREVITA' INDICATA CON LA SIGLA SOCIETA' AGRICOLA BENEDETTI &amp; GRIGI S.R.L. E CON LE SIGLE COMMERCIALI B&amp;G S.R.L. E S.A.B.EG. S.R.L.</t>
  </si>
  <si>
    <t>03405620547</t>
  </si>
  <si>
    <t>Perugia</t>
  </si>
  <si>
    <t>Umbria</t>
  </si>
  <si>
    <t>TERRE ETRUSCHE SOCIETA' COOPERATIVA AGRICOLA</t>
  </si>
  <si>
    <t>02370880565</t>
  </si>
  <si>
    <t>Viterbo</t>
  </si>
  <si>
    <t>AGRICOLA ANDREASSI SOCIETA' COOPERATIVA A RESPONSABILITA' LIMITAT A IN SIGLA ANDREASSI VINI - SOC. COOP. ARL O ANDREASSI VINI SCARL</t>
  </si>
  <si>
    <t>05147981004</t>
  </si>
  <si>
    <t>SOCIETA' AGRICOLA FABULAS - S.R.L</t>
  </si>
  <si>
    <t>02559630690</t>
  </si>
  <si>
    <t>Chieti</t>
  </si>
  <si>
    <t>MASSERIA CARDILLO SOCIETA' AGRICOLA A RESPONSABILITA' LIMITATA</t>
  </si>
  <si>
    <t>01204190779</t>
  </si>
  <si>
    <t>012000</t>
  </si>
  <si>
    <t>Matera</t>
  </si>
  <si>
    <t>Basilicata</t>
  </si>
  <si>
    <t>Latina</t>
  </si>
  <si>
    <t>Lazio</t>
  </si>
  <si>
    <t>AL-CANT+RA SOCIETA' AGRICOLA S.R.L.</t>
  </si>
  <si>
    <t>04514980871</t>
  </si>
  <si>
    <t>Catania</t>
  </si>
  <si>
    <t>Sicilia</t>
  </si>
  <si>
    <t>TENUTA LE FRACCE SOCIETA' AGRICOLA A RESPONSABILITA' LIMITATA O IN FORMA ABBREVIATA TENUTA LE FRACCE , LE FRACCE , AZIENDA AGRICOLA LE FRACCE , TENUTA VILLA RAJNA</t>
  </si>
  <si>
    <t>02591730185</t>
  </si>
  <si>
    <t>012100</t>
  </si>
  <si>
    <t>Pavia</t>
  </si>
  <si>
    <t>Lombardia</t>
  </si>
  <si>
    <t>SOCIETA' AGRICOLA TENUTA MONTETI SOCIETA' A RESPONSABILITA' LIMITATA, IN FORMA ABBREVIATA TENUTA MONTETI - S.R.L.</t>
  </si>
  <si>
    <t>06465761002</t>
  </si>
  <si>
    <t>Roma</t>
  </si>
  <si>
    <t>VERDE AMBIENTE SOCIETA' COOPERATIVA AGRICOLA</t>
  </si>
  <si>
    <t>02515400220</t>
  </si>
  <si>
    <t>013000</t>
  </si>
  <si>
    <t>Trento</t>
  </si>
  <si>
    <t>Trentino-Alto Adige</t>
  </si>
  <si>
    <t>Campania</t>
  </si>
  <si>
    <t>011140</t>
  </si>
  <si>
    <t>Treviso</t>
  </si>
  <si>
    <t>Veneto</t>
  </si>
  <si>
    <t>VITALI SCAVI S.R.L.</t>
  </si>
  <si>
    <t>01262490293</t>
  </si>
  <si>
    <t>016100</t>
  </si>
  <si>
    <t>Rovigo</t>
  </si>
  <si>
    <t>SOCIETA' AGRICOLA IL SAPORE DELLA LUNA SRL</t>
  </si>
  <si>
    <t>02455230447</t>
  </si>
  <si>
    <t>Ascoli Piceno</t>
  </si>
  <si>
    <t>Marche</t>
  </si>
  <si>
    <t>SOCIETA' AGRICOLA CORTINA E MANDORLI S.R.L.</t>
  </si>
  <si>
    <t>00626600480</t>
  </si>
  <si>
    <t>Firenze</t>
  </si>
  <si>
    <t>Toscana</t>
  </si>
  <si>
    <t>ARILLO IN TERRABIANCA SOCIETA' AGRICOLA S.R.L.</t>
  </si>
  <si>
    <t>06931480484</t>
  </si>
  <si>
    <t>Siena</t>
  </si>
  <si>
    <t>SOCIETA' AGRICOLA PORTO S.R.L.</t>
  </si>
  <si>
    <t>03931880268</t>
  </si>
  <si>
    <t>AGRINERGIA SRL SOCIETA' AGRICOLA</t>
  </si>
  <si>
    <t>11738880969</t>
  </si>
  <si>
    <t>015000</t>
  </si>
  <si>
    <t>Milano</t>
  </si>
  <si>
    <t>M. &amp; C. GARDEN S.R.L.S.</t>
  </si>
  <si>
    <t>01744650886</t>
  </si>
  <si>
    <t>Ragusa</t>
  </si>
  <si>
    <t>LO SPEZIALE S.R.L.-SOCIETA' AGRICOLA</t>
  </si>
  <si>
    <t>01655000881</t>
  </si>
  <si>
    <t>011910</t>
  </si>
  <si>
    <t>F.A.T. DI SERAFICA ANDREA MARIA S.R.L. - SOCIETA' AGRICOLA</t>
  </si>
  <si>
    <t>02442520876</t>
  </si>
  <si>
    <t>012600</t>
  </si>
  <si>
    <t>ANTICHI SAPORI - SOCIETA' COOPERATIVA AGRICOLA</t>
  </si>
  <si>
    <t>03153260710</t>
  </si>
  <si>
    <t>011300</t>
  </si>
  <si>
    <t>Foggia</t>
  </si>
  <si>
    <t>Puglia</t>
  </si>
  <si>
    <t>AGRI IUVENIA - SOCIETA' COOPERATIVA AGRICOLA</t>
  </si>
  <si>
    <t>01284660592</t>
  </si>
  <si>
    <t>011110</t>
  </si>
  <si>
    <t>SOCIETA' AGRICOLA CORTE DELL'ABBADESSA S.R.L.</t>
  </si>
  <si>
    <t>01658601206</t>
  </si>
  <si>
    <t>Bologna</t>
  </si>
  <si>
    <t>Emilia-Romagna</t>
  </si>
  <si>
    <t>BELMONTE SOCIETA' AGRICOLA A RESPONSABILITA' LIMITATA</t>
  </si>
  <si>
    <t>04918310485</t>
  </si>
  <si>
    <t>LA PAMPA SOCIETA' AGRICOLA S.R.L.</t>
  </si>
  <si>
    <t>04573501212</t>
  </si>
  <si>
    <t>010000</t>
  </si>
  <si>
    <t>Napoli</t>
  </si>
  <si>
    <t>VIVAI PIROVANO SOCIETA' AGRICOLA A RESPONSABILITA' LIMITATA</t>
  </si>
  <si>
    <t>03488590138</t>
  </si>
  <si>
    <t>Como</t>
  </si>
  <si>
    <t>BOCCAFOSCA SOCIETA' COOPERATIVA AGRICOLA</t>
  </si>
  <si>
    <t>02285430423</t>
  </si>
  <si>
    <t>016100</t>
  </si>
  <si>
    <t>Ancona</t>
  </si>
  <si>
    <t>Marche</t>
  </si>
  <si>
    <t>COOPERATIVA AGRICOLA GARIBALDINA SOC. COOP. A R.L.</t>
  </si>
  <si>
    <t>00229430566</t>
  </si>
  <si>
    <t>016000</t>
  </si>
  <si>
    <t>Viterbo</t>
  </si>
  <si>
    <t>Lazio</t>
  </si>
  <si>
    <t>011110</t>
  </si>
  <si>
    <t>Roma</t>
  </si>
  <si>
    <t>CASALI DI BIBBIANO S.R.L. SOCIETA' AGRICOLA</t>
  </si>
  <si>
    <t>00803270529</t>
  </si>
  <si>
    <t>012100</t>
  </si>
  <si>
    <t>Siena</t>
  </si>
  <si>
    <t>Toscana</t>
  </si>
  <si>
    <t>SOCIETA' SERVIZI SOSTITUZIONE ZOOTECNIA LOMBARDA SOZOO - SOCIETA' COOPERATIVA</t>
  </si>
  <si>
    <t>10637000158</t>
  </si>
  <si>
    <t>016209</t>
  </si>
  <si>
    <t>Milano</t>
  </si>
  <si>
    <t>Lombardia</t>
  </si>
  <si>
    <t>AGRIENERGY SOCIETA' AGRICOLA - S.R.L.</t>
  </si>
  <si>
    <t>03466590407</t>
  </si>
  <si>
    <t>Forlì-Cesena</t>
  </si>
  <si>
    <t>Emilia-Romagna</t>
  </si>
  <si>
    <t>SOCIETA' AGRICOLA FATTORIA PARADISO SRL</t>
  </si>
  <si>
    <t>03232180541</t>
  </si>
  <si>
    <t>012500</t>
  </si>
  <si>
    <t>Perugia</t>
  </si>
  <si>
    <t>Umbria</t>
  </si>
  <si>
    <t>CANTINA BACCO S.C.R.L. (SOCIETA' COOPERATIVA A RESPONSABILITA' LI MITATA)</t>
  </si>
  <si>
    <t>01052921002</t>
  </si>
  <si>
    <t>SOCIETA' AGRICOLA IL CASEIFICIO DI UNA VOLTA SRL</t>
  </si>
  <si>
    <t>03605480981</t>
  </si>
  <si>
    <t>014100</t>
  </si>
  <si>
    <t>Brescia</t>
  </si>
  <si>
    <t>Veneto</t>
  </si>
  <si>
    <t>SOCIETA' AGRICOLA RIVALTA ENERGIA S.R.L.</t>
  </si>
  <si>
    <t>02167840202</t>
  </si>
  <si>
    <t>Mantova</t>
  </si>
  <si>
    <t>SOCIETA' AGRICOLA TENUTA TRAVAGLINO SRL</t>
  </si>
  <si>
    <t>04638250961</t>
  </si>
  <si>
    <t>Pavia</t>
  </si>
  <si>
    <t>G&amp;G HUNTING SERVICES SRL</t>
  </si>
  <si>
    <t>04908000963</t>
  </si>
  <si>
    <t>017000</t>
  </si>
  <si>
    <t>AGRICOLA F.LLI ZUCCALA' SRL</t>
  </si>
  <si>
    <t>03135680803</t>
  </si>
  <si>
    <t>012300</t>
  </si>
  <si>
    <t>Reggio di Calabria</t>
  </si>
  <si>
    <t>Calabria</t>
  </si>
  <si>
    <t>LA MERIDIANA SOCIETA' AGRICOLA A RESPONSABILITA' LIMITATA</t>
  </si>
  <si>
    <t>14076131003</t>
  </si>
  <si>
    <t>SOCIETA' AGRICOLA L'ANTICA QUERCIA S.R.L.</t>
  </si>
  <si>
    <t>02488330263</t>
  </si>
  <si>
    <t>Treviso</t>
  </si>
  <si>
    <t>RADICI DI VITA S.R.L.</t>
  </si>
  <si>
    <t>15542081003</t>
  </si>
  <si>
    <t>TENUTA DEL BUON TEMPO SOCIETA' AGRICOLA S.R.L.</t>
  </si>
  <si>
    <t>00867380529</t>
  </si>
  <si>
    <t>AZIENDA AGRICOLA OCCHIO S.R.L. - SOCIETA' AGRICOLA</t>
  </si>
  <si>
    <t>01143820015</t>
  </si>
  <si>
    <t>Torino</t>
  </si>
  <si>
    <t>Piemonte</t>
  </si>
  <si>
    <t>CROATTO PIERO S.R.L.</t>
  </si>
  <si>
    <t>02422440301</t>
  </si>
  <si>
    <t>Udine</t>
  </si>
  <si>
    <t>Friuli-Venezia Giulia</t>
  </si>
  <si>
    <t>Piemonte</t>
  </si>
  <si>
    <t>016300</t>
  </si>
  <si>
    <t>011310</t>
  </si>
  <si>
    <t>Salerno</t>
  </si>
  <si>
    <t>Campania</t>
  </si>
  <si>
    <t>GIARDINI MORETTI S.R.L.</t>
  </si>
  <si>
    <t>02713950349</t>
  </si>
  <si>
    <t>016100</t>
  </si>
  <si>
    <t>Brescia</t>
  </si>
  <si>
    <t>Lombardia</t>
  </si>
  <si>
    <t>Parma</t>
  </si>
  <si>
    <t>Emilia-Romagna</t>
  </si>
  <si>
    <t>012100</t>
  </si>
  <si>
    <t>SOCIETA' AGRICOLA EUROFRUTTICOLA SUD S.R.L.</t>
  </si>
  <si>
    <t>05606580651</t>
  </si>
  <si>
    <t>MOSSI AZIENDE AGRICOLE VITIVINICOLE SRL SOCIETA' AGRICOLA</t>
  </si>
  <si>
    <t>01359440334</t>
  </si>
  <si>
    <t>Piacenza</t>
  </si>
  <si>
    <t>SOCIETA' AGRICOLA FATTORIA LISCHETO S.R.L.</t>
  </si>
  <si>
    <t>02179490509</t>
  </si>
  <si>
    <t>014500</t>
  </si>
  <si>
    <t>Pisa</t>
  </si>
  <si>
    <t>Toscana</t>
  </si>
  <si>
    <t>Veneto</t>
  </si>
  <si>
    <t>TREE PLUS SOCIETA' AGRICOLA A RESPONSABILITA' LIMITATA O IN FORMA ABBREVIATA: TREE PLUS S.A.R.L. , T. PLUS S.A.R.L. OPPURE TP S.A.R.L. E CHE POTRA' ESSERE UTILIZZATA ANCHE MEDIANTE L'AGGIUNTA O L'ANTEP OSIZIONE ALLA RAGIONE SOCIALE DEI SEGUENTI NOMI:</t>
  </si>
  <si>
    <t>11192421003</t>
  </si>
  <si>
    <t>FRESCHE TERRE DI SCRIVIA SOCIETA' COOPERATIVA AGRICOLA</t>
  </si>
  <si>
    <t>02314450061</t>
  </si>
  <si>
    <t>Alessandria</t>
  </si>
  <si>
    <t>REVERDE REGINI GARDEN S.R.L. SOCIETA' AGRICOLA</t>
  </si>
  <si>
    <t>02467000416</t>
  </si>
  <si>
    <t>011910</t>
  </si>
  <si>
    <t>Pesaro Urbino</t>
  </si>
  <si>
    <t>Marche</t>
  </si>
  <si>
    <t>ALLEVAMENTO IL GRIFONE S.R.L. - SOCIETA' AGRICOLA</t>
  </si>
  <si>
    <t>07407340012</t>
  </si>
  <si>
    <t>014300</t>
  </si>
  <si>
    <t>Torino</t>
  </si>
  <si>
    <t>AZIENDA AGRARIA GUIDO FIDORA SOCIETA' AGRICOLA S.R.L.</t>
  </si>
  <si>
    <t>04239860275</t>
  </si>
  <si>
    <t>Venezia</t>
  </si>
  <si>
    <t>MONTEROSSO SOCIETA' AGRICOLA FORESTALE A R.L IN FORMA ABBREVIATA MONTEROSSO S.R.L.</t>
  </si>
  <si>
    <t>01411670423</t>
  </si>
  <si>
    <t>011140</t>
  </si>
  <si>
    <t>Ancona</t>
  </si>
  <si>
    <t>011310</t>
  </si>
  <si>
    <t>011320</t>
  </si>
  <si>
    <t>CASTELLO DI TORNANO S.R.L SOCIETA' AGRICOLA O, IN FORMA ABBREVIAT A TORNANO S.R.L. SOCIETA' AGRICOLA</t>
  </si>
  <si>
    <t>00808010524</t>
  </si>
  <si>
    <t>012100</t>
  </si>
  <si>
    <t>Siena</t>
  </si>
  <si>
    <t>Toscana</t>
  </si>
  <si>
    <t>MASSERIA NEL SOLE - SOCIETA'AGRICOLA A R.L.</t>
  </si>
  <si>
    <t>03610500716</t>
  </si>
  <si>
    <t>Foggia</t>
  </si>
  <si>
    <t>Puglia</t>
  </si>
  <si>
    <t>FOOD SERVICE SOCIETA' COOPERATIVA AGRICOLA</t>
  </si>
  <si>
    <t>00039760285</t>
  </si>
  <si>
    <t>016100</t>
  </si>
  <si>
    <t>Padova</t>
  </si>
  <si>
    <t>Veneto</t>
  </si>
  <si>
    <t>Campobasso</t>
  </si>
  <si>
    <t>Molise</t>
  </si>
  <si>
    <t>SOCIETA' AGRICOLA GAGGIOLI S.R.L.</t>
  </si>
  <si>
    <t>09461960966</t>
  </si>
  <si>
    <t>011200</t>
  </si>
  <si>
    <t>Milano</t>
  </si>
  <si>
    <t>Lombardia</t>
  </si>
  <si>
    <t>Sicilia</t>
  </si>
  <si>
    <t>TENUTA DECIMO - SOCIETA' AGRICOLA - S.R.L.</t>
  </si>
  <si>
    <t>00827320524</t>
  </si>
  <si>
    <t>012600</t>
  </si>
  <si>
    <t>AZIENDA AGRICOLA ARMANDO IACCHELLI S.R.L. AGRICOLA</t>
  </si>
  <si>
    <t>16064301001</t>
  </si>
  <si>
    <t>Roma</t>
  </si>
  <si>
    <t>Lazio</t>
  </si>
  <si>
    <t>LE TENUTE SOCIETA' COOPERATIVA AGRICOLA</t>
  </si>
  <si>
    <t>00508271202</t>
  </si>
  <si>
    <t>011140</t>
  </si>
  <si>
    <t>Bologna</t>
  </si>
  <si>
    <t>Emilia-Romagna</t>
  </si>
  <si>
    <t>CANTINE BIONDELLI SOCIETA' AGRICOLA S.R.L.</t>
  </si>
  <si>
    <t>03229590983</t>
  </si>
  <si>
    <t>Brescia</t>
  </si>
  <si>
    <t>MARINA COLONNA SOCIETA' AGRICOLA S.R.L.</t>
  </si>
  <si>
    <t>00845990704</t>
  </si>
  <si>
    <t>011110</t>
  </si>
  <si>
    <t>FATTORIA DELLA AIOLA SOCIETA' AGRICOLA A RESPONSABILITA' LIMITATA O IN SIGLA FATTORIA DELL'AIOLA SOCIETA' AGRICOLA A R.L.</t>
  </si>
  <si>
    <t>00066860529</t>
  </si>
  <si>
    <t>SAPORI BIO SOCIETA' AGRICOLA S.R.L.</t>
  </si>
  <si>
    <t>01314010883</t>
  </si>
  <si>
    <t>Ragusa</t>
  </si>
  <si>
    <t>DARIO COOS S.R.L. - SOCIETA' AGRICOLA</t>
  </si>
  <si>
    <t>02193680309</t>
  </si>
  <si>
    <t>Udine</t>
  </si>
  <si>
    <t>Friuli-Venezia Giulia</t>
  </si>
  <si>
    <t>FATTORIA DI CALAPPIANO SOCIETA' AGRICOLA A R.L.</t>
  </si>
  <si>
    <t>01316010477</t>
  </si>
  <si>
    <t>Pistoia</t>
  </si>
  <si>
    <t>AZIENDA AGRICOLA NUOVA SANT'ANNA - SOCIETA' AGRICOLA A RESPONSABI ITA' LIMITATA</t>
  </si>
  <si>
    <t>06980621004</t>
  </si>
  <si>
    <t>016300</t>
  </si>
  <si>
    <t>FATTORIA CARPINETA FONTALPINO SOCIETA' AGRICOLA DI FILIPPO E GIOIA CRESTI - S.R.L.</t>
  </si>
  <si>
    <t>00386130520</t>
  </si>
  <si>
    <t>FATTORIA CAMPOPERI SOCIETA' AGRICOLA S.R.L.</t>
  </si>
  <si>
    <t>00932190523</t>
  </si>
  <si>
    <t>LA GOCCIA D'ORO SOCIETA COOPERATIVA AGRICOLA (IN SIGLA LA GOCCIA D'ORO S.C.A.)</t>
  </si>
  <si>
    <t>00145420840</t>
  </si>
  <si>
    <t>Agrigento</t>
  </si>
  <si>
    <t>SOCIETA' AGRICOLA AGRIMANIA S.R.L.</t>
  </si>
  <si>
    <t>06973690966</t>
  </si>
  <si>
    <t>Parma</t>
  </si>
  <si>
    <t>Emilia-Romagna</t>
  </si>
  <si>
    <t>Sicilia</t>
  </si>
  <si>
    <t>MASSERIA SANTO SCALONE SOCIETA' AGRICOLA A RESPONSABILITA' LIMITATA</t>
  </si>
  <si>
    <t>02681620742</t>
  </si>
  <si>
    <t>012600</t>
  </si>
  <si>
    <t>Brindisi</t>
  </si>
  <si>
    <t>Puglia</t>
  </si>
  <si>
    <t>Salerno</t>
  </si>
  <si>
    <t>Campania</t>
  </si>
  <si>
    <t>ROSSI S.R.L. SOCIETA' AGRICOLA</t>
  </si>
  <si>
    <t>02503940591</t>
  </si>
  <si>
    <t>014200</t>
  </si>
  <si>
    <t>Latina</t>
  </si>
  <si>
    <t>Lazio</t>
  </si>
  <si>
    <t>VITRO SELE S.R.L. SOCIETA' AGRICOLA</t>
  </si>
  <si>
    <t>04893870651</t>
  </si>
  <si>
    <t>011310</t>
  </si>
  <si>
    <t>L'OVILE SOCIETA' AGRICOLA S.R.L.</t>
  </si>
  <si>
    <t>02884660594</t>
  </si>
  <si>
    <t>GHINI S.R.L. SOCIETA' AGRICOLA</t>
  </si>
  <si>
    <t>02244700346</t>
  </si>
  <si>
    <t>015000</t>
  </si>
  <si>
    <t>TRE FONTANE PALAGONIA SOC.COOP. A R.L.</t>
  </si>
  <si>
    <t>03115020871</t>
  </si>
  <si>
    <t>016000</t>
  </si>
  <si>
    <t>Catania</t>
  </si>
  <si>
    <t>TENUTE DI FRATERNITA S.R.L. SOCIETA' AGRICOLA UNIPERSONALE</t>
  </si>
  <si>
    <t>01974120519</t>
  </si>
  <si>
    <t>011110</t>
  </si>
  <si>
    <t>Arezzo</t>
  </si>
  <si>
    <t>Toscana</t>
  </si>
  <si>
    <t>012100</t>
  </si>
  <si>
    <t>SOCIETA' AGRICOLA SAN BIAGIOLO S.R.L.</t>
  </si>
  <si>
    <t>02770060420</t>
  </si>
  <si>
    <t>Ancona</t>
  </si>
  <si>
    <t>Marche</t>
  </si>
  <si>
    <t>SOCIETA' AGRICOLA MARABINO S.R.L.</t>
  </si>
  <si>
    <t>01524930896</t>
  </si>
  <si>
    <t>Siracusa</t>
  </si>
  <si>
    <t>CASTELLO DI MODANELLA S.R.L. AZIENDA AGRICOLA</t>
  </si>
  <si>
    <t>00717550529</t>
  </si>
  <si>
    <t>Siena</t>
  </si>
  <si>
    <t>PILEUM SOCIETA' AGRICOLA - S.R.L.</t>
  </si>
  <si>
    <t>02246660605</t>
  </si>
  <si>
    <t>Frosinone</t>
  </si>
  <si>
    <t>SOCIETA' AGRICOLA FLORAMICI S.R.L.</t>
  </si>
  <si>
    <t>04468570876</t>
  </si>
  <si>
    <t>010000</t>
  </si>
  <si>
    <t>MONTI SOCIETA' AGRICOLA A RESPONSABILITA' LIMITATA</t>
  </si>
  <si>
    <t>02500910043</t>
  </si>
  <si>
    <t>Cuneo</t>
  </si>
  <si>
    <t>Piemonte</t>
  </si>
  <si>
    <t>TENUTA LA BORRIANA S.R.L. - SOCIETA' AGRICOLA</t>
  </si>
  <si>
    <t>01571990975</t>
  </si>
  <si>
    <t>Prato</t>
  </si>
  <si>
    <t>VILLA MODESTINA AGRICOLA SOCIETA' A RESPONSABILITA' LIMITATA</t>
  </si>
  <si>
    <t>05558860655</t>
  </si>
  <si>
    <t>011910</t>
  </si>
  <si>
    <t>Salerno</t>
  </si>
  <si>
    <t>Campania</t>
  </si>
  <si>
    <t>LAMPATO S.R.L. SOCIETA' AGRICOLA OVVERO TENUTE LAMPATO CANTINE LAMPATO , OVVERO FATTORIE LAMPATO , OVVERO LAMONACA &amp; PATRICELLI LAMPATO SRL ,OVVERO LAMPATO AGRICOLA , OVVERO TENUTE AGRICOLE LAMPATO OVVERO LAMPATO WINERY OVVERO SOCIETA' AGRIC</t>
  </si>
  <si>
    <t>01846870689</t>
  </si>
  <si>
    <t>012100</t>
  </si>
  <si>
    <t>Pescara</t>
  </si>
  <si>
    <t>Abruzzo</t>
  </si>
  <si>
    <t>016300</t>
  </si>
  <si>
    <t>Sicilia</t>
  </si>
  <si>
    <t>ABRUZZO OLEUM - SOCIETA' COOPERATIVA AGRICOLA</t>
  </si>
  <si>
    <t>02502450691</t>
  </si>
  <si>
    <t>016100</t>
  </si>
  <si>
    <t>SUPERNATURAL S.R.L.</t>
  </si>
  <si>
    <t>05563350726</t>
  </si>
  <si>
    <t>Bari</t>
  </si>
  <si>
    <t>Puglia</t>
  </si>
  <si>
    <t>SOCIETA' AGRICOLA MONTE MOLA S.R.L.</t>
  </si>
  <si>
    <t>05706760823</t>
  </si>
  <si>
    <t>011300</t>
  </si>
  <si>
    <t>Palermo</t>
  </si>
  <si>
    <t>VITICOLTORI DE CONCILIIS S.R.L. SOCIETA' AGRICOLA</t>
  </si>
  <si>
    <t>03188050656</t>
  </si>
  <si>
    <t>SOCIETA' AGRICOLA LA BAGARINA S.R.L.</t>
  </si>
  <si>
    <t>02449670393</t>
  </si>
  <si>
    <t>012500</t>
  </si>
  <si>
    <t>Ravenna</t>
  </si>
  <si>
    <t>Emilia-Romagna</t>
  </si>
  <si>
    <t>GRISETA S.R.L. SOCIETA' AGRICOLA</t>
  </si>
  <si>
    <t>04069370726</t>
  </si>
  <si>
    <t>014100</t>
  </si>
  <si>
    <t>015000</t>
  </si>
  <si>
    <t>011140</t>
  </si>
  <si>
    <t>Calabria</t>
  </si>
  <si>
    <t>Cosenza</t>
  </si>
  <si>
    <t>Roma</t>
  </si>
  <si>
    <t>Lazio</t>
  </si>
  <si>
    <t>CASE ROSSE SOCIETA' COOPERATIVA AGRICOLA A RESPONSABILITA' LIMITATA IN SIGLA CASE ROSSE - SOC. COOP. AGR. A R.L.</t>
  </si>
  <si>
    <t>00504050444</t>
  </si>
  <si>
    <t>011110</t>
  </si>
  <si>
    <t>Ascoli Piceno</t>
  </si>
  <si>
    <t>Marche</t>
  </si>
  <si>
    <t>AGRIFAAM SOCIETA' COOPERATIVA AGRICOLA</t>
  </si>
  <si>
    <t>03527560787</t>
  </si>
  <si>
    <t>SOCIETA' AGRICOLA TENUTA CESARINA - S.R.L.</t>
  </si>
  <si>
    <t>03946201005</t>
  </si>
  <si>
    <t>FATTORIA ARIANUOVA SOCIETA' AGRICOLA A R.L.</t>
  </si>
  <si>
    <t>04093790618</t>
  </si>
  <si>
    <t>Caserta</t>
  </si>
  <si>
    <t>AGRISEMENTI S.R.L.</t>
  </si>
  <si>
    <t>01596410892</t>
  </si>
  <si>
    <t>011000</t>
  </si>
  <si>
    <t>Siracusa</t>
  </si>
  <si>
    <t>PLACIDO RIZZOTTO LIBERA TERRA - SOCIETA' COOPERATIVA SOCIALE</t>
  </si>
  <si>
    <t>05040580820</t>
  </si>
  <si>
    <t>SOCIETA' AGRICOLA OLEARIA ARCURI A RESPONSABILITA' LIMITATA</t>
  </si>
  <si>
    <t>03190260798</t>
  </si>
  <si>
    <t>012600</t>
  </si>
  <si>
    <t>Catanzaro</t>
  </si>
  <si>
    <t>Calabria</t>
  </si>
  <si>
    <t>012100</t>
  </si>
  <si>
    <t>Toscana</t>
  </si>
  <si>
    <t>Piemonte</t>
  </si>
  <si>
    <t>CANTINA E OLEIFICIO SOCIALE TRA PRODUTTORI AGRICOLI DI PULSANO SO CIETA' COOPERATIVA AGRICOLA</t>
  </si>
  <si>
    <t>00097660732</t>
  </si>
  <si>
    <t>Taranto</t>
  </si>
  <si>
    <t>Puglia</t>
  </si>
  <si>
    <t>016100</t>
  </si>
  <si>
    <t>Siena</t>
  </si>
  <si>
    <t>PELAGATTI - SOCIETA' A RESPONSABILITA' LIMITATA</t>
  </si>
  <si>
    <t>02395750348</t>
  </si>
  <si>
    <t>Parma</t>
  </si>
  <si>
    <t>Emilia-Romagna</t>
  </si>
  <si>
    <t>CORILU - SOCIETA' COOPERATIVA AGRICOLA</t>
  </si>
  <si>
    <t>02091370060</t>
  </si>
  <si>
    <t>Alessandria</t>
  </si>
  <si>
    <t>LISPIDA S.R.L.</t>
  </si>
  <si>
    <t>03268710286</t>
  </si>
  <si>
    <t>011000</t>
  </si>
  <si>
    <t>Padova</t>
  </si>
  <si>
    <t>Veneto</t>
  </si>
  <si>
    <t>013000</t>
  </si>
  <si>
    <t>Vicenza</t>
  </si>
  <si>
    <t>Napoli</t>
  </si>
  <si>
    <t>Campania</t>
  </si>
  <si>
    <t>ORTO.VI SOCIETA' COOPERATIVA</t>
  </si>
  <si>
    <t>00928120245</t>
  </si>
  <si>
    <t>011310</t>
  </si>
  <si>
    <t>AMADA TERRA SRL</t>
  </si>
  <si>
    <t>01591440530</t>
  </si>
  <si>
    <t>Grosseto</t>
  </si>
  <si>
    <t>AZIENDA AGRICOLA ORNETA SOCIETA' S.R.L. CON LE SIGLE TENUTE D'ALTURA S.R.L. M.G.V. S.R.L. , P &amp; P S.R.L. , ELEN S.R.L. I NORMANNI S.R.L. , GENNY S.R.L.</t>
  </si>
  <si>
    <t>02778030649</t>
  </si>
  <si>
    <t>012000</t>
  </si>
  <si>
    <t>Avellino</t>
  </si>
  <si>
    <t>TOBLAR S.R.L.</t>
  </si>
  <si>
    <t>02150340301</t>
  </si>
  <si>
    <t>Udine</t>
  </si>
  <si>
    <t>Friuli-Venezia Giulia</t>
  </si>
  <si>
    <t>PODERNUOVO S.R.L. SOCIETA' AGRICOLA</t>
  </si>
  <si>
    <t>08663931007</t>
  </si>
  <si>
    <t>MIGNANO ANTONIO S.R.L. SOCIETA' AGRICOLA</t>
  </si>
  <si>
    <t>08420681218</t>
  </si>
  <si>
    <t>011140</t>
  </si>
  <si>
    <t>Emilia-Romagna</t>
  </si>
  <si>
    <t>AROMADOMUS OP SOCIETA' CONSORTILE AGRICOLA A RESPONSABILITA' LIMITATA IN SIGLA</t>
  </si>
  <si>
    <t>06101210653</t>
  </si>
  <si>
    <t>016300</t>
  </si>
  <si>
    <t>Salerno</t>
  </si>
  <si>
    <t>Campania</t>
  </si>
  <si>
    <t>012100</t>
  </si>
  <si>
    <t>Puglia</t>
  </si>
  <si>
    <t>Lazio</t>
  </si>
  <si>
    <t>Toscana</t>
  </si>
  <si>
    <t>ALICA SOCIETA' COOPERATIVA AGRICOLA</t>
  </si>
  <si>
    <t>03015810603</t>
  </si>
  <si>
    <t>011110</t>
  </si>
  <si>
    <t>Frosinone</t>
  </si>
  <si>
    <t>Milano</t>
  </si>
  <si>
    <t>Lombardia</t>
  </si>
  <si>
    <t>SOCIETA' AGRICOLA MAZZOLINO SRL</t>
  </si>
  <si>
    <t>06414250156</t>
  </si>
  <si>
    <t>NUOVA SOCIETA' AGRICOLA FLORICOLTURA CECCHINI S.R.L.</t>
  </si>
  <si>
    <t>09481710961</t>
  </si>
  <si>
    <t>011920</t>
  </si>
  <si>
    <t>Lodi</t>
  </si>
  <si>
    <t>MARSILIANA S.R.L. SOCIETA' AGRICOLA</t>
  </si>
  <si>
    <t>01786640480</t>
  </si>
  <si>
    <t>011000</t>
  </si>
  <si>
    <t>Firenze</t>
  </si>
  <si>
    <t>AI DUE LEONI SOCIETA' AGRICOLA S.R.L.</t>
  </si>
  <si>
    <t>03819180286</t>
  </si>
  <si>
    <t>Udine</t>
  </si>
  <si>
    <t>Friuli-Venezia Giulia</t>
  </si>
  <si>
    <t>CASCINA DON GUANELLA SOCIETA' COOPERATIVA SOCIALE AGRICOLA</t>
  </si>
  <si>
    <t>03513820138</t>
  </si>
  <si>
    <t>Lecco</t>
  </si>
  <si>
    <t>ORTI DEL CASALITO SOCIETA' COOPERATIVA AGRICOLA</t>
  </si>
  <si>
    <t>03303270049</t>
  </si>
  <si>
    <t>016100</t>
  </si>
  <si>
    <t>Cuneo</t>
  </si>
  <si>
    <t>Piemonte</t>
  </si>
  <si>
    <t>INSERIMENTO LAVORATIVO AGRIELLERA COOPERATIVA SOCIALE A RESPONSAB ILITA' LIMITATA</t>
  </si>
  <si>
    <t>00982230096</t>
  </si>
  <si>
    <t>Savona</t>
  </si>
  <si>
    <t>Liguria</t>
  </si>
  <si>
    <t>TIZZANO SOCIETA' AGRICOLA S.R.L.</t>
  </si>
  <si>
    <t>00518731203</t>
  </si>
  <si>
    <t>Bologna</t>
  </si>
  <si>
    <t>SOCIETA' AGRICOLA MARZALOSSA S.R.L.</t>
  </si>
  <si>
    <t>02485360743</t>
  </si>
  <si>
    <t>Brindisi</t>
  </si>
  <si>
    <t>FATTORIA LA TORRE SOCIETA AGRICOLA A RESPONSABILITA' LIMITATA ABBREVIABILE: FATTORIA LA TORRE S.R.L. - SOCIETA' AGRICOLA</t>
  </si>
  <si>
    <t>01670070463</t>
  </si>
  <si>
    <t>Lucca</t>
  </si>
  <si>
    <t>011310</t>
  </si>
  <si>
    <t>Puglia</t>
  </si>
  <si>
    <t>SENATORE VINI S.R.L. - SOCIETA' AGRICOLA</t>
  </si>
  <si>
    <t>02724040791</t>
  </si>
  <si>
    <t>012100</t>
  </si>
  <si>
    <t>Crotone</t>
  </si>
  <si>
    <t>Calabria</t>
  </si>
  <si>
    <t>016100</t>
  </si>
  <si>
    <t>BELFIORE SOCIETA' AGRICOLA S.R.L.</t>
  </si>
  <si>
    <t>01400550776</t>
  </si>
  <si>
    <t>011140</t>
  </si>
  <si>
    <t>Matera</t>
  </si>
  <si>
    <t>Basilicata</t>
  </si>
  <si>
    <t>Emilia-Romagna</t>
  </si>
  <si>
    <t>NATURAPIU' SOCIETA' COOPERATIVA</t>
  </si>
  <si>
    <t>03261410785</t>
  </si>
  <si>
    <t>012300</t>
  </si>
  <si>
    <t>Cosenza</t>
  </si>
  <si>
    <t>Sicilia</t>
  </si>
  <si>
    <t>TENUTA CIVRANA S.R.L. - SOCIETA' AGRICOLA</t>
  </si>
  <si>
    <t>04471390270</t>
  </si>
  <si>
    <t>Venezia</t>
  </si>
  <si>
    <t>Veneto</t>
  </si>
  <si>
    <t>TENUTA CASENUOVE SOCIETA' AGRICOLA A RESPONSABILITA' LIMITATA</t>
  </si>
  <si>
    <t>06522930483</t>
  </si>
  <si>
    <t>Firenze</t>
  </si>
  <si>
    <t>Toscana</t>
  </si>
  <si>
    <t>GUARDIGLI GROUP SRL</t>
  </si>
  <si>
    <t>04525210409</t>
  </si>
  <si>
    <t>Forlì-Cesena</t>
  </si>
  <si>
    <t>SOCIETA' AGRICOLA ORTI DEL DELTA S.R.L.</t>
  </si>
  <si>
    <t>02015760388</t>
  </si>
  <si>
    <t>Ferrara</t>
  </si>
  <si>
    <t>SOCIETA' COOPERATIVA AGRICOLA L'ULIVO</t>
  </si>
  <si>
    <t>02786730875</t>
  </si>
  <si>
    <t>012600</t>
  </si>
  <si>
    <t>Catania</t>
  </si>
  <si>
    <t>SOLE S.R.L.</t>
  </si>
  <si>
    <t>02388200731</t>
  </si>
  <si>
    <t>Taranto</t>
  </si>
  <si>
    <t>AZIENDA AGRARIA SPERIMENTALE STUARD S.C.R.L.</t>
  </si>
  <si>
    <t>02683310342</t>
  </si>
  <si>
    <t>Parma</t>
  </si>
  <si>
    <t>V.I.P. GARDEN S.R.L.</t>
  </si>
  <si>
    <t>02138920547</t>
  </si>
  <si>
    <t>011300</t>
  </si>
  <si>
    <t>Perugia</t>
  </si>
  <si>
    <t>Umbria</t>
  </si>
  <si>
    <t>016300</t>
  </si>
  <si>
    <t>Lazio</t>
  </si>
  <si>
    <t>Campania</t>
  </si>
  <si>
    <t>014100</t>
  </si>
  <si>
    <t>Emilia-Romagna</t>
  </si>
  <si>
    <t>Salerno</t>
  </si>
  <si>
    <t>GDR SOCIETA' AGRICOLA - S.R.L.</t>
  </si>
  <si>
    <t>01975760495</t>
  </si>
  <si>
    <t>012100</t>
  </si>
  <si>
    <t>Livorno</t>
  </si>
  <si>
    <t>Toscana</t>
  </si>
  <si>
    <t>MILK &amp; CHEESE SRL SOCIETA' AGRICOLA</t>
  </si>
  <si>
    <t>04872000288</t>
  </si>
  <si>
    <t>Padova</t>
  </si>
  <si>
    <t>Veneto</t>
  </si>
  <si>
    <t>SOCIETA' AGRICOLA NATURISSIMA S. R.L.</t>
  </si>
  <si>
    <t>04783040654</t>
  </si>
  <si>
    <t>011320</t>
  </si>
  <si>
    <t>COOPERATIVA PRODUTTORI OLIVICOLI SICILIANI CO.PR.O.S. - SOCIETA' COOPERATIVA AGRICOLA</t>
  </si>
  <si>
    <t>05236740873</t>
  </si>
  <si>
    <t>012600</t>
  </si>
  <si>
    <t>Catania</t>
  </si>
  <si>
    <t>Sicilia</t>
  </si>
  <si>
    <t>Piemonte</t>
  </si>
  <si>
    <t>CANTINA DEI PRODUTTORI NEBBIOLO DI CAREMA - SOCIETA' COOPERATIVA AGRICOLA</t>
  </si>
  <si>
    <t>00868360017</t>
  </si>
  <si>
    <t>Torino</t>
  </si>
  <si>
    <t>ALTAMURABIOAGRI - SOCIETA' COOPERATIVA AGRICOLA</t>
  </si>
  <si>
    <t>08004180728</t>
  </si>
  <si>
    <t>011110</t>
  </si>
  <si>
    <t>Bari</t>
  </si>
  <si>
    <t>Puglia</t>
  </si>
  <si>
    <t>SOCIETA' AGRICOLA GARDEN LA SERRA S.R.L.</t>
  </si>
  <si>
    <t>02937760540</t>
  </si>
  <si>
    <t>013000</t>
  </si>
  <si>
    <t>ORTOSI' SOCIETA' AGRICOLA S.R.L.</t>
  </si>
  <si>
    <t>02257090593</t>
  </si>
  <si>
    <t>011310</t>
  </si>
  <si>
    <t>Latina</t>
  </si>
  <si>
    <t>SOCIETA' AGRICOLA SAN FABIANO CALCINAIA S.R.L.</t>
  </si>
  <si>
    <t>00310780523</t>
  </si>
  <si>
    <t>Siena</t>
  </si>
  <si>
    <t>CASTEL DI SALVE S.R.L. - SOCIETA' AGRICOLA</t>
  </si>
  <si>
    <t>02601130756</t>
  </si>
  <si>
    <t>Lecce</t>
  </si>
  <si>
    <t>016100</t>
  </si>
  <si>
    <t>AZIENDA AGRICOLA VALLE CASTEL DEL MONTE SOCIETA' AGRICOLA A RESPONSABILITA' LIMITATA</t>
  </si>
  <si>
    <t>07523390727</t>
  </si>
  <si>
    <t>010000</t>
  </si>
  <si>
    <t>SOCIETA' AGRICOLA LA BERSAGLIERA S.R.L.</t>
  </si>
  <si>
    <t>04901980658</t>
  </si>
  <si>
    <t>014500</t>
  </si>
  <si>
    <t>MOTORSCAVI - S.R.L.</t>
  </si>
  <si>
    <t>00501941207</t>
  </si>
  <si>
    <t>Bologna</t>
  </si>
  <si>
    <t>SOCIETA' AGRICOLA RISERVO S.R.L.</t>
  </si>
  <si>
    <t>04158000960</t>
  </si>
  <si>
    <t>015000</t>
  </si>
  <si>
    <t>Grosseto</t>
  </si>
  <si>
    <t>012100</t>
  </si>
  <si>
    <t>SPINA SERVICE S.R.L.</t>
  </si>
  <si>
    <t>08527190725</t>
  </si>
  <si>
    <t>016100</t>
  </si>
  <si>
    <t>Barletta-Andria-Trani</t>
  </si>
  <si>
    <t>Puglia</t>
  </si>
  <si>
    <t>Emilia-Romagna</t>
  </si>
  <si>
    <t>A.S.P.S.R.L - AGRICOLA E SISTEMI POZZICELLO</t>
  </si>
  <si>
    <t>02581760788</t>
  </si>
  <si>
    <t>015000</t>
  </si>
  <si>
    <t>Cosenza</t>
  </si>
  <si>
    <t>Calabria</t>
  </si>
  <si>
    <t>Campania</t>
  </si>
  <si>
    <t>011300</t>
  </si>
  <si>
    <t>BABI SRL SOCIETA' AGRICOLA</t>
  </si>
  <si>
    <t>04257690406</t>
  </si>
  <si>
    <t>012000</t>
  </si>
  <si>
    <t>Forlì-Cesena</t>
  </si>
  <si>
    <t>AVICOLA CAMPIENSE MARRA - SOCIETA' COOPERATIVA AGRICOLA</t>
  </si>
  <si>
    <t>04926320757</t>
  </si>
  <si>
    <t>014700</t>
  </si>
  <si>
    <t>Lecce</t>
  </si>
  <si>
    <t>011310</t>
  </si>
  <si>
    <t>VITICOLTORI DEI COLLI CIMINI SOCIETA' AGRICOLA SOCIETA' COOPERATI VA</t>
  </si>
  <si>
    <t>01748510565</t>
  </si>
  <si>
    <t>Viterbo</t>
  </si>
  <si>
    <t>Lazio</t>
  </si>
  <si>
    <t>COOPERATIVA SOCIALE VITA DOWN</t>
  </si>
  <si>
    <t>04422090268</t>
  </si>
  <si>
    <t>011329</t>
  </si>
  <si>
    <t>Treviso</t>
  </si>
  <si>
    <t>Veneto</t>
  </si>
  <si>
    <t>SOCIETA' AGRICOLA EDWARD S.R.L.</t>
  </si>
  <si>
    <t>03702890710</t>
  </si>
  <si>
    <t>011140</t>
  </si>
  <si>
    <t>Como</t>
  </si>
  <si>
    <t>Lombardia</t>
  </si>
  <si>
    <t>SOCIETA' AGRICOLA TERZERIA S.R.L. SOCIETA' BENEFIT</t>
  </si>
  <si>
    <t>02692540780</t>
  </si>
  <si>
    <t>011200</t>
  </si>
  <si>
    <t>Sardegna</t>
  </si>
  <si>
    <t>FEDELI LORIANO &amp; LUCA S.R.L. SOCIETA' AGRICOLA</t>
  </si>
  <si>
    <t>00897240537</t>
  </si>
  <si>
    <t>Grosseto</t>
  </si>
  <si>
    <t>Toscana</t>
  </si>
  <si>
    <t>TENUTE DEL GHEPPIO S.R.L.</t>
  </si>
  <si>
    <t>01409090626</t>
  </si>
  <si>
    <t>Benevento</t>
  </si>
  <si>
    <t>SOCIETA' AGRICOLA MASSERIA BORGO DI FULCIGNANO SRL</t>
  </si>
  <si>
    <t>04520640758</t>
  </si>
  <si>
    <t>012600</t>
  </si>
  <si>
    <t>TENUTE OLBIOS - SOCIETA' AGRICOLA A RESPONSABILITA' LIMITATA</t>
  </si>
  <si>
    <t>02052890908</t>
  </si>
  <si>
    <t>Sassari</t>
  </si>
  <si>
    <t>GAUDIA VITAE SRL SOCIETA' AGRICOLA</t>
  </si>
  <si>
    <t>04282890401</t>
  </si>
  <si>
    <t>VILLA GRASSINA S.R.L. SOCIETA' AGRICOLA</t>
  </si>
  <si>
    <t>00550640486</t>
  </si>
  <si>
    <t>012600</t>
  </si>
  <si>
    <t>Firenze</t>
  </si>
  <si>
    <t>Toscana</t>
  </si>
  <si>
    <t>SOCIETA' AGRICOLA F.LLI PIROVANO SRL</t>
  </si>
  <si>
    <t>03483210138</t>
  </si>
  <si>
    <t>013000</t>
  </si>
  <si>
    <t>Como</t>
  </si>
  <si>
    <t>Lombardia</t>
  </si>
  <si>
    <t>016100</t>
  </si>
  <si>
    <t>SOCIETA' AGRICOLA TENUTA SANTA CATERINA S.R.L.</t>
  </si>
  <si>
    <t>01551860057</t>
  </si>
  <si>
    <t>012100</t>
  </si>
  <si>
    <t>Asti</t>
  </si>
  <si>
    <t>Piemonte</t>
  </si>
  <si>
    <t>TENUTA ISIMBARDA SOCIETA' AGRICOLA S.R.L.</t>
  </si>
  <si>
    <t>02721140180</t>
  </si>
  <si>
    <t>Pavia</t>
  </si>
  <si>
    <t>SOCIETA' AGRICOLA FERRE SOCIETA' A RESPONSABILITA' LIMITATA SEMPLIFICATA</t>
  </si>
  <si>
    <t>03120640739</t>
  </si>
  <si>
    <t>Taranto</t>
  </si>
  <si>
    <t>Puglia</t>
  </si>
  <si>
    <t>FATTORIA GENS CAMURIA SOCIETA' COOPERATIVA AGRICOLA</t>
  </si>
  <si>
    <t>02078240427</t>
  </si>
  <si>
    <t>010000</t>
  </si>
  <si>
    <t>Ancona</t>
  </si>
  <si>
    <t>Marche</t>
  </si>
  <si>
    <t>SOCIETA' COOPERATIVA ITALIANA A R.L.</t>
  </si>
  <si>
    <t>01693990333</t>
  </si>
  <si>
    <t>Piacenza</t>
  </si>
  <si>
    <t>Emilia-Romagna</t>
  </si>
  <si>
    <t>SOCIETA' AGRICOLA ORTO DELL'OLMO S.R.L.</t>
  </si>
  <si>
    <t>06900700482</t>
  </si>
  <si>
    <t>011310</t>
  </si>
  <si>
    <t>ORSUMELLA S.R.L. SOCIETA' AGRICOLA. LA SOCIETA' AI FINI COMMERCI ALI POTRA' AGGIUNGERE ALLA PROPRIA DENOMINAZIONE LA DICITURA TENUTA LA PILA</t>
  </si>
  <si>
    <t>06574150485</t>
  </si>
  <si>
    <t>CAMPO DEI FIORI - SOCIETA' AGRICOLA A RESPONSABILITA' LIMITATA</t>
  </si>
  <si>
    <t>03979171000</t>
  </si>
  <si>
    <t>Roma</t>
  </si>
  <si>
    <t>Lazio</t>
  </si>
  <si>
    <t>FORMAZZA AGRICOLA - SOCIETA' AGRICOLA COOPERATIVA</t>
  </si>
  <si>
    <t>01288240037</t>
  </si>
  <si>
    <t>014100</t>
  </si>
  <si>
    <t>Verbano-Cusio-Ossola</t>
  </si>
  <si>
    <t>015000</t>
  </si>
  <si>
    <t>MONTE DI CAPENARDO - SOCIETA' COOPERATIVA AGRICOLA</t>
  </si>
  <si>
    <t>02480650106</t>
  </si>
  <si>
    <t>014200</t>
  </si>
  <si>
    <t>Genova</t>
  </si>
  <si>
    <t>Liguria</t>
  </si>
  <si>
    <t>NONNA PITTA SOCIETA' COOPERATIVA AGRICOLA</t>
  </si>
  <si>
    <t>03056010600</t>
  </si>
  <si>
    <t>Frosinone</t>
  </si>
  <si>
    <t>MONTEPEPE SOCIETA' AGRICOLA S.R.L.</t>
  </si>
  <si>
    <t>01359000450</t>
  </si>
  <si>
    <t>Massa-Carrara</t>
  </si>
  <si>
    <t>COOPERATIVA AGRICOLA STROVINA 78</t>
  </si>
  <si>
    <t>00572320927</t>
  </si>
  <si>
    <t>011140</t>
  </si>
  <si>
    <t>Sardegna</t>
  </si>
  <si>
    <t>PLANTEC SOCIETA' AGRICOLA S.R.L.</t>
  </si>
  <si>
    <t>04871510725</t>
  </si>
  <si>
    <t>013000</t>
  </si>
  <si>
    <t>Bari</t>
  </si>
  <si>
    <t>Puglia</t>
  </si>
  <si>
    <t>Emilia-Romagna</t>
  </si>
  <si>
    <t>SOCIETA' AGRICOLA VECCHIE TERRE DI MONTEFILI SOCIETA' AGRICOLA A R.L.</t>
  </si>
  <si>
    <t>06553550481</t>
  </si>
  <si>
    <t>012100</t>
  </si>
  <si>
    <t>Firenze</t>
  </si>
  <si>
    <t>Toscana</t>
  </si>
  <si>
    <t>016100</t>
  </si>
  <si>
    <t>Campania</t>
  </si>
  <si>
    <t>Sicilia</t>
  </si>
  <si>
    <t>D'ANTICHE TERRE S.R.L. - SOCIETA' AGRICOLA</t>
  </si>
  <si>
    <t>00553170648</t>
  </si>
  <si>
    <t>Avellino</t>
  </si>
  <si>
    <t>QEBERE S.R.L. SOCIETA AGRICOLA</t>
  </si>
  <si>
    <t>03438990040</t>
  </si>
  <si>
    <t>011110</t>
  </si>
  <si>
    <t>Cuneo</t>
  </si>
  <si>
    <t>Piemonte</t>
  </si>
  <si>
    <t>Roma</t>
  </si>
  <si>
    <t>Lazio</t>
  </si>
  <si>
    <t>TERRA DEI GESSI SOCIETA' AGRICOLA SRL</t>
  </si>
  <si>
    <t>02507300396</t>
  </si>
  <si>
    <t>012000</t>
  </si>
  <si>
    <t>Ravenna</t>
  </si>
  <si>
    <t>Brescia</t>
  </si>
  <si>
    <t>Lombardia</t>
  </si>
  <si>
    <t>MANNI OIL SOCIETA' AGRICOLA S.R.L.</t>
  </si>
  <si>
    <t>14803851006</t>
  </si>
  <si>
    <t>012600</t>
  </si>
  <si>
    <t>LA MACCHIA SALVATORE S.R.L.</t>
  </si>
  <si>
    <t>03598480832</t>
  </si>
  <si>
    <t>Messina</t>
  </si>
  <si>
    <t>VIVAI FORTUNATO SOCIETA' AGRICOLA S.R.L.</t>
  </si>
  <si>
    <t>07859390721</t>
  </si>
  <si>
    <t>CAMILUCCI S.R.L. SOCIETA' AGRICOLA</t>
  </si>
  <si>
    <t>04300520980</t>
  </si>
  <si>
    <t>S.C.E.R. SOCIETA' AGRICOLA A RESPONSABILITA' LIMITATA CONSORTILE</t>
  </si>
  <si>
    <t>02317420392</t>
  </si>
  <si>
    <t>012400</t>
  </si>
  <si>
    <t>Ravenna</t>
  </si>
  <si>
    <t>Emilia-Romagna</t>
  </si>
  <si>
    <t>Veneto</t>
  </si>
  <si>
    <t>Puglia</t>
  </si>
  <si>
    <t>ALTO VENDA SOCIETA' AGRICOLA S.R.L.</t>
  </si>
  <si>
    <t>04803920281</t>
  </si>
  <si>
    <t>012600</t>
  </si>
  <si>
    <t>Padova</t>
  </si>
  <si>
    <t>TORRESANTA - SOCIETA' AGRICOLA A RESPONSABILITA' LIMITATA</t>
  </si>
  <si>
    <t>05459550728</t>
  </si>
  <si>
    <t>012100</t>
  </si>
  <si>
    <t>Bari</t>
  </si>
  <si>
    <t>DONNE FITTIPALDI SOCIETA' AGRICOLA S.R.L</t>
  </si>
  <si>
    <t>05366420486</t>
  </si>
  <si>
    <t>Firenze</t>
  </si>
  <si>
    <t>Toscana</t>
  </si>
  <si>
    <t>SOCIETA' AGRICOLA UNIVERDE S.R.L.</t>
  </si>
  <si>
    <t>02257820742</t>
  </si>
  <si>
    <t>013000</t>
  </si>
  <si>
    <t>Brindisi</t>
  </si>
  <si>
    <t>AGRINOVARA SOCIETA' COOPERATIVA</t>
  </si>
  <si>
    <t>01227700034</t>
  </si>
  <si>
    <t>016100</t>
  </si>
  <si>
    <t>Novara</t>
  </si>
  <si>
    <t>Piemonte</t>
  </si>
  <si>
    <t>C.A.V.L. COOPERATIVA AGRICOLTORI DELLA VALLATA DI LEVANTO - SOCIE TA' AGRICOLA COOPERATIVA</t>
  </si>
  <si>
    <t>00242470110</t>
  </si>
  <si>
    <t>La Spezia</t>
  </si>
  <si>
    <t>Liguria</t>
  </si>
  <si>
    <t>ARIEL COOPERATIVA SOCIALE SOCIETA' COOPERATIVA</t>
  </si>
  <si>
    <t>02132890548</t>
  </si>
  <si>
    <t>011000</t>
  </si>
  <si>
    <t>Perugia</t>
  </si>
  <si>
    <t>Umbria</t>
  </si>
  <si>
    <t>SOCIETA' AGRICOLA F.LLI PERCIACCANTE S.R.L.</t>
  </si>
  <si>
    <t>02958140788</t>
  </si>
  <si>
    <t>012300</t>
  </si>
  <si>
    <t>Cosenza</t>
  </si>
  <si>
    <t>Calabria</t>
  </si>
  <si>
    <t>011310</t>
  </si>
  <si>
    <t>Lazio</t>
  </si>
  <si>
    <t>PRATO SMERALDO SOCIETA' AGRICOLA S.R.L.</t>
  </si>
  <si>
    <t>05967871004</t>
  </si>
  <si>
    <t>Roma</t>
  </si>
  <si>
    <t>Veneto</t>
  </si>
  <si>
    <t>AGRI LUX S.R.L. SOCIETA' AGRICOLA</t>
  </si>
  <si>
    <t>03443510247</t>
  </si>
  <si>
    <t>014000</t>
  </si>
  <si>
    <t>Vicenza</t>
  </si>
  <si>
    <t>VALLOVIN S.R.L.</t>
  </si>
  <si>
    <t>01607280813</t>
  </si>
  <si>
    <t>011000</t>
  </si>
  <si>
    <t>Trapani</t>
  </si>
  <si>
    <t>Sicilia</t>
  </si>
  <si>
    <t>FEUDI SPADA S.R.L. SOCIETA' AGRICOLA</t>
  </si>
  <si>
    <t>03393930049</t>
  </si>
  <si>
    <t>012600</t>
  </si>
  <si>
    <t>Terni</t>
  </si>
  <si>
    <t>Umbria</t>
  </si>
  <si>
    <t>CARDINAL MARCANTONIO BARBARIGO - SOCIETA' AGRICOLA COOPERATIVA</t>
  </si>
  <si>
    <t>01592100562</t>
  </si>
  <si>
    <t>012100</t>
  </si>
  <si>
    <t>Viterbo</t>
  </si>
  <si>
    <t>Lazio</t>
  </si>
  <si>
    <t>011110</t>
  </si>
  <si>
    <t>ALMA ZETA VERDE SOCIETA' AGRICOLA S.R.L.</t>
  </si>
  <si>
    <t>02130790567</t>
  </si>
  <si>
    <t>011910</t>
  </si>
  <si>
    <t>011310</t>
  </si>
  <si>
    <t>SOCIETA' AGRICOLA CASANUOVA DELLE CERBAIE S.R.L.</t>
  </si>
  <si>
    <t>01045470521</t>
  </si>
  <si>
    <t>Siena</t>
  </si>
  <si>
    <t>Toscana</t>
  </si>
  <si>
    <t>ALBA SOCIETA' AGRICOLA SRL</t>
  </si>
  <si>
    <t>02638940607</t>
  </si>
  <si>
    <t>Milano</t>
  </si>
  <si>
    <t>Lombardia</t>
  </si>
  <si>
    <t>016300</t>
  </si>
  <si>
    <t>Catania</t>
  </si>
  <si>
    <t>Lecce</t>
  </si>
  <si>
    <t>Puglia</t>
  </si>
  <si>
    <t>RENZO MARINAI SOCIETA' AGRICOLA A RESPONSABILITA' LIMITATA IN FOR MA ABBREVIATA RENZO MARINAI S.A.R.L.</t>
  </si>
  <si>
    <t>08428210960</t>
  </si>
  <si>
    <t>Firenze</t>
  </si>
  <si>
    <t>IL CILIEGIO DELL'ETNA - SOCIETA' AGRICOLA S.R.L.</t>
  </si>
  <si>
    <t>05388700873</t>
  </si>
  <si>
    <t>012400</t>
  </si>
  <si>
    <t>ORTI UMBRI SOCIETA' AGRICOLA A RESPONSABILITA' LIMITATA</t>
  </si>
  <si>
    <t>03570040547</t>
  </si>
  <si>
    <t>Perugia</t>
  </si>
  <si>
    <t>SOCIETA' AGRICOLA TENUTA MARA S.R.L.</t>
  </si>
  <si>
    <t>03719300406</t>
  </si>
  <si>
    <t>Rimini</t>
  </si>
  <si>
    <t>Emilia-Romagna</t>
  </si>
  <si>
    <t>MCS S.R.L. SOCIETA' AGRICOLA</t>
  </si>
  <si>
    <t>03971510759</t>
  </si>
  <si>
    <t>Campania</t>
  </si>
  <si>
    <t>VIVAI RIUNITI DI PERIGNANO, FAUGLIA, CENAIA - SOCIETA' COOPERATIV A AGRICOLA</t>
  </si>
  <si>
    <t>00151900503</t>
  </si>
  <si>
    <t>Pisa</t>
  </si>
  <si>
    <t>SOLE E SAPORI - SOCIETA' COOPERATIVA AGRICOLA</t>
  </si>
  <si>
    <t>01510340621</t>
  </si>
  <si>
    <t>Benevento</t>
  </si>
  <si>
    <t>011310</t>
  </si>
  <si>
    <t>Catania</t>
  </si>
  <si>
    <t>Sicilia</t>
  </si>
  <si>
    <t>SOCIETA' AGRICOLA AGRITOUR S.R.L.</t>
  </si>
  <si>
    <t>03774900751</t>
  </si>
  <si>
    <t>011110</t>
  </si>
  <si>
    <t>Lecce</t>
  </si>
  <si>
    <t>Puglia</t>
  </si>
  <si>
    <t>016100</t>
  </si>
  <si>
    <t>Piacenza</t>
  </si>
  <si>
    <t>Emilia-Romagna</t>
  </si>
  <si>
    <t>SOCIETA' AGRICOLA SABATINO SRL</t>
  </si>
  <si>
    <t>03543440782</t>
  </si>
  <si>
    <t>Cosenza</t>
  </si>
  <si>
    <t>Calabria</t>
  </si>
  <si>
    <t>IL MARRUGIO - SOCIETA' AGRICOLA A RESPONSABILITA' LIMITATA</t>
  </si>
  <si>
    <t>01789770565</t>
  </si>
  <si>
    <t>011000</t>
  </si>
  <si>
    <t>Viterbo</t>
  </si>
  <si>
    <t>Lazio</t>
  </si>
  <si>
    <t>LE CORNE S.R.L. SOCIETA' AGRICOLA</t>
  </si>
  <si>
    <t>00664310166</t>
  </si>
  <si>
    <t>012100</t>
  </si>
  <si>
    <t>Bergamo</t>
  </si>
  <si>
    <t>Lombardia</t>
  </si>
  <si>
    <t>AZIENDA AGRICOLA CASTELLO DI MONASTERO S.R.L. - SOCIETA' AGRICOLA (O ANCHE IN SIGLA PER L'IDENTIFICAZIONE DEI PRODOTTI C.D.M. - S.R.L. , SESTANO S.R.L. , P.P.R. S.R.L. , POGGIO PETROIO S.R.L. E LIONELLO MARCHESI S.R.L. ).</t>
  </si>
  <si>
    <t>12136770158</t>
  </si>
  <si>
    <t>Milano</t>
  </si>
  <si>
    <t>AGRICIRCE S.R.L. SOCIETA' AGRICOLA</t>
  </si>
  <si>
    <t>02776100592</t>
  </si>
  <si>
    <t>011300</t>
  </si>
  <si>
    <t>Latina</t>
  </si>
  <si>
    <t>014100</t>
  </si>
  <si>
    <t>DI VITO GIOVANNI SOCIETA' A RESPONSABILITA' LIMITATA SEMPLIFICATA AGRICOLA</t>
  </si>
  <si>
    <t>01846590709</t>
  </si>
  <si>
    <t>011140</t>
  </si>
  <si>
    <t>Campobasso</t>
  </si>
  <si>
    <t>Molise</t>
  </si>
  <si>
    <t>Trentino-Alto Adige</t>
  </si>
  <si>
    <t>ORTOGOURMET SOCIETA' AGRICOLA S.R.L.</t>
  </si>
  <si>
    <t>03118460736</t>
  </si>
  <si>
    <t>011320</t>
  </si>
  <si>
    <t>Taranto</t>
  </si>
  <si>
    <t>MARCO ANTONIO S.R.L. - SOCIETA' AGRICOLA</t>
  </si>
  <si>
    <t>03249060785</t>
  </si>
  <si>
    <t>AGRICOLA SANT'AMBROGIO - SOCIETA' AGRICOLA A RESPONSABILITA' LIMI TATA</t>
  </si>
  <si>
    <t>01437670589</t>
  </si>
  <si>
    <t>015000</t>
  </si>
  <si>
    <t>Roma</t>
  </si>
  <si>
    <t>Ferrara</t>
  </si>
  <si>
    <t>SOCIETA' AGRICOLA BG AGROENERGIA S.R.L.</t>
  </si>
  <si>
    <t>03506500986</t>
  </si>
  <si>
    <t>FINATO S.R.L.</t>
  </si>
  <si>
    <t>03848000232</t>
  </si>
  <si>
    <t>Verona</t>
  </si>
  <si>
    <t>Veneto</t>
  </si>
  <si>
    <t>TEN AGRI SOCIETA' AGRICOLA S.R.L.</t>
  </si>
  <si>
    <t>02683950212</t>
  </si>
  <si>
    <t>011990</t>
  </si>
  <si>
    <t>Bolzano/Bozen</t>
  </si>
  <si>
    <t>SOCIETA' AGRICOLA GRAFFIGNANA SRLS</t>
  </si>
  <si>
    <t>01711710333</t>
  </si>
  <si>
    <t>LA TORRE S.R.L. SOCIETA' AGRICOLA</t>
  </si>
  <si>
    <t>00885370510</t>
  </si>
  <si>
    <t>Arezzo</t>
  </si>
  <si>
    <t>Toscana</t>
  </si>
  <si>
    <t>SOCIETA' AGRICOLA IL CANTINONE S.R.L. - CONDUZIONE TERRENI</t>
  </si>
  <si>
    <t>01800850388</t>
  </si>
  <si>
    <t>FEDERICO GRAZIANI SOCIETA' AGRICOLA S.R.L.</t>
  </si>
  <si>
    <t>04809230263</t>
  </si>
  <si>
    <t>A.S.C.A. ALLEVATORI SOCIETA' COOPERATIVA ANVERSANA - COOPERATIVA SOCIALE AGRICOLA</t>
  </si>
  <si>
    <t>00204960660</t>
  </si>
  <si>
    <t>015000</t>
  </si>
  <si>
    <t>L'Aquila</t>
  </si>
  <si>
    <t>Abruzzo</t>
  </si>
  <si>
    <t>012100</t>
  </si>
  <si>
    <t>CANUS SRL SOCIETA' AGRICOLA</t>
  </si>
  <si>
    <t>01305800300</t>
  </si>
  <si>
    <t>Udine</t>
  </si>
  <si>
    <t>Friuli-Venezia Giulia</t>
  </si>
  <si>
    <t>Calabria</t>
  </si>
  <si>
    <t>FLOWER SOUTH SOCIETA' AGRICOLA S.R.L.</t>
  </si>
  <si>
    <t>02577590744</t>
  </si>
  <si>
    <t>013000</t>
  </si>
  <si>
    <t>Brindisi</t>
  </si>
  <si>
    <t>Puglia</t>
  </si>
  <si>
    <t>SOCIETA' AGRICOLA FEL S.R.L.</t>
  </si>
  <si>
    <t>12642581008</t>
  </si>
  <si>
    <t>Roma</t>
  </si>
  <si>
    <t>Lazio</t>
  </si>
  <si>
    <t>016100</t>
  </si>
  <si>
    <t>Marche</t>
  </si>
  <si>
    <t>TERRAMADRE SOCIETA' COOPERATIVA</t>
  </si>
  <si>
    <t>04074500713</t>
  </si>
  <si>
    <t>016300</t>
  </si>
  <si>
    <t>Foggia</t>
  </si>
  <si>
    <t>Piemonte</t>
  </si>
  <si>
    <t>TORRACCIA DI PRESURA SOCIETA' AGRICOLA S.R.L.</t>
  </si>
  <si>
    <t>04728340482</t>
  </si>
  <si>
    <t>Firenze</t>
  </si>
  <si>
    <t>Toscana</t>
  </si>
  <si>
    <t>MSF LEGNAMI SOCIETA' A RESPONSABILITA' LIMITATA SEMPLIFICATA</t>
  </si>
  <si>
    <t>02941250801</t>
  </si>
  <si>
    <t>Reggio di Calabria</t>
  </si>
  <si>
    <t>AZIENDA AGROBIOLOGICA SANGIOVANNI SOCIETA' AGRICOLA S.R.L.</t>
  </si>
  <si>
    <t>02123030443</t>
  </si>
  <si>
    <t>Ascoli Piceno</t>
  </si>
  <si>
    <t>COOPERATIVA FRA GLI OLIVICOLTORI DI VETRALLA A R.L.</t>
  </si>
  <si>
    <t>00296270564</t>
  </si>
  <si>
    <t>012600</t>
  </si>
  <si>
    <t>Viterbo</t>
  </si>
  <si>
    <t>VIVAI LATINA FIORITA S.R.L.</t>
  </si>
  <si>
    <t>01412770594</t>
  </si>
  <si>
    <t>011910</t>
  </si>
  <si>
    <t>Latina</t>
  </si>
  <si>
    <t>SOCIETA' AGRICOLA 3 MF - S.R.L.</t>
  </si>
  <si>
    <t>01101440525</t>
  </si>
  <si>
    <t>Siena</t>
  </si>
  <si>
    <t>MANDATORI SOCIETA' AGRICOLA A RESPONSABILITA' LIMITATA</t>
  </si>
  <si>
    <t>02677610590</t>
  </si>
  <si>
    <t>GENTILE GROUP SOCIETA' COOPERATIVA AGRICOLA</t>
  </si>
  <si>
    <t>01382960779</t>
  </si>
  <si>
    <t>Matera</t>
  </si>
  <si>
    <t>Basilicata</t>
  </si>
  <si>
    <t>AZIENDA AGRICOLA LA MESMA S.R.L.- SOCIETA' AGRICOLA</t>
  </si>
  <si>
    <t>02042960068</t>
  </si>
  <si>
    <t>Alessandria</t>
  </si>
  <si>
    <t>VILLA BARBERINO SOCIETA' AGRICOLA A RESPONSABILITA' LIMITATA</t>
  </si>
  <si>
    <t>01997480510</t>
  </si>
  <si>
    <t>012600</t>
  </si>
  <si>
    <t>Arezzo</t>
  </si>
  <si>
    <t>Toscana</t>
  </si>
  <si>
    <t>AGRISOL SOCIETA' COOPERATIVA AGRICOLA</t>
  </si>
  <si>
    <t>01208900884</t>
  </si>
  <si>
    <t>016100</t>
  </si>
  <si>
    <t>Ragusa</t>
  </si>
  <si>
    <t>Sicilia</t>
  </si>
  <si>
    <t>SOCIETA' AGRICOLA BELLADONNA S.R.L.</t>
  </si>
  <si>
    <t>11680461008</t>
  </si>
  <si>
    <t>011300</t>
  </si>
  <si>
    <t>Roma</t>
  </si>
  <si>
    <t>Lazio</t>
  </si>
  <si>
    <t>AVICOLA T.F. - SOCIETA' AGRICOLA A R.L.</t>
  </si>
  <si>
    <t>00456280791</t>
  </si>
  <si>
    <t>014700</t>
  </si>
  <si>
    <t>Crotone</t>
  </si>
  <si>
    <t>Calabria</t>
  </si>
  <si>
    <t>Puglia</t>
  </si>
  <si>
    <t>016300</t>
  </si>
  <si>
    <t>Abruzzo</t>
  </si>
  <si>
    <t>CONSORZIO AZIENDE AGRICOLE FRATANTONIO</t>
  </si>
  <si>
    <t>01649340880</t>
  </si>
  <si>
    <t>PININO S.R.L. SOCIETA' AGRICOLA</t>
  </si>
  <si>
    <t>01112940521</t>
  </si>
  <si>
    <t>012100</t>
  </si>
  <si>
    <t>Siena</t>
  </si>
  <si>
    <t>UNIONE AGRICOLTORI ITRANI - SOCIETA' COOPERATIVA</t>
  </si>
  <si>
    <t>00277990594</t>
  </si>
  <si>
    <t>Latina</t>
  </si>
  <si>
    <t>AGUA GREEN SOCIETA' AGRICOLA S.R.L.</t>
  </si>
  <si>
    <t>01914370687</t>
  </si>
  <si>
    <t>011120</t>
  </si>
  <si>
    <t>Teramo</t>
  </si>
  <si>
    <t>011310</t>
  </si>
  <si>
    <t>SOCIETA' AGRICOLA GIARDINO IN CITTA' S.R.L.</t>
  </si>
  <si>
    <t>04806530285</t>
  </si>
  <si>
    <t>011921</t>
  </si>
  <si>
    <t>Padova</t>
  </si>
  <si>
    <t>Veneto</t>
  </si>
  <si>
    <t>CESCHINI MAURO S.R.L.</t>
  </si>
  <si>
    <t>02475670226</t>
  </si>
  <si>
    <t>Bolzano/Bozen</t>
  </si>
  <si>
    <t>Trentino-Alto Adige</t>
  </si>
  <si>
    <t>FORTE - SOCIETA' AGRICOLA A RESPONSABILITA' LIMITATA</t>
  </si>
  <si>
    <t>04993640756</t>
  </si>
  <si>
    <t>Lecce</t>
  </si>
  <si>
    <t>015000</t>
  </si>
  <si>
    <t>Como</t>
  </si>
  <si>
    <t>Lombardia</t>
  </si>
  <si>
    <t>014100</t>
  </si>
  <si>
    <t>O.T. SOCIETA' AGRICOLA S.R.L.</t>
  </si>
  <si>
    <t>04689760157</t>
  </si>
  <si>
    <t>014300</t>
  </si>
  <si>
    <t>Livorno</t>
  </si>
  <si>
    <t>Toscana</t>
  </si>
  <si>
    <t>Campania</t>
  </si>
  <si>
    <t>SOCIETA' AGRICOLA ZAGO GASPARINI S.R.L.</t>
  </si>
  <si>
    <t>04340330267</t>
  </si>
  <si>
    <t>012100</t>
  </si>
  <si>
    <t>Treviso</t>
  </si>
  <si>
    <t>Veneto</t>
  </si>
  <si>
    <t>TRETERRE SOCIETA' AGRICOLA A R.L.</t>
  </si>
  <si>
    <t>03806170134</t>
  </si>
  <si>
    <t>012500</t>
  </si>
  <si>
    <t>SOCIETA' AGRICOLA BULICHELLA S.R.L</t>
  </si>
  <si>
    <t>00774530497</t>
  </si>
  <si>
    <t>SOCIETA' AGRICOLA DIVANO S.R.L.</t>
  </si>
  <si>
    <t>03512510615</t>
  </si>
  <si>
    <t>Caserta</t>
  </si>
  <si>
    <t>FATTORIA DELL'ALENTO SOCIETA' AGRICOLA A R. L.</t>
  </si>
  <si>
    <t>03079790659</t>
  </si>
  <si>
    <t>Salerno</t>
  </si>
  <si>
    <t>FATTORIA DI MONTEMAGGIO S.R.L. SOCIETA' AGRICOLA</t>
  </si>
  <si>
    <t>00866260524</t>
  </si>
  <si>
    <t>Siena</t>
  </si>
  <si>
    <t>SOCIETA' AGRICOLA VILLA PALMENTIELLO SOCIETA' A RESPONSABILITA'L IMITATA IN FOR</t>
  </si>
  <si>
    <t>06956011214</t>
  </si>
  <si>
    <t>011310</t>
  </si>
  <si>
    <t>Napoli</t>
  </si>
  <si>
    <t>Campania</t>
  </si>
  <si>
    <t>011110</t>
  </si>
  <si>
    <t>Puglia</t>
  </si>
  <si>
    <t>TENUTE FUSI S.R.L. SOCIETA' AGRICOLA</t>
  </si>
  <si>
    <t>02304390483</t>
  </si>
  <si>
    <t>012000</t>
  </si>
  <si>
    <t>Siena</t>
  </si>
  <si>
    <t>Toscana</t>
  </si>
  <si>
    <t>M.G. VIVAI SOCIETA' AGRICOLA A R.L.</t>
  </si>
  <si>
    <t>02909700599</t>
  </si>
  <si>
    <t>013000</t>
  </si>
  <si>
    <t>Latina</t>
  </si>
  <si>
    <t>Lazio</t>
  </si>
  <si>
    <t>TENUTADANESI SOCIETA' COOPERATIVA A RESPONSABILITA' LIMITATA</t>
  </si>
  <si>
    <t>07759470722</t>
  </si>
  <si>
    <t>Bari</t>
  </si>
  <si>
    <t>CASTELLO DI BUTTRIO - SOCIETA' AGRICOLA - S.R.L.</t>
  </si>
  <si>
    <t>00623020302</t>
  </si>
  <si>
    <t>012100</t>
  </si>
  <si>
    <t>Udine</t>
  </si>
  <si>
    <t>Friuli-Venezia Giulia</t>
  </si>
  <si>
    <t>SAGIM S.R.L. - SOCIETA' AGRICOLA</t>
  </si>
  <si>
    <t>01765650153</t>
  </si>
  <si>
    <t>015000</t>
  </si>
  <si>
    <t>TENUTA DELLO SCOMPIGLIO SOCIETA' AGRICOLA A R.L.</t>
  </si>
  <si>
    <t>05702520486</t>
  </si>
  <si>
    <t>Lucca</t>
  </si>
  <si>
    <t>SOCIETA' AGRICOLA VALDASTRA S.R.L.</t>
  </si>
  <si>
    <t>03823940485</t>
  </si>
  <si>
    <t>011140</t>
  </si>
  <si>
    <t>Firenze</t>
  </si>
  <si>
    <t>IMMOBILIARE EFFE-E S.R.L.</t>
  </si>
  <si>
    <t>00533410528</t>
  </si>
  <si>
    <t>CORTE ALLA FLORA SOCIETA' A RESPONSABILITA' LIMITATA</t>
  </si>
  <si>
    <t>01440291001</t>
  </si>
  <si>
    <t>Roma</t>
  </si>
  <si>
    <t>DIEM SOCIETA' A RESPONSABILITA' LIMITATA</t>
  </si>
  <si>
    <t>02039710591</t>
  </si>
  <si>
    <t>011300</t>
  </si>
  <si>
    <t>SOCIETA' AGRICOLA LE BUCHE S.R.L</t>
  </si>
  <si>
    <t>02889050544</t>
  </si>
  <si>
    <t>SOCIETA' AGRICOLA FATTORIA QUERCIA AL POGGIO S.R.L.</t>
  </si>
  <si>
    <t>04651960488</t>
  </si>
  <si>
    <t>SOCIETA' AGRICOLA GIOVANNI TERENZI S.R.L.</t>
  </si>
  <si>
    <t>02570640603</t>
  </si>
  <si>
    <t>010000</t>
  </si>
  <si>
    <t>Frosinone</t>
  </si>
  <si>
    <t>Lazio</t>
  </si>
  <si>
    <t>Siracusa</t>
  </si>
  <si>
    <t>Sicilia</t>
  </si>
  <si>
    <t>AGRIVAR SOCIETA' AGRICOLA S.R.L. O AGRIVAR DI PALAZZO DI VARIGNANA SOC. AGR. S.R.L. OVVERO ANCORA AGRIVAR SOC. AGR. S.R.L.</t>
  </si>
  <si>
    <t>03474081209</t>
  </si>
  <si>
    <t>012100</t>
  </si>
  <si>
    <t>Bologna</t>
  </si>
  <si>
    <t>Emilia-Romagna</t>
  </si>
  <si>
    <t>TENUTA MASONE MANNU SOCIETA' AGRICOLA A RESPONSABILITA' LIMITATA</t>
  </si>
  <si>
    <t>02572250906</t>
  </si>
  <si>
    <t>Sassari</t>
  </si>
  <si>
    <t>Sardegna</t>
  </si>
  <si>
    <t>UNIONE AGRICOLA DI MELISSANO SOCIETA' COOPERATIVA</t>
  </si>
  <si>
    <t>00262320757</t>
  </si>
  <si>
    <t>Lecce</t>
  </si>
  <si>
    <t>Puglia</t>
  </si>
  <si>
    <t>016300</t>
  </si>
  <si>
    <t>AGRIFOOD SOC. COOP. AGRICOLA</t>
  </si>
  <si>
    <t>05164280827</t>
  </si>
  <si>
    <t>Palermo</t>
  </si>
  <si>
    <t>AZIENDA AGRICOLA VILLA A TOLLI S.R.L. - SOCIETA' AGRICOLA</t>
  </si>
  <si>
    <t>00904500527</t>
  </si>
  <si>
    <t>Siena</t>
  </si>
  <si>
    <t>Toscana</t>
  </si>
  <si>
    <t>NUTFRUIT ITALIA SOCIETA' AGRICOLA A RESPONSABILITA' LIMITATA</t>
  </si>
  <si>
    <t>00917500944</t>
  </si>
  <si>
    <t>012500</t>
  </si>
  <si>
    <t>Isernia</t>
  </si>
  <si>
    <t>Molise</t>
  </si>
  <si>
    <t>SUORMARCHESA S.R.L.</t>
  </si>
  <si>
    <t>05367750824</t>
  </si>
  <si>
    <t>LA ROCCA SRL SOCIETA' AGRICOLA</t>
  </si>
  <si>
    <t>01554070530</t>
  </si>
  <si>
    <t>Grosseto</t>
  </si>
  <si>
    <t>AZIENDA AGRICOLA STEFANINI S.R.L.</t>
  </si>
  <si>
    <t>01189330465</t>
  </si>
  <si>
    <t>012600</t>
  </si>
  <si>
    <t>Lucca</t>
  </si>
  <si>
    <t>PHARMAFIT AGT SRL SOCIETA' AGRICOLA</t>
  </si>
  <si>
    <t>02508110414</t>
  </si>
  <si>
    <t>012800</t>
  </si>
  <si>
    <t>Pesaro Urbino</t>
  </si>
  <si>
    <t>Marche</t>
  </si>
  <si>
    <t>NUOVA CONTADINA - SOCIETA' COOPERATIVA</t>
  </si>
  <si>
    <t>03382410755</t>
  </si>
  <si>
    <t>016000</t>
  </si>
  <si>
    <t>AZIENDA AGRICOLA TERRA MIA S.R.L.</t>
  </si>
  <si>
    <t>04591110871</t>
  </si>
  <si>
    <t>011310</t>
  </si>
  <si>
    <t>Lazio</t>
  </si>
  <si>
    <t>012100</t>
  </si>
  <si>
    <t>Friuli-Venezia Giulia</t>
  </si>
  <si>
    <t>011140</t>
  </si>
  <si>
    <t>Sardegna</t>
  </si>
  <si>
    <t>AZIENDA AGRICOLA TENUTA DI CORBARA SOCIETA' A RESPONSABILITA' LIMITATA</t>
  </si>
  <si>
    <t>02126481007</t>
  </si>
  <si>
    <t>012000</t>
  </si>
  <si>
    <t>Roma</t>
  </si>
  <si>
    <t>EDILBI S.R.L.</t>
  </si>
  <si>
    <t>00995260916</t>
  </si>
  <si>
    <t>016100</t>
  </si>
  <si>
    <t>Nuoro</t>
  </si>
  <si>
    <t>SOCIETA' AGRICOLA TENUTA SPANNOCCHIA S.R.L.</t>
  </si>
  <si>
    <t>01545740522</t>
  </si>
  <si>
    <t>Siena</t>
  </si>
  <si>
    <t>Toscana</t>
  </si>
  <si>
    <t>SOCIETA' AGRICOLA TORRESI GARDEN SRL</t>
  </si>
  <si>
    <t>01934950435</t>
  </si>
  <si>
    <t>011920</t>
  </si>
  <si>
    <t>Macerata</t>
  </si>
  <si>
    <t>Marche</t>
  </si>
  <si>
    <t>TENUTA CASTEANI SOCIETA' AGRICOLA A RESPONSABILITA' LIMITATA</t>
  </si>
  <si>
    <t>01300060538</t>
  </si>
  <si>
    <t>Grosseto</t>
  </si>
  <si>
    <t>SOCIETA' AGRICOLA MARCO PELLEREI S.R.L.</t>
  </si>
  <si>
    <t>01429790023</t>
  </si>
  <si>
    <t>Biella</t>
  </si>
  <si>
    <t>Piemonte</t>
  </si>
  <si>
    <t>SOCIETA' AGRICOLA TIERRE S.R.L.</t>
  </si>
  <si>
    <t>12931561000</t>
  </si>
  <si>
    <t>012600</t>
  </si>
  <si>
    <t>Puglia</t>
  </si>
  <si>
    <t>CORNACCHINO SOCIETA' AGRICOLA A R.L.</t>
  </si>
  <si>
    <t>01064540535</t>
  </si>
  <si>
    <t>CASA SERRA S.R.L. - SOCIETA' AGRICOLA</t>
  </si>
  <si>
    <t>01668720053</t>
  </si>
  <si>
    <t>014200</t>
  </si>
  <si>
    <t>Asti</t>
  </si>
  <si>
    <t>Firenze</t>
  </si>
  <si>
    <t>VENETA MAIS SOCIETA' A RESPONSABILITA' LIMITATA</t>
  </si>
  <si>
    <t>01828730273</t>
  </si>
  <si>
    <t>Venezia</t>
  </si>
  <si>
    <t>Veneto</t>
  </si>
  <si>
    <t>MAURIZIO BROGIONI WINERY SOCIETA' AGRICOLA A RESPONSABILITA' LIMITATA</t>
  </si>
  <si>
    <t>07095870486</t>
  </si>
  <si>
    <t>SOCIETA' AGRICOLA MASSERIA BARONI NUOVI S.R.L.</t>
  </si>
  <si>
    <t>02126620745</t>
  </si>
  <si>
    <t>Brindisi</t>
  </si>
  <si>
    <t>B-GREEN S.R.L.</t>
  </si>
  <si>
    <t>04267890277</t>
  </si>
  <si>
    <t>ARTE DELLA VIGNA SOCIETA' COOPERATIVA</t>
  </si>
  <si>
    <t>02422690301</t>
  </si>
  <si>
    <t>Udine</t>
  </si>
  <si>
    <t>AZIENDA AGRICOLA CANNETO S.R.L. SOCIETA' AGRICOLA</t>
  </si>
  <si>
    <t>00357730522</t>
  </si>
  <si>
    <t>SOCIETA' AGRICOLA UGOLINI S.R.L.</t>
  </si>
  <si>
    <t>03684290988</t>
  </si>
  <si>
    <t>012100</t>
  </si>
  <si>
    <t>Brescia</t>
  </si>
  <si>
    <t>Lombardia</t>
  </si>
  <si>
    <t>TENUTA DI PAGANICO SOCIETA' AGRICOLA S.P.A.</t>
  </si>
  <si>
    <t>00100000538</t>
  </si>
  <si>
    <t>014200</t>
  </si>
  <si>
    <t>Grosseto</t>
  </si>
  <si>
    <t>Toscana</t>
  </si>
  <si>
    <t>SOCIETA' AGRICOLA VIVAIO PICCOLI FRUTTI S.R.L.</t>
  </si>
  <si>
    <t>03804000655</t>
  </si>
  <si>
    <t>011910</t>
  </si>
  <si>
    <t>Salerno</t>
  </si>
  <si>
    <t>Campania</t>
  </si>
  <si>
    <t>FLORICOLTURA SCOTTO - SOCIETA' COOPERATIVA AGRICOLA SOCIALE</t>
  </si>
  <si>
    <t>01682350093</t>
  </si>
  <si>
    <t>011929</t>
  </si>
  <si>
    <t>Savona</t>
  </si>
  <si>
    <t>Liguria</t>
  </si>
  <si>
    <t>BELVEDERE SOCIETA' AGRICOLA S.R.L.</t>
  </si>
  <si>
    <t>05426360482</t>
  </si>
  <si>
    <t>Firenze</t>
  </si>
  <si>
    <t>OLEIFICIO ACLISTA L'AURICARRO SOCIETA' COOPERATIVA AGRICOLA</t>
  </si>
  <si>
    <t>00404060725</t>
  </si>
  <si>
    <t>012600</t>
  </si>
  <si>
    <t>Bari</t>
  </si>
  <si>
    <t>Puglia</t>
  </si>
  <si>
    <t>AZIENDA AGRICOLA DEL CASTELLO SOCIETA' AGRICOLA SRL</t>
  </si>
  <si>
    <t>03926310362</t>
  </si>
  <si>
    <t>011110</t>
  </si>
  <si>
    <t>Modena</t>
  </si>
  <si>
    <t>Emilia-Romagna</t>
  </si>
  <si>
    <t>AZIENDA AGRICOLA TENUTA SAN JACOPO IN CASTIGLIONI SOCIETA' AGRICOLA A R.L. O ABBREVIATAMENTE TENUTA SAN JACOPO IN CASTIGLIONI SOCIETA' AGRICOLA A R.L.</t>
  </si>
  <si>
    <t>00880920517</t>
  </si>
  <si>
    <t>Arezzo</t>
  </si>
  <si>
    <t>ORTOFRUTTICOLA DANIELA S.R.L. - SOCIETA' AGRICOLA</t>
  </si>
  <si>
    <t>03730750654</t>
  </si>
  <si>
    <t>011990</t>
  </si>
  <si>
    <t>SOCIETA' AGRICOLA S. UBERTO IN CERRECCHIA S.R.L.</t>
  </si>
  <si>
    <t>09860230151</t>
  </si>
  <si>
    <t>011000</t>
  </si>
  <si>
    <t>Milano</t>
  </si>
  <si>
    <t>SOCIETA' AGRICOLA LE PALAIE SOCIETA' A RESPONSABILITA' LIMITATA</t>
  </si>
  <si>
    <t>01140660497</t>
  </si>
  <si>
    <t>Pisa</t>
  </si>
  <si>
    <t>SOCIETA' COOPERATIVA AGRICOLA AGRUMARIA E DERIVATI SCAAD SOCIETA' COOPERATIVA A RESP.LIMITATA</t>
  </si>
  <si>
    <t>00120050802</t>
  </si>
  <si>
    <t>012300</t>
  </si>
  <si>
    <t>Reggio di Calabria</t>
  </si>
  <si>
    <t>Calabria</t>
  </si>
  <si>
    <t>VIVAI CASADEI SRL SOCIETA' AGRICOLA</t>
  </si>
  <si>
    <t>04293140408</t>
  </si>
  <si>
    <t>013000</t>
  </si>
  <si>
    <t>Forlì-Cesena</t>
  </si>
  <si>
    <t>Emilia-Romagna</t>
  </si>
  <si>
    <t>SOCIETA' AGRICOLA PODERE PRADAROLO S.R.L.</t>
  </si>
  <si>
    <t>02707090342</t>
  </si>
  <si>
    <t>012100</t>
  </si>
  <si>
    <t>Parma</t>
  </si>
  <si>
    <t>LANZAVECCHIA DANIELE S.R.L. SOCIETA' AGRICOLA</t>
  </si>
  <si>
    <t>03789930041</t>
  </si>
  <si>
    <t>Cuneo</t>
  </si>
  <si>
    <t>Piemonte</t>
  </si>
  <si>
    <t>016100</t>
  </si>
  <si>
    <t>Veneto</t>
  </si>
  <si>
    <t>VIVAI DELL'ELBA - SOCIETA' AGRICOLA A RESPONSABILITA' LIMITATA</t>
  </si>
  <si>
    <t>01026460491</t>
  </si>
  <si>
    <t>Livorno</t>
  </si>
  <si>
    <t>Toscana</t>
  </si>
  <si>
    <t>CARESA' SOCIETA' COOPERATIVA SOCIALE AGRICOLA</t>
  </si>
  <si>
    <t>04341240283</t>
  </si>
  <si>
    <t>011310</t>
  </si>
  <si>
    <t>Padova</t>
  </si>
  <si>
    <t>Lombardia</t>
  </si>
  <si>
    <t>Sicilia</t>
  </si>
  <si>
    <t>Lazio</t>
  </si>
  <si>
    <t>Milano</t>
  </si>
  <si>
    <t>IL CAMMINO DI FRANCESCO - SOCIETA' COOPERATIVA SOCIALE</t>
  </si>
  <si>
    <t>01149450577</t>
  </si>
  <si>
    <t>015000</t>
  </si>
  <si>
    <t>Rieti</t>
  </si>
  <si>
    <t>Campania</t>
  </si>
  <si>
    <t>SA PRODUCTION AGRICOLA S.R.L.S.</t>
  </si>
  <si>
    <t>01644340885</t>
  </si>
  <si>
    <t>011320</t>
  </si>
  <si>
    <t>Ragusa</t>
  </si>
  <si>
    <t>SOCIETA' AGRICOLA LE MACIOCHE S.R.L.</t>
  </si>
  <si>
    <t>01385940521</t>
  </si>
  <si>
    <t>Siena</t>
  </si>
  <si>
    <t>SOCIETA' AGRICOLA ALLEVAMENTO DENI SRL</t>
  </si>
  <si>
    <t>09018400151</t>
  </si>
  <si>
    <t>011000</t>
  </si>
  <si>
    <t>AGRIFURINI SRL</t>
  </si>
  <si>
    <t>01561950294</t>
  </si>
  <si>
    <t>Rovigo</t>
  </si>
  <si>
    <t>SOCIETA' AGRICOLA MUSTILLI S.R.L.</t>
  </si>
  <si>
    <t>02634860619</t>
  </si>
  <si>
    <t>Benevento</t>
  </si>
  <si>
    <t>ZILIO NUOVA MOTOTREBBIATURA S.R.L.</t>
  </si>
  <si>
    <t>01387570201</t>
  </si>
  <si>
    <t>016100</t>
  </si>
  <si>
    <t>Mantova</t>
  </si>
  <si>
    <t>Lombardia</t>
  </si>
  <si>
    <t>Matera</t>
  </si>
  <si>
    <t>Basilicata</t>
  </si>
  <si>
    <t>NAILMA VIVAI SOCIETA' AGRICOLA A RESPONSABILITA' LIMITATA</t>
  </si>
  <si>
    <t>01154160806</t>
  </si>
  <si>
    <t>013000</t>
  </si>
  <si>
    <t>Reggio di Calabria</t>
  </si>
  <si>
    <t>Calabria</t>
  </si>
  <si>
    <t>TERRE DI FRUTTA SOCIETA' AGRICOLA SRL</t>
  </si>
  <si>
    <t>02657920217</t>
  </si>
  <si>
    <t>012500</t>
  </si>
  <si>
    <t>Ferrara</t>
  </si>
  <si>
    <t>Emilia-Romagna</t>
  </si>
  <si>
    <t>Puglia</t>
  </si>
  <si>
    <t>AZIENDA SAN DONNINO SOCIETA' A RESPONSABILITA' LIMITATA</t>
  </si>
  <si>
    <t>01186221006</t>
  </si>
  <si>
    <t>012000</t>
  </si>
  <si>
    <t>Roma</t>
  </si>
  <si>
    <t>Lazio</t>
  </si>
  <si>
    <t>016300</t>
  </si>
  <si>
    <t>AZIENDA AGRICOLA IL PARADISO DI FRASSINA S.R.L. SOCIETA' AGRICOLA</t>
  </si>
  <si>
    <t>00389590522</t>
  </si>
  <si>
    <t>012100</t>
  </si>
  <si>
    <t>Siena</t>
  </si>
  <si>
    <t>Toscana</t>
  </si>
  <si>
    <t>011140</t>
  </si>
  <si>
    <t>UNIGROWERS SOCIETA' CONSORTILE AGRICOLA A RESPONSABILITA' LIMITAT A</t>
  </si>
  <si>
    <t>03000920599</t>
  </si>
  <si>
    <t>Latina</t>
  </si>
  <si>
    <t>CONTI DI BUSCARETO SOCIETA' AGRICOLA FORESTALE A R.L. ANCHE DEN OMINATA - CONTI DI BUSCARETO S.R.L.</t>
  </si>
  <si>
    <t>02119110423</t>
  </si>
  <si>
    <t>010000</t>
  </si>
  <si>
    <t>Ancona</t>
  </si>
  <si>
    <t>Marche</t>
  </si>
  <si>
    <t>SOCIETA' AGRICOLA S.A.C.R.A. S.R.L.</t>
  </si>
  <si>
    <t>12604070156</t>
  </si>
  <si>
    <t>Grosseto</t>
  </si>
  <si>
    <t>CAVES COOPERATIVES DE DONNAS - SOC. COOP.</t>
  </si>
  <si>
    <t>00151170073</t>
  </si>
  <si>
    <t>Valle d'Aosta/Vallée d'Aoste</t>
  </si>
  <si>
    <t>TENUTE DAMIANO SOCIETA' AGRICOLA A RESPONSABILITA' LIMITATA SIGLABILE TENUTE DAMIANO S.A.R.L. OVVERO TD S.A.R.L.</t>
  </si>
  <si>
    <t>00824250054</t>
  </si>
  <si>
    <t>Asti</t>
  </si>
  <si>
    <t>Piemonte</t>
  </si>
  <si>
    <t>SOCIETA' AGRICOLA DI TIRRENIA S.R.L.</t>
  </si>
  <si>
    <t>01195980501</t>
  </si>
  <si>
    <t>011000</t>
  </si>
  <si>
    <t>Pisa</t>
  </si>
  <si>
    <t>TENUTE BRUNO S.R.L. SOCIETA' AGRICOLA</t>
  </si>
  <si>
    <t>02846650733</t>
  </si>
  <si>
    <t>Taranto</t>
  </si>
  <si>
    <t>BRUNETTI GERARDO S.R.L. - SOCIETA' AGRICOLA</t>
  </si>
  <si>
    <t>01363530773</t>
  </si>
  <si>
    <t>TERRA-TERRA SOCIETA' COOPERATIVA AGRICOLA</t>
  </si>
  <si>
    <t>11414780012</t>
  </si>
  <si>
    <t>SOCIETA' AGRICOLA BRANCATELLI SRL</t>
  </si>
  <si>
    <t>01221070533</t>
  </si>
  <si>
    <t>Livorno</t>
  </si>
  <si>
    <t>MONTE GUSTO S.R.L.</t>
  </si>
  <si>
    <t>07640550724</t>
  </si>
  <si>
    <t>011310</t>
  </si>
  <si>
    <t>Barletta-Andria-Trani</t>
  </si>
  <si>
    <t>Puglia</t>
  </si>
  <si>
    <t>AGRICOLA DEL CHIANTI SOCIETA' AGRICOLA A R.L. (IN BREVE AGRICOLA DEL CHIANTI S.A.R.L. )</t>
  </si>
  <si>
    <t>04315490484</t>
  </si>
  <si>
    <t>012100</t>
  </si>
  <si>
    <t>Firenze</t>
  </si>
  <si>
    <t>Toscana</t>
  </si>
  <si>
    <t>FATTORIA PAGNANA S.P.A. - SOCIETA' AGRICOLA</t>
  </si>
  <si>
    <t>00429150485</t>
  </si>
  <si>
    <t>DIONISO SOCIETA' AGRICOLA S.R.L.</t>
  </si>
  <si>
    <t>10874110017</t>
  </si>
  <si>
    <t>011600</t>
  </si>
  <si>
    <t>Torino</t>
  </si>
  <si>
    <t>Piemonte</t>
  </si>
  <si>
    <t>IL CARATO SOCIETA' AGRICOLA A RL</t>
  </si>
  <si>
    <t>01909230896</t>
  </si>
  <si>
    <t>012600</t>
  </si>
  <si>
    <t>Siracusa</t>
  </si>
  <si>
    <t>Sicilia</t>
  </si>
  <si>
    <t>VIVAIO COOPERATIVO REGIONALE PIEMONTESE - SOCIETA' COOPERATIVA AGRICOLA SIGLABILE VIV. ALB. SOC.COOP.AGR.</t>
  </si>
  <si>
    <t>00951700046</t>
  </si>
  <si>
    <t>011910</t>
  </si>
  <si>
    <t>Cuneo</t>
  </si>
  <si>
    <t>Foggia</t>
  </si>
  <si>
    <t>SOCIETA' AGRICOLA COLLE FUNARO SRL, IN BREVE SOC. AGR. COLLE FUNARO SRL</t>
  </si>
  <si>
    <t>05551190969</t>
  </si>
  <si>
    <t>Teramo</t>
  </si>
  <si>
    <t>Abruzzo</t>
  </si>
  <si>
    <t>SOCIETA' COOPERATIVA AGRICOLA LA PERLA DEL SUD</t>
  </si>
  <si>
    <t>01643220880</t>
  </si>
  <si>
    <t>011320</t>
  </si>
  <si>
    <t>Ragusa</t>
  </si>
  <si>
    <t>BORGO DEI CONTI DELLA TORRE S.R.L. SOCIETA' AGRICOLA</t>
  </si>
  <si>
    <t>02072600303</t>
  </si>
  <si>
    <t>011140</t>
  </si>
  <si>
    <t>Pordenone</t>
  </si>
  <si>
    <t>Friuli-Venezia Giulia</t>
  </si>
  <si>
    <t>DOLOMITI AGRISOLAR SOCIETA' AGRICOLA S.R.L.</t>
  </si>
  <si>
    <t>02634590216</t>
  </si>
  <si>
    <t>011990</t>
  </si>
  <si>
    <t>Bolzano/Bozen</t>
  </si>
  <si>
    <t>Trentino-Alto Adige</t>
  </si>
  <si>
    <t>LE MACCHIE SOCIETA' AGRICOLA SRL</t>
  </si>
  <si>
    <t>02269910507</t>
  </si>
  <si>
    <t>014700</t>
  </si>
  <si>
    <t>Pisa</t>
  </si>
  <si>
    <t>SPQT SOCIETA' AGRICOLA SRL</t>
  </si>
  <si>
    <t>03389260716</t>
  </si>
  <si>
    <t>FATTORIA DI FUBBIANO SOCIETA' A RESPONSABILITA' LIMITATA - S.R.L. O FATTORIA DI FUBBIANO S.R.L.</t>
  </si>
  <si>
    <t>00473850469</t>
  </si>
  <si>
    <t>Lucca</t>
  </si>
  <si>
    <t>TRECCIANO S.R.L. SOCIETA' AGRICOLA</t>
  </si>
  <si>
    <t>00275560522</t>
  </si>
  <si>
    <t>Siena</t>
  </si>
  <si>
    <t>D.P.M. - S.R.L.</t>
  </si>
  <si>
    <t>03311660710</t>
  </si>
  <si>
    <t>011300</t>
  </si>
  <si>
    <t>SOCIETA' AGRICOLA PALLAVICINI MORI A R.L.</t>
  </si>
  <si>
    <t>10363791004</t>
  </si>
  <si>
    <t>011110</t>
  </si>
  <si>
    <t>Roma</t>
  </si>
  <si>
    <t>Lazio</t>
  </si>
  <si>
    <t>012300</t>
  </si>
  <si>
    <t>Cosenza</t>
  </si>
  <si>
    <t>Calabria</t>
  </si>
  <si>
    <t>SOCIETA' AGRICOLA FATTORIA COLLINE VERDI DI COSTANTINI ANTONIO SRL ENUNCIABILE ANCHE SOCIETA' AGRICOLA COSTANTINI ANTONIO SRL</t>
  </si>
  <si>
    <t>01306430685</t>
  </si>
  <si>
    <t>012100</t>
  </si>
  <si>
    <t>Pescara</t>
  </si>
  <si>
    <t>Abruzzo</t>
  </si>
  <si>
    <t>014100</t>
  </si>
  <si>
    <t>Emilia-Romagna</t>
  </si>
  <si>
    <t>Puglia</t>
  </si>
  <si>
    <t>GREEN VALLEY SOCIETA' AGRICOLA A R.L.</t>
  </si>
  <si>
    <t>02011900665</t>
  </si>
  <si>
    <t>012800</t>
  </si>
  <si>
    <t>L'Aquila</t>
  </si>
  <si>
    <t>Toscana</t>
  </si>
  <si>
    <t>CACCIA AGRICOLTURA S.R.L.S. SOCIETA' AGRICOLA</t>
  </si>
  <si>
    <t>04222610166</t>
  </si>
  <si>
    <t>Bergamo</t>
  </si>
  <si>
    <t>Lombardia</t>
  </si>
  <si>
    <t>BRAVE WINE SOCIETA' AGRICOLA S.R.L.</t>
  </si>
  <si>
    <t>01712350246</t>
  </si>
  <si>
    <t>015000</t>
  </si>
  <si>
    <t>Vicenza</t>
  </si>
  <si>
    <t>Veneto</t>
  </si>
  <si>
    <t>AGRICOOP SOCIETA' AGRICOLA COOPERATIVA IN SIGLA AGRICOOP S.A.C.</t>
  </si>
  <si>
    <t>00524331204</t>
  </si>
  <si>
    <t>016100</t>
  </si>
  <si>
    <t>Bologna</t>
  </si>
  <si>
    <t>FATTORIE DEL PELLEGRINO SOCIETA' COOPERATIVA AGRICOLA</t>
  </si>
  <si>
    <t>03028120784</t>
  </si>
  <si>
    <t>FIORI SECCHI CARUSO SRLS</t>
  </si>
  <si>
    <t>04241500711</t>
  </si>
  <si>
    <t>Foggia</t>
  </si>
  <si>
    <t>Sicilia</t>
  </si>
  <si>
    <t>TORRE CIVETTE SOCIETA' AGRICOLA S.R.L.</t>
  </si>
  <si>
    <t>00622110534</t>
  </si>
  <si>
    <t>012600</t>
  </si>
  <si>
    <t>Firenze</t>
  </si>
  <si>
    <t>IL GABBIANO SOCIETA' COOPERATIVA SOCIALE AGRICOLA</t>
  </si>
  <si>
    <t>00978380145</t>
  </si>
  <si>
    <t>Sondrio</t>
  </si>
  <si>
    <t>LA ZAGARA DI CASTIGLIA SOCIETA' COOPERATIVA AGRICOLA</t>
  </si>
  <si>
    <t>01892840891</t>
  </si>
  <si>
    <t>Siracusa</t>
  </si>
  <si>
    <t>CASE PERROTTA SRL</t>
  </si>
  <si>
    <t>04946550870</t>
  </si>
  <si>
    <t>012500</t>
  </si>
  <si>
    <t>Catania</t>
  </si>
  <si>
    <t>Sicilia</t>
  </si>
  <si>
    <t>SOCIETA' AGRICOLA CASTELLO D'UVIGLIE S.R.L.</t>
  </si>
  <si>
    <t>01911850061</t>
  </si>
  <si>
    <t>012100</t>
  </si>
  <si>
    <t>Alessandria</t>
  </si>
  <si>
    <t>Piemonte</t>
  </si>
  <si>
    <t>Puglia</t>
  </si>
  <si>
    <t>OVOFAST SOCIETA' COOPERATIVA AGRICOLA</t>
  </si>
  <si>
    <t>04096380755</t>
  </si>
  <si>
    <t>014700</t>
  </si>
  <si>
    <t>Lecce</t>
  </si>
  <si>
    <t>011320</t>
  </si>
  <si>
    <t>Lazio</t>
  </si>
  <si>
    <t>011110</t>
  </si>
  <si>
    <t>CONSORZIO NAZIONALE PRODUTTORI APISTICI SOCIETA' COOPERATIVA AGRI COLA</t>
  </si>
  <si>
    <t>01689030706</t>
  </si>
  <si>
    <t>014930</t>
  </si>
  <si>
    <t>Campobasso</t>
  </si>
  <si>
    <t>Molise</t>
  </si>
  <si>
    <t>SOCIETA' AGRICOLA LA FIORENTINA S.R.L.</t>
  </si>
  <si>
    <t>01345420481</t>
  </si>
  <si>
    <t>012600</t>
  </si>
  <si>
    <t>Firenze</t>
  </si>
  <si>
    <t>Toscana</t>
  </si>
  <si>
    <t>SOCIETA' AGRICOLA R &amp; R SOCIETA' A RESPONSABILITA' LIMITATA S.R.L IN SIGLA SOC. AGR. R &amp; R S.R.L.</t>
  </si>
  <si>
    <t>02745260790</t>
  </si>
  <si>
    <t>Catanzaro</t>
  </si>
  <si>
    <t>Calabria</t>
  </si>
  <si>
    <t>A.B.Z AGROTURISTICA, BIOLOGICA, ZOOTECNICA SOCIETA' COOPERATIVA AGRICOLA IN SIGLA A.B.Z SOCIETA' COOPERATIVA AGRICOLA</t>
  </si>
  <si>
    <t>01910280799</t>
  </si>
  <si>
    <t>016000</t>
  </si>
  <si>
    <t>CAPOANO S.R.L. - SOCIETA' AGRICOLA</t>
  </si>
  <si>
    <t>03737300792</t>
  </si>
  <si>
    <t>Crotone</t>
  </si>
  <si>
    <t>AGROVIVAI SOCIETA' COOPERATIVA AGRICOLA</t>
  </si>
  <si>
    <t>01398000818</t>
  </si>
  <si>
    <t>013000</t>
  </si>
  <si>
    <t>Trapani</t>
  </si>
  <si>
    <t>ORO DI SICILIA S.R.L.S.</t>
  </si>
  <si>
    <t>02689400816</t>
  </si>
  <si>
    <t>BORGO DI CARPIANO INN SOCIETA' AGRICOLA A RESPONSABILITA' LIMITAT A</t>
  </si>
  <si>
    <t>03154500544</t>
  </si>
  <si>
    <t>Perugia</t>
  </si>
  <si>
    <t>Umbria</t>
  </si>
  <si>
    <t>PAOLO GIUSEPPE SOCIETA' AGRICOLA S.R.L.</t>
  </si>
  <si>
    <t>04003370618</t>
  </si>
  <si>
    <t>Caserta</t>
  </si>
  <si>
    <t>Campania</t>
  </si>
  <si>
    <t>SOCIETA' AGRICOLA LA VALLE DELL'USIGNOLO S.R.L.</t>
  </si>
  <si>
    <t>03110510595</t>
  </si>
  <si>
    <t>Latina</t>
  </si>
  <si>
    <t>015000</t>
  </si>
  <si>
    <t>M&amp;L S.R.L. SOCIETA' AGRICOLA</t>
  </si>
  <si>
    <t>03923520138</t>
  </si>
  <si>
    <t>Como</t>
  </si>
  <si>
    <t>Lombardia</t>
  </si>
  <si>
    <t>014100</t>
  </si>
  <si>
    <t>Emilia-Romagna</t>
  </si>
  <si>
    <t>SOCIETA' AGRICOLA BOVA S.R.L.</t>
  </si>
  <si>
    <t>03796330797</t>
  </si>
  <si>
    <t>012600</t>
  </si>
  <si>
    <t>Catanzaro</t>
  </si>
  <si>
    <t>Calabria</t>
  </si>
  <si>
    <t>016300</t>
  </si>
  <si>
    <t>Campania</t>
  </si>
  <si>
    <t>BARONE DE RENZIS SONNINO SOCIETA' AGRICOLA A R.L. IN SIGLA B.D. R.S.A.R.L. OVVERO BARONE DE RENZIS SONNINO S.R.L. OVVERO B.D.R.S. S.R.L.</t>
  </si>
  <si>
    <t>01781950488</t>
  </si>
  <si>
    <t>012100</t>
  </si>
  <si>
    <t>Firenze</t>
  </si>
  <si>
    <t>Toscana</t>
  </si>
  <si>
    <t>PRODUTTORI DI LIMONI ASSOCIATI O.P. SOCIETA' CONSORTILE A RESPONS ABILITA' LIMITATA</t>
  </si>
  <si>
    <t>03657750786</t>
  </si>
  <si>
    <t>Cosenza</t>
  </si>
  <si>
    <t>SOCIETA' AGRICOLA COLLEBELLO S.R.L.</t>
  </si>
  <si>
    <t>00307800672</t>
  </si>
  <si>
    <t>Teramo</t>
  </si>
  <si>
    <t>Abruzzo</t>
  </si>
  <si>
    <t>ORGANIZZAZIONE DI PRODUTTORI ASSOCIAZIONE REGIONALE TRA PRODUTTOR I OLIVICOLI DELL'EMILIA ROMAGNA - SOCIETA' COOPERATIVA AGRICOLA OPPURE IN BREVE ORGANIZZAZIONE DI PRODUTTORI A.R.P.O. - SOCIETA' COOPERATIVA AGRICOLA .</t>
  </si>
  <si>
    <t>03606270407</t>
  </si>
  <si>
    <t>011120</t>
  </si>
  <si>
    <t>Rimini</t>
  </si>
  <si>
    <t>SOCIETA' AGRICOLA FERTILFARM SRL</t>
  </si>
  <si>
    <t>03004500215</t>
  </si>
  <si>
    <t>011140</t>
  </si>
  <si>
    <t>Verona</t>
  </si>
  <si>
    <t>Veneto</t>
  </si>
  <si>
    <t>LATTESANNIO SOCIETA' COOPERATIVA AGRICOLA</t>
  </si>
  <si>
    <t>01007250622</t>
  </si>
  <si>
    <t>Benevento</t>
  </si>
  <si>
    <t>CENTRO EQUINO ARCADIA S.R.L.</t>
  </si>
  <si>
    <t>07643930014</t>
  </si>
  <si>
    <t>016209</t>
  </si>
  <si>
    <t>Torino</t>
  </si>
  <si>
    <t>Piemonte</t>
  </si>
  <si>
    <t>VIVAISTICA F.LLI GENTILE SOCIETA' AGRICOLA A RESPONSABILITA' LIMI TATA</t>
  </si>
  <si>
    <t>01440040887</t>
  </si>
  <si>
    <t>013000</t>
  </si>
  <si>
    <t>Ragusa</t>
  </si>
  <si>
    <t>Sicilia</t>
  </si>
  <si>
    <t>GARDEN FAMILY COOPERATIVA AGRICOLA A R.L.</t>
  </si>
  <si>
    <t>07205691210</t>
  </si>
  <si>
    <t>011910</t>
  </si>
  <si>
    <t>Napoli</t>
  </si>
  <si>
    <t>Campania</t>
  </si>
  <si>
    <t>016300</t>
  </si>
  <si>
    <t>IL VIVAIO SOCIETA' AGRICOLA S.R.L.</t>
  </si>
  <si>
    <t>01682850886</t>
  </si>
  <si>
    <t>Brescia</t>
  </si>
  <si>
    <t>Lombardia</t>
  </si>
  <si>
    <t>012100</t>
  </si>
  <si>
    <t>APISTICA MEDITERRANEA - SOCIETA' COOPERATIVA AGRICOLA</t>
  </si>
  <si>
    <t>02256140928</t>
  </si>
  <si>
    <t>014930</t>
  </si>
  <si>
    <t>Sardegna</t>
  </si>
  <si>
    <t>Treviso</t>
  </si>
  <si>
    <t>Veneto</t>
  </si>
  <si>
    <t>015000</t>
  </si>
  <si>
    <t>Roma</t>
  </si>
  <si>
    <t>Lazio</t>
  </si>
  <si>
    <t>IL LAURETO S.R.L. SOCIETA' AGRICOLA</t>
  </si>
  <si>
    <t>02558390601</t>
  </si>
  <si>
    <t>Frosinone</t>
  </si>
  <si>
    <t>SOCIETA' AGRICOLA MONTE RE S.R.L.</t>
  </si>
  <si>
    <t>02747690986</t>
  </si>
  <si>
    <t>012600</t>
  </si>
  <si>
    <t>Forlì-Cesena</t>
  </si>
  <si>
    <t>Emilia-Romagna</t>
  </si>
  <si>
    <t>TENUTA LENZINI SOCIETA' AGRICOLA S.R.L.</t>
  </si>
  <si>
    <t>01492070469</t>
  </si>
  <si>
    <t>Lucca</t>
  </si>
  <si>
    <t>Toscana</t>
  </si>
  <si>
    <t>AOP GRUPPO VI.VA. VISIONE VALORE SOCIETA' COOPERATIVA AGRICOLA</t>
  </si>
  <si>
    <t>03973020401</t>
  </si>
  <si>
    <t>VALLE ROSA SOCIETA' AGRICOLA S.R.L.</t>
  </si>
  <si>
    <t>04521451007</t>
  </si>
  <si>
    <t>AGROSOL SOCIETA' COOPERATIVA</t>
  </si>
  <si>
    <t>04611420870</t>
  </si>
  <si>
    <t>Catania</t>
  </si>
  <si>
    <t>CASINO DI CACCIA SOCIETA' AGRICOLA S.R.L.</t>
  </si>
  <si>
    <t>04444280236</t>
  </si>
  <si>
    <t>Verona</t>
  </si>
  <si>
    <t>SOCIETA' AGRICOLA TERRE DEI LARGONI S.R.L.</t>
  </si>
  <si>
    <t>04961630268</t>
  </si>
  <si>
    <t>016100</t>
  </si>
  <si>
    <t>Veneto</t>
  </si>
  <si>
    <t>Emilia-Romagna</t>
  </si>
  <si>
    <t>FUNGAIA DEL POLLINO SOCIETA' AGRICOLA S.R.L.</t>
  </si>
  <si>
    <t>03673690784</t>
  </si>
  <si>
    <t>Cosenza</t>
  </si>
  <si>
    <t>Calabria</t>
  </si>
  <si>
    <t>Salerno</t>
  </si>
  <si>
    <t>Campania</t>
  </si>
  <si>
    <t>012100</t>
  </si>
  <si>
    <t>Siena</t>
  </si>
  <si>
    <t>Toscana</t>
  </si>
  <si>
    <t>VITALONGA S.R.L. SOCIETA' AGRICOLA</t>
  </si>
  <si>
    <t>01642220550</t>
  </si>
  <si>
    <t>Terni</t>
  </si>
  <si>
    <t>Umbria</t>
  </si>
  <si>
    <t>CONTE SPAGNOLETTI ZEULI ONOFRIO SOCIETA' AGRICOLA - S.R.L.</t>
  </si>
  <si>
    <t>06876880722</t>
  </si>
  <si>
    <t>012600</t>
  </si>
  <si>
    <t>Barletta-Andria-Trani</t>
  </si>
  <si>
    <t>Puglia</t>
  </si>
  <si>
    <t>AZIENDA AGRICOLA COLOGNOLE DI GABRIELLA SPALLETTI SOCIETA' AGRICO LA A RESPONSABILITA' LIMITATA (IN SIGLA COLOGNOLE S.R.L.)</t>
  </si>
  <si>
    <t>04227451004</t>
  </si>
  <si>
    <t>011000</t>
  </si>
  <si>
    <t>Roma</t>
  </si>
  <si>
    <t>Lazio</t>
  </si>
  <si>
    <t>MISITA SOCIETA' AGRICOLA S.R.L.</t>
  </si>
  <si>
    <t>02807860842</t>
  </si>
  <si>
    <t>011110</t>
  </si>
  <si>
    <t>Agrigento</t>
  </si>
  <si>
    <t>Sicilia</t>
  </si>
  <si>
    <t>016209</t>
  </si>
  <si>
    <t>Lombardia</t>
  </si>
  <si>
    <t>OMNIA GENETICA S.R.L.</t>
  </si>
  <si>
    <t>08485020963</t>
  </si>
  <si>
    <t>Lodi</t>
  </si>
  <si>
    <t>COOPERATIVA SOCIALE MANI INTRECCIATE COOPERATIVA SOCIALE</t>
  </si>
  <si>
    <t>00656180254</t>
  </si>
  <si>
    <t>011300</t>
  </si>
  <si>
    <t>Belluno</t>
  </si>
  <si>
    <t>AGRITUSCANY SOCIETA' AGRICOLA A RESPONSABILITA' LIMITATA</t>
  </si>
  <si>
    <t>01509310536</t>
  </si>
  <si>
    <t>Grosseto</t>
  </si>
  <si>
    <t>ROAN SOCIETA' AGRICOLA S.R.L.</t>
  </si>
  <si>
    <t>02395480649</t>
  </si>
  <si>
    <t>Avellino</t>
  </si>
  <si>
    <t>ARGILLAE S.R.L. - SOCIETA' AGRICOLA</t>
  </si>
  <si>
    <t>01919510600</t>
  </si>
  <si>
    <t>Frosinone</t>
  </si>
  <si>
    <t>I SODI SOCIETA' AGRICOLA S.R.L. (IN SIGLA I SODI S.R.L. )</t>
  </si>
  <si>
    <t>00109800524</t>
  </si>
  <si>
    <t>SAIPAN SOCIETA' AGRICOLA S.R.L.</t>
  </si>
  <si>
    <t>00482430659</t>
  </si>
  <si>
    <t>AZIENDA AGRICOLA CASTELVETRO S.R.L.</t>
  </si>
  <si>
    <t>00779910967</t>
  </si>
  <si>
    <t>Modena</t>
  </si>
  <si>
    <t>COOPERATIVE DE L'ENFER SOC.COOP.</t>
  </si>
  <si>
    <t>00143190072</t>
  </si>
  <si>
    <t>Valle d'Aosta/Vallée d'Aoste</t>
  </si>
  <si>
    <t>013000</t>
  </si>
  <si>
    <t>Sicilia</t>
  </si>
  <si>
    <t>Campania</t>
  </si>
  <si>
    <t>Puglia</t>
  </si>
  <si>
    <t>FLORSICILIA SOCIETA' AGRICOLA S.R.L.</t>
  </si>
  <si>
    <t>04052970870</t>
  </si>
  <si>
    <t>Catania</t>
  </si>
  <si>
    <t>Toscana</t>
  </si>
  <si>
    <t>SOCIETA' AGRICOLA TRINGALI-CASANUOVA S.R.L.</t>
  </si>
  <si>
    <t>08182040967</t>
  </si>
  <si>
    <t>012600</t>
  </si>
  <si>
    <t>Milano</t>
  </si>
  <si>
    <t>Lombardia</t>
  </si>
  <si>
    <t>011140</t>
  </si>
  <si>
    <t>Roma</t>
  </si>
  <si>
    <t>Lazio</t>
  </si>
  <si>
    <t>IPOM S.R.L. SOCIETA' AGRICOLA</t>
  </si>
  <si>
    <t>03307831200</t>
  </si>
  <si>
    <t>011320</t>
  </si>
  <si>
    <t>Bologna</t>
  </si>
  <si>
    <t>Emilia-Romagna</t>
  </si>
  <si>
    <t>RINASCITA AGRICOLA - SOC. COOP. A R.L.</t>
  </si>
  <si>
    <t>00422470757</t>
  </si>
  <si>
    <t>Lecce</t>
  </si>
  <si>
    <t>BORGO IMPERIALE S.R.L. SOCIETA' AGRICOLA</t>
  </si>
  <si>
    <t>12961911000</t>
  </si>
  <si>
    <t>011110</t>
  </si>
  <si>
    <t>AGRIENERGY BIO SRL SOCIETA' AGRICOLA</t>
  </si>
  <si>
    <t>04162240164</t>
  </si>
  <si>
    <t>Bergamo</t>
  </si>
  <si>
    <t>GALARDI S.R.L. - SOCIETA' AGRICOLA</t>
  </si>
  <si>
    <t>02549530612</t>
  </si>
  <si>
    <t>012100</t>
  </si>
  <si>
    <t>Caserta</t>
  </si>
  <si>
    <t>AGRESTIS SOCIETA' COOPERATIVA AGRICOLA</t>
  </si>
  <si>
    <t>01440920898</t>
  </si>
  <si>
    <t>Siracusa</t>
  </si>
  <si>
    <t>SOCIETA' AGRICOLA CAROBBIO S.R.L.</t>
  </si>
  <si>
    <t>03465570137</t>
  </si>
  <si>
    <t>Firenze</t>
  </si>
  <si>
    <t>TENUTA DI CANNETO - SOCIETA' AGRICOLA A R.L.</t>
  </si>
  <si>
    <t>00680370301</t>
  </si>
  <si>
    <t>012100</t>
  </si>
  <si>
    <t>Udine</t>
  </si>
  <si>
    <t>Friuli-Venezia Giulia</t>
  </si>
  <si>
    <t>012600</t>
  </si>
  <si>
    <t>Calabria</t>
  </si>
  <si>
    <t>GLI ACERI DI OMATE S.R.L. SOCIETA' AGRICOLA</t>
  </si>
  <si>
    <t>09200440965</t>
  </si>
  <si>
    <t>012900</t>
  </si>
  <si>
    <t>Milano</t>
  </si>
  <si>
    <t>Lombardia</t>
  </si>
  <si>
    <t>016300</t>
  </si>
  <si>
    <t>Sicilia</t>
  </si>
  <si>
    <t>SOCIETA' AGRICOLA BIO METAPONTINA SOCIETA' A RESPONSABILITA' LIMITATA</t>
  </si>
  <si>
    <t>08115150727</t>
  </si>
  <si>
    <t>Bari</t>
  </si>
  <si>
    <t>Puglia</t>
  </si>
  <si>
    <t>Campania</t>
  </si>
  <si>
    <t>BONIFICA TERRENI LOMBARDI SOCIETA' AGRICOLA A R.L.</t>
  </si>
  <si>
    <t>01529570150</t>
  </si>
  <si>
    <t>012400</t>
  </si>
  <si>
    <t>Monza e della Brianza</t>
  </si>
  <si>
    <t>SOCIETA' AGRICOLA FATTORIA DEL TESO S.R.L.</t>
  </si>
  <si>
    <t>00522310465</t>
  </si>
  <si>
    <t>Lucca</t>
  </si>
  <si>
    <t>Toscana</t>
  </si>
  <si>
    <t>Ragusa</t>
  </si>
  <si>
    <t>SOCIETA' AGRICOLA VILLA D'ARTE S.R.L.</t>
  </si>
  <si>
    <t>06979090484</t>
  </si>
  <si>
    <t>Firenze</t>
  </si>
  <si>
    <t>SOCIETA' AGRICOLA ROMA GARDEN SOCIETA' A RESPONSABILITA' LIMITATA SEMPLIFICATA</t>
  </si>
  <si>
    <t>12851351002</t>
  </si>
  <si>
    <t>011920</t>
  </si>
  <si>
    <t>Roma</t>
  </si>
  <si>
    <t>Lazio</t>
  </si>
  <si>
    <t>AGRIPEPPERS SOCIETA' COOPERATIVA AGRICOLA</t>
  </si>
  <si>
    <t>01842690768</t>
  </si>
  <si>
    <t>Potenza</t>
  </si>
  <si>
    <t>Basilicata</t>
  </si>
  <si>
    <t>M.M.C. S.R.L. SOCIETA' AGRICOLA</t>
  </si>
  <si>
    <t>01778500882</t>
  </si>
  <si>
    <t>011310</t>
  </si>
  <si>
    <t>FATTORIA ABBAZIA MONTE OLIVETO SOCIETA' AGRICOLA A RESPONSABILITA' LIMITATA O, IN SIGLA, F.A.M.O. S.R.L. SOCIETA' AGRICOLA</t>
  </si>
  <si>
    <t>00539110528</t>
  </si>
  <si>
    <t>Siena</t>
  </si>
  <si>
    <t>A.P.O.C.C. - ASSOCIAZIONE PRODUTTORI OVINI E CAPRINI DELLA CALABRIA - SOCIETA' COOPERATIVA</t>
  </si>
  <si>
    <t>00769850793</t>
  </si>
  <si>
    <t>016000</t>
  </si>
  <si>
    <t>Crotone</t>
  </si>
  <si>
    <t>AZIENDA FLORPAESTUM SOCIETA' AGRICOLA S.R.L.</t>
  </si>
  <si>
    <t>04704850652</t>
  </si>
  <si>
    <t>Salerno</t>
  </si>
  <si>
    <t>FATTORIA L'OLMETTO SOCIETA' AGRICOLA A RESPONSABILITA' LIMITATA SEMPLIFICATA</t>
  </si>
  <si>
    <t>02176270508</t>
  </si>
  <si>
    <t>011140</t>
  </si>
  <si>
    <t>Pisa</t>
  </si>
  <si>
    <t>SOCIETA' AGRICOLA I GIRASOLI DI SANT'ANDREA S.R.L.</t>
  </si>
  <si>
    <t>00597220540</t>
  </si>
  <si>
    <t>Perugia</t>
  </si>
  <si>
    <t>Umbria</t>
  </si>
  <si>
    <t>SOCIETA' AGRICOLA TENUTA LA TENAGLIA SRL</t>
  </si>
  <si>
    <t>01581540067</t>
  </si>
  <si>
    <t>012100</t>
  </si>
  <si>
    <t>Alessandria</t>
  </si>
  <si>
    <t>Piemonte</t>
  </si>
  <si>
    <t>011140</t>
  </si>
  <si>
    <t>Emilia-Romagna</t>
  </si>
  <si>
    <t>Roma</t>
  </si>
  <si>
    <t>Lazio</t>
  </si>
  <si>
    <t>CO.P.A. TRIGOLESE SOCIETA' AGRICOLA COOPERATIVA</t>
  </si>
  <si>
    <t>00175390194</t>
  </si>
  <si>
    <t>014900</t>
  </si>
  <si>
    <t>Cremona</t>
  </si>
  <si>
    <t>Lombardia</t>
  </si>
  <si>
    <t>LATTERIA SOCIALE DI TALMASSONS SOCIETA' COOPERATIVA AGRICOLA</t>
  </si>
  <si>
    <t>00659340301</t>
  </si>
  <si>
    <t>016000</t>
  </si>
  <si>
    <t>Udine</t>
  </si>
  <si>
    <t>Friuli-Venezia Giulia</t>
  </si>
  <si>
    <t>AGRICOLA CECILIA METELLA S.R.L.</t>
  </si>
  <si>
    <t>01904821004</t>
  </si>
  <si>
    <t>011900</t>
  </si>
  <si>
    <t>AIPOL SOCIETA' COOPERATIVA AGRICOLA</t>
  </si>
  <si>
    <t>03306740170</t>
  </si>
  <si>
    <t>016100</t>
  </si>
  <si>
    <t>Brescia</t>
  </si>
  <si>
    <t>AGRIMONT S.R.L.</t>
  </si>
  <si>
    <t>02781990730</t>
  </si>
  <si>
    <t>012900</t>
  </si>
  <si>
    <t>Taranto</t>
  </si>
  <si>
    <t>Puglia</t>
  </si>
  <si>
    <t>SERENE S.R.L. SOCIETA' AGRICOLA - SERENE - TERRE DI CATULLO</t>
  </si>
  <si>
    <t>03934100235</t>
  </si>
  <si>
    <t>Verona</t>
  </si>
  <si>
    <t>Veneto</t>
  </si>
  <si>
    <t>SCHOLA SARMENTI S.R.L. SOCIETA' AGRICOLA</t>
  </si>
  <si>
    <t>04635570759</t>
  </si>
  <si>
    <t>Lecce</t>
  </si>
  <si>
    <t>SOCIETA' AGRICOLA PODERE RIOSTO - SOCIETA' A RESPONSABILITA' LIMITATA</t>
  </si>
  <si>
    <t>01824771206</t>
  </si>
  <si>
    <t>Bologna</t>
  </si>
  <si>
    <t>SOCIETA' AGRICOLA F.LLI CANNIZZARO S.R.L.</t>
  </si>
  <si>
    <t>01393910888</t>
  </si>
  <si>
    <t>014700</t>
  </si>
  <si>
    <t>Ragusa</t>
  </si>
  <si>
    <t>Sicilia</t>
  </si>
  <si>
    <t>SOCIETA' AGRICOLA SUVIGNANO S.R.L.</t>
  </si>
  <si>
    <t>00051010528</t>
  </si>
  <si>
    <t>011110</t>
  </si>
  <si>
    <t>Palermo</t>
  </si>
  <si>
    <t>FRANTOIO DEL GREVEPESA - SOCIETA' AGRICOLA COOPERATIVA</t>
  </si>
  <si>
    <t>01325620480</t>
  </si>
  <si>
    <t>012600</t>
  </si>
  <si>
    <t>Firenze</t>
  </si>
  <si>
    <t>Toscana</t>
  </si>
  <si>
    <t>SOCIETA' AGRICOLA POGGIO MORI S.R.L.</t>
  </si>
  <si>
    <t>01191030525</t>
  </si>
  <si>
    <t>012100</t>
  </si>
  <si>
    <t>Siena</t>
  </si>
  <si>
    <t>016300</t>
  </si>
  <si>
    <t>Piemonte</t>
  </si>
  <si>
    <t>LE ERBE DI JANAS S.R.L.</t>
  </si>
  <si>
    <t>01191300951</t>
  </si>
  <si>
    <t>012800</t>
  </si>
  <si>
    <t>Oristano</t>
  </si>
  <si>
    <t>Sardegna</t>
  </si>
  <si>
    <t>Cuneo</t>
  </si>
  <si>
    <t>GREEN ESSE S.R.L.</t>
  </si>
  <si>
    <t>07595790721</t>
  </si>
  <si>
    <t>016100</t>
  </si>
  <si>
    <t>Bari</t>
  </si>
  <si>
    <t>Puglia</t>
  </si>
  <si>
    <t>NURAGHE CRABIONI SOCIETA' AGRICOLA S.R.L.</t>
  </si>
  <si>
    <t>02055670901</t>
  </si>
  <si>
    <t>Sassari</t>
  </si>
  <si>
    <t>PODERE ROVERAT - SOCIETA' AGRICOLA SRL</t>
  </si>
  <si>
    <t>04368350270</t>
  </si>
  <si>
    <t>Treviso</t>
  </si>
  <si>
    <t>Veneto</t>
  </si>
  <si>
    <t>SOCIETA' AGRICOLA SASSA AL SOLE HORSES S.R.L.</t>
  </si>
  <si>
    <t>02194860504</t>
  </si>
  <si>
    <t>Pisa</t>
  </si>
  <si>
    <t>BIOLANGA - SOCIETA' COOPERATIVA AGRICOLA</t>
  </si>
  <si>
    <t>02766050047</t>
  </si>
  <si>
    <t>Calabria</t>
  </si>
  <si>
    <t>LE CAREZZE S.R.L.</t>
  </si>
  <si>
    <t>04716590239</t>
  </si>
  <si>
    <t>Verona</t>
  </si>
  <si>
    <t>SOCIETA' AGRICOLA MULINUM SOCIETA' A RESPONSABILITA' LIMITATA</t>
  </si>
  <si>
    <t>03548610793</t>
  </si>
  <si>
    <t>Catanzaro</t>
  </si>
  <si>
    <t>COOPERATIVA SOCIALE MONTERICCO</t>
  </si>
  <si>
    <t>02581720287</t>
  </si>
  <si>
    <t>011920</t>
  </si>
  <si>
    <t>Padova</t>
  </si>
  <si>
    <t>SOCIETA' AGRICOLA LA CA' SRL</t>
  </si>
  <si>
    <t>03585760238</t>
  </si>
  <si>
    <t>015000</t>
  </si>
  <si>
    <t>Emilia-Romagna</t>
  </si>
  <si>
    <t>VIVAI FRATELLI ZICHITTELLA SOCIETA' AGRICOLA S.R.L.</t>
  </si>
  <si>
    <t>02648480818</t>
  </si>
  <si>
    <t>013000</t>
  </si>
  <si>
    <t>Trapani</t>
  </si>
  <si>
    <t>Sicilia</t>
  </si>
  <si>
    <t>012100</t>
  </si>
  <si>
    <t>Siena</t>
  </si>
  <si>
    <t>Toscana</t>
  </si>
  <si>
    <t>TORRE S.R.L. - SOCIETA' AGRICOLA</t>
  </si>
  <si>
    <t>00750750523</t>
  </si>
  <si>
    <t>IL PALAZZONE S.R.L. SOCIETA' AGRICOLA</t>
  </si>
  <si>
    <t>01023260522</t>
  </si>
  <si>
    <t>012600</t>
  </si>
  <si>
    <t>CONSORZIO PRODUTTORI BIOLOGICI ORTUS SOCIETA' COOPERATIVA</t>
  </si>
  <si>
    <t>02183870126</t>
  </si>
  <si>
    <t>011310</t>
  </si>
  <si>
    <t>Varese</t>
  </si>
  <si>
    <t>Lombardia</t>
  </si>
  <si>
    <t>SETTE COLLI COOPERATIVA TRA VITICOLTORI SOCIETA' COOPERATIVA AGR ICOLA , SIGLABILE IN SETTE COLLI S.C.A.</t>
  </si>
  <si>
    <t>00070060058</t>
  </si>
  <si>
    <t>Asti</t>
  </si>
  <si>
    <t>Piemonte</t>
  </si>
  <si>
    <t>012500</t>
  </si>
  <si>
    <t>Campania</t>
  </si>
  <si>
    <t>016100</t>
  </si>
  <si>
    <t>VITALCONSERVE S.R.L.</t>
  </si>
  <si>
    <t>01829630712</t>
  </si>
  <si>
    <t>Foggia</t>
  </si>
  <si>
    <t>Puglia</t>
  </si>
  <si>
    <t>CONSORZIO DI TUTELA DEL VITELLONE BIANCO DELL'APPENNINO CENTRALE- IGP</t>
  </si>
  <si>
    <t>02815810540</t>
  </si>
  <si>
    <t>016209</t>
  </si>
  <si>
    <t>Perugia</t>
  </si>
  <si>
    <t>Umbria</t>
  </si>
  <si>
    <t>COOPERATIVA AGRICOLA RIMINESE</t>
  </si>
  <si>
    <t>00302910401</t>
  </si>
  <si>
    <t>Rimini</t>
  </si>
  <si>
    <t>PAESAGGI - SOCIETA' COOPERATIVA</t>
  </si>
  <si>
    <t>02637020047</t>
  </si>
  <si>
    <t>011910</t>
  </si>
  <si>
    <t>Cuneo</t>
  </si>
  <si>
    <t>Salerno</t>
  </si>
  <si>
    <t>TENUTA L'INCANTO SRL</t>
  </si>
  <si>
    <t>08304651212</t>
  </si>
  <si>
    <t>Napoli</t>
  </si>
  <si>
    <t>SOCIETA' AGRICOLA PIANIROSSI S.R.L.</t>
  </si>
  <si>
    <t>01262650532</t>
  </si>
  <si>
    <t>012000</t>
  </si>
  <si>
    <t>Grosseto</t>
  </si>
  <si>
    <t>SOCIETA' AGRICOLA CANTINE APICELLA GIUSEPPE S.R.L.</t>
  </si>
  <si>
    <t>05554580653</t>
  </si>
  <si>
    <t>DAMIANO SOCIETA' AGRICOLA S.R.L.</t>
  </si>
  <si>
    <t>03250370834</t>
  </si>
  <si>
    <t>Messina</t>
  </si>
  <si>
    <t>SOCIETA' AGRICOLA MACCHIALUPA S.R.L.</t>
  </si>
  <si>
    <t>02260640640</t>
  </si>
  <si>
    <t>012100</t>
  </si>
  <si>
    <t>Avellino</t>
  </si>
  <si>
    <t>Campania</t>
  </si>
  <si>
    <t>POMOSALENTO SOCIETA' AGRICOLA SOCIETA' A RESPONSABILITA' LIMITATA SEMPLIFICATA</t>
  </si>
  <si>
    <t>05162980758</t>
  </si>
  <si>
    <t>011310</t>
  </si>
  <si>
    <t>Lecce</t>
  </si>
  <si>
    <t>Puglia</t>
  </si>
  <si>
    <t>IL TRATTORE - SOCIETA COOPERATIVA SOCIALE A R.L</t>
  </si>
  <si>
    <t>01291241006</t>
  </si>
  <si>
    <t>Roma</t>
  </si>
  <si>
    <t>Lazio</t>
  </si>
  <si>
    <t>016100</t>
  </si>
  <si>
    <t>Lombardia</t>
  </si>
  <si>
    <t>AGRICOLA SAVIGNOLA PAOLINA - SOCIETA' AGRICOLA A RESPONSABILITA' LIMITATA</t>
  </si>
  <si>
    <t>06546710481</t>
  </si>
  <si>
    <t>Firenze</t>
  </si>
  <si>
    <t>Toscana</t>
  </si>
  <si>
    <t>011140</t>
  </si>
  <si>
    <t>SOCIETA' AGRICOLA FATTORIA VALACCHI S.R.L.</t>
  </si>
  <si>
    <t>06926460483</t>
  </si>
  <si>
    <t>LA BLAVE DI MORTEAN SOCIETA' COOPERATIVA AGRICOLA</t>
  </si>
  <si>
    <t>02206600302</t>
  </si>
  <si>
    <t>Udine</t>
  </si>
  <si>
    <t>Friuli-Venezia Giulia</t>
  </si>
  <si>
    <t>015000</t>
  </si>
  <si>
    <t>LHV SAN VITO SOCIETA' AGRICOLA A RESPONSABILITA' LIMITATASIGLABIL E LHV S.R.L. AG</t>
  </si>
  <si>
    <t>01654720059</t>
  </si>
  <si>
    <t>Asti</t>
  </si>
  <si>
    <t>Piemonte</t>
  </si>
  <si>
    <t>SOCIETA' AGRICOLA MACCARI S.R.L.</t>
  </si>
  <si>
    <t>03675220267</t>
  </si>
  <si>
    <t>Treviso</t>
  </si>
  <si>
    <t>Veneto</t>
  </si>
  <si>
    <t>LA FATTORIA DELL'AUTOSUFFICIENZA SOCIETA' AGRICOLA A RESPONSABILI TA' LIMITATA SOCIETA' BENEFIT</t>
  </si>
  <si>
    <t>03777150404</t>
  </si>
  <si>
    <t>011110</t>
  </si>
  <si>
    <t>Forlì-Cesena</t>
  </si>
  <si>
    <t>Emilia-Romagna</t>
  </si>
  <si>
    <t>Teramo</t>
  </si>
  <si>
    <t>Abruzzo</t>
  </si>
  <si>
    <t>Sicilia</t>
  </si>
  <si>
    <t>PANGEA BIOFARM SOCIETA' AGRICOLA S.R.L.</t>
  </si>
  <si>
    <t>03979660986</t>
  </si>
  <si>
    <t>Bergamo</t>
  </si>
  <si>
    <t>TERRE DI GIAFAR SOCIETA' COOPERATIVA AGRICOLA A MUTUALITA' PREVALENTE</t>
  </si>
  <si>
    <t>02323760815</t>
  </si>
  <si>
    <t>Trapani</t>
  </si>
  <si>
    <t>TERRA DI EA - SOCIETA' COOPERATIVA AGRICOLA</t>
  </si>
  <si>
    <t>01937130670</t>
  </si>
  <si>
    <t>POLI SOCIETA' AGRICOLA S.R.L.</t>
  </si>
  <si>
    <t>04959100282</t>
  </si>
  <si>
    <t>Padova</t>
  </si>
  <si>
    <t>ENOLOGO PER AMORE S.R.L. SOCIETA' AGRICOLA</t>
  </si>
  <si>
    <t>08009230726</t>
  </si>
  <si>
    <t>Bari</t>
  </si>
  <si>
    <t>LA CASA DEL MULINO SOCIETA' AGRICOLA SRL</t>
  </si>
  <si>
    <t>03644200135</t>
  </si>
  <si>
    <t>012500</t>
  </si>
  <si>
    <t>Como</t>
  </si>
  <si>
    <t>F.LLI QUAGLIA SOCIETA' AGRICOLA A RESPONSABILITA' LIMITATA</t>
  </si>
  <si>
    <t>02558350068</t>
  </si>
  <si>
    <t>Alessandria</t>
  </si>
  <si>
    <t>DI REDA S.R.L. SOCIETA' AGRICOLA</t>
  </si>
  <si>
    <t>04255310718</t>
  </si>
  <si>
    <t>Foggia</t>
  </si>
  <si>
    <t>Puglia</t>
  </si>
  <si>
    <t>PANIZZARI S.R.L. - SOCIETA' AGRICOLA</t>
  </si>
  <si>
    <t>10441100962</t>
  </si>
  <si>
    <t>012100</t>
  </si>
  <si>
    <t>Milano</t>
  </si>
  <si>
    <t>Lombardia</t>
  </si>
  <si>
    <t>AZIENDA AGRARIA ORTOSUD S.R.L.SOCIETA' AGRICOLA</t>
  </si>
  <si>
    <t>02072720713</t>
  </si>
  <si>
    <t>011300</t>
  </si>
  <si>
    <t>Foggia</t>
  </si>
  <si>
    <t>LATTERIA TURNARIA DI TIGNALE - SOCIETA' AGRICOLA COOPERATIVA</t>
  </si>
  <si>
    <t>00584780985</t>
  </si>
  <si>
    <t>012600</t>
  </si>
  <si>
    <t>Brescia</t>
  </si>
  <si>
    <t>Sicilia</t>
  </si>
  <si>
    <t>016000</t>
  </si>
  <si>
    <t>016300</t>
  </si>
  <si>
    <t>ALLEVATORI SANNITI - SOCIETA' COOPERATIVA AGRICOLA</t>
  </si>
  <si>
    <t>01344010622</t>
  </si>
  <si>
    <t>Benevento</t>
  </si>
  <si>
    <t>Campania</t>
  </si>
  <si>
    <t>CONSORZIO PROVINCIALE ZOOTECNICO E LATTIERO-CASEARIO SOCIETA' COOPERATIVA AGRICOLA</t>
  </si>
  <si>
    <t>00679390245</t>
  </si>
  <si>
    <t>Vicenza</t>
  </si>
  <si>
    <t>Veneto</t>
  </si>
  <si>
    <t>SORAIN CECCHINI S.P.A.</t>
  </si>
  <si>
    <t>00983871005</t>
  </si>
  <si>
    <t>011000</t>
  </si>
  <si>
    <t>Roma</t>
  </si>
  <si>
    <t>Lazio</t>
  </si>
  <si>
    <t>PURA SOCIETA' AGRICOLA A RESPONSABILITA' LIMITATA</t>
  </si>
  <si>
    <t>02633530205</t>
  </si>
  <si>
    <t>011600</t>
  </si>
  <si>
    <t>Mantova</t>
  </si>
  <si>
    <t>SOCIETA' AGRICOLA BIOHORTOPLANT S.R.L.</t>
  </si>
  <si>
    <t>01090590868</t>
  </si>
  <si>
    <t>013000</t>
  </si>
  <si>
    <t>Enna</t>
  </si>
  <si>
    <t>BOSCOROSSO SOCIETA' AGRICOLA A R.L.</t>
  </si>
  <si>
    <t>00878080431</t>
  </si>
  <si>
    <t>011140</t>
  </si>
  <si>
    <t>Macerata</t>
  </si>
  <si>
    <t>Marche</t>
  </si>
  <si>
    <t>SOCIETA' AGRICOLA PIANTARA S.R.L.</t>
  </si>
  <si>
    <t>01467510671</t>
  </si>
  <si>
    <t>015000</t>
  </si>
  <si>
    <t>Teramo</t>
  </si>
  <si>
    <t>Abruzzo</t>
  </si>
  <si>
    <t>COOPERATIVA CO.V.E.R. - COOPERATIVA VIVAISTI EMILIANO ROMAGNOLI - SOCIETA' COOPERATIVA AGRICOLA</t>
  </si>
  <si>
    <t>00691430391</t>
  </si>
  <si>
    <t>Ravenna</t>
  </si>
  <si>
    <t>Emilia-Romagna</t>
  </si>
  <si>
    <t>SOCIETA' AGRICOLA GENNARO PIGLIACAMPO S.R.L.</t>
  </si>
  <si>
    <t>01959280676</t>
  </si>
  <si>
    <t>011110</t>
  </si>
  <si>
    <t>CONSORZIO CENTRO COMMERCIALE LE VALLETTE</t>
  </si>
  <si>
    <t>02535830232</t>
  </si>
  <si>
    <t>Verona</t>
  </si>
  <si>
    <t>012100</t>
  </si>
  <si>
    <t>SOCIETA' COOPERATIVA AGRICOLA SUD PONTINO A RESPONSABILITA' LIMITATA</t>
  </si>
  <si>
    <t>02975720596</t>
  </si>
  <si>
    <t>016300</t>
  </si>
  <si>
    <t>Latina</t>
  </si>
  <si>
    <t>Lazio</t>
  </si>
  <si>
    <t>016100</t>
  </si>
  <si>
    <t>Veneto</t>
  </si>
  <si>
    <t>TRUFFLELAND SOCIETA' AGRICOLA S.R.L.</t>
  </si>
  <si>
    <t>03582160549</t>
  </si>
  <si>
    <t>011110</t>
  </si>
  <si>
    <t>Perugia</t>
  </si>
  <si>
    <t>Umbria</t>
  </si>
  <si>
    <t>FATTORIA AZIENDA AGRICOLA FERRACCI SOCIETA' AGRICOLA A RESPONSABILITA' LIMITATA</t>
  </si>
  <si>
    <t>02948890609</t>
  </si>
  <si>
    <t>014100</t>
  </si>
  <si>
    <t>Frosinone</t>
  </si>
  <si>
    <t>CASACOCO' SOCIETA' AGRICOLA S.R.L.</t>
  </si>
  <si>
    <t>10960011004</t>
  </si>
  <si>
    <t>011310</t>
  </si>
  <si>
    <t>Roma</t>
  </si>
  <si>
    <t>Puglia</t>
  </si>
  <si>
    <t>SOCIETA' AGRICOLA VIVAI BUEMI S.R.L.</t>
  </si>
  <si>
    <t>02661930731</t>
  </si>
  <si>
    <t>013000</t>
  </si>
  <si>
    <t>Taranto</t>
  </si>
  <si>
    <t>ROYALVIVAI SOCIETA' AGRICOLA A R.L.</t>
  </si>
  <si>
    <t>05016830282</t>
  </si>
  <si>
    <t>Padova</t>
  </si>
  <si>
    <t>GLI SPINONI SOCIETA' COOPERATIVA AGRICOLA SOCIALE A R.L.</t>
  </si>
  <si>
    <t>01340460334</t>
  </si>
  <si>
    <t>012800</t>
  </si>
  <si>
    <t>Piacenza</t>
  </si>
  <si>
    <t>Emilia-Romagna</t>
  </si>
  <si>
    <t>POTENTINO SOCIETA' AGRICOLA S.R.L.</t>
  </si>
  <si>
    <t>01203170533</t>
  </si>
  <si>
    <t>Grosseto</t>
  </si>
  <si>
    <t>Toscana</t>
  </si>
  <si>
    <t>015000</t>
  </si>
  <si>
    <t>COOPERATIVA AGRICOLA RURALE ISOLA DI BORGONOVO</t>
  </si>
  <si>
    <t>01580260998</t>
  </si>
  <si>
    <t>012600</t>
  </si>
  <si>
    <t>Genova</t>
  </si>
  <si>
    <t>Liguria</t>
  </si>
  <si>
    <t>MONTE S.CROCE SOCIETA' COOPERATIVA AGRICOLA</t>
  </si>
  <si>
    <t>02323580619</t>
  </si>
  <si>
    <t>Caserta</t>
  </si>
  <si>
    <t>Campania</t>
  </si>
  <si>
    <t>SOCIETA' AGRICOLA FRANCHINI S.R.L.</t>
  </si>
  <si>
    <t>04043770231</t>
  </si>
  <si>
    <t>Verona</t>
  </si>
  <si>
    <t>Friuli-Venezia Giulia</t>
  </si>
  <si>
    <t>SOCIETA' AGRICOLA GREIFHOF S.R.L.</t>
  </si>
  <si>
    <t>02335210213</t>
  </si>
  <si>
    <t>012000</t>
  </si>
  <si>
    <t>Bolzano/Bozen</t>
  </si>
  <si>
    <t>Trentino-Alto Adige</t>
  </si>
  <si>
    <t>IMMOBILIARE AGRICOLA PIEMONTESE - SOCIETA' A RESPONSABILITA' LIMI TATA</t>
  </si>
  <si>
    <t>00187300058</t>
  </si>
  <si>
    <t>Asti</t>
  </si>
  <si>
    <t>Piemonte</t>
  </si>
  <si>
    <t>LA PERLA DEL TEVERE SOCIETA' AGRICOLA S.R.L.</t>
  </si>
  <si>
    <t>02889970600</t>
  </si>
  <si>
    <t>MERISTEMA S.R.L. SOCIETA' AGRICOLA</t>
  </si>
  <si>
    <t>01044260501</t>
  </si>
  <si>
    <t>Pisa</t>
  </si>
  <si>
    <t>BORGO MUMMIALLA - S.R.L.</t>
  </si>
  <si>
    <t>04961470483</t>
  </si>
  <si>
    <t>Firenze</t>
  </si>
  <si>
    <t>PAR PLASE' SOCIETA' COOPERATIVA AGRICOLA</t>
  </si>
  <si>
    <t>02811090303</t>
  </si>
  <si>
    <t>012400</t>
  </si>
  <si>
    <t>Udine</t>
  </si>
  <si>
    <t>SOCIETA' AGRICOLA CERULLI IRELLI SPINOZZI S.R.L.</t>
  </si>
  <si>
    <t>01524120670</t>
  </si>
  <si>
    <t>Teramo</t>
  </si>
  <si>
    <t>Abruzzo</t>
  </si>
  <si>
    <t>CASALASCO AGRICOLA SOCIETA' AGRICOLA A RESPONSABILITA' LIMITATA, IN FORMA ABBREVIATA C.A. SOCIETA' AGRICOLA A RESPONSABILITA' LIMITATA</t>
  </si>
  <si>
    <t>01638610194</t>
  </si>
  <si>
    <t>011310</t>
  </si>
  <si>
    <t>Cremona</t>
  </si>
  <si>
    <t>Lombardia</t>
  </si>
  <si>
    <t>012600</t>
  </si>
  <si>
    <t>Lazio</t>
  </si>
  <si>
    <t>WIPPLAND SOCIETA' AGRICOLA COOPERATIVA</t>
  </si>
  <si>
    <t>02716550211</t>
  </si>
  <si>
    <t>016209</t>
  </si>
  <si>
    <t>Bolzano/Bozen</t>
  </si>
  <si>
    <t>Trentino-Alto Adige</t>
  </si>
  <si>
    <t>VITO CARDINALI - SOCIETA' AGRICOLA A RESPONSABILITA' LIMITATA</t>
  </si>
  <si>
    <t>00393270426</t>
  </si>
  <si>
    <t>012100</t>
  </si>
  <si>
    <t>Ancona</t>
  </si>
  <si>
    <t>Marche</t>
  </si>
  <si>
    <t>011110</t>
  </si>
  <si>
    <t>ALBIATI SOCIETA' AGRICOLA A R.L.</t>
  </si>
  <si>
    <t>01576450538</t>
  </si>
  <si>
    <t>013000</t>
  </si>
  <si>
    <t>Grosseto</t>
  </si>
  <si>
    <t>Toscana</t>
  </si>
  <si>
    <t>Veneto</t>
  </si>
  <si>
    <t>AZIENDA AGRICOLA LAMORETTI SOCIETA' AGRICOLA A RESPONSABILITA' LIMITATA</t>
  </si>
  <si>
    <t>02235990344</t>
  </si>
  <si>
    <t>Parma</t>
  </si>
  <si>
    <t>Emilia-Romagna</t>
  </si>
  <si>
    <t>POMODORIA - SOCIETA' AGRICOLA A RESPONSABILITA' LIMITATA</t>
  </si>
  <si>
    <t>09210381217</t>
  </si>
  <si>
    <t>Napoli</t>
  </si>
  <si>
    <t>Campania</t>
  </si>
  <si>
    <t>GREENWELL SOCIETA' AGRICOLA S.R.L.</t>
  </si>
  <si>
    <t>04246160370</t>
  </si>
  <si>
    <t>Bologna</t>
  </si>
  <si>
    <t>Liguria</t>
  </si>
  <si>
    <t>MURATELLA - SOCIETA' AGRICOLA A RESPONSABILITA' LIMITATA</t>
  </si>
  <si>
    <t>02014901009</t>
  </si>
  <si>
    <t>011000</t>
  </si>
  <si>
    <t>Roma</t>
  </si>
  <si>
    <t>MOCAJO SOCIETA' AGRICOLA S.R.L.</t>
  </si>
  <si>
    <t>01369020506</t>
  </si>
  <si>
    <t>Pisa</t>
  </si>
  <si>
    <t>SOCIETA' AGRICOLA SAN GIUSTO S.R.L.</t>
  </si>
  <si>
    <t>06346100487</t>
  </si>
  <si>
    <t>Firenze</t>
  </si>
  <si>
    <t>BIRRIFICIO DELL'ALTAVIA SRL AGRICOLA</t>
  </si>
  <si>
    <t>01693290098</t>
  </si>
  <si>
    <t>Savona</t>
  </si>
  <si>
    <t>SOCIETA' AGRICOLA FAUSTI S.R.L.</t>
  </si>
  <si>
    <t>13157191001</t>
  </si>
  <si>
    <t>Fermo</t>
  </si>
  <si>
    <t>SOCIETA' AGRICOLA ACQUAMARZA S.R.L.</t>
  </si>
  <si>
    <t>06077760962</t>
  </si>
  <si>
    <t>Rovigo</t>
  </si>
  <si>
    <t>015000</t>
  </si>
  <si>
    <t>Perugia</t>
  </si>
  <si>
    <t>Umbria</t>
  </si>
  <si>
    <t>AZIENDA AGRARIA SEMONTE - SOCIETA' AGRICOLA - S.R.L.</t>
  </si>
  <si>
    <t>01393320542</t>
  </si>
  <si>
    <t>012100</t>
  </si>
  <si>
    <t>SANVIR WEB STORE MULTISERVICE SOCIETA' A RESPONSABILITA' LIMITATA SEMPLIFICATA</t>
  </si>
  <si>
    <t>03520930920</t>
  </si>
  <si>
    <t>011300</t>
  </si>
  <si>
    <t>Cagliari</t>
  </si>
  <si>
    <t>Sardegna</t>
  </si>
  <si>
    <t>SOCIETA' AGRICOLA CANTINA GIBA SRL O BREVEMENTE CANTINA GIBA SRL</t>
  </si>
  <si>
    <t>03507520926</t>
  </si>
  <si>
    <t>ENERGETICA BIOMETANO SOCIETA' AGRICOLA SRL</t>
  </si>
  <si>
    <t>03986510166</t>
  </si>
  <si>
    <t>Milano</t>
  </si>
  <si>
    <t>Lombardia</t>
  </si>
  <si>
    <t>Salerno</t>
  </si>
  <si>
    <t>Campania</t>
  </si>
  <si>
    <t>LA VECCHIA FATTORIA - S.R.L.</t>
  </si>
  <si>
    <t>02046640609</t>
  </si>
  <si>
    <t>012600</t>
  </si>
  <si>
    <t>Frosinone</t>
  </si>
  <si>
    <t>Lazio</t>
  </si>
  <si>
    <t>VINTERRA - COOPERATIVA SOCIALE O.N.L.U.S.</t>
  </si>
  <si>
    <t>02860070214</t>
  </si>
  <si>
    <t>012000</t>
  </si>
  <si>
    <t>Bolzano/Bozen</t>
  </si>
  <si>
    <t>Trentino-Alto Adige</t>
  </si>
  <si>
    <t>Toscana</t>
  </si>
  <si>
    <t>CE.LA.FA. SOCIETA' COOPERATIVA AGRICOLA ZOOTECNICA</t>
  </si>
  <si>
    <t>01891970871</t>
  </si>
  <si>
    <t>016000</t>
  </si>
  <si>
    <t>Catania</t>
  </si>
  <si>
    <t>Sicilia</t>
  </si>
  <si>
    <t>AVELLANA ITALIA S.R.L.</t>
  </si>
  <si>
    <t>02089570564</t>
  </si>
  <si>
    <t>012500</t>
  </si>
  <si>
    <t>Avellino</t>
  </si>
  <si>
    <t>SOCIETA' AGRICOLA VILLA MORNETO SRL</t>
  </si>
  <si>
    <t>05871080965</t>
  </si>
  <si>
    <t>011140</t>
  </si>
  <si>
    <t>Monza e della Brianza</t>
  </si>
  <si>
    <t>VIVAI VIGLIOTTI - SOCIETA' AGRICOLA - S.R.L.</t>
  </si>
  <si>
    <t>03457340614</t>
  </si>
  <si>
    <t>013000</t>
  </si>
  <si>
    <t>Caserta</t>
  </si>
  <si>
    <t>Veneto</t>
  </si>
  <si>
    <t>NURSIA-SOCIETA' A RESPONSABILITA' LIMITATA</t>
  </si>
  <si>
    <t>05010610482</t>
  </si>
  <si>
    <t>Firenze</t>
  </si>
  <si>
    <t>SOCIETA' AGRICOLA TENUTA NA.RI. S.R.L.</t>
  </si>
  <si>
    <t>04932300652</t>
  </si>
  <si>
    <t>010000</t>
  </si>
  <si>
    <t>SOCIETA' AGRICOLA BRIGNANO ENERGIA S.R.L.</t>
  </si>
  <si>
    <t>03983810163</t>
  </si>
  <si>
    <t>011110</t>
  </si>
  <si>
    <t>Bergamo</t>
  </si>
  <si>
    <t>VIVAIO GALLURA S.R.L. - SOCIETA' AGRICOLA</t>
  </si>
  <si>
    <t>02477080903</t>
  </si>
  <si>
    <t>011920</t>
  </si>
  <si>
    <t>Sassari</t>
  </si>
  <si>
    <t>ABBAZIA DI PRAGLIA SOCIETA' AGRICOLA A RESPONSABILITA' LIMITATA</t>
  </si>
  <si>
    <t>04172390280</t>
  </si>
  <si>
    <t>Padova</t>
  </si>
  <si>
    <t>RAZZA DEL SOLE - SOCIETA' AGRICOLA - S.R.L.</t>
  </si>
  <si>
    <t>00356260125</t>
  </si>
  <si>
    <t>014300</t>
  </si>
  <si>
    <t>Varese</t>
  </si>
  <si>
    <t>SOCIETA' AGRICOLA LE TENUTE SOCIETA' A RESPONSABILITA' LIMITATA</t>
  </si>
  <si>
    <t>12860281000</t>
  </si>
  <si>
    <t>Roma</t>
  </si>
  <si>
    <t>TERRA D'ORO SOCIETA' AGRICOLA A RESPONSABILITA' LIMITATA</t>
  </si>
  <si>
    <t>07739690720</t>
  </si>
  <si>
    <t>012600</t>
  </si>
  <si>
    <t>Barletta-Andria-Trani</t>
  </si>
  <si>
    <t>Puglia</t>
  </si>
  <si>
    <t>STAGNO DI SAN TEODORO S.P.A.</t>
  </si>
  <si>
    <t>01090960913</t>
  </si>
  <si>
    <t>016000</t>
  </si>
  <si>
    <t>Sassari</t>
  </si>
  <si>
    <t>Sardegna</t>
  </si>
  <si>
    <t>Lombardia</t>
  </si>
  <si>
    <t>SOCIETA' AGRICOLA STELLA A RESPONSABILITA' LIMITATA</t>
  </si>
  <si>
    <t>01111590319</t>
  </si>
  <si>
    <t>012100</t>
  </si>
  <si>
    <t>Gorizia</t>
  </si>
  <si>
    <t>Friuli-Venezia Giulia</t>
  </si>
  <si>
    <t>AZIENDA AGRICOLA LA CASTELLINA SOC. COOP.</t>
  </si>
  <si>
    <t>01451440695</t>
  </si>
  <si>
    <t>Chieti</t>
  </si>
  <si>
    <t>Abruzzo</t>
  </si>
  <si>
    <t>Piemonte</t>
  </si>
  <si>
    <t>Salerno</t>
  </si>
  <si>
    <t>Campania</t>
  </si>
  <si>
    <t>CASTELLO DI CIGOGNOLA SOCIETA' AGRICOLA S.R.L.</t>
  </si>
  <si>
    <t>02758720185</t>
  </si>
  <si>
    <t>Pavia</t>
  </si>
  <si>
    <t>011140</t>
  </si>
  <si>
    <t>AGRILAVORI SOCIETA' COOPERATIVA AGRICOLA</t>
  </si>
  <si>
    <t>02759070549</t>
  </si>
  <si>
    <t>Perugia</t>
  </si>
  <si>
    <t>Umbria</t>
  </si>
  <si>
    <t>PAMILO SOCIETA' AGRICOLA - S.R.L.</t>
  </si>
  <si>
    <t>04707120657</t>
  </si>
  <si>
    <t>011310</t>
  </si>
  <si>
    <t>IDEARISO SOCIETA' AGRICOLA S.R.L.</t>
  </si>
  <si>
    <t>02577230028</t>
  </si>
  <si>
    <t>Vercelli</t>
  </si>
  <si>
    <t>LA TORRE DELL'OLIVETO SOCIETA' AGRICOLA A RESPONSABILITA' LIMITAT A</t>
  </si>
  <si>
    <t>03607550542</t>
  </si>
  <si>
    <t>011110</t>
  </si>
  <si>
    <t>Campania</t>
  </si>
  <si>
    <t>011140</t>
  </si>
  <si>
    <t>Perugia</t>
  </si>
  <si>
    <t>Umbria</t>
  </si>
  <si>
    <t>SOCIETA' AGRICOLA FRANCIACORTA S.R.L.</t>
  </si>
  <si>
    <t>03852200983</t>
  </si>
  <si>
    <t>012100</t>
  </si>
  <si>
    <t>Brescia</t>
  </si>
  <si>
    <t>Lombardia</t>
  </si>
  <si>
    <t>016100</t>
  </si>
  <si>
    <t>Venezia</t>
  </si>
  <si>
    <t>Veneto</t>
  </si>
  <si>
    <t>SOCIETA' AGRICOLA TENUTA MORIANO S.R.L.S.</t>
  </si>
  <si>
    <t>07021100487</t>
  </si>
  <si>
    <t>Firenze</t>
  </si>
  <si>
    <t>Toscana</t>
  </si>
  <si>
    <t>AZIENDA AGRICOLA ZANGANI SOCIETA' AGRICOLA A RESPONSABILITA' LIMITATA</t>
  </si>
  <si>
    <t>01392280119</t>
  </si>
  <si>
    <t>La Spezia</t>
  </si>
  <si>
    <t>Liguria</t>
  </si>
  <si>
    <t>Emilia-Romagna</t>
  </si>
  <si>
    <t>SOCIETA' AGRICOLA FONDI RUSTICI MONTELABATE SOCIETA' A RESPONSABILITA' LIMITATA CON SOCIO UNICO</t>
  </si>
  <si>
    <t>01514940996</t>
  </si>
  <si>
    <t>011000</t>
  </si>
  <si>
    <t>Genova</t>
  </si>
  <si>
    <t>CONSORZIO PRODUTTORI MARRONI ALTA VALLE SENIO</t>
  </si>
  <si>
    <t>02246830398</t>
  </si>
  <si>
    <t>012000</t>
  </si>
  <si>
    <t>Ravenna</t>
  </si>
  <si>
    <t>TUSCULUM - SOCIETA COOPERATIVA A RESPONSABILITA LIMITATA</t>
  </si>
  <si>
    <t>02132471000</t>
  </si>
  <si>
    <t>Roma</t>
  </si>
  <si>
    <t>Lazio</t>
  </si>
  <si>
    <t>TENUTA BELLAFONTE SOCIETA' AGRICOLA A R.L.</t>
  </si>
  <si>
    <t>02976340543</t>
  </si>
  <si>
    <t>Piemonte</t>
  </si>
  <si>
    <t>VINORY SRL SOCIETA' AGRICOLA</t>
  </si>
  <si>
    <t>01618420051</t>
  </si>
  <si>
    <t>Asti</t>
  </si>
  <si>
    <t>CANTINE ANGELINO SOCIETA' AGRICOLA S.R.L.</t>
  </si>
  <si>
    <t>08423731218</t>
  </si>
  <si>
    <t>Napoli</t>
  </si>
  <si>
    <t>DEEL POWER GREEN RINETTA SRL</t>
  </si>
  <si>
    <t>01591440191</t>
  </si>
  <si>
    <t>Cremona</t>
  </si>
  <si>
    <t>BENETAZZO SPAZIOVERDE S.R.L.</t>
  </si>
  <si>
    <t>03343850271</t>
  </si>
  <si>
    <t>013000</t>
  </si>
  <si>
    <t>TENUTA MORINIELLO SOCIETA' AGRICOLA S.R.L.</t>
  </si>
  <si>
    <t>06727140482</t>
  </si>
  <si>
    <t>SOCIETA' AGRICOLA AGRITURISMO IL CASALE SRL UNIPERSONALE</t>
  </si>
  <si>
    <t>02009610433</t>
  </si>
  <si>
    <t>Macerata</t>
  </si>
  <si>
    <t>Marche</t>
  </si>
  <si>
    <t>LE CORTI DEI FARFENSI SOCIETA' AGRICOLA SRL</t>
  </si>
  <si>
    <t>01582430441</t>
  </si>
  <si>
    <t>Fermo</t>
  </si>
  <si>
    <t>FONDAZIONE DE CLARICINI DORNPACHER</t>
  </si>
  <si>
    <t>00511290306</t>
  </si>
  <si>
    <t>Udine</t>
  </si>
  <si>
    <t>Friuli-Venezia Giulia</t>
  </si>
  <si>
    <t>SOCIETA' AGRICOLA FONTI S.R.L.</t>
  </si>
  <si>
    <t>06695070489</t>
  </si>
  <si>
    <t>Napoli</t>
  </si>
  <si>
    <t>Campania</t>
  </si>
  <si>
    <t>MASSERIA DELLE SORGENTI FERRARELLE S.R.L. SOCIETA' AGRICOLA</t>
  </si>
  <si>
    <t>06828181211</t>
  </si>
  <si>
    <t>012000</t>
  </si>
  <si>
    <t>SOCIETA' AGRICOLA VICARA S.R.L.</t>
  </si>
  <si>
    <t>01543970063</t>
  </si>
  <si>
    <t>012100</t>
  </si>
  <si>
    <t>Alessandria</t>
  </si>
  <si>
    <t>Piemonte</t>
  </si>
  <si>
    <t>011110</t>
  </si>
  <si>
    <t>Lombardia</t>
  </si>
  <si>
    <t>Toscana</t>
  </si>
  <si>
    <t>Emilia-Romagna</t>
  </si>
  <si>
    <t>Cuneo</t>
  </si>
  <si>
    <t>AGRISMART S.R.L. SOCIETA' AGRICOLA</t>
  </si>
  <si>
    <t>02539100038</t>
  </si>
  <si>
    <t>011200</t>
  </si>
  <si>
    <t>Novara</t>
  </si>
  <si>
    <t>SOCIETA' AGRICOLA FEOLFRUIT S.R.L.</t>
  </si>
  <si>
    <t>08985161218</t>
  </si>
  <si>
    <t>012500</t>
  </si>
  <si>
    <t>SOCIETA' AGRICOLA FORTEMASSO SRL</t>
  </si>
  <si>
    <t>03887970048</t>
  </si>
  <si>
    <t>CLOROFILLA SOCIETA' AGRICOLA COOPERATIVA IN SIGLA: CLOROFILLA SOC. AGR. COOP.</t>
  </si>
  <si>
    <t>01942560408</t>
  </si>
  <si>
    <t>011000</t>
  </si>
  <si>
    <t>Forlì-Cesena</t>
  </si>
  <si>
    <t>AZIENDA AGRICOLA LA MORESCA S.R.L.</t>
  </si>
  <si>
    <t>01319530893</t>
  </si>
  <si>
    <t>011300</t>
  </si>
  <si>
    <t>Siracusa</t>
  </si>
  <si>
    <t>Sicilia</t>
  </si>
  <si>
    <t>THE FOUR SEASONS S.R.L. - SOCIETA' AGRICOLA</t>
  </si>
  <si>
    <t>04115990162</t>
  </si>
  <si>
    <t>Monza e della Brianza</t>
  </si>
  <si>
    <t>AZIENDA IL BOTOLO S.R.L. - SOCIETA' AGRICOLA SIGLABILE: IL BOTOLO S.R.L. AZIENDA AGRICOLA</t>
  </si>
  <si>
    <t>01155270059</t>
  </si>
  <si>
    <t>Asti</t>
  </si>
  <si>
    <t>SOCIETA' AGRICOLA G.V.M. S.R.L. UNIPERSONALE</t>
  </si>
  <si>
    <t>01479730531</t>
  </si>
  <si>
    <t>013000</t>
  </si>
  <si>
    <t>Grosseto</t>
  </si>
  <si>
    <t>SOCIETA' AGRICOLA SANTO STEFANO S.R.L.</t>
  </si>
  <si>
    <t>04022350989</t>
  </si>
  <si>
    <t>Brescia</t>
  </si>
  <si>
    <t>014100</t>
  </si>
  <si>
    <t>012300</t>
  </si>
  <si>
    <t>Calabria</t>
  </si>
  <si>
    <t>011310</t>
  </si>
  <si>
    <t>Emilia-Romagna</t>
  </si>
  <si>
    <t>012100</t>
  </si>
  <si>
    <t>Toscana</t>
  </si>
  <si>
    <t>SOCIETA' AGRICOLA SRG S.R.L.</t>
  </si>
  <si>
    <t>02845890785</t>
  </si>
  <si>
    <t>Cosenza</t>
  </si>
  <si>
    <t>COOPERATIVA AGRICOLA DI CASTELLUCCIO DI NORCIA, SOCIETA' COOPERAT IVA</t>
  </si>
  <si>
    <t>00540790540</t>
  </si>
  <si>
    <t>011990</t>
  </si>
  <si>
    <t>Perugia</t>
  </si>
  <si>
    <t>Umbria</t>
  </si>
  <si>
    <t>CIMINI - S.R.L.</t>
  </si>
  <si>
    <t>02775200658</t>
  </si>
  <si>
    <t>Salerno</t>
  </si>
  <si>
    <t>Campania</t>
  </si>
  <si>
    <t>CANTINA SOCIALE ENOTRIA - SOCIETA' COOPERATIVA AGRICOLA PER AZION</t>
  </si>
  <si>
    <t>00144370756</t>
  </si>
  <si>
    <t>Lecce</t>
  </si>
  <si>
    <t>Puglia</t>
  </si>
  <si>
    <t>BIOCOLOMBINI SRL SOCIETA' AGRICOLA</t>
  </si>
  <si>
    <t>02274200506</t>
  </si>
  <si>
    <t>Pisa</t>
  </si>
  <si>
    <t>011110</t>
  </si>
  <si>
    <t>2L SOCIETA' AGRICOLA SRL</t>
  </si>
  <si>
    <t>03075680219</t>
  </si>
  <si>
    <t>Brescia</t>
  </si>
  <si>
    <t>Lombardia</t>
  </si>
  <si>
    <t>SOCIETA' AGRICOLA GREA S.R.L.</t>
  </si>
  <si>
    <t>03600640365</t>
  </si>
  <si>
    <t>Modena</t>
  </si>
  <si>
    <t>GREEN LEAF S.R.L. SOCIETA' AGRICOLA</t>
  </si>
  <si>
    <t>05870980652</t>
  </si>
  <si>
    <t>013000</t>
  </si>
  <si>
    <t>IL RACCOLTO DEL CILENTO S.R.L.- SOCIETA' AGRICOLA</t>
  </si>
  <si>
    <t>05388270653</t>
  </si>
  <si>
    <t>016300</t>
  </si>
  <si>
    <t>Roma</t>
  </si>
  <si>
    <t>Lazio</t>
  </si>
  <si>
    <t>Milano</t>
  </si>
  <si>
    <t>Lombardia</t>
  </si>
  <si>
    <t>BENIGNA PER LO SVILUPPO ED IL MIGLIORAMENTO AGRARIO SOCIETA' AGRICOLA S.R.L.</t>
  </si>
  <si>
    <t>03461900155</t>
  </si>
  <si>
    <t>011200</t>
  </si>
  <si>
    <t>Pavia</t>
  </si>
  <si>
    <t>BARONE DE CLES SOCIETA' AGRICOLA S.R.L.</t>
  </si>
  <si>
    <t>02522760228</t>
  </si>
  <si>
    <t>012100</t>
  </si>
  <si>
    <t>Trento</t>
  </si>
  <si>
    <t>Trentino-Alto Adige</t>
  </si>
  <si>
    <t>SOCIETA' AGRICOLA PUNTO ROSSO S.R.L.</t>
  </si>
  <si>
    <t>01740060882</t>
  </si>
  <si>
    <t>011310</t>
  </si>
  <si>
    <t>Ragusa</t>
  </si>
  <si>
    <t>Sicilia</t>
  </si>
  <si>
    <t>011110</t>
  </si>
  <si>
    <t>Emilia-Romagna</t>
  </si>
  <si>
    <t>PARIDE IARETTI &amp; C. S.R.L. - SOCIETA' AGRICOLA</t>
  </si>
  <si>
    <t>02599120025</t>
  </si>
  <si>
    <t>Vercelli</t>
  </si>
  <si>
    <t>Piemonte</t>
  </si>
  <si>
    <t>016100</t>
  </si>
  <si>
    <t>Firenze</t>
  </si>
  <si>
    <t>Toscana</t>
  </si>
  <si>
    <t>DISANAPIANTA SOCIETA' AGRICOLA COOPERATIVA</t>
  </si>
  <si>
    <t>11714740013</t>
  </si>
  <si>
    <t>Torino</t>
  </si>
  <si>
    <t>LA CASELLA SOCIETA' AGRICOLA S.R.L.</t>
  </si>
  <si>
    <t>02334360506</t>
  </si>
  <si>
    <t>Siena</t>
  </si>
  <si>
    <t>014300</t>
  </si>
  <si>
    <t>SOCIETA' AGRICOLA ANGIMARI S.R.L.</t>
  </si>
  <si>
    <t>00943500397</t>
  </si>
  <si>
    <t>011140</t>
  </si>
  <si>
    <t>Ravenna</t>
  </si>
  <si>
    <t>SOCIETA' AGRICOLA TERRA S.R.L.</t>
  </si>
  <si>
    <t>01509770622</t>
  </si>
  <si>
    <t>014600</t>
  </si>
  <si>
    <t>Benevento</t>
  </si>
  <si>
    <t>Campania</t>
  </si>
  <si>
    <t>AGRILANDIA SOCIETA' AGRICOLA A RESPONSABILITA' LIMITATA O IN BREVE AGRILANDIA SOC. AGRICOLA A R.L.</t>
  </si>
  <si>
    <t>01122790494</t>
  </si>
  <si>
    <t>Livorno</t>
  </si>
  <si>
    <t>TENUTA L'ILLUMINATA S.R.L. - SOCIETA' AGRICOLA-</t>
  </si>
  <si>
    <t>03442390963</t>
  </si>
  <si>
    <t>Cuneo</t>
  </si>
  <si>
    <t>SORRENTAGRI SOCIETA' COOPERATIVA A R.L.</t>
  </si>
  <si>
    <t>05374701216</t>
  </si>
  <si>
    <t>Napoli</t>
  </si>
  <si>
    <t>Foggia</t>
  </si>
  <si>
    <t>Puglia</t>
  </si>
  <si>
    <t>TENUTA DI COLLINA S.R.L.</t>
  </si>
  <si>
    <t>06813270482</t>
  </si>
  <si>
    <t>SOCIETA' AGRICOLA POGGIO CENNINA A R.L.</t>
  </si>
  <si>
    <t>07088321000</t>
  </si>
  <si>
    <t>23 QUARTER HORSES S.R.L.</t>
  </si>
  <si>
    <t>04683670964</t>
  </si>
  <si>
    <t>CASTION SOCIETA' COOPERATIVA</t>
  </si>
  <si>
    <t>01926720044</t>
  </si>
  <si>
    <t>SOCIETA' AGRICOLA AGRIBIO SRLS</t>
  </si>
  <si>
    <t>04396080717</t>
  </si>
  <si>
    <t>SOCIETA' AGRICOLA BC CAST S.R.L.</t>
  </si>
  <si>
    <t>01215520535</t>
  </si>
  <si>
    <t>011000</t>
  </si>
  <si>
    <t>Grosseto</t>
  </si>
  <si>
    <t>Toscana</t>
  </si>
  <si>
    <t>Salerno</t>
  </si>
  <si>
    <t>Campania</t>
  </si>
  <si>
    <t>SAPORI DELL'ETNA SOCIETA' COOPERATIVA AGRICOLA</t>
  </si>
  <si>
    <t>03861300873</t>
  </si>
  <si>
    <t>Catania</t>
  </si>
  <si>
    <t>Sicilia</t>
  </si>
  <si>
    <t>TENUTA MASCIANGELO SOCIETA' AGRICOLA S.R.L. CON SOCIO UNICO</t>
  </si>
  <si>
    <t>02566750697</t>
  </si>
  <si>
    <t>012600</t>
  </si>
  <si>
    <t>Chieti</t>
  </si>
  <si>
    <t>Abruzzo</t>
  </si>
  <si>
    <t>WINERY SOCIETA' AGRICOLA A RESPONSABILITA' LIMITATA</t>
  </si>
  <si>
    <t>04392830727</t>
  </si>
  <si>
    <t>012100</t>
  </si>
  <si>
    <t>Bari</t>
  </si>
  <si>
    <t>Puglia</t>
  </si>
  <si>
    <t>Lombardia</t>
  </si>
  <si>
    <t>I BALZINI SOCIETA' AGRICOLA S.R.L. IN FORMA ABBREVIATA I BALZINI S.R.L.</t>
  </si>
  <si>
    <t>01793880483</t>
  </si>
  <si>
    <t>Firenze</t>
  </si>
  <si>
    <t>AGRIT S.R.L. SOCIETA' AGRICOLA</t>
  </si>
  <si>
    <t>02269550188</t>
  </si>
  <si>
    <t>012500</t>
  </si>
  <si>
    <t>Pavia</t>
  </si>
  <si>
    <t>AZIENDA AGRICOLA BIASI S.R.L.S.- SOCIETA' A RESPONSABILITA' LIMITATA SEMPLIFICATA</t>
  </si>
  <si>
    <t>03645220793</t>
  </si>
  <si>
    <t>014910</t>
  </si>
  <si>
    <t>Vibo Valentia</t>
  </si>
  <si>
    <t>Calabria</t>
  </si>
  <si>
    <t>Emilia-Romagna</t>
  </si>
  <si>
    <t>EUROPLANT S.R.L. SOCIETA' AGRICOLA</t>
  </si>
  <si>
    <t>04452450283</t>
  </si>
  <si>
    <t>013000</t>
  </si>
  <si>
    <t>Padova</t>
  </si>
  <si>
    <t>Veneto</t>
  </si>
  <si>
    <t>RONCHI DI CASTELLUCCIO - POGGIO DELLA DOGANA SOCIETA' AGRICOLA S.R.L. IN BREVE ANCHE RONCHI DI CASTELLUCCIO SOCIETA' AGRICOLA S.R.L. O POGGIO DELLA DOGANA SOCIETA' AGRICOLA S.R.L.</t>
  </si>
  <si>
    <t>02586960391</t>
  </si>
  <si>
    <t>Ravenna</t>
  </si>
  <si>
    <t>NOBILE - SOCIETA' AGRICOLA A RESPONSABILITA' LIMITATA</t>
  </si>
  <si>
    <t>04506190653</t>
  </si>
  <si>
    <t>010000</t>
  </si>
  <si>
    <t>Piemonte</t>
  </si>
  <si>
    <t>AZIENDA AGRICOLA VIVAI TOMAINO SOCIETA' AGRICOLA A R.L.</t>
  </si>
  <si>
    <t>11659550013</t>
  </si>
  <si>
    <t>Torino</t>
  </si>
  <si>
    <t>ALBERO DEL PARADISO SOCIETA' COOPERATIVA AGRICOLA</t>
  </si>
  <si>
    <t>04968140873</t>
  </si>
  <si>
    <t>016300</t>
  </si>
  <si>
    <t>Catania</t>
  </si>
  <si>
    <t>Sicilia</t>
  </si>
  <si>
    <t>CONCADORO SOCIETA' AGRICOLA A RESPONSABILITA' LIMITATA</t>
  </si>
  <si>
    <t>00985461003</t>
  </si>
  <si>
    <t>012000</t>
  </si>
  <si>
    <t>Roma</t>
  </si>
  <si>
    <t>Lazio</t>
  </si>
  <si>
    <t>TOSCANA GIAGGIOLO SOCIETA' COOPERATIVA AGRICOLA</t>
  </si>
  <si>
    <t>02282750518</t>
  </si>
  <si>
    <t>Arezzo</t>
  </si>
  <si>
    <t>Toscana</t>
  </si>
  <si>
    <t>012600</t>
  </si>
  <si>
    <t>Puglia</t>
  </si>
  <si>
    <t>Pisa</t>
  </si>
  <si>
    <t>OLDO SOCIETA' AGRICOLA A RESPONSABILITA' LIMITATA</t>
  </si>
  <si>
    <t>02612000345</t>
  </si>
  <si>
    <t>011000</t>
  </si>
  <si>
    <t>Parma</t>
  </si>
  <si>
    <t>Emilia-Romagna</t>
  </si>
  <si>
    <t>VOTINO S.R.L. SOCIETA' AGRICOLA</t>
  </si>
  <si>
    <t>01676040627</t>
  </si>
  <si>
    <t>012500</t>
  </si>
  <si>
    <t>Benevento</t>
  </si>
  <si>
    <t>Campania</t>
  </si>
  <si>
    <t>SOCIETA' COOPERATIVA AGRICOLA CESARE BATTISTI</t>
  </si>
  <si>
    <t>00296950561</t>
  </si>
  <si>
    <t>Viterbo</t>
  </si>
  <si>
    <t>SOCIETA' AGRICOLA USIGLIAN DEL VESCOVO S.R.L.</t>
  </si>
  <si>
    <t>01875750505</t>
  </si>
  <si>
    <t>012100</t>
  </si>
  <si>
    <t>SOCIETA' AGRICOLA TENUTE COSTADORIA S.R.L.</t>
  </si>
  <si>
    <t>02665870909</t>
  </si>
  <si>
    <t>Sassari</t>
  </si>
  <si>
    <t>Sardegna</t>
  </si>
  <si>
    <t>INTI S.R.L. SOCIETA' AGRICOLA</t>
  </si>
  <si>
    <t>02245320540</t>
  </si>
  <si>
    <t>Perugia</t>
  </si>
  <si>
    <t>Umbria</t>
  </si>
  <si>
    <t>SOCIETA' AGRICOLA PANIGAI S.R.L.</t>
  </si>
  <si>
    <t>02590370249</t>
  </si>
  <si>
    <t>Vicenza</t>
  </si>
  <si>
    <t>Veneto</t>
  </si>
  <si>
    <t>SOCIETA' AGRICOLA TENUTA LAMBERTI S.R.L. AGRITURISMO PARMENIDE</t>
  </si>
  <si>
    <t>05863200654</t>
  </si>
  <si>
    <t>011329</t>
  </si>
  <si>
    <t>Salerno</t>
  </si>
  <si>
    <t>TENUTA ROCCA DI FABBRI S.R.L. SOCIETA' AGRICOLA IN SIGLA T.R.D.F. SRL S.A.</t>
  </si>
  <si>
    <t>00651460545</t>
  </si>
  <si>
    <t>COOPERATIVA OLEIFICIO POZZUOLESE - SOCIETA' COOPERATIVA AGRICOLA</t>
  </si>
  <si>
    <t>00640310546</t>
  </si>
  <si>
    <t>SOCIETA' AGRICOLA CAIRO DOUTCHER MELOGRANO S.R.L.</t>
  </si>
  <si>
    <t>04674480753</t>
  </si>
  <si>
    <t>Lecce</t>
  </si>
  <si>
    <t>PETRA BIANCA S.R.L. SOCIETA' AGRICOLA</t>
  </si>
  <si>
    <t>02545740900</t>
  </si>
  <si>
    <t>012100</t>
  </si>
  <si>
    <t>Sassari</t>
  </si>
  <si>
    <t>Sardegna</t>
  </si>
  <si>
    <t>Piemonte</t>
  </si>
  <si>
    <t>UN FIORE PER LA VITA COOPERATIVA SOCIALE ONLUS</t>
  </si>
  <si>
    <t>07617440636</t>
  </si>
  <si>
    <t>011900</t>
  </si>
  <si>
    <t>Napoli</t>
  </si>
  <si>
    <t>Campania</t>
  </si>
  <si>
    <t>I.N.S.I.A. - TENUTA PALAZZONA DI MAGGIO - SOCIETA' AGRICOLA A R.L . IN BREVE I.N.S.I.A. - SOCIETA' AGRICOLA A R.L.</t>
  </si>
  <si>
    <t>00518961206</t>
  </si>
  <si>
    <t>Bologna</t>
  </si>
  <si>
    <t>Emilia-Romagna</t>
  </si>
  <si>
    <t>Verona</t>
  </si>
  <si>
    <t>Veneto</t>
  </si>
  <si>
    <t>SCUDERIA GARDESANA S.R.L.</t>
  </si>
  <si>
    <t>00577390982</t>
  </si>
  <si>
    <t>014300</t>
  </si>
  <si>
    <t>IL FAGGIO ROSSO SOCIETA' COOPERATIVA AGRICOLA FORESTALE</t>
  </si>
  <si>
    <t>00577980030</t>
  </si>
  <si>
    <t>011300</t>
  </si>
  <si>
    <t>Verbano-Cusio-Ossola</t>
  </si>
  <si>
    <t>CAMPERCHI SOCIETA' AGRICOLA A R.L.</t>
  </si>
  <si>
    <t>01372800514</t>
  </si>
  <si>
    <t>Arezzo</t>
  </si>
  <si>
    <t>Toscana</t>
  </si>
  <si>
    <t>PODERE LA TORRE SOCIETA' AGRICOLA S.R.L.UNIPERSONALE</t>
  </si>
  <si>
    <t>03637050240</t>
  </si>
  <si>
    <t>011140</t>
  </si>
  <si>
    <t>Firenze</t>
  </si>
  <si>
    <t>AGRICOLA SAN SABINO - S.R.L.</t>
  </si>
  <si>
    <t>01541291009</t>
  </si>
  <si>
    <t>Roma</t>
  </si>
  <si>
    <t>Lazio</t>
  </si>
  <si>
    <t>MONTALTO S.R.L. SOCIETA' AGRICOLA</t>
  </si>
  <si>
    <t>00066250523</t>
  </si>
  <si>
    <t>Siena</t>
  </si>
  <si>
    <t>VANTOROSSO SRL - SOCIETA' AGRICOLA</t>
  </si>
  <si>
    <t>04370500235</t>
  </si>
  <si>
    <t>Brescia</t>
  </si>
  <si>
    <t>Lombardia</t>
  </si>
  <si>
    <t>Sicilia</t>
  </si>
  <si>
    <t>Puglia</t>
  </si>
  <si>
    <t>012100</t>
  </si>
  <si>
    <t>MAGIC S.R.L. SOCIETA' AGRICOLA</t>
  </si>
  <si>
    <t>07073720489</t>
  </si>
  <si>
    <t>Pistoia</t>
  </si>
  <si>
    <t>Toscana</t>
  </si>
  <si>
    <t>SOCIETA' AGRICOLA ORTOBAROCCO S.R.L.</t>
  </si>
  <si>
    <t>01469810889</t>
  </si>
  <si>
    <t>011329</t>
  </si>
  <si>
    <t>Ragusa</t>
  </si>
  <si>
    <t>011310</t>
  </si>
  <si>
    <t>Foggia</t>
  </si>
  <si>
    <t>AGRI.COMES - SOCIETA' COOPERATIVA SOCIALE AGRICOLA O.N.L.U.S.</t>
  </si>
  <si>
    <t>06159140489</t>
  </si>
  <si>
    <t>014200</t>
  </si>
  <si>
    <t>Firenze</t>
  </si>
  <si>
    <t>VALFREDDA SOCIETA' AGRICOLA - SOCIETA' A RESPONSABILITA' LIMITATA</t>
  </si>
  <si>
    <t>03653910988</t>
  </si>
  <si>
    <t>012900</t>
  </si>
  <si>
    <t>SOCIETA' AGRICOLA TORRACCIA DI CHIUSI S.R.L.</t>
  </si>
  <si>
    <t>04230581003</t>
  </si>
  <si>
    <t>010000</t>
  </si>
  <si>
    <t>Siena</t>
  </si>
  <si>
    <t>PALISEO SOCIETA' AGRICOLA A RESPONSABILITA' LIMITATA</t>
  </si>
  <si>
    <t>07458220725</t>
  </si>
  <si>
    <t>Bari</t>
  </si>
  <si>
    <t>SOCIETA' AGRICOLA RIVOLTA ENERGIA SRL</t>
  </si>
  <si>
    <t>01643010190</t>
  </si>
  <si>
    <t>011110</t>
  </si>
  <si>
    <t>Cremona</t>
  </si>
  <si>
    <t>IL CORNO SOCIETA' AGRICOLA A RESPONSABILITA' LIMITATA A CAPITALE RIDOTTO</t>
  </si>
  <si>
    <t>06361520486</t>
  </si>
  <si>
    <t>POSTA GUEVARA - SOCIETA' COOPERATIVA AGRICOLA A R.L.</t>
  </si>
  <si>
    <t>04150700716</t>
  </si>
  <si>
    <t>SOCIETA' AGRICOLA JANKARA S.R.L.</t>
  </si>
  <si>
    <t>02522780903</t>
  </si>
  <si>
    <t>Sassari</t>
  </si>
  <si>
    <t>Sardegna</t>
  </si>
  <si>
    <t>I CASALI DI SAN PASTORE SOCIETA' AGRICOLA - S.R.L.</t>
  </si>
  <si>
    <t>08519121001</t>
  </si>
  <si>
    <t>012600</t>
  </si>
  <si>
    <t>Roma</t>
  </si>
  <si>
    <t>Lazio</t>
  </si>
  <si>
    <t>012000</t>
  </si>
  <si>
    <t>014100</t>
  </si>
  <si>
    <t>Caserta</t>
  </si>
  <si>
    <t>Campania</t>
  </si>
  <si>
    <t>AGREM S.R.L. SOCIETA' AGRICOLA</t>
  </si>
  <si>
    <t>03197330784</t>
  </si>
  <si>
    <t>015000</t>
  </si>
  <si>
    <t>Cosenza</t>
  </si>
  <si>
    <t>Calabria</t>
  </si>
  <si>
    <t>LA SPIA S.R.L. SOCIETA' AGRICOLA</t>
  </si>
  <si>
    <t>01042220143</t>
  </si>
  <si>
    <t>012100</t>
  </si>
  <si>
    <t>Sondrio</t>
  </si>
  <si>
    <t>Lombardia</t>
  </si>
  <si>
    <t>Toscana</t>
  </si>
  <si>
    <t>SOCIETA' COOPERATIVA AGRICOLA IL PROGRESSO</t>
  </si>
  <si>
    <t>00161710736</t>
  </si>
  <si>
    <t>Taranto</t>
  </si>
  <si>
    <t>Puglia</t>
  </si>
  <si>
    <t>Emilia-Romagna</t>
  </si>
  <si>
    <t>SOCIETA' AGRICOLA LE COLLINE DI SOPRA SRL</t>
  </si>
  <si>
    <t>01807840507</t>
  </si>
  <si>
    <t>Pisa</t>
  </si>
  <si>
    <t>PEZZATA ROSSA INNOVAZIONE E SERVIZI SOCIETA' AGRICOLA A RESPONSABILITA' LIMITATA</t>
  </si>
  <si>
    <t>02687540308</t>
  </si>
  <si>
    <t>Udine</t>
  </si>
  <si>
    <t>Friuli-Venezia Giulia</t>
  </si>
  <si>
    <t>PIEMAGGIO SOCIETA' AGRICOLA S.R.L.</t>
  </si>
  <si>
    <t>01362340521</t>
  </si>
  <si>
    <t>Siena</t>
  </si>
  <si>
    <t>SOCIETA' AGRICOLA PARVUS AGER S.R.L.</t>
  </si>
  <si>
    <t>00866121007</t>
  </si>
  <si>
    <t>CASTELLO DI CACCHIANO S.R.L. SOCIETA' AGRICOLA</t>
  </si>
  <si>
    <t>01515580528</t>
  </si>
  <si>
    <t>SVILUPPO INIZIATIVE AGROALIMENTARI - SOCIETA' AGRICOLA A R.L.</t>
  </si>
  <si>
    <t>02534070616</t>
  </si>
  <si>
    <t>MOGLIAZZE - SOCIETA' COOPERATIVA</t>
  </si>
  <si>
    <t>00314310335</t>
  </si>
  <si>
    <t>012500</t>
  </si>
  <si>
    <t>Piacenza</t>
  </si>
  <si>
    <t>PLOZZA OME S.R.L. - SOCIETA' AGRICOLA</t>
  </si>
  <si>
    <t>03241470982</t>
  </si>
  <si>
    <t>Brescia</t>
  </si>
  <si>
    <t>LA GINESTRA SOCIETA' COOPERATIVA AGRICOLA</t>
  </si>
  <si>
    <t>01470720481</t>
  </si>
  <si>
    <t>Firenze</t>
  </si>
  <si>
    <t>016100</t>
  </si>
  <si>
    <t>Lazio</t>
  </si>
  <si>
    <t>BIOSEME SOCIETA' COOPERATIVA AGRICOLA A R.L.</t>
  </si>
  <si>
    <t>00909320491</t>
  </si>
  <si>
    <t>011910</t>
  </si>
  <si>
    <t>Livorno</t>
  </si>
  <si>
    <t>Toscana</t>
  </si>
  <si>
    <t>012100</t>
  </si>
  <si>
    <t>Sicilia</t>
  </si>
  <si>
    <t>011110</t>
  </si>
  <si>
    <t>Puglia</t>
  </si>
  <si>
    <t>SOCIETA' COOPERATIVA OLEIFICIO MOSSE A RESPONSABILITA' LIMITATA</t>
  </si>
  <si>
    <t>00616590568</t>
  </si>
  <si>
    <t>Viterbo</t>
  </si>
  <si>
    <t>CA' COLONNA SRL - SOCIETA' AGRICOLA</t>
  </si>
  <si>
    <t>02506020391</t>
  </si>
  <si>
    <t>011310</t>
  </si>
  <si>
    <t>Ravenna</t>
  </si>
  <si>
    <t>Emilia-Romagna</t>
  </si>
  <si>
    <t>FRATELLI CHIANESE SOCIETA' A RESPONSABILITA' LIMITATA</t>
  </si>
  <si>
    <t>10334261004</t>
  </si>
  <si>
    <t>013000</t>
  </si>
  <si>
    <t>Roma</t>
  </si>
  <si>
    <t>SOCIETA' COOPERATIVA SOCIALE EQUAL TIME ONLUS</t>
  </si>
  <si>
    <t>06750000728</t>
  </si>
  <si>
    <t>011900</t>
  </si>
  <si>
    <t>Bari</t>
  </si>
  <si>
    <t>Campania</t>
  </si>
  <si>
    <t>AZIENDA AGRICOLA LE ROSE SOCIETA' A RESPONSABILITA' LIMITATA</t>
  </si>
  <si>
    <t>08561541007</t>
  </si>
  <si>
    <t>SOCIETA' AGRICOLA LA ROCCA S.R.L.</t>
  </si>
  <si>
    <t>04690690633</t>
  </si>
  <si>
    <t>Napoli</t>
  </si>
  <si>
    <t>FATTORIA DI CASALBOSCO S.R.L.- SOCIETA' AGRICOLA</t>
  </si>
  <si>
    <t>01358450474</t>
  </si>
  <si>
    <t>012000</t>
  </si>
  <si>
    <t>Pistoia</t>
  </si>
  <si>
    <t>CASTORANI SOCIETA' AGRICOLA A R.L.</t>
  </si>
  <si>
    <t>02116290681</t>
  </si>
  <si>
    <t>Pescara</t>
  </si>
  <si>
    <t>Abruzzo</t>
  </si>
  <si>
    <t>COOPERATIVA AGRICOLA-FORESTALE - SOC. COOP. A R.L. DIMENSIONE VERDE</t>
  </si>
  <si>
    <t>00960750305</t>
  </si>
  <si>
    <t>016000</t>
  </si>
  <si>
    <t>Udine</t>
  </si>
  <si>
    <t>Friuli-Venezia Giulia</t>
  </si>
  <si>
    <t>SCILIO S.R.L. - SOCIETA' AGRICOLA</t>
  </si>
  <si>
    <t>04290300872</t>
  </si>
  <si>
    <t>Catania</t>
  </si>
  <si>
    <t>IL PUNTO VERDE CASSIA S.R.L.</t>
  </si>
  <si>
    <t>04212721007</t>
  </si>
  <si>
    <t>CASAMEDITERRANEA SOCIETA' AGRICOLA S.R.L.</t>
  </si>
  <si>
    <t>02617550591</t>
  </si>
  <si>
    <t>012600</t>
  </si>
  <si>
    <t>Latina</t>
  </si>
  <si>
    <t>Lazio</t>
  </si>
  <si>
    <t>VIVAI MANNONE S.R.L. SOCIETA' AGRICOLA</t>
  </si>
  <si>
    <t>02428450817</t>
  </si>
  <si>
    <t>013000</t>
  </si>
  <si>
    <t>Trapani</t>
  </si>
  <si>
    <t>Sicilia</t>
  </si>
  <si>
    <t>LAMACOPPA - SOCIETA' AGRICOLA R.L.</t>
  </si>
  <si>
    <t>01961571203</t>
  </si>
  <si>
    <t>Brindisi</t>
  </si>
  <si>
    <t>Puglia</t>
  </si>
  <si>
    <t>IL SAPITO S.R.L. SOCIETA' AGRICOLA</t>
  </si>
  <si>
    <t>05104470488</t>
  </si>
  <si>
    <t>012100</t>
  </si>
  <si>
    <t>Firenze</t>
  </si>
  <si>
    <t>Toscana</t>
  </si>
  <si>
    <t>Piemonte</t>
  </si>
  <si>
    <t>FATTORIA COLLE VERDE S.R.L. SOCIETA' AGRICOLA</t>
  </si>
  <si>
    <t>01318620463</t>
  </si>
  <si>
    <t>Lucca</t>
  </si>
  <si>
    <t>MICRO ALGHE CAMPOROSSO SOCIETA' AGRICOLA S.R.L.</t>
  </si>
  <si>
    <t>01524520085</t>
  </si>
  <si>
    <t>012900</t>
  </si>
  <si>
    <t>Imperia</t>
  </si>
  <si>
    <t>Liguria</t>
  </si>
  <si>
    <t>TENUTE CAMPITIELLO SOCIETA' AGRICOLA SRL</t>
  </si>
  <si>
    <t>03243870734</t>
  </si>
  <si>
    <t>Taranto</t>
  </si>
  <si>
    <t>TENUTA CANTO ALLA MORAIA S.R.L. - SOCIETA' AGRICOLA</t>
  </si>
  <si>
    <t>02359010515</t>
  </si>
  <si>
    <t>Arezzo</t>
  </si>
  <si>
    <t>CANTINA SOCIALE DI ANTIGNANO - SAN MARTINO ALFIERI SOCIETA' COOPE RATIVA AGRICOLA A RESPONSABILITA' LIMITATA SIGLABILE CANTINA SOCIALE DI ANTIGNANO - SAN MARTIN</t>
  </si>
  <si>
    <t>00142540053</t>
  </si>
  <si>
    <t>016000</t>
  </si>
  <si>
    <t>Asti</t>
  </si>
  <si>
    <t>QUARANTASEI S.R.L. AGRICOLA OVVERO TENUTA SECOLO IX S.R.L. AGRICOLA OVVERO SECOLO IX S.R.L. AGRICOLA OVVERO VITIS S.R.L. AGRICOLA OVVERO VITIUM S.R.L. AGRICOLA OVVERO ALVIN S.R.L. AGRICOLA OVVERO VANDINO S .R.L. AGRICOLA OVVERO FSAFA S.R.L. AG</t>
  </si>
  <si>
    <t>02024630689</t>
  </si>
  <si>
    <t>016100</t>
  </si>
  <si>
    <t>Pescara</t>
  </si>
  <si>
    <t>Abruzzo</t>
  </si>
  <si>
    <t>EU.RO.IN (EUROPEAN ROSATO INVESTIMENT) S.R.L.</t>
  </si>
  <si>
    <t>01487110742</t>
  </si>
  <si>
    <t>012100</t>
  </si>
  <si>
    <t>Brindisi</t>
  </si>
  <si>
    <t>Puglia</t>
  </si>
  <si>
    <t>CONSERFRUTTA S.R.L.</t>
  </si>
  <si>
    <t>01340820743</t>
  </si>
  <si>
    <t>011300</t>
  </si>
  <si>
    <t>Lazio</t>
  </si>
  <si>
    <t>MARTELLA SOCIETA' AGRICOLA A RESPONSABILITA' LIMITATA</t>
  </si>
  <si>
    <t>01842011007</t>
  </si>
  <si>
    <t>Roma</t>
  </si>
  <si>
    <t>Cuneo</t>
  </si>
  <si>
    <t>Piemonte</t>
  </si>
  <si>
    <t>MJ ENERGY SRL SOCIETA' AGRICOLA</t>
  </si>
  <si>
    <t>02062340449</t>
  </si>
  <si>
    <t>011140</t>
  </si>
  <si>
    <t>Macerata</t>
  </si>
  <si>
    <t>Marche</t>
  </si>
  <si>
    <t>TENUTA DEI CAVALIERI SOCIETA' AGRICOLA S.R.L. UNIPERSONALE</t>
  </si>
  <si>
    <t>06920410484</t>
  </si>
  <si>
    <t>012600</t>
  </si>
  <si>
    <t>Firenze</t>
  </si>
  <si>
    <t>Toscana</t>
  </si>
  <si>
    <t>LA MEIRO S.R.L. SOCIETA' AGRICOLA</t>
  </si>
  <si>
    <t>03183500044</t>
  </si>
  <si>
    <t>014100</t>
  </si>
  <si>
    <t>Perugia</t>
  </si>
  <si>
    <t>Umbria</t>
  </si>
  <si>
    <t>SOCIETA' AGRICOLA F.LLI ANGELUCCI SRL</t>
  </si>
  <si>
    <t>03144710542</t>
  </si>
  <si>
    <t>015000</t>
  </si>
  <si>
    <t>016300</t>
  </si>
  <si>
    <t>LA SAGLIUTELLA SOCIETA' AGRICOLA A RESPONSABILITA' LIMITATA</t>
  </si>
  <si>
    <t>04181030612</t>
  </si>
  <si>
    <t>012000</t>
  </si>
  <si>
    <t>Caserta</t>
  </si>
  <si>
    <t>Campania</t>
  </si>
  <si>
    <t>COOPERATIVA AGRICOLA MERCATO CONTADINO L'AQUILA - SOCIETA' COOPER ATIVA</t>
  </si>
  <si>
    <t>02057860666</t>
  </si>
  <si>
    <t>L'Aquila</t>
  </si>
  <si>
    <t>SOCIETA' AGRICOLA ALLEVAMENTO FIORELLO S.R.L.</t>
  </si>
  <si>
    <t>07530110969</t>
  </si>
  <si>
    <t>014300</t>
  </si>
  <si>
    <t>Novara</t>
  </si>
  <si>
    <t>Piemonte</t>
  </si>
  <si>
    <t>Puglia</t>
  </si>
  <si>
    <t>012000</t>
  </si>
  <si>
    <t>Bari</t>
  </si>
  <si>
    <t>AZIENDA AGRICOLA BIODINAMICA PALAZZO TRONCONI SOCIETA' AGRICOLA S.R.L.</t>
  </si>
  <si>
    <t>02730810609</t>
  </si>
  <si>
    <t>012100</t>
  </si>
  <si>
    <t>Frosinone</t>
  </si>
  <si>
    <t>Lazio</t>
  </si>
  <si>
    <t>Cuneo</t>
  </si>
  <si>
    <t>Lombardia</t>
  </si>
  <si>
    <t>Veneto</t>
  </si>
  <si>
    <t>PASSIFLORA SOCIETA' AGRICOLA A R.L.</t>
  </si>
  <si>
    <t>01644940882</t>
  </si>
  <si>
    <t>011320</t>
  </si>
  <si>
    <t>Ragusa</t>
  </si>
  <si>
    <t>Sicilia</t>
  </si>
  <si>
    <t>SOCIETA' AGRICOLA OLTRE IL VERDE S.R.L.</t>
  </si>
  <si>
    <t>11603280154</t>
  </si>
  <si>
    <t>011300</t>
  </si>
  <si>
    <t>Milano</t>
  </si>
  <si>
    <t>011110</t>
  </si>
  <si>
    <t>CICCOLELLA SOCIETA' AGRICOLA A RESPONSABILITA' LIMITATA IN SIGLA CICCOLELLA SOC. AGR. A R.L.</t>
  </si>
  <si>
    <t>08313120720</t>
  </si>
  <si>
    <t>012600</t>
  </si>
  <si>
    <t>LA TRAVAGLINA S.R.L. SOCIETA' AGRICOLA IN BREVE AZIENDA AGRICOLA LA TRAVAGLINA S.R.L. O ANCHE AZIENDA AGRICOLA DACARRO ELISABETTA S.R.L.</t>
  </si>
  <si>
    <t>02323530184</t>
  </si>
  <si>
    <t>Pavia</t>
  </si>
  <si>
    <t>011310</t>
  </si>
  <si>
    <t>Campania</t>
  </si>
  <si>
    <t>FATTORIA NERBONA SOCIETA' AGRICOLA S.R.L.</t>
  </si>
  <si>
    <t>03653910244</t>
  </si>
  <si>
    <t>Vicenza</t>
  </si>
  <si>
    <t>SOCIETA' COOPERATIVA AGRICOLA A R.L. LAGINESTRA</t>
  </si>
  <si>
    <t>01899100760</t>
  </si>
  <si>
    <t>Potenza</t>
  </si>
  <si>
    <t>Basilicata</t>
  </si>
  <si>
    <t>EURAL SULCIS SOCIETA' AGRICOLA A RESPONSABILITA' LIMITATA</t>
  </si>
  <si>
    <t>03681450924</t>
  </si>
  <si>
    <t>Sardegna</t>
  </si>
  <si>
    <t>FEDERICA'S FARM SOCIETA' AGRICOLA S.R.L.S.</t>
  </si>
  <si>
    <t>08727181219</t>
  </si>
  <si>
    <t>Napoli</t>
  </si>
  <si>
    <t>ROSSMARY SOCIETA' AGRICOLA S.R.L.</t>
  </si>
  <si>
    <t>01681480081</t>
  </si>
  <si>
    <t>011990</t>
  </si>
  <si>
    <t>Imperia</t>
  </si>
  <si>
    <t>Liguria</t>
  </si>
  <si>
    <t>SOCIETA' AGRICOLA AMALIA CASCINA IN LANGA - SOCIETA' A RESPONSABILITA' LIMITATA</t>
  </si>
  <si>
    <t>03145870048</t>
  </si>
  <si>
    <t>SOCIETA' AGRICOLA TERRA, SOLE, CIBO SOCIETA' A RESPONSABILITA' LIMITATA</t>
  </si>
  <si>
    <t>03910580400</t>
  </si>
  <si>
    <t>011000</t>
  </si>
  <si>
    <t>Forlì-Cesena</t>
  </si>
  <si>
    <t>Emilia-Romagna</t>
  </si>
  <si>
    <t>SOCIETA' AGRICOLA LA VIGNA S.R.L.</t>
  </si>
  <si>
    <t>03604150544</t>
  </si>
  <si>
    <t>012100</t>
  </si>
  <si>
    <t>Perugia</t>
  </si>
  <si>
    <t>Umbria</t>
  </si>
  <si>
    <t>COMMAVI AGRICOLA S.R.L.</t>
  </si>
  <si>
    <t>02755120926</t>
  </si>
  <si>
    <t>014700</t>
  </si>
  <si>
    <t>Sardegna</t>
  </si>
  <si>
    <t>Campania</t>
  </si>
  <si>
    <t>SOCIETA' COOPERATIVA OLEIFICIO VAL D'ORCIA SOCIETA' AGRICOLA</t>
  </si>
  <si>
    <t>00163730526</t>
  </si>
  <si>
    <t>012600</t>
  </si>
  <si>
    <t>Siena</t>
  </si>
  <si>
    <t>Toscana</t>
  </si>
  <si>
    <t>SOCIETA' AGRICOLA TODINI S.R.L.</t>
  </si>
  <si>
    <t>01424940540</t>
  </si>
  <si>
    <t>010000</t>
  </si>
  <si>
    <t>GARIBALDI COUNTRY SOCIETA' AGRICOLA S.R.L.</t>
  </si>
  <si>
    <t>03816610541</t>
  </si>
  <si>
    <t>Taranto</t>
  </si>
  <si>
    <t>Puglia</t>
  </si>
  <si>
    <t>Lazio</t>
  </si>
  <si>
    <t>AGRICOLTA' SOCIETA' AGRICOLA COOPERATIVA</t>
  </si>
  <si>
    <t>03182130736</t>
  </si>
  <si>
    <t>016300</t>
  </si>
  <si>
    <t>BIRRA DELL'ELBA - SOCIETA' AGRICOLA A R.L.</t>
  </si>
  <si>
    <t>01561830496</t>
  </si>
  <si>
    <t>011140</t>
  </si>
  <si>
    <t>Livorno</t>
  </si>
  <si>
    <t>VILLA MINELLI - SOCIETA' AGRICOLA A R.L.</t>
  </si>
  <si>
    <t>04267650267</t>
  </si>
  <si>
    <t>Treviso</t>
  </si>
  <si>
    <t>Veneto</t>
  </si>
  <si>
    <t>DALLE ORE SOCIETA' AGRICOLA S.R.L.</t>
  </si>
  <si>
    <t>03392350249</t>
  </si>
  <si>
    <t>Vicenza</t>
  </si>
  <si>
    <t>TORRE BISENZIO SOCIETA' AGRICOLA BIOLOGICA SRL</t>
  </si>
  <si>
    <t>01040681007</t>
  </si>
  <si>
    <t>Roma</t>
  </si>
  <si>
    <t>SOCIETA' AGRICOLA DIONORA S.R.L.</t>
  </si>
  <si>
    <t>00814820528</t>
  </si>
  <si>
    <t>LA CATTIVA SOCIETA' AGRICOLA A RESPONSABILITA' LIMITATA</t>
  </si>
  <si>
    <t>08268330720</t>
  </si>
  <si>
    <t>Bari</t>
  </si>
  <si>
    <t>Napoli</t>
  </si>
  <si>
    <t>VIVAI VINCENZO MAISTO S.R.L. SOCIETA' UNIPERSONALE</t>
  </si>
  <si>
    <t>05345291214</t>
  </si>
  <si>
    <t>011300</t>
  </si>
  <si>
    <t>AGRICOLA DI MAURO SOCIETA' AGRICOLA A RESPONSABILITA' LIMITATA</t>
  </si>
  <si>
    <t>05161350656</t>
  </si>
  <si>
    <t>011310</t>
  </si>
  <si>
    <t>Salerno</t>
  </si>
  <si>
    <t>011310</t>
  </si>
  <si>
    <t>PARSEC AGRI CULTURA SOCIETA' COOPERATIVA SOCIALE AGRICOLA</t>
  </si>
  <si>
    <t>13133841000</t>
  </si>
  <si>
    <t>Roma</t>
  </si>
  <si>
    <t>Lazio</t>
  </si>
  <si>
    <t>SOCIETA' AGRICOLA DIVELLA ALESSANDRA S.R.L. IN SIGLA AGRICOLA DI VELLA ALESSANDRA SRL</t>
  </si>
  <si>
    <t>04006520987</t>
  </si>
  <si>
    <t>012100</t>
  </si>
  <si>
    <t>Brescia</t>
  </si>
  <si>
    <t>Lombardia</t>
  </si>
  <si>
    <t>SETTEANIME, EMMA, S.R.L. SOCIETA' AGRICOLA IN BREVE: SETTEANIME S.R.L. SOCIETA' AGRICOLA</t>
  </si>
  <si>
    <t>04681210268</t>
  </si>
  <si>
    <t>Treviso</t>
  </si>
  <si>
    <t>Veneto</t>
  </si>
  <si>
    <t>GOBBO IMPIANTI S.R.L.</t>
  </si>
  <si>
    <t>02057920262</t>
  </si>
  <si>
    <t>016100</t>
  </si>
  <si>
    <t>Campania</t>
  </si>
  <si>
    <t>SOCIETA' AGRICOLA IL PONTE SOCIETA' A RESPONSABILITA' LIMITATA</t>
  </si>
  <si>
    <t>02067801007</t>
  </si>
  <si>
    <t>011140</t>
  </si>
  <si>
    <t>AZIENDA AGRICOLA TENUTA CALIDARIUS SOCIETA' AGRICOLA A RESPONSABILITA' LIMITATA</t>
  </si>
  <si>
    <t>09258461210</t>
  </si>
  <si>
    <t>Napoli</t>
  </si>
  <si>
    <t>SOCIETA' AGRICOLA COLLEROLLETTA S.R.L.</t>
  </si>
  <si>
    <t>01210810550</t>
  </si>
  <si>
    <t>Terni</t>
  </si>
  <si>
    <t>Umbria</t>
  </si>
  <si>
    <t>LOVITALY SOCIETA' A RESPONSABILITA' LIMITATA SEMPLIFICATA</t>
  </si>
  <si>
    <t>03672350547</t>
  </si>
  <si>
    <t>011120</t>
  </si>
  <si>
    <t>Perugia</t>
  </si>
  <si>
    <t>TRINACRIA FRUTTA - SOCIETA' COOPERATIVA AGRICOLA</t>
  </si>
  <si>
    <t>04207210875</t>
  </si>
  <si>
    <t>012300</t>
  </si>
  <si>
    <t>Catania</t>
  </si>
  <si>
    <t>Sicilia</t>
  </si>
  <si>
    <t>SOCIETA' AGRICOLA RESIDENCE IL BORGO S.R.L.</t>
  </si>
  <si>
    <t>01519660516</t>
  </si>
  <si>
    <t>012100</t>
  </si>
  <si>
    <t>Arezzo</t>
  </si>
  <si>
    <t>Toscana</t>
  </si>
  <si>
    <t>Livorno</t>
  </si>
  <si>
    <t>Puglia</t>
  </si>
  <si>
    <t>Piemonte</t>
  </si>
  <si>
    <t>SOCIETA' AGRICOLA BRAMASOLE S.R.L.</t>
  </si>
  <si>
    <t>09909250962</t>
  </si>
  <si>
    <t>014990</t>
  </si>
  <si>
    <t>Milano</t>
  </si>
  <si>
    <t>Lombardia</t>
  </si>
  <si>
    <t>SOCIETA' AGRICOLA VALDICECINA S.R.L.</t>
  </si>
  <si>
    <t>01284550496</t>
  </si>
  <si>
    <t>011140</t>
  </si>
  <si>
    <t>SOCIETA' AGRICOLA ANGELO SARACINO SOCIETA' A RESPONSABILITA' LIMITATA</t>
  </si>
  <si>
    <t>02517900748</t>
  </si>
  <si>
    <t>012600</t>
  </si>
  <si>
    <t>Brindisi</t>
  </si>
  <si>
    <t>GARDEN POINT SOCIETA' COOPERATIVA AGRICOLA</t>
  </si>
  <si>
    <t>02061780447</t>
  </si>
  <si>
    <t>012000</t>
  </si>
  <si>
    <t>Ascoli Piceno</t>
  </si>
  <si>
    <t>Marche</t>
  </si>
  <si>
    <t>SOCIETA' AGRICOLA COOPERATIVA AGRICOOPECETTO</t>
  </si>
  <si>
    <t>10243560017</t>
  </si>
  <si>
    <t>016300</t>
  </si>
  <si>
    <t>Torino</t>
  </si>
  <si>
    <t>TENUTA MARIA TERESA SOCIETA' AGRICOLA A RESPONSABILITA' LIMITATA</t>
  </si>
  <si>
    <t>01786380467</t>
  </si>
  <si>
    <t>Lucca</t>
  </si>
  <si>
    <t>SOCIETA' AGRICOLA PODERE CASALE A RESPONSABILITA' LIMITATA</t>
  </si>
  <si>
    <t>01177250527</t>
  </si>
  <si>
    <t>Siena</t>
  </si>
  <si>
    <t>Foggia</t>
  </si>
  <si>
    <t>Puglia</t>
  </si>
  <si>
    <t>011310</t>
  </si>
  <si>
    <t>011110</t>
  </si>
  <si>
    <t>Bergamo</t>
  </si>
  <si>
    <t>Lombardia</t>
  </si>
  <si>
    <t>Calabria</t>
  </si>
  <si>
    <t>SOCIETA' AGRICOLA DORIA A RESPONSABILITA' LIMITATA</t>
  </si>
  <si>
    <t>00179770789</t>
  </si>
  <si>
    <t>Cosenza</t>
  </si>
  <si>
    <t>Sicilia</t>
  </si>
  <si>
    <t>THE CIRCLE SOCIETA' AGRICOLA A RESPONSABILITA' LIMITATA - SOCIETA ' BENEFIT</t>
  </si>
  <si>
    <t>14137411006</t>
  </si>
  <si>
    <t>011320</t>
  </si>
  <si>
    <t>Roma</t>
  </si>
  <si>
    <t>Lazio</t>
  </si>
  <si>
    <t>012100</t>
  </si>
  <si>
    <t>Ragusa</t>
  </si>
  <si>
    <t>015000</t>
  </si>
  <si>
    <t>SCHIARITI 2.0 SOCIETA' A RESPONSABILITA' LIMITATA SEMPLIFICATA AGRICOLA</t>
  </si>
  <si>
    <t>03760440796</t>
  </si>
  <si>
    <t>Vibo Valentia</t>
  </si>
  <si>
    <t>014100</t>
  </si>
  <si>
    <t>Emilia-Romagna</t>
  </si>
  <si>
    <t>013000</t>
  </si>
  <si>
    <t>Marche</t>
  </si>
  <si>
    <t>SOCIETA' AGRICOLA SAMSARA S.R.L.</t>
  </si>
  <si>
    <t>02676210418</t>
  </si>
  <si>
    <t>Pesaro Urbino</t>
  </si>
  <si>
    <t>SILVA SURI S.R.L. SOCIETA' AGRICOLA</t>
  </si>
  <si>
    <t>01621820883</t>
  </si>
  <si>
    <t>CANTINA VAL SAN MARTINO SOCIETA' COOPERATIVA AGRICOLA</t>
  </si>
  <si>
    <t>00252990163</t>
  </si>
  <si>
    <t>AZIENDA RUSSO SOCIETA' AGRICOLA A RESPONSABILITA' LIMITATA SEMPLI FICATA</t>
  </si>
  <si>
    <t>05492960652</t>
  </si>
  <si>
    <t>Salerno</t>
  </si>
  <si>
    <t>Campania</t>
  </si>
  <si>
    <t>FALCONE REALE VITIVINICOLA SOCIETA' AGRICOLA S.R.L.</t>
  </si>
  <si>
    <t>02758250423</t>
  </si>
  <si>
    <t>Ancona</t>
  </si>
  <si>
    <t>SPES SOCIETA' COOPERATIVA SOCIALE</t>
  </si>
  <si>
    <t>01547980084</t>
  </si>
  <si>
    <t>010000</t>
  </si>
  <si>
    <t>Imperia</t>
  </si>
  <si>
    <t>Liguria</t>
  </si>
  <si>
    <t>DON UMBERTO - SOCIETA' AGRICOLA S.R.L.</t>
  </si>
  <si>
    <t>04202900710</t>
  </si>
  <si>
    <t>PUNTO VERDE - COOPERATIVA SOCIALE A RESPONSABILITA' LIMITATA</t>
  </si>
  <si>
    <t>02009230406</t>
  </si>
  <si>
    <t>Rimini</t>
  </si>
  <si>
    <t>S.A.VI. - SVILUPPO AGRICOLO VIGEVANESE SOCIETA' AGRICOLA CON UNIC O SOCIO - S.R.L.</t>
  </si>
  <si>
    <t>03763910159</t>
  </si>
  <si>
    <t>Milano</t>
  </si>
  <si>
    <t>MEMA S.R.L. - SOCIETA' AGRICOLA</t>
  </si>
  <si>
    <t>02497820213</t>
  </si>
  <si>
    <t>Bolzano/Bozen</t>
  </si>
  <si>
    <t>Trentino-Alto Adige</t>
  </si>
  <si>
    <t>MARFISA SOCIETA' AGRICOLA S.R.L.</t>
  </si>
  <si>
    <t>01990680561</t>
  </si>
  <si>
    <t>SOCIETA' AGRICOLA RIGOLOCCIO S.R.L.</t>
  </si>
  <si>
    <t>01271240531</t>
  </si>
  <si>
    <t>012000</t>
  </si>
  <si>
    <t>Grosseto</t>
  </si>
  <si>
    <t>Toscana</t>
  </si>
  <si>
    <t>ATTANASIO GIUSEPPE AZIENDA AGRICOLA SRLS</t>
  </si>
  <si>
    <t>03247560737</t>
  </si>
  <si>
    <t>012100</t>
  </si>
  <si>
    <t>Taranto</t>
  </si>
  <si>
    <t>Puglia</t>
  </si>
  <si>
    <t>Sicilia</t>
  </si>
  <si>
    <t>Lombardia</t>
  </si>
  <si>
    <t>Ragusa</t>
  </si>
  <si>
    <t>CA' DEL VENT SOCIETA' AGRICOLA S.R.L.</t>
  </si>
  <si>
    <t>03535220176</t>
  </si>
  <si>
    <t>Brescia</t>
  </si>
  <si>
    <t>015000</t>
  </si>
  <si>
    <t>Veneto</t>
  </si>
  <si>
    <t>SOCIETA' AGRICOLA FORNASER S.R.L.</t>
  </si>
  <si>
    <t>03446930236</t>
  </si>
  <si>
    <t>Verona</t>
  </si>
  <si>
    <t>AZIENDA AGRICOLA SPAZIO VERDE S.A.R.L.</t>
  </si>
  <si>
    <t>00783440886</t>
  </si>
  <si>
    <t>013000</t>
  </si>
  <si>
    <t>FATTORIA LA LECCIA SOCIETA' AGRICOLA A RESPONSABILITA' LIMITATA</t>
  </si>
  <si>
    <t>05451040488</t>
  </si>
  <si>
    <t>Firenze</t>
  </si>
  <si>
    <t>Emilia-Romagna</t>
  </si>
  <si>
    <t>IL CAPANNONE SOCIETA' COOPERATIVA - SOCIETA' AGRICOLA</t>
  </si>
  <si>
    <t>04529960405</t>
  </si>
  <si>
    <t>Rimini</t>
  </si>
  <si>
    <t>Toscana</t>
  </si>
  <si>
    <t>QUELLI DEI CAMPI S.R.L.</t>
  </si>
  <si>
    <t>01067600898</t>
  </si>
  <si>
    <t>016100</t>
  </si>
  <si>
    <t>Siracusa</t>
  </si>
  <si>
    <t>Sicilia</t>
  </si>
  <si>
    <t>AGRICOLA TORRESANTA - SOCIETA' AGRICOLA A RESPONSABILITA' LIMITATA</t>
  </si>
  <si>
    <t>07821260721</t>
  </si>
  <si>
    <t>012100</t>
  </si>
  <si>
    <t>Bari</t>
  </si>
  <si>
    <t>Puglia</t>
  </si>
  <si>
    <t>OLEIFICIO COOPERATIVO DI RUFFANO SOCIETA' COOPERATIVA (OLE.CO.R.)</t>
  </si>
  <si>
    <t>00150880755</t>
  </si>
  <si>
    <t>016300</t>
  </si>
  <si>
    <t>Lecce</t>
  </si>
  <si>
    <t>Verona</t>
  </si>
  <si>
    <t>Veneto</t>
  </si>
  <si>
    <t>SOCIETA' AGRICOLA KURTIN S.R.L.</t>
  </si>
  <si>
    <t>01174910313</t>
  </si>
  <si>
    <t>Gorizia</t>
  </si>
  <si>
    <t>Friuli-Venezia Giulia</t>
  </si>
  <si>
    <t>GAZZO VERONESE S.R.L. SOCIETA' AGRICOLA</t>
  </si>
  <si>
    <t>03935170237</t>
  </si>
  <si>
    <t>011300</t>
  </si>
  <si>
    <t>RANGO INTERNATIONAL S.R.L. - SOCIETA' AGRICOLA</t>
  </si>
  <si>
    <t>04327180289</t>
  </si>
  <si>
    <t>014300</t>
  </si>
  <si>
    <t>Padova</t>
  </si>
  <si>
    <t>Lombardia</t>
  </si>
  <si>
    <t>BAO MIAO VILLAGE SOCIETA' AGRICOLA S.R.L.</t>
  </si>
  <si>
    <t>04914950961</t>
  </si>
  <si>
    <t>014990</t>
  </si>
  <si>
    <t>Monza e della Brianza</t>
  </si>
  <si>
    <t>011310</t>
  </si>
  <si>
    <t>Cosenza</t>
  </si>
  <si>
    <t>Calabria</t>
  </si>
  <si>
    <t>SASSETTI S.R.L. SOCIETA' AGRICOLA</t>
  </si>
  <si>
    <t>00825450521</t>
  </si>
  <si>
    <t>Siena</t>
  </si>
  <si>
    <t>SOCIETA' AGRICOLA BLAIOTTA SRL</t>
  </si>
  <si>
    <t>03531870784</t>
  </si>
  <si>
    <t>015000</t>
  </si>
  <si>
    <t>AZIENDA AGRICOLA CON.IT.A.LO. - SOCIETA' AGRICOLA A RESPONSABILITA' LIMITATA</t>
  </si>
  <si>
    <t>11673490014</t>
  </si>
  <si>
    <t>014990</t>
  </si>
  <si>
    <t>Torino</t>
  </si>
  <si>
    <t>Piemonte</t>
  </si>
  <si>
    <t>Puglia</t>
  </si>
  <si>
    <t>Campania</t>
  </si>
  <si>
    <t>Emilia-Romagna</t>
  </si>
  <si>
    <t>RURABILANDIA S.R.L. SOCIETA' AGRICOLA</t>
  </si>
  <si>
    <t>02120360678</t>
  </si>
  <si>
    <t>Teramo</t>
  </si>
  <si>
    <t>Abruzzo</t>
  </si>
  <si>
    <t>CARMA SOCIETA' AGRICOLA A RESPONSABILITA' LIMITATA</t>
  </si>
  <si>
    <t>06267561006</t>
  </si>
  <si>
    <t>012600</t>
  </si>
  <si>
    <t>Viterbo</t>
  </si>
  <si>
    <t>Lazio</t>
  </si>
  <si>
    <t>VALORI S.R.L. SOCIETA' AGRICOLA</t>
  </si>
  <si>
    <t>02367060692</t>
  </si>
  <si>
    <t>012100</t>
  </si>
  <si>
    <t>Chieti</t>
  </si>
  <si>
    <t>SOCIETA' AGRICOLA LA CONTA S.R.L.</t>
  </si>
  <si>
    <t>01289940239</t>
  </si>
  <si>
    <t>Verona</t>
  </si>
  <si>
    <t>Veneto</t>
  </si>
  <si>
    <t>Marche</t>
  </si>
  <si>
    <t>LA LOBRA S.R.L. SOCIETA' AGRICOLA</t>
  </si>
  <si>
    <t>04475471217</t>
  </si>
  <si>
    <t>012300</t>
  </si>
  <si>
    <t>Napoli</t>
  </si>
  <si>
    <t>TENUTA MASSELINA SOCIETA' AGRICOLA A RESPONSABILITA' LIMITATA CHE POTRA' ESSERE ABBREVIATA IN TENUTA MASSELINA S.R.L. AGRICOLA E T.M. S.R.L. AGR.</t>
  </si>
  <si>
    <t>02269880395</t>
  </si>
  <si>
    <t>012000</t>
  </si>
  <si>
    <t>Ravenna</t>
  </si>
  <si>
    <t>Calabria</t>
  </si>
  <si>
    <t>DOMODIMONTI S.R.L. SOCIETA' AGRICOLA</t>
  </si>
  <si>
    <t>01793100445</t>
  </si>
  <si>
    <t>Ascoli Piceno</t>
  </si>
  <si>
    <t>Toscana</t>
  </si>
  <si>
    <t>013000</t>
  </si>
  <si>
    <t>VILLA LA RIPA SRL SOCIETA' AGRICOLA</t>
  </si>
  <si>
    <t>02299020517</t>
  </si>
  <si>
    <t>Arezzo</t>
  </si>
  <si>
    <t>IL CORTILE DEL CASTELLO SOCIETA' AGRICOLA A R. L.</t>
  </si>
  <si>
    <t>02870110349</t>
  </si>
  <si>
    <t>Parma</t>
  </si>
  <si>
    <t>ANTICA TENUTA PALOMBO SOCIETA' AGRICOLA A R.L.</t>
  </si>
  <si>
    <t>02778180600</t>
  </si>
  <si>
    <t>Frosinone</t>
  </si>
  <si>
    <t>AGRICOLA PADUANELLI G. SOCIETA' A RESPONSABILITA' LIMITATA SEMPLIFICATA</t>
  </si>
  <si>
    <t>07768620721</t>
  </si>
  <si>
    <t>011921</t>
  </si>
  <si>
    <t>Bari</t>
  </si>
  <si>
    <t>A.D.L. SOCIETA' COOPERATIVA A R.L.</t>
  </si>
  <si>
    <t>01705890786</t>
  </si>
  <si>
    <t>Cosenza</t>
  </si>
  <si>
    <t>FLORGUARINO SOCIETA' CONSORTILE AGRICOLA A RESPONSABILITA' LIMITA TA</t>
  </si>
  <si>
    <t>01649680889</t>
  </si>
  <si>
    <t>011920</t>
  </si>
  <si>
    <t>Ragusa</t>
  </si>
  <si>
    <t>Sicilia</t>
  </si>
  <si>
    <t>NOE (NOEMARGINAZIONE) COOPERATIVA SOCIALE</t>
  </si>
  <si>
    <t>04446810824</t>
  </si>
  <si>
    <t>Palermo</t>
  </si>
  <si>
    <t>COOPERATIVA SOCIALE OASI S.C.R.L.</t>
  </si>
  <si>
    <t>01306960939</t>
  </si>
  <si>
    <t>011920</t>
  </si>
  <si>
    <t>Pordenone</t>
  </si>
  <si>
    <t>Friuli-Venezia Giulia</t>
  </si>
  <si>
    <t>APROL LECCE - SOC. COOP. AGR. P. A</t>
  </si>
  <si>
    <t>01149580753</t>
  </si>
  <si>
    <t>012600</t>
  </si>
  <si>
    <t>Lecce</t>
  </si>
  <si>
    <t>Puglia</t>
  </si>
  <si>
    <t>AGRITURISMO DEL CIMONE COOPERATIVA AGRICOLA</t>
  </si>
  <si>
    <t>03722390360</t>
  </si>
  <si>
    <t>011310</t>
  </si>
  <si>
    <t>Modena</t>
  </si>
  <si>
    <t>Emilia-Romagna</t>
  </si>
  <si>
    <t>Sicilia</t>
  </si>
  <si>
    <t>011110</t>
  </si>
  <si>
    <t>011000</t>
  </si>
  <si>
    <t>Lombardia</t>
  </si>
  <si>
    <t>AGRO GOLD SOCIETA' AGRICOLA A R.L.</t>
  </si>
  <si>
    <t>02676070390</t>
  </si>
  <si>
    <t>012500</t>
  </si>
  <si>
    <t>Ravenna</t>
  </si>
  <si>
    <t>SOCIETA' AGRICOLA ALLEVAMENTO LE BETULLE SRL</t>
  </si>
  <si>
    <t>07632750969</t>
  </si>
  <si>
    <t>014300</t>
  </si>
  <si>
    <t>Monza e della Brianza</t>
  </si>
  <si>
    <t>SOCIETA' AGRICOLA SPAGNOLETTO S.R.L.</t>
  </si>
  <si>
    <t>00542430525</t>
  </si>
  <si>
    <t>Siena</t>
  </si>
  <si>
    <t>Toscana</t>
  </si>
  <si>
    <t>PIO LA TORRE - LIBERA TERRA SOCIETA' COOPERATIVA SOCIALE IN SIGLA: PIO LA TORRE - LIBERA TERRA SOC. COOP. SOCIALE</t>
  </si>
  <si>
    <t>05632240825</t>
  </si>
  <si>
    <t>Palermo</t>
  </si>
  <si>
    <t>SOCIETA' AGRICOLA DEMAR S.R.L.</t>
  </si>
  <si>
    <t>02348920741</t>
  </si>
  <si>
    <t>Brindisi</t>
  </si>
  <si>
    <t>SOCIETA' AGRICOLA LE SELVAGGE SRL</t>
  </si>
  <si>
    <t>04534980166</t>
  </si>
  <si>
    <t>015000</t>
  </si>
  <si>
    <t>Bergamo</t>
  </si>
  <si>
    <t>OLEIFICIO COOPERATIVO DELLA RIFORMA FONDIARIA DI LEVERANO SOCIETA' COOPERATIVA AGRICOLA</t>
  </si>
  <si>
    <t>00150800753</t>
  </si>
  <si>
    <t>016100</t>
  </si>
  <si>
    <t>BARONE DI SERRAMARROCCO AZIENDA AGRICOLA - SOCIETA' AGRICOLA A RE SPONSABILITA' LIMITATA</t>
  </si>
  <si>
    <t>02269880817</t>
  </si>
  <si>
    <t>Trapani</t>
  </si>
  <si>
    <t>SOCIETA' AGRICOLA FO.CE. S.R.L.</t>
  </si>
  <si>
    <t>10829140010</t>
  </si>
  <si>
    <t>Torino</t>
  </si>
  <si>
    <t>Piemonte</t>
  </si>
  <si>
    <t>Forlì-Cesena</t>
  </si>
  <si>
    <t>Emilia-Romagna</t>
  </si>
  <si>
    <t>011000</t>
  </si>
  <si>
    <t>SOCIETA' AGRICOLA MICHELE S.R.L.</t>
  </si>
  <si>
    <t>01924080441</t>
  </si>
  <si>
    <t>010000</t>
  </si>
  <si>
    <t>Ascoli Piceno</t>
  </si>
  <si>
    <t>Marche</t>
  </si>
  <si>
    <t>014600</t>
  </si>
  <si>
    <t>TENUTE MARTAROSA S.R.L. - SOCIETA' AGRICOLA</t>
  </si>
  <si>
    <t>01851960706</t>
  </si>
  <si>
    <t>012100</t>
  </si>
  <si>
    <t>Campobasso</t>
  </si>
  <si>
    <t>Molise</t>
  </si>
  <si>
    <t>016300</t>
  </si>
  <si>
    <t>Cuneo</t>
  </si>
  <si>
    <t>Piemonte</t>
  </si>
  <si>
    <t>SOCIETA' AGRICOLA LOTTI S.R.L. SIGLABILE TENUTA LA GHIAIA</t>
  </si>
  <si>
    <t>00909270118</t>
  </si>
  <si>
    <t>011990</t>
  </si>
  <si>
    <t>La Spezia</t>
  </si>
  <si>
    <t>Liguria</t>
  </si>
  <si>
    <t>FRANCAVILLA SOCIETA' AGRICOLA S.R.L.</t>
  </si>
  <si>
    <t>00872090527</t>
  </si>
  <si>
    <t>Siena</t>
  </si>
  <si>
    <t>Toscana</t>
  </si>
  <si>
    <t>TENUTA AGRICOLA PIAN DELLE GINESTRE SOCIETA' AGRICOLA A R.L.</t>
  </si>
  <si>
    <t>01388890525</t>
  </si>
  <si>
    <t>MONVISOFRUIT - SOCIETA' COOPERATIVA AGRICOLA</t>
  </si>
  <si>
    <t>03561850045</t>
  </si>
  <si>
    <t>PIG FARM S.R.L. SOCIETA' AGRICOLA</t>
  </si>
  <si>
    <t>04387530407</t>
  </si>
  <si>
    <t>SOCIETA' AGRICOLA LAVINA S.R.L.</t>
  </si>
  <si>
    <t>08685671219</t>
  </si>
  <si>
    <t>012100</t>
  </si>
  <si>
    <t>Napoli</t>
  </si>
  <si>
    <t>Campania</t>
  </si>
  <si>
    <t>SOCIETA' AGRICOLA SCUOLA AGRARIA FERRAZZI E COVA S.R.L.</t>
  </si>
  <si>
    <t>07230960960</t>
  </si>
  <si>
    <t>011110</t>
  </si>
  <si>
    <t>Milano</t>
  </si>
  <si>
    <t>Lombardia</t>
  </si>
  <si>
    <t>SECOLO21 S.R.L. SOCIETA' AGRICOLA UNIPERSONALE</t>
  </si>
  <si>
    <t>01772950893</t>
  </si>
  <si>
    <t>012300</t>
  </si>
  <si>
    <t>Siracusa</t>
  </si>
  <si>
    <t>Sicilia</t>
  </si>
  <si>
    <t>SOCIETA' AGRICOLA LA COLLINA DELLE FATE S.R.L.</t>
  </si>
  <si>
    <t>02417480411</t>
  </si>
  <si>
    <t>Pesaro Urbino</t>
  </si>
  <si>
    <t>Marche</t>
  </si>
  <si>
    <t>011140</t>
  </si>
  <si>
    <t>OLIS - SOCIETA' AGRICOLA S.R.L.</t>
  </si>
  <si>
    <t>01340000536</t>
  </si>
  <si>
    <t>Grosseto</t>
  </si>
  <si>
    <t>Toscana</t>
  </si>
  <si>
    <t>FATTORIA BADIA POZZEVERI SOCIETA' AGRICOLA S.R.L.</t>
  </si>
  <si>
    <t>00475010476</t>
  </si>
  <si>
    <t>Lucca</t>
  </si>
  <si>
    <t>LE BUONE TERRE SOCIETA' COOPERATIVA AGRICOLA</t>
  </si>
  <si>
    <t>01499910899</t>
  </si>
  <si>
    <t>016100</t>
  </si>
  <si>
    <t>011310</t>
  </si>
  <si>
    <t>Salerno</t>
  </si>
  <si>
    <t>GREEN SERVICE SRL</t>
  </si>
  <si>
    <t>10557990156</t>
  </si>
  <si>
    <t>016000</t>
  </si>
  <si>
    <t>TERREVERDI S.R.L. SOCIETA' AGRICOLA DE MARTINO</t>
  </si>
  <si>
    <t>05280300657</t>
  </si>
  <si>
    <t>QUOTA 101 S.R.L. - SOCIETA' AGRICOLA</t>
  </si>
  <si>
    <t>00929240281</t>
  </si>
  <si>
    <t>010000</t>
  </si>
  <si>
    <t>Padova</t>
  </si>
  <si>
    <t>Veneto</t>
  </si>
  <si>
    <t>SOCIETA' AGRICOLA IL PASSEGGERE S.R.L.</t>
  </si>
  <si>
    <t>00335920971</t>
  </si>
  <si>
    <t>Prato</t>
  </si>
  <si>
    <t>TENUTA DI TRINORO SRL - SOCIETA' AGRICOLA</t>
  </si>
  <si>
    <t>01095530422</t>
  </si>
  <si>
    <t>Siena</t>
  </si>
  <si>
    <t>GIARDINI PELLIZZARI S.R.L. SOCIETA' AGRICOLA</t>
  </si>
  <si>
    <t>03748580135</t>
  </si>
  <si>
    <t>011910</t>
  </si>
  <si>
    <t>Como</t>
  </si>
  <si>
    <t>SOCIETA' AGRICOLA ADAMO S.R.L.</t>
  </si>
  <si>
    <t>02552530467</t>
  </si>
  <si>
    <t>SOCIETA' COOPERATIVA LA ZOTTA DEL LUPO</t>
  </si>
  <si>
    <t>01924500844</t>
  </si>
  <si>
    <t>011000</t>
  </si>
  <si>
    <t>Agrigento</t>
  </si>
  <si>
    <t>Sicilia</t>
  </si>
  <si>
    <t>SOCIETA' AGRICOLA BM S.R.L.</t>
  </si>
  <si>
    <t>04046620268</t>
  </si>
  <si>
    <t>Treviso</t>
  </si>
  <si>
    <t>Veneto</t>
  </si>
  <si>
    <t>Foggia</t>
  </si>
  <si>
    <t>Puglia</t>
  </si>
  <si>
    <t>012000</t>
  </si>
  <si>
    <t>016300</t>
  </si>
  <si>
    <t>SOCIETA' AGRICOLA BACCALAMANZA S.R.L.</t>
  </si>
  <si>
    <t>03577190923</t>
  </si>
  <si>
    <t>012100</t>
  </si>
  <si>
    <t>Sardegna</t>
  </si>
  <si>
    <t>FAMIGLIA CAMPAGNOLA ESTATES SOCIETA' AGRICOLA A RESPONSABILITA' LIMITATA</t>
  </si>
  <si>
    <t>03802970230</t>
  </si>
  <si>
    <t>Verona</t>
  </si>
  <si>
    <t>016100</t>
  </si>
  <si>
    <t>Lazio</t>
  </si>
  <si>
    <t>BIOAGRICOLA TRAIANO SOCIETA' A RESPONSABILITA' LIMITATA SOCIETA' AGRICOLA</t>
  </si>
  <si>
    <t>13110211003</t>
  </si>
  <si>
    <t>011310</t>
  </si>
  <si>
    <t>Roma</t>
  </si>
  <si>
    <t>Toscana</t>
  </si>
  <si>
    <t>SOCIETA' AGRICOLA PARADIS AGRICOLE S.R.L.</t>
  </si>
  <si>
    <t>02496710464</t>
  </si>
  <si>
    <t>Lucca</t>
  </si>
  <si>
    <t>OLEIFICIO COOPERATIVO DELLA RIFORMA FONDIARIA DI NARDO' SOCIETA' COOPERATIVA</t>
  </si>
  <si>
    <t>00153170758</t>
  </si>
  <si>
    <t>Lecce</t>
  </si>
  <si>
    <t>SOCIETA' AGRICOLA ACCADIA VERDE S.R.L.</t>
  </si>
  <si>
    <t>04149710719</t>
  </si>
  <si>
    <t>SOCIETA' AGRICOLA LE ARCATE SOCIETA' A RESPONSABILITA' LIMITATA E, PER ABBREVIAZIONE, SOCIETA' AGRICOLA LE ARCATE SRL</t>
  </si>
  <si>
    <t>01308980497</t>
  </si>
  <si>
    <t>015000</t>
  </si>
  <si>
    <t>Livorno</t>
  </si>
  <si>
    <t>CHERRI D'ACQUAVIVA SOCIETA' AGRICOLA A RESPONSABILITA' LIMITATA SEMPLIFICATA</t>
  </si>
  <si>
    <t>02482170442</t>
  </si>
  <si>
    <t>Ascoli Piceno</t>
  </si>
  <si>
    <t>Marche</t>
  </si>
  <si>
    <t>SOCIETA' AGRICOLA ALDEGHERI S.R.L.</t>
  </si>
  <si>
    <t>04742540232</t>
  </si>
  <si>
    <t>COOPERATIVA AGRICOLA FORESTALE ABETONE-ERBOLAIO SOCIETA' AGRICO LA COOPERATIVA</t>
  </si>
  <si>
    <t>00806220471</t>
  </si>
  <si>
    <t>Pistoia</t>
  </si>
  <si>
    <t>011300</t>
  </si>
  <si>
    <t>Foggia</t>
  </si>
  <si>
    <t>Puglia</t>
  </si>
  <si>
    <t>BRINA TARTUFI - SOCIETA' AGRICOLA A R.L.</t>
  </si>
  <si>
    <t>01635190554</t>
  </si>
  <si>
    <t>Terni</t>
  </si>
  <si>
    <t>Umbria</t>
  </si>
  <si>
    <t>012100</t>
  </si>
  <si>
    <t>VILLA PRESELLE SOCIETA' AGRICOLA A RESPONSABILITA' LIMITATA</t>
  </si>
  <si>
    <t>00980830533</t>
  </si>
  <si>
    <t>012600</t>
  </si>
  <si>
    <t>Grosseto</t>
  </si>
  <si>
    <t>Toscana</t>
  </si>
  <si>
    <t>013000</t>
  </si>
  <si>
    <t>016100</t>
  </si>
  <si>
    <t>SOCIETA' AGRICOLA L'ACINO S.R.L.</t>
  </si>
  <si>
    <t>02750590784</t>
  </si>
  <si>
    <t>Cosenza</t>
  </si>
  <si>
    <t>Calabria</t>
  </si>
  <si>
    <t>SOCIETA' AGRICOLA SAN GIORSOLE' S.R.L.</t>
  </si>
  <si>
    <t>01003030481</t>
  </si>
  <si>
    <t>Firenze</t>
  </si>
  <si>
    <t>SOCIETA' AGRICOLA VIVAISTICA ROMANA SOCIETA' A RESPONSABILITA' LIMITATA IN SIGLA SOCIETA' AGRICOLA VIVAISTICA ROMANA S.R.L.</t>
  </si>
  <si>
    <t>13068731002</t>
  </si>
  <si>
    <t>Roma</t>
  </si>
  <si>
    <t>Lazio</t>
  </si>
  <si>
    <t>OTTOSOLDI SOCIETA' AGRICOLA A RESPONSABILITA' LIMITATA</t>
  </si>
  <si>
    <t>10380400019</t>
  </si>
  <si>
    <t>Torino</t>
  </si>
  <si>
    <t>Piemonte</t>
  </si>
  <si>
    <t>SOCIETA' AGRICOLA SERGIO DELLE MONACHE S.R.L.</t>
  </si>
  <si>
    <t>02093770564</t>
  </si>
  <si>
    <t>Viterbo</t>
  </si>
  <si>
    <t>MINEO - SAITTA SOCIETA' COOPERATIVA AGRICOLA</t>
  </si>
  <si>
    <t>03620740823</t>
  </si>
  <si>
    <t>016300</t>
  </si>
  <si>
    <t>Palermo</t>
  </si>
  <si>
    <t>Sicilia</t>
  </si>
  <si>
    <t>SOCIETA' AGRICOLA LE TRE CARAVELLE - SOCIETA' A RESPONSABILITA' LIMITATA SEMPLIFICATA IN SIGLA SOCIETA' AGRICOLA LE TRE CARAVELLE S.R.L.S.</t>
  </si>
  <si>
    <t>03478430782</t>
  </si>
  <si>
    <t>015000</t>
  </si>
  <si>
    <t>AGRI RAFFA S.R.L. - SOCIETA' AGRICOLA</t>
  </si>
  <si>
    <t>03061070714</t>
  </si>
  <si>
    <t>CA' DELL'ODOLA ORGANIC SOCIETA' AGRICOLA A R.L.</t>
  </si>
  <si>
    <t>03576670545</t>
  </si>
  <si>
    <t>012800</t>
  </si>
  <si>
    <t>Perugia</t>
  </si>
  <si>
    <t>SOCIETA' AGRICOLA MELISE S.R.L.</t>
  </si>
  <si>
    <t>00833690944</t>
  </si>
  <si>
    <t>012400</t>
  </si>
  <si>
    <t>Isernia</t>
  </si>
  <si>
    <t>Molise</t>
  </si>
  <si>
    <t>012100</t>
  </si>
  <si>
    <t>Lombardia</t>
  </si>
  <si>
    <t>Puglia</t>
  </si>
  <si>
    <t>SOCIETA' AGRICOLA LA FIOCA S.R.L.</t>
  </si>
  <si>
    <t>03512430178</t>
  </si>
  <si>
    <t>012000</t>
  </si>
  <si>
    <t>Brescia</t>
  </si>
  <si>
    <t>Piemonte</t>
  </si>
  <si>
    <t>CASETTA I' SOCIETA' AGRICOLA A RESPONSABILITA' LIMITATA</t>
  </si>
  <si>
    <t>06181200483</t>
  </si>
  <si>
    <t>Firenze</t>
  </si>
  <si>
    <t>Toscana</t>
  </si>
  <si>
    <t>011140</t>
  </si>
  <si>
    <t>SOCIETA' AGRICOLA POLJE S.R.L.</t>
  </si>
  <si>
    <t>01099880310</t>
  </si>
  <si>
    <t>Gorizia</t>
  </si>
  <si>
    <t>Friuli-Venezia Giulia</t>
  </si>
  <si>
    <t>IMPRONTA VERDE SOCIETA' AGRICOLA A RESPONSABILITA' LIMITATA</t>
  </si>
  <si>
    <t>02909550424</t>
  </si>
  <si>
    <t>014600</t>
  </si>
  <si>
    <t>Ancona</t>
  </si>
  <si>
    <t>Marche</t>
  </si>
  <si>
    <t>012600</t>
  </si>
  <si>
    <t>PODERE PALAZZO SOCIETA' AGRICOLA SRL</t>
  </si>
  <si>
    <t>03727800405</t>
  </si>
  <si>
    <t>Forlì-Cesena</t>
  </si>
  <si>
    <t>Emilia-Romagna</t>
  </si>
  <si>
    <t>COOPERATIVA AGRICOLA LA FORMICA - PICCOLA SOCIETA' COOPERATIVA A R.L.</t>
  </si>
  <si>
    <t>00362580417</t>
  </si>
  <si>
    <t>Pesaro Urbino</t>
  </si>
  <si>
    <t>MASTROTOTARO SOCIETA' AGRICOLA S.R.L.</t>
  </si>
  <si>
    <t>07565880726</t>
  </si>
  <si>
    <t>Barletta-Andria-Trani</t>
  </si>
  <si>
    <t>SORBAIANO SOCIETA' AGRICOLA SRL</t>
  </si>
  <si>
    <t>02240700506</t>
  </si>
  <si>
    <t>Pisa</t>
  </si>
  <si>
    <t>GARSON SOCIETA' COOPERATIVA</t>
  </si>
  <si>
    <t>01581440052</t>
  </si>
  <si>
    <t>016300</t>
  </si>
  <si>
    <t>Asti</t>
  </si>
  <si>
    <t>LE GIARINE SOCIETA' AGRICOLA S.R.L.</t>
  </si>
  <si>
    <t>01119920310</t>
  </si>
  <si>
    <t>010000</t>
  </si>
  <si>
    <t>FLOROVIVAISTICA DEL LAGO MAGGIORE SOCIETA' COOPERATIVA AGRICOLA</t>
  </si>
  <si>
    <t>01745150035</t>
  </si>
  <si>
    <t>011910</t>
  </si>
  <si>
    <t>Novara</t>
  </si>
  <si>
    <t>Piemonte</t>
  </si>
  <si>
    <t>SOCIETA' AGRICOLA MONTAIA S.R.L.</t>
  </si>
  <si>
    <t>04217120403</t>
  </si>
  <si>
    <t>012100</t>
  </si>
  <si>
    <t>Forlì-Cesena</t>
  </si>
  <si>
    <t>Emilia-Romagna</t>
  </si>
  <si>
    <t>016300</t>
  </si>
  <si>
    <t>Toscana</t>
  </si>
  <si>
    <t>016100</t>
  </si>
  <si>
    <t>Treviso</t>
  </si>
  <si>
    <t>Veneto</t>
  </si>
  <si>
    <t>BELLAVISTA INSUESE SOCIETA' AGRICOLA S.R.L.</t>
  </si>
  <si>
    <t>00474080504</t>
  </si>
  <si>
    <t>011110</t>
  </si>
  <si>
    <t>Livorno</t>
  </si>
  <si>
    <t>ABIES SOCIETA' AGRICOLA S.R.L.</t>
  </si>
  <si>
    <t>00875810145</t>
  </si>
  <si>
    <t>012500</t>
  </si>
  <si>
    <t>Sondrio</t>
  </si>
  <si>
    <t>Lombardia</t>
  </si>
  <si>
    <t>SCUDERIA CASTELLO SRL SOCIETA' AGRICOLA</t>
  </si>
  <si>
    <t>01771320981</t>
  </si>
  <si>
    <t>014300</t>
  </si>
  <si>
    <t>Brescia</t>
  </si>
  <si>
    <t>AZIENDA AGRICOLA FERRERI &amp; BIANCO SOCIETA' A RESPONSABILITA' LIMI TATA O IN FORMA ABBREVIATA AZIENDA AGRICOLA FERRERI &amp; BIANCO S.R.L.</t>
  </si>
  <si>
    <t>02092470810</t>
  </si>
  <si>
    <t>Trapani</t>
  </si>
  <si>
    <t>Sicilia</t>
  </si>
  <si>
    <t>BACCU SOCIETA' AGRICOLA S.R.L.</t>
  </si>
  <si>
    <t>03414240923</t>
  </si>
  <si>
    <t>Sardegna</t>
  </si>
  <si>
    <t>FEDERAZIONE PROVINCIALE DEGLI ALLEVATORI DI CAVALLI DI RAZZA HAFLINGER DELL'ALTO ADIGE SOCIETA' AGRICOLA COOPERATIVA</t>
  </si>
  <si>
    <t>00307400218</t>
  </si>
  <si>
    <t>016200</t>
  </si>
  <si>
    <t>Bolzano/Bozen</t>
  </si>
  <si>
    <t>Trentino-Alto Adige</t>
  </si>
  <si>
    <t>ALLEVI GROUP S.R.L.</t>
  </si>
  <si>
    <t>03025470166</t>
  </si>
  <si>
    <t>Bergamo</t>
  </si>
  <si>
    <t>TERRA E SOLE SOCIETA' AGRICOLA SRL</t>
  </si>
  <si>
    <t>02626960609</t>
  </si>
  <si>
    <t>011300</t>
  </si>
  <si>
    <t>Frosinone</t>
  </si>
  <si>
    <t>Lazio</t>
  </si>
  <si>
    <t>A&amp;G S.R.L.</t>
  </si>
  <si>
    <t>04797280262</t>
  </si>
  <si>
    <t>SICILY COUNTRY SOCIETA' AGRICOLA S.R.L. SEMPLIFICATA</t>
  </si>
  <si>
    <t>05358050879</t>
  </si>
  <si>
    <t>012300</t>
  </si>
  <si>
    <t>Catania</t>
  </si>
  <si>
    <t>Latina</t>
  </si>
  <si>
    <t>AZIENDA AGRICOLA CIGNAN ROSSO SOCIETA' AGRICOLA A RESPONSABILITA' LIMITATA</t>
  </si>
  <si>
    <t>00912340528</t>
  </si>
  <si>
    <t>011000</t>
  </si>
  <si>
    <t>Siena</t>
  </si>
  <si>
    <t>RUSSIZ SUPERIORE SOCIETA' AGRICOLA A R.L.</t>
  </si>
  <si>
    <t>00309370310</t>
  </si>
  <si>
    <t>010000</t>
  </si>
  <si>
    <t>Gorizia</t>
  </si>
  <si>
    <t>Friuli-Venezia Giulia</t>
  </si>
  <si>
    <t>IL CASALE CORTE ROSSA SOCIETA' AGRICOLA S.R.L.</t>
  </si>
  <si>
    <t>01927800597</t>
  </si>
  <si>
    <t>Verona</t>
  </si>
  <si>
    <t>SOCIETA' AGRICOLA ELEVA SRL</t>
  </si>
  <si>
    <t>03814820753</t>
  </si>
  <si>
    <t>012100</t>
  </si>
  <si>
    <t>016100</t>
  </si>
  <si>
    <t>LA ROSSA PEZZATA DEL FRIULI VENEZIA GIULIA SOCIETA' COOPERATIVA A GRICOLA</t>
  </si>
  <si>
    <t>01831770936</t>
  </si>
  <si>
    <t>016209</t>
  </si>
  <si>
    <t>Pordenone</t>
  </si>
  <si>
    <t>Friuli-Venezia Giulia</t>
  </si>
  <si>
    <t>AZIENDA AGRICOLA COLLE DI BORDOCHEO S.R.L. - SOCIETA' AGRICOLA</t>
  </si>
  <si>
    <t>01117940468</t>
  </si>
  <si>
    <t>Lucca</t>
  </si>
  <si>
    <t>Toscana</t>
  </si>
  <si>
    <t>Lombardia</t>
  </si>
  <si>
    <t>SOCIETA' AGRICOLA L'ACQUEDOTTO ROMANO S.R.L.</t>
  </si>
  <si>
    <t>08742641007</t>
  </si>
  <si>
    <t>015000</t>
  </si>
  <si>
    <t>Roma</t>
  </si>
  <si>
    <t>Lazio</t>
  </si>
  <si>
    <t>SOCIETA' AGRICOLA GERMOGLI SOCIETA' A RESPONSABILITA' LIMITATA SEMPLIFICATA</t>
  </si>
  <si>
    <t>03656300542</t>
  </si>
  <si>
    <t>011140</t>
  </si>
  <si>
    <t>Perugia</t>
  </si>
  <si>
    <t>Umbria</t>
  </si>
  <si>
    <t>AGRICARLI PICCOLA SOCIETA' AGRICOLA COOPERATIVA A R.L.</t>
  </si>
  <si>
    <t>02247700780</t>
  </si>
  <si>
    <t>012600</t>
  </si>
  <si>
    <t>Cosenza</t>
  </si>
  <si>
    <t>Calabria</t>
  </si>
  <si>
    <t>AGRIMEN SOCIETA' COOPERATIVA AGRICOLA SOCIALE DI TIPO B O.N.L.U .S.</t>
  </si>
  <si>
    <t>02258020516</t>
  </si>
  <si>
    <t>Arezzo</t>
  </si>
  <si>
    <t>LE VIGNE DI CLEMENTINA FABI SOCIETA' AGRICOLA A R. L.</t>
  </si>
  <si>
    <t>02132960440</t>
  </si>
  <si>
    <t>Ascoli Piceno</t>
  </si>
  <si>
    <t>Marche</t>
  </si>
  <si>
    <t>SOCIETA' AGRICOLA PODERE LA CHIESA S.R.L.</t>
  </si>
  <si>
    <t>01948460504</t>
  </si>
  <si>
    <t>Pisa</t>
  </si>
  <si>
    <t>SHARA SOCIETA' AGRICOLA S.R.L.</t>
  </si>
  <si>
    <t>03212690832</t>
  </si>
  <si>
    <t>012300</t>
  </si>
  <si>
    <t>Messina</t>
  </si>
  <si>
    <t>Sicilia</t>
  </si>
  <si>
    <t>SOCIETA' AGRICOLA MONTANA S.R.L. UNIPERSONALE</t>
  </si>
  <si>
    <t>02278870023</t>
  </si>
  <si>
    <t>014100</t>
  </si>
  <si>
    <t>Vercelli</t>
  </si>
  <si>
    <t>Piemonte</t>
  </si>
  <si>
    <t>SOCIETA' AGRICOLA GENZIANA S.R.L.</t>
  </si>
  <si>
    <t>02192130900</t>
  </si>
  <si>
    <t>011300</t>
  </si>
  <si>
    <t>Sassari</t>
  </si>
  <si>
    <t>Sardegna</t>
  </si>
  <si>
    <t>HORUS ITALIA SRL</t>
  </si>
  <si>
    <t>09101890961</t>
  </si>
  <si>
    <t>Milano</t>
  </si>
  <si>
    <t>012100</t>
  </si>
  <si>
    <t>Perugia</t>
  </si>
  <si>
    <t>Umbria</t>
  </si>
  <si>
    <t>TECNOVERDE S.R.L.</t>
  </si>
  <si>
    <t>00923340293</t>
  </si>
  <si>
    <t>016000</t>
  </si>
  <si>
    <t>Rovigo</t>
  </si>
  <si>
    <t>Veneto</t>
  </si>
  <si>
    <t>011310</t>
  </si>
  <si>
    <t>SOCIETA AGRICOLA INDUSTRIALE A RL</t>
  </si>
  <si>
    <t>01232311009</t>
  </si>
  <si>
    <t>011110</t>
  </si>
  <si>
    <t>Roma</t>
  </si>
  <si>
    <t>Lazio</t>
  </si>
  <si>
    <t>Sicilia</t>
  </si>
  <si>
    <t>CANTINA SOCIALE PIETRALUNGA SOCIETA' COOPERATIVA AGRICOLA</t>
  </si>
  <si>
    <t>00762530822</t>
  </si>
  <si>
    <t>Palermo</t>
  </si>
  <si>
    <t>Toscana</t>
  </si>
  <si>
    <t>AGRICOLA CORICELLI - SOCIETA' AGRICOLA S.R.L.</t>
  </si>
  <si>
    <t>02960490544</t>
  </si>
  <si>
    <t>012600</t>
  </si>
  <si>
    <t>VALSANTERNO SOCIETA' AGRICOLA A R.L.</t>
  </si>
  <si>
    <t>03940821204</t>
  </si>
  <si>
    <t>Bologna</t>
  </si>
  <si>
    <t>Emilia-Romagna</t>
  </si>
  <si>
    <t>TENUTA ALZATURA S.R.L. SOCIETA' AGRICOLA</t>
  </si>
  <si>
    <t>01023890526</t>
  </si>
  <si>
    <t>Siena</t>
  </si>
  <si>
    <t>SOCIETA' AGRICOLA SAN LUIGI SRL</t>
  </si>
  <si>
    <t>04134600982</t>
  </si>
  <si>
    <t>014600</t>
  </si>
  <si>
    <t>Brescia</t>
  </si>
  <si>
    <t>Lombardia</t>
  </si>
  <si>
    <t>COOPERATIVA SOCIALE S. MICHELE ARCANGELO SOCIETA' COOPERATIVA AGR RICOLA ONLUS</t>
  </si>
  <si>
    <t>01611940436</t>
  </si>
  <si>
    <t>011140</t>
  </si>
  <si>
    <t>Macerata</t>
  </si>
  <si>
    <t>Marche</t>
  </si>
  <si>
    <t>SOCIETA' AGRICOLA RINIDIA BIO S.R.L.</t>
  </si>
  <si>
    <t>08914011005</t>
  </si>
  <si>
    <t>LE SIEPI S.R.L. SOCIETA' AGRICOLA</t>
  </si>
  <si>
    <t>02844490355</t>
  </si>
  <si>
    <t>Reggio nell'Emilia</t>
  </si>
  <si>
    <t>POGGIO MANDORLO SOCIETA' AGRICOLA - SOCIETA' A RESPONSABILITA' LIMITATA O IN FORMA ABBREVIATA POGGIO MANDORLO SOCIETA' AGRICOLA S.R.L. O IN SIGLA P.M. SOCIETA' AGRICOLA S.R.L.</t>
  </si>
  <si>
    <t>01054100522</t>
  </si>
  <si>
    <t>012000</t>
  </si>
  <si>
    <t>Grosseto</t>
  </si>
  <si>
    <t>SOCIETA' AGRICOLA ERIK BANTI S.R.L.</t>
  </si>
  <si>
    <t>01554870533</t>
  </si>
  <si>
    <t>AGRICONCURA SOCIETA' COOPERATIVA SOCIALE AGRICOLA</t>
  </si>
  <si>
    <t>03788051203</t>
  </si>
  <si>
    <t>AGROALIMENTARE DITTAINO SOCIETA' AGRICOLA A RESPONSABILITA' LIMITATA</t>
  </si>
  <si>
    <t>05339760877</t>
  </si>
  <si>
    <t>011110</t>
  </si>
  <si>
    <t>Catania</t>
  </si>
  <si>
    <t>Sicilia</t>
  </si>
  <si>
    <t>012000</t>
  </si>
  <si>
    <t>SOCIETA' AGRICOLA MAKYVA S.R.L.</t>
  </si>
  <si>
    <t>03585020757</t>
  </si>
  <si>
    <t>Lecce</t>
  </si>
  <si>
    <t>Puglia</t>
  </si>
  <si>
    <t>Veneto</t>
  </si>
  <si>
    <t>RIENZFLOR SRL - SOCIETA' AGRICOLA</t>
  </si>
  <si>
    <t>03051860215</t>
  </si>
  <si>
    <t>011910</t>
  </si>
  <si>
    <t>Bolzano/Bozen</t>
  </si>
  <si>
    <t>Trentino-Alto Adige</t>
  </si>
  <si>
    <t>EMPORIO BRUCA S.R.L. AGRICOLA</t>
  </si>
  <si>
    <t>02358080816</t>
  </si>
  <si>
    <t>012100</t>
  </si>
  <si>
    <t>Trapani</t>
  </si>
  <si>
    <t>LA FATTORIA DEL PARCO - SOCIETA' COOPERATIVA SOCIALE</t>
  </si>
  <si>
    <t>01442590368</t>
  </si>
  <si>
    <t>Modena</t>
  </si>
  <si>
    <t>Emilia-Romagna</t>
  </si>
  <si>
    <t>BASILISCO SOCIETA' AGRICOLA S.R.L. IN FORMA ABBREVIATA: OGNISSOLE</t>
  </si>
  <si>
    <t>01495090761</t>
  </si>
  <si>
    <t>Potenza</t>
  </si>
  <si>
    <t>Basilicata</t>
  </si>
  <si>
    <t>COOPERATIVA AGRICOLA AGRO 97 - S.C.R.L. -</t>
  </si>
  <si>
    <t>03398920656</t>
  </si>
  <si>
    <t>011000</t>
  </si>
  <si>
    <t>Salerno</t>
  </si>
  <si>
    <t>Campania</t>
  </si>
  <si>
    <t>SOCIETA' AGRICOLA DAVINUM S.R.L.</t>
  </si>
  <si>
    <t>05753350486</t>
  </si>
  <si>
    <t>Firenze</t>
  </si>
  <si>
    <t>Toscana</t>
  </si>
  <si>
    <t>I DE MARCHI SOCIETA' AGRICOLA SRL</t>
  </si>
  <si>
    <t>03810570238</t>
  </si>
  <si>
    <t>Verona</t>
  </si>
  <si>
    <t>SOCIETA' AGRICOLA IL VIGNETO S.R.L.</t>
  </si>
  <si>
    <t>03287070407</t>
  </si>
  <si>
    <t>Rimini</t>
  </si>
  <si>
    <t>DIVAGA SOCIETA' AGRICOLA SRL</t>
  </si>
  <si>
    <t>05609460877</t>
  </si>
  <si>
    <t>014300</t>
  </si>
  <si>
    <t>AZIENDA AGRICOLA BALDI SOCIETA' AGRICOLA A R.L.</t>
  </si>
  <si>
    <t>04090320260</t>
  </si>
  <si>
    <t>Treviso</t>
  </si>
  <si>
    <t>TANCA GIOIA CARLOFORTE S.R.L SOCIETA' AGRICOLA</t>
  </si>
  <si>
    <t>02838990923</t>
  </si>
  <si>
    <t>Cagliari</t>
  </si>
  <si>
    <t>Sardegna</t>
  </si>
  <si>
    <t>015000</t>
  </si>
  <si>
    <t>011110</t>
  </si>
  <si>
    <t>SOCIETA' AGRICOLA VENDRAMI GIUSEPPE S.R.L.</t>
  </si>
  <si>
    <t>04359030279</t>
  </si>
  <si>
    <t>011140</t>
  </si>
  <si>
    <t>Venezia</t>
  </si>
  <si>
    <t>Veneto</t>
  </si>
  <si>
    <t>012100</t>
  </si>
  <si>
    <t>AZIENDA VITIVINICOLA LA ZERBA S.R.L. - SOCIETA' AGRICOLA</t>
  </si>
  <si>
    <t>02671990063</t>
  </si>
  <si>
    <t>Alessandria</t>
  </si>
  <si>
    <t>Piemonte</t>
  </si>
  <si>
    <t>SOCIETA' AGRICOLA POLLINE S.R.L.</t>
  </si>
  <si>
    <t>12088971002</t>
  </si>
  <si>
    <t>Roma</t>
  </si>
  <si>
    <t>Lazio</t>
  </si>
  <si>
    <t>CLAUDIO CIPRESSI SOCIETA' AGRICOLA A R.L.</t>
  </si>
  <si>
    <t>01739290706</t>
  </si>
  <si>
    <t>Campobasso</t>
  </si>
  <si>
    <t>Molise</t>
  </si>
  <si>
    <t>LA FORCOLA SOCIETA' AGRICOLA A R.L.</t>
  </si>
  <si>
    <t>01549770533</t>
  </si>
  <si>
    <t>011120</t>
  </si>
  <si>
    <t>Grosseto</t>
  </si>
  <si>
    <t>Toscana</t>
  </si>
  <si>
    <t>AZZATO SOCIETA' COOPERATIVA AGRICOLA</t>
  </si>
  <si>
    <t>01796330767</t>
  </si>
  <si>
    <t>Potenza</t>
  </si>
  <si>
    <t>Basilicata</t>
  </si>
  <si>
    <t>SOCIETA' AGRICOLA TENUTA DELLA SELVA S.R.L.</t>
  </si>
  <si>
    <t>00786300525</t>
  </si>
  <si>
    <t>Siena</t>
  </si>
  <si>
    <t>PIEVE DE' PITTI S.R.L. SOCIETA' AGRICOLA</t>
  </si>
  <si>
    <t>01033680503</t>
  </si>
  <si>
    <t>Pisa</t>
  </si>
  <si>
    <t>CHIARA LUNGAROTTI S.R.L.</t>
  </si>
  <si>
    <t>02205300540</t>
  </si>
  <si>
    <t>011000</t>
  </si>
  <si>
    <t>Perugia</t>
  </si>
  <si>
    <t>Umbria</t>
  </si>
  <si>
    <t>SOCIETA' AGRICOLA DALLA GRANA S.R.L.</t>
  </si>
  <si>
    <t>03457380248</t>
  </si>
  <si>
    <t>011990</t>
  </si>
  <si>
    <t>Vicenza</t>
  </si>
  <si>
    <t>Veneto</t>
  </si>
  <si>
    <t>012300</t>
  </si>
  <si>
    <t>Sicilia</t>
  </si>
  <si>
    <t>CI.ZA S.R.L.</t>
  </si>
  <si>
    <t>01766920688</t>
  </si>
  <si>
    <t>012100</t>
  </si>
  <si>
    <t>Pescara</t>
  </si>
  <si>
    <t>Abruzzo</t>
  </si>
  <si>
    <t>Verona</t>
  </si>
  <si>
    <t>TERRE DORIA PAMPHILJ S.R.L.</t>
  </si>
  <si>
    <t>05870511002</t>
  </si>
  <si>
    <t>Roma</t>
  </si>
  <si>
    <t>Lazio</t>
  </si>
  <si>
    <t>Piacenza</t>
  </si>
  <si>
    <t>Emilia-Romagna</t>
  </si>
  <si>
    <t>SOCIETA' AGRICOLA HORTO SAPIENS S.R.L.S.</t>
  </si>
  <si>
    <t>01567180888</t>
  </si>
  <si>
    <t>011320</t>
  </si>
  <si>
    <t>Ragusa</t>
  </si>
  <si>
    <t>Lombardia</t>
  </si>
  <si>
    <t>TENUTA AQUILAIA S.R.L. SOCIETA' AGRICOLA E IN FORMA ABBREVIATA T.A. S.A.R.L. O TE.AQ. S.A.R.L. O TEN.AQU. S.A.R.L.</t>
  </si>
  <si>
    <t>06898130486</t>
  </si>
  <si>
    <t>Grosseto</t>
  </si>
  <si>
    <t>Toscana</t>
  </si>
  <si>
    <t>Catania</t>
  </si>
  <si>
    <t>SOCIETA' AGRICOLA CAMPODATA S.R.L.</t>
  </si>
  <si>
    <t>01374200564</t>
  </si>
  <si>
    <t>010000</t>
  </si>
  <si>
    <t>Viterbo</t>
  </si>
  <si>
    <t>SOCIETA' AGRICOLA AGRIVIVA S.R.L.</t>
  </si>
  <si>
    <t>04779310657</t>
  </si>
  <si>
    <t>013000</t>
  </si>
  <si>
    <t>Salerno</t>
  </si>
  <si>
    <t>Campania</t>
  </si>
  <si>
    <t>SOCIETA' AGRICOLA ROSSI DE RUBEIS GIOVANNA SRL</t>
  </si>
  <si>
    <t>05015190266</t>
  </si>
  <si>
    <t>Treviso</t>
  </si>
  <si>
    <t>SOCIETA' AGRICOLA QUERCETE S.R.L.</t>
  </si>
  <si>
    <t>03860000615</t>
  </si>
  <si>
    <t>014500</t>
  </si>
  <si>
    <t>Caserta</t>
  </si>
  <si>
    <t>FERRARI FARM SOCIETA' AGRICOLA-SRL</t>
  </si>
  <si>
    <t>00961470572</t>
  </si>
  <si>
    <t>012400</t>
  </si>
  <si>
    <t>Rieti</t>
  </si>
  <si>
    <t>SCACCIANOCE SOCIETA' COOPERATIVA</t>
  </si>
  <si>
    <t>03696300874</t>
  </si>
  <si>
    <t>PIANTITALIA S.R.L.</t>
  </si>
  <si>
    <t>01018180479</t>
  </si>
  <si>
    <t>Pistoia</t>
  </si>
  <si>
    <t>SOCIETA' AGRICOLA CA' DEI CONTI S.R.L.</t>
  </si>
  <si>
    <t>03575670231</t>
  </si>
  <si>
    <t>I PERINELLI - SOCIETA' COOPERATIVA SOCIALE - ONLUS</t>
  </si>
  <si>
    <t>04385010964</t>
  </si>
  <si>
    <t>GREENFANTASY SOCIETA' AGRICOLA S.R.L.</t>
  </si>
  <si>
    <t>10139110968</t>
  </si>
  <si>
    <t>Varese</t>
  </si>
  <si>
    <t>TOSCANA S.R.L. SOCIETA' AGRICOLA</t>
  </si>
  <si>
    <t>02509380248</t>
  </si>
  <si>
    <t>015000</t>
  </si>
  <si>
    <t>Vicenza</t>
  </si>
  <si>
    <t>Veneto</t>
  </si>
  <si>
    <t>SOCIETA' AGRICOLA BORGO INCANTATO S.R.L.</t>
  </si>
  <si>
    <t>01637690551</t>
  </si>
  <si>
    <t>Terni</t>
  </si>
  <si>
    <t>Umbria</t>
  </si>
  <si>
    <t>Salerno</t>
  </si>
  <si>
    <t>Campania</t>
  </si>
  <si>
    <t>LAMA AGRICOLA - SOCIETA A RESPONSABILITA LIMITATA</t>
  </si>
  <si>
    <t>02113821009</t>
  </si>
  <si>
    <t>011990</t>
  </si>
  <si>
    <t>Roma</t>
  </si>
  <si>
    <t>Lazio</t>
  </si>
  <si>
    <t>DUE DEL MONTE QUARIN S.R.L. - SOCIETA' AGRICOLA</t>
  </si>
  <si>
    <t>01135470316</t>
  </si>
  <si>
    <t>012100</t>
  </si>
  <si>
    <t>Gorizia</t>
  </si>
  <si>
    <t>Friuli-Venezia Giulia</t>
  </si>
  <si>
    <t>016100</t>
  </si>
  <si>
    <t>LA LODOLA SOCIETA' A RESPONSABILITA' LIMITATA - SOCIETA' AGRICOLA IN SIGLA LA LODOLA S.R.L. - SOCIETA' AGRICOLA .</t>
  </si>
  <si>
    <t>01024950527</t>
  </si>
  <si>
    <t>Siena</t>
  </si>
  <si>
    <t>Toscana</t>
  </si>
  <si>
    <t>011310</t>
  </si>
  <si>
    <t>LE VIGNE DI CANEVEL - SOCIETA' AGRICOLA A RESPONSABILITA' LIMITATA</t>
  </si>
  <si>
    <t>04061890267</t>
  </si>
  <si>
    <t>Treviso</t>
  </si>
  <si>
    <t>Sicilia</t>
  </si>
  <si>
    <t>COLLI DI POIANIS WINERY SOCIETA' AGRICOLA A R.L. IN FORMA ABBREVIATA CDP WINERY SOC. AGR. A R.L.</t>
  </si>
  <si>
    <t>02393850306</t>
  </si>
  <si>
    <t>Udine</t>
  </si>
  <si>
    <t>SOCIETA' AGRICOLA ROMANO' S.R.L.</t>
  </si>
  <si>
    <t>07958870961</t>
  </si>
  <si>
    <t>012900</t>
  </si>
  <si>
    <t>Monza e della Brianza</t>
  </si>
  <si>
    <t>Lombardia</t>
  </si>
  <si>
    <t>SOCIETA' AGRICOLA CASTIGLIONE S.R.L.</t>
  </si>
  <si>
    <t>02322730512</t>
  </si>
  <si>
    <t>011110</t>
  </si>
  <si>
    <t>Arezzo</t>
  </si>
  <si>
    <t>SOCIETA' AGRICOLA MONTE FERRATO S.R.L.OVVERO IN BREVE SOC. AGRICOLA MF S.R.L.</t>
  </si>
  <si>
    <t>02464500061</t>
  </si>
  <si>
    <t>Alessandria</t>
  </si>
  <si>
    <t>Piemonte</t>
  </si>
  <si>
    <t>ARCOLIVE SRL SOCIETA' AGRICOLA</t>
  </si>
  <si>
    <t>02558390221</t>
  </si>
  <si>
    <t>012600</t>
  </si>
  <si>
    <t>Trento</t>
  </si>
  <si>
    <t>Trentino-Alto Adige</t>
  </si>
  <si>
    <t>COLFIORITO LEGUMI E CEREALI SOCIETA' AGRICOLA SRL</t>
  </si>
  <si>
    <t>03319750547</t>
  </si>
  <si>
    <t>011140</t>
  </si>
  <si>
    <t>Perugia</t>
  </si>
  <si>
    <t>L'OLIVO COUNTRY CLUB SOCIETA' A RESPONSABILITA' LIMITATA SOCIETA' AGRICOLA</t>
  </si>
  <si>
    <t>02287310565</t>
  </si>
  <si>
    <t>Viterbo</t>
  </si>
  <si>
    <t>CA' AL DEL MANS COOPERATIVA SOCIALE ONLUS</t>
  </si>
  <si>
    <t>03532280165</t>
  </si>
  <si>
    <t>Bergamo</t>
  </si>
  <si>
    <t>AGRIBIOTEC SOCIETA' COOPERATIVA A R.L.</t>
  </si>
  <si>
    <t>02266880653</t>
  </si>
  <si>
    <t>TENUTE SENIA SOCIETA' COOPERATIVA AGRICOLA</t>
  </si>
  <si>
    <t>01539100881</t>
  </si>
  <si>
    <t>Ragusa</t>
  </si>
  <si>
    <t>Campania</t>
  </si>
  <si>
    <t>Sardegna</t>
  </si>
  <si>
    <t>RIFUGIO CANINO IL PARCO S.R.L.</t>
  </si>
  <si>
    <t>11155620013</t>
  </si>
  <si>
    <t>014990</t>
  </si>
  <si>
    <t>Reggio di Calabria</t>
  </si>
  <si>
    <t>Calabria</t>
  </si>
  <si>
    <t>Roma</t>
  </si>
  <si>
    <t>Lazio</t>
  </si>
  <si>
    <t>SOCIETA' AGRICOLA ATTONE S.R.L.</t>
  </si>
  <si>
    <t>00598720548</t>
  </si>
  <si>
    <t>010000</t>
  </si>
  <si>
    <t>Perugia</t>
  </si>
  <si>
    <t>Umbria</t>
  </si>
  <si>
    <t>SOCIETA' AGRICOLA MARIANEDDI S.R.L.</t>
  </si>
  <si>
    <t>01922420896</t>
  </si>
  <si>
    <t>012300</t>
  </si>
  <si>
    <t>Siracusa</t>
  </si>
  <si>
    <t>Sicilia</t>
  </si>
  <si>
    <t>Firenze</t>
  </si>
  <si>
    <t>Toscana</t>
  </si>
  <si>
    <t>TEMPA DI ZOE' SOCIETA' AGRICOLA A R.L. IN SIGLA TEMPA DI ZOE' - CANTINA IN CILENTO</t>
  </si>
  <si>
    <t>03589750656</t>
  </si>
  <si>
    <t>012100</t>
  </si>
  <si>
    <t>Salerno</t>
  </si>
  <si>
    <t>Arezzo</t>
  </si>
  <si>
    <t>A.GE.I. AGRICOLTURA GESTIONE ITTICA SOCIETA' COOPERATIVA</t>
  </si>
  <si>
    <t>01359881008</t>
  </si>
  <si>
    <t>016000</t>
  </si>
  <si>
    <t>VIVAI AMPOLA S.R.L. SOCIETA' AGRICOLA</t>
  </si>
  <si>
    <t>02215010816</t>
  </si>
  <si>
    <t>013000</t>
  </si>
  <si>
    <t>Trapani</t>
  </si>
  <si>
    <t>CARVINEA SOCIETA' AGRICOLA A RESPONSABILITA' LIMITATA</t>
  </si>
  <si>
    <t>00949790729</t>
  </si>
  <si>
    <t>Bari</t>
  </si>
  <si>
    <t>Puglia</t>
  </si>
  <si>
    <t>BRUSEGHIN MARZIO SOCIETA' AGRICOLA A RESPONSABILITA' LIMITATA</t>
  </si>
  <si>
    <t>04382990267</t>
  </si>
  <si>
    <t>Treviso</t>
  </si>
  <si>
    <t>Veneto</t>
  </si>
  <si>
    <t>012000</t>
  </si>
  <si>
    <t>F.LLI TERZI SOCIETA' AGRICOLA S.R.L.</t>
  </si>
  <si>
    <t>07988360728</t>
  </si>
  <si>
    <t>IS AZIENDA SOCIETA' AGRICOLA S.R.L.</t>
  </si>
  <si>
    <t>03659340925</t>
  </si>
  <si>
    <t>FATTORIA LOPPIANO 4.0 SOCIETA' AGRICOLA COOPERATIVA</t>
  </si>
  <si>
    <t>07030770486</t>
  </si>
  <si>
    <t>COOPERATIVA AGRICOLA FORESTALE VALLE SINGERNA - SOCIETA' COOPERATIVA A RESPONSABILITA' LIMITATA</t>
  </si>
  <si>
    <t>00284680519</t>
  </si>
  <si>
    <t>011000</t>
  </si>
  <si>
    <t>MOLLO AZIENDE S.R.L. SOCIETA' AGRICOLA</t>
  </si>
  <si>
    <t>05749391008</t>
  </si>
  <si>
    <t>Cosenza</t>
  </si>
  <si>
    <t>Milano</t>
  </si>
  <si>
    <t>Lombardia</t>
  </si>
  <si>
    <t>012100</t>
  </si>
  <si>
    <t>Toscana</t>
  </si>
  <si>
    <t>Roma</t>
  </si>
  <si>
    <t>Lazio</t>
  </si>
  <si>
    <t>Padova</t>
  </si>
  <si>
    <t>Veneto</t>
  </si>
  <si>
    <t>Sicilia</t>
  </si>
  <si>
    <t>Catania</t>
  </si>
  <si>
    <t>AGRICOLA RAULLI SOCIETA' AGRICOLA A.R.L.</t>
  </si>
  <si>
    <t>01882200684</t>
  </si>
  <si>
    <t>013000</t>
  </si>
  <si>
    <t>Pescara</t>
  </si>
  <si>
    <t>Abruzzo</t>
  </si>
  <si>
    <t>Puglia</t>
  </si>
  <si>
    <t>VIANDANTE SOCIETA' AGRICOLA S.R.L.</t>
  </si>
  <si>
    <t>13046371004</t>
  </si>
  <si>
    <t>012300</t>
  </si>
  <si>
    <t>MASSERIA LA CALCARA S.R.L. - SOCIETA' AGRICOLA</t>
  </si>
  <si>
    <t>04181350721</t>
  </si>
  <si>
    <t>014500</t>
  </si>
  <si>
    <t>Bari</t>
  </si>
  <si>
    <t>A.P.A.M. S.R.L.</t>
  </si>
  <si>
    <t>03040330874</t>
  </si>
  <si>
    <t>SOCIETA' AGRICOLA SILENZI DI TERRA S.R.L. - IN FORMA ABBREVIATA S.A. SILENZI DI</t>
  </si>
  <si>
    <t>09025170961</t>
  </si>
  <si>
    <t>SOCIETA AGRICOLA POGGIO CAVALLO SRL</t>
  </si>
  <si>
    <t>00290760537</t>
  </si>
  <si>
    <t>012000</t>
  </si>
  <si>
    <t>Grosseto</t>
  </si>
  <si>
    <t>AZIENDA AGRICOLA CASA TERESA S.R.L. - SOCIETA' AGRICOLA</t>
  </si>
  <si>
    <t>01176070777</t>
  </si>
  <si>
    <t>012400</t>
  </si>
  <si>
    <t>Matera</t>
  </si>
  <si>
    <t>Basilicata</t>
  </si>
  <si>
    <t>M.C.I. S.R.L. AGRICOLA</t>
  </si>
  <si>
    <t>05396090283</t>
  </si>
  <si>
    <t>011600</t>
  </si>
  <si>
    <t>LA BISANA SOCIETA' AGRICOLA S.R.L.</t>
  </si>
  <si>
    <t>03618431203</t>
  </si>
  <si>
    <t>Bologna</t>
  </si>
  <si>
    <t>Emilia-Romagna</t>
  </si>
  <si>
    <t>CUORE CONTADINO SOCIETA' AGRICOLA A RESPONSABILITA' LIMITATA</t>
  </si>
  <si>
    <t>10388160961</t>
  </si>
  <si>
    <t>015000</t>
  </si>
  <si>
    <t>011140</t>
  </si>
  <si>
    <t>OSCAR - SOCIETA' COOPERATIVA AGRICOLA</t>
  </si>
  <si>
    <t>02421970597</t>
  </si>
  <si>
    <t>012600</t>
  </si>
  <si>
    <t>Latina</t>
  </si>
  <si>
    <t>Lazio</t>
  </si>
  <si>
    <t>Puglia</t>
  </si>
  <si>
    <t>016100</t>
  </si>
  <si>
    <t>Veneto</t>
  </si>
  <si>
    <t>014300</t>
  </si>
  <si>
    <t>MONTECALVI AGRICOLA S.R.L. CON UNICO SOCIO</t>
  </si>
  <si>
    <t>06767250480</t>
  </si>
  <si>
    <t>012100</t>
  </si>
  <si>
    <t>Firenze</t>
  </si>
  <si>
    <t>Toscana</t>
  </si>
  <si>
    <t>011310</t>
  </si>
  <si>
    <t>SOCIETA' COOPERATIVA AGRICOLA OLIVICOLTORI VALLE DEL CEDRINO</t>
  </si>
  <si>
    <t>01071440919</t>
  </si>
  <si>
    <t>Nuoro</t>
  </si>
  <si>
    <t>Sardegna</t>
  </si>
  <si>
    <t>ADAMO E.V.O. SOCIETA' AGRICOLA S.R.L.</t>
  </si>
  <si>
    <t>04712960758</t>
  </si>
  <si>
    <t>Lecce</t>
  </si>
  <si>
    <t>Emilia-Romagna</t>
  </si>
  <si>
    <t>SOCIETA' AGRICOLA UMBRO TOSCANA A RESPONSABILITA' LIMITATA</t>
  </si>
  <si>
    <t>05920971008</t>
  </si>
  <si>
    <t>011110</t>
  </si>
  <si>
    <t>Perugia</t>
  </si>
  <si>
    <t>Umbria</t>
  </si>
  <si>
    <t>EXTRAVAGANTI - SOCIETA' AGRICOLA COOPERATIVA</t>
  </si>
  <si>
    <t>02027240510</t>
  </si>
  <si>
    <t>Arezzo</t>
  </si>
  <si>
    <t>SOCIETA' AGRICOLA BROLO DEI GIUSTI A RESPONSABILITA' LIMITATA IN BREVE BROLO DEI GIUSTI SRL AGRICOLA</t>
  </si>
  <si>
    <t>04376090231</t>
  </si>
  <si>
    <t>Verona</t>
  </si>
  <si>
    <t>Lombardia</t>
  </si>
  <si>
    <t>FATTORIE DI SANTO PIETRO S.R.L. SOCIETA' AGRICOLA</t>
  </si>
  <si>
    <t>12316070155</t>
  </si>
  <si>
    <t>Milano</t>
  </si>
  <si>
    <t>LOCANDA DEI CINQUE CERRI SOCIETA' AGRICOLA S.R.L.</t>
  </si>
  <si>
    <t>02192011209</t>
  </si>
  <si>
    <t>Bologna</t>
  </si>
  <si>
    <t>L'ORTOLANO SOCIETA' COOPERATIVA SOCIALE AGRICOLA</t>
  </si>
  <si>
    <t>02608620908</t>
  </si>
  <si>
    <t>Sassari</t>
  </si>
  <si>
    <t>SOCIETA' AGRICOLA E.L.I. S.R.L.</t>
  </si>
  <si>
    <t>01968640563</t>
  </si>
  <si>
    <t>Viterbo</t>
  </si>
  <si>
    <t>ALBA NUOVA S.R.L. AGRICOLA</t>
  </si>
  <si>
    <t>06714010722</t>
  </si>
  <si>
    <t>Bari</t>
  </si>
  <si>
    <t>CAGNANO AGRICOLA S.R.L. - SOCIETA' AGRICOLA</t>
  </si>
  <si>
    <t>01284440532</t>
  </si>
  <si>
    <t>012600</t>
  </si>
  <si>
    <t>Grosseto</t>
  </si>
  <si>
    <t>Toscana</t>
  </si>
  <si>
    <t>011310</t>
  </si>
  <si>
    <t>Puglia</t>
  </si>
  <si>
    <t>Emilia-Romagna</t>
  </si>
  <si>
    <t>Roma</t>
  </si>
  <si>
    <t>Lazio</t>
  </si>
  <si>
    <t>NUOVA GMM SOCIETA' COOPERATIVA AGRICOLA</t>
  </si>
  <si>
    <t>04798290757</t>
  </si>
  <si>
    <t>Lecce</t>
  </si>
  <si>
    <t>TIXE S.R.L. - SOCIETA' AGRICOLA</t>
  </si>
  <si>
    <t>13136570150</t>
  </si>
  <si>
    <t>012100</t>
  </si>
  <si>
    <t>Milano</t>
  </si>
  <si>
    <t>Lombardia</t>
  </si>
  <si>
    <t>Sicilia</t>
  </si>
  <si>
    <t>GIARDINO TOSCANA SOCIETA' AGRICOLA A RESPONSABILITA' LIMITATA SEM PLIFICATA UNIPE</t>
  </si>
  <si>
    <t>01900000470</t>
  </si>
  <si>
    <t>011910</t>
  </si>
  <si>
    <t>Pistoia</t>
  </si>
  <si>
    <t>COSTA SOVERE SOCIETA' COOPERATIVA</t>
  </si>
  <si>
    <t>03536340874</t>
  </si>
  <si>
    <t>014700</t>
  </si>
  <si>
    <t>Catania</t>
  </si>
  <si>
    <t>FRANTOIO PRIORELLI SRL - SOCIETA' AGRICOLA</t>
  </si>
  <si>
    <t>03409680547</t>
  </si>
  <si>
    <t>Perugia</t>
  </si>
  <si>
    <t>Umbria</t>
  </si>
  <si>
    <t>Campania</t>
  </si>
  <si>
    <t>GABRIELLI SOCIETA' AGRICOLA S.R.L.</t>
  </si>
  <si>
    <t>04275730408</t>
  </si>
  <si>
    <t>014600</t>
  </si>
  <si>
    <t>Rimini</t>
  </si>
  <si>
    <t>IL VECCHIO OVILE SOCIETA' COOPERATIVA A R.L.</t>
  </si>
  <si>
    <t>08025581003</t>
  </si>
  <si>
    <t>014500</t>
  </si>
  <si>
    <t>SOCIETA' AGRICOLA VIGNALE DI CECILIA S.R.L.</t>
  </si>
  <si>
    <t>04487310288</t>
  </si>
  <si>
    <t>Padova</t>
  </si>
  <si>
    <t>Veneto</t>
  </si>
  <si>
    <t>SOCIETA' AGRICOLA COMPLESSO AGRITURISTICO IL VULCANO S.R.L.</t>
  </si>
  <si>
    <t>08046611219</t>
  </si>
  <si>
    <t>Napoli</t>
  </si>
  <si>
    <t>GREEN PARADISE - SOCIETA' A RESPONSABILITA' LIMITATA</t>
  </si>
  <si>
    <t>01351770134</t>
  </si>
  <si>
    <t>Como</t>
  </si>
  <si>
    <t>AZIENDA AGRICOLA IONE ZOBBI S.R.L.</t>
  </si>
  <si>
    <t>01967700566</t>
  </si>
  <si>
    <t>Viterbo</t>
  </si>
  <si>
    <t>012100</t>
  </si>
  <si>
    <t>AZIENDA AGRICOLA CASATA DEL LAGO S.R.L.</t>
  </si>
  <si>
    <t>01911700761</t>
  </si>
  <si>
    <t>011310</t>
  </si>
  <si>
    <t>Potenza</t>
  </si>
  <si>
    <t>Basilicata</t>
  </si>
  <si>
    <t>SOCIETA' AGRICOLA TERRAMIA S.R.L</t>
  </si>
  <si>
    <t>01645720762</t>
  </si>
  <si>
    <t>011000</t>
  </si>
  <si>
    <t>Brindisi</t>
  </si>
  <si>
    <t>Puglia</t>
  </si>
  <si>
    <t>015000</t>
  </si>
  <si>
    <t>012500</t>
  </si>
  <si>
    <t>Emilia-Romagna</t>
  </si>
  <si>
    <t>SAN GEMINIANO SOCIETA' COOPERATIVA SOCIALE</t>
  </si>
  <si>
    <t>03846850364</t>
  </si>
  <si>
    <t>Modena</t>
  </si>
  <si>
    <t>MASSERIA CAMARDA SOCIETA' AGRICOLA S.R.L.</t>
  </si>
  <si>
    <t>02304890748</t>
  </si>
  <si>
    <t>Veneto</t>
  </si>
  <si>
    <t>Ancona</t>
  </si>
  <si>
    <t>Marche</t>
  </si>
  <si>
    <t>FULVIA TOMBOLINI E FIGLI SRL SOCIETA' AGRICOLA</t>
  </si>
  <si>
    <t>00094420429</t>
  </si>
  <si>
    <t>SOCIETA' AGRICOLA MOLDOI S.R.L.</t>
  </si>
  <si>
    <t>01182580256</t>
  </si>
  <si>
    <t>012800</t>
  </si>
  <si>
    <t>Belluno</t>
  </si>
  <si>
    <t>VERDE E VITA COOPERATIVA AGRICOLA</t>
  </si>
  <si>
    <t>02576850412</t>
  </si>
  <si>
    <t>Pesaro Urbino</t>
  </si>
  <si>
    <t>012100</t>
  </si>
  <si>
    <t>Catania</t>
  </si>
  <si>
    <t>Sicilia</t>
  </si>
  <si>
    <t>SOCIETA' AGRICOLA DESTRO S.R.L.</t>
  </si>
  <si>
    <t>03949810877</t>
  </si>
  <si>
    <t>NADORE SOCIETA' AGRICOLA S.R.L.</t>
  </si>
  <si>
    <t>02491970816</t>
  </si>
  <si>
    <t>Trapani</t>
  </si>
  <si>
    <t>Lombardia</t>
  </si>
  <si>
    <t>TERRANOVA S.R.L.</t>
  </si>
  <si>
    <t>03570850267</t>
  </si>
  <si>
    <t>Treviso</t>
  </si>
  <si>
    <t>Veneto</t>
  </si>
  <si>
    <t>POGGIO DEL MORO SOCIETA' AGRICOLA A RESPONSABILITA' LIMITATA CON UNICO SOCIO</t>
  </si>
  <si>
    <t>10038761002</t>
  </si>
  <si>
    <t>Siena</t>
  </si>
  <si>
    <t>Toscana</t>
  </si>
  <si>
    <t>SOCIETA' AGRICOLA SABATINO Q.H. S.R.L.</t>
  </si>
  <si>
    <t>05164640657</t>
  </si>
  <si>
    <t>014300</t>
  </si>
  <si>
    <t>Salerno</t>
  </si>
  <si>
    <t>Campania</t>
  </si>
  <si>
    <t>RZERO GROUP SRL DI ORSINI L. &amp; C. - SOCIETA' AGRICOLA</t>
  </si>
  <si>
    <t>01673570097</t>
  </si>
  <si>
    <t>011920</t>
  </si>
  <si>
    <t>Savona</t>
  </si>
  <si>
    <t>Liguria</t>
  </si>
  <si>
    <t>LA CAMPANA - SOCIETA' COOPERATIVA AGRICOLA</t>
  </si>
  <si>
    <t>00721990448</t>
  </si>
  <si>
    <t>011300</t>
  </si>
  <si>
    <t>Ascoli Piceno</t>
  </si>
  <si>
    <t>Marche</t>
  </si>
  <si>
    <t>COOPERATIVA ALLEVATORI VARESINI SOCIETA' COOPERATIVA A RESPONSA- BILITA' LIMITATA DETTA BREVEMENTE CO.AL.V.</t>
  </si>
  <si>
    <t>01611620129</t>
  </si>
  <si>
    <t>014000</t>
  </si>
  <si>
    <t>Varese</t>
  </si>
  <si>
    <t>016100</t>
  </si>
  <si>
    <t>CONSORZIO DI FILIERA OLIVICOLA SICILIA SOCIETA' COOPERATIVA.</t>
  </si>
  <si>
    <t>05955390827</t>
  </si>
  <si>
    <t>Palermo</t>
  </si>
  <si>
    <t>TERRE DI SAN GINESIO SRL</t>
  </si>
  <si>
    <t>01555670437</t>
  </si>
  <si>
    <t>Macerata</t>
  </si>
  <si>
    <t>MONTICELLONE S.R.L. - SOCIETA' AGRICOLA</t>
  </si>
  <si>
    <t>06675400482</t>
  </si>
  <si>
    <t>Firenze</t>
  </si>
  <si>
    <t>CASTAGNOLI S.R.L. SOCIETA' AGRICOLA IN SIGLA CASTAGNOLI S.A.R.L. O CASTAGNOLI S.R.L.</t>
  </si>
  <si>
    <t>00519250526</t>
  </si>
  <si>
    <t>SOCIETA' AGRICOLA LE BERTILLE S.R.L.</t>
  </si>
  <si>
    <t>06996321003</t>
  </si>
  <si>
    <t>012000</t>
  </si>
  <si>
    <t>Siena</t>
  </si>
  <si>
    <t>Toscana</t>
  </si>
  <si>
    <t>LA CORSA SOCIETA' AGRICOLA S.R.L.</t>
  </si>
  <si>
    <t>09936660159</t>
  </si>
  <si>
    <t>011110</t>
  </si>
  <si>
    <t>Grosseto</t>
  </si>
  <si>
    <t>LA COMMENDA SOCIETA' AGRICOLA S.R.L.</t>
  </si>
  <si>
    <t>06465900485</t>
  </si>
  <si>
    <t>012800</t>
  </si>
  <si>
    <t>Firenze</t>
  </si>
  <si>
    <t>COOPERATIVA OLEIFICIO MONTECCHIO C.O.M. SOCIETA' COOPERATIVA AGRICOLA</t>
  </si>
  <si>
    <t>00180210551</t>
  </si>
  <si>
    <t>012600</t>
  </si>
  <si>
    <t>Terni</t>
  </si>
  <si>
    <t>Umbria</t>
  </si>
  <si>
    <t>011140</t>
  </si>
  <si>
    <t>Monza e della Brianza</t>
  </si>
  <si>
    <t>Lombardia</t>
  </si>
  <si>
    <t>SOCIETA' AGRICOLA PUNGISOLE S.R.L.</t>
  </si>
  <si>
    <t>10874540965</t>
  </si>
  <si>
    <t>011600</t>
  </si>
  <si>
    <t>SOCIETA' AGRICOLA VILLA SANTA CRISTINA S.R.L.</t>
  </si>
  <si>
    <t>03679620405</t>
  </si>
  <si>
    <t>Rimini</t>
  </si>
  <si>
    <t>Emilia-Romagna</t>
  </si>
  <si>
    <t>Campania</t>
  </si>
  <si>
    <t>SOCIETA' COOPERATIVA SOCIALE LUISA LEVI AGRICOLA</t>
  </si>
  <si>
    <t>03694400015</t>
  </si>
  <si>
    <t>012900</t>
  </si>
  <si>
    <t>Torino</t>
  </si>
  <si>
    <t>Piemonte</t>
  </si>
  <si>
    <t>LE GEORGICHE SOCIETA' COOPERATIVA SOCIALE</t>
  </si>
  <si>
    <t>02959770781</t>
  </si>
  <si>
    <t>010000</t>
  </si>
  <si>
    <t>Cosenza</t>
  </si>
  <si>
    <t>Calabria</t>
  </si>
  <si>
    <t>AGRITURISMO LA SFRUSCIA' RESORT SOCIETA' AGRICOLA A RESPONSABILIT A' LIMITATA</t>
  </si>
  <si>
    <t>05316160653</t>
  </si>
  <si>
    <t>015000</t>
  </si>
  <si>
    <t>Salerno</t>
  </si>
  <si>
    <t>SOCIETA' AGRICOLA I 3 FRATELLI SOCIETA' A RESPONSABILITA' LIMITATA IN SIGLA SOCIETA' AGRICOLA I 3 FRATELLI S.R.L.</t>
  </si>
  <si>
    <t>02559130691</t>
  </si>
  <si>
    <t>011310</t>
  </si>
  <si>
    <t>Chieti</t>
  </si>
  <si>
    <t>Abruzzo</t>
  </si>
  <si>
    <t>INES SOCIETA' COOPERATIVA</t>
  </si>
  <si>
    <t>00413870858</t>
  </si>
  <si>
    <t>011000</t>
  </si>
  <si>
    <t>Caltanissetta</t>
  </si>
  <si>
    <t>Sicilia</t>
  </si>
  <si>
    <t>012100</t>
  </si>
  <si>
    <t>AGRISOLAR SOCIETA' AGRICOLA S.R.L.</t>
  </si>
  <si>
    <t>02361510908</t>
  </si>
  <si>
    <t>011320</t>
  </si>
  <si>
    <t>Milano</t>
  </si>
  <si>
    <t>Lombardia</t>
  </si>
  <si>
    <t>PANTALICA SOCIETA' AGRICOLA S.R.L. SEMPLIFICATA</t>
  </si>
  <si>
    <t>02013260894</t>
  </si>
  <si>
    <t>012300</t>
  </si>
  <si>
    <t>Siracusa</t>
  </si>
  <si>
    <t>SORI' DELLA SORBA SOCIETA' AGRICOLA A RESPONSABILITA' LIMITATA SIGLABILE S.D.S. SOCIETA' AGRICOLA SRL</t>
  </si>
  <si>
    <t>03832980043</t>
  </si>
  <si>
    <t>Cuneo</t>
  </si>
  <si>
    <t>Piemonte</t>
  </si>
  <si>
    <t>SOCIETA' AGRICOLA CAPORE S.R.L.</t>
  </si>
  <si>
    <t>07756341009</t>
  </si>
  <si>
    <t>015000</t>
  </si>
  <si>
    <t>Roma</t>
  </si>
  <si>
    <t>Lazio</t>
  </si>
  <si>
    <t>CHIDERA SRL SOCIETA' AGRICOLA</t>
  </si>
  <si>
    <t>01401390917</t>
  </si>
  <si>
    <t>Nuoro</t>
  </si>
  <si>
    <t>Sardegna</t>
  </si>
  <si>
    <t>011140</t>
  </si>
  <si>
    <t>PASSO DELLE TORTORE SRL - SOCIETA' AGRICOLA</t>
  </si>
  <si>
    <t>01650530627</t>
  </si>
  <si>
    <t>Avellino</t>
  </si>
  <si>
    <t>Campania</t>
  </si>
  <si>
    <t>SOCIETA' AGRICOLA ITALIAN CRICKET FARM S.R.L.</t>
  </si>
  <si>
    <t>11720900015</t>
  </si>
  <si>
    <t>014990</t>
  </si>
  <si>
    <t>Torino</t>
  </si>
  <si>
    <t>IL POZZO S.R.L. SOCIETA' AGRICOLA</t>
  </si>
  <si>
    <t>07557741001</t>
  </si>
  <si>
    <t>Siena</t>
  </si>
  <si>
    <t>Toscana</t>
  </si>
  <si>
    <t>IL FRANTOIO DI MONTEPULCIANO SOCIETA' COOPERATIVA AGRICOLA</t>
  </si>
  <si>
    <t>00045850526</t>
  </si>
  <si>
    <t>012600</t>
  </si>
  <si>
    <t>COOPERATIVA AGRICOLA MONTUORI - SOCIETA' COOPERATIVA AGRICOLA</t>
  </si>
  <si>
    <t>02924460641</t>
  </si>
  <si>
    <t>COLTIVANA S.R.L.</t>
  </si>
  <si>
    <t>02604160065</t>
  </si>
  <si>
    <t>011600</t>
  </si>
  <si>
    <t>Alessandria</t>
  </si>
  <si>
    <t>AGRILEISURETIME S.R.L.</t>
  </si>
  <si>
    <t>03482860545</t>
  </si>
  <si>
    <t>Perugia</t>
  </si>
  <si>
    <t>Umbria</t>
  </si>
  <si>
    <t>SOCIETA' AGRICOLA SAN MICHELE SOCIETA' A RESPONSABILITA' LIMITATA</t>
  </si>
  <si>
    <t>08291391004</t>
  </si>
  <si>
    <t>FRASCA LA GUARAGNA SOCIETA' AGRICOLA A RESPONSABILITA' LIMITATA O VVERO: FRASCA - LA GUARAGNA SOCIETA' AGRICOLA A RESPONSABILITA' LIMITATA</t>
  </si>
  <si>
    <t>11943090016</t>
  </si>
  <si>
    <t>Asti</t>
  </si>
  <si>
    <t>011310</t>
  </si>
  <si>
    <t>011140</t>
  </si>
  <si>
    <t>Sicilia</t>
  </si>
  <si>
    <t>012600</t>
  </si>
  <si>
    <t>Liguria</t>
  </si>
  <si>
    <t>IL CASTAGNO SOCIETA' AGRICOLA A RESPONSABILITA' LIMITATA</t>
  </si>
  <si>
    <t>01149140509</t>
  </si>
  <si>
    <t>011000</t>
  </si>
  <si>
    <t>Pisa</t>
  </si>
  <si>
    <t>Toscana</t>
  </si>
  <si>
    <t>Lombardia</t>
  </si>
  <si>
    <t>SEGESTANO SOCIETA' A RESPONSABILITA' LIMITATA AGRICOLA IN BREVE SEGESTANO S.R.L. AGRICOLA</t>
  </si>
  <si>
    <t>02783340819</t>
  </si>
  <si>
    <t>Trapani</t>
  </si>
  <si>
    <t>Calabria</t>
  </si>
  <si>
    <t>012000</t>
  </si>
  <si>
    <t>TENUTA IL FERRO ROSSO SOCIETA' AGRICOLA S.R.L.</t>
  </si>
  <si>
    <t>03591780139</t>
  </si>
  <si>
    <t>011300</t>
  </si>
  <si>
    <t>Como</t>
  </si>
  <si>
    <t>012100</t>
  </si>
  <si>
    <t>LA CAPPUCCINA SOCIETA' AGRICOLA A RESPONSABILITA' LIMITATA</t>
  </si>
  <si>
    <t>01510430117</t>
  </si>
  <si>
    <t>La Spezia</t>
  </si>
  <si>
    <t>SOCIETA' AGRICOLA L'ALENCIO S.R.L.</t>
  </si>
  <si>
    <t>02688380811</t>
  </si>
  <si>
    <t>AGRIFIOR SOCIETA' AGRICOLA A RESPONSABILITA' LIMITATA</t>
  </si>
  <si>
    <t>05718341000</t>
  </si>
  <si>
    <t>Roma</t>
  </si>
  <si>
    <t>Lazio</t>
  </si>
  <si>
    <t>OLEIFICIO F.LLI DE LIA S.R.L.S.</t>
  </si>
  <si>
    <t>03338780780</t>
  </si>
  <si>
    <t>Cosenza</t>
  </si>
  <si>
    <t>CASTEL CERRETO SOCIETA' COOPERATIVA AGRICOLA IN BREVE CASTEL CERRETO S.C. AGRICOLA</t>
  </si>
  <si>
    <t>03851990162</t>
  </si>
  <si>
    <t>Bergamo</t>
  </si>
  <si>
    <t>SOCIETA' AGRICOLA MASO PATERNO S.R.L.</t>
  </si>
  <si>
    <t>04112350287</t>
  </si>
  <si>
    <t>012400</t>
  </si>
  <si>
    <t>Trento</t>
  </si>
  <si>
    <t>Trentino-Alto Adige</t>
  </si>
  <si>
    <t>COOPERATIVA MOTOARATURA E TREBBIATURA LA RINASCITA - SOCIETA' COO PERATIVA AGRICOLA A RESPONSABILITA' LIMITATA</t>
  </si>
  <si>
    <t>00490270345</t>
  </si>
  <si>
    <t>016100</t>
  </si>
  <si>
    <t>Parma</t>
  </si>
  <si>
    <t>Emilia-Romagna</t>
  </si>
  <si>
    <t>012100</t>
  </si>
  <si>
    <t>AZIENDA AGRICOLA F.LLI ROSSI - SOCIETA' AGRICOLA - S.R.L.</t>
  </si>
  <si>
    <t>00960590727</t>
  </si>
  <si>
    <t>Bari</t>
  </si>
  <si>
    <t>Puglia</t>
  </si>
  <si>
    <t>015000</t>
  </si>
  <si>
    <t>AZIENDA AGRICOLA LA VIRANDA SOCIETA' COOPERATIVA SIGLABILE AZ.AG. LA VIRANDA SOC.COOP.</t>
  </si>
  <si>
    <t>00610290058</t>
  </si>
  <si>
    <t>Asti</t>
  </si>
  <si>
    <t>Piemonte</t>
  </si>
  <si>
    <t>Campania</t>
  </si>
  <si>
    <t>TENUTA MARTINELLI SOCIETA' AGRICOLA S.R.L.</t>
  </si>
  <si>
    <t>03990050985</t>
  </si>
  <si>
    <t>Brescia</t>
  </si>
  <si>
    <t>Lombardia</t>
  </si>
  <si>
    <t>ORGANIZZAZIONE DI PRODUTTORI OLIVICOLTORI PUGLIESI SOCIETA' COOPERATIVA AGRICOLA</t>
  </si>
  <si>
    <t>08101610726</t>
  </si>
  <si>
    <t>Friuli-Venezia Giulia</t>
  </si>
  <si>
    <t>CONSORZIO FORESTALE TERRA TRA I DUE LAGHI</t>
  </si>
  <si>
    <t>02169020985</t>
  </si>
  <si>
    <t>SOCIETA' AGRICOLA DEA TERRA - S.R.L.</t>
  </si>
  <si>
    <t>04634720652</t>
  </si>
  <si>
    <t>012500</t>
  </si>
  <si>
    <t>Salerno</t>
  </si>
  <si>
    <t>PHARMA PUGLIA SOCIETA' AGRICOLA A RESPONSABILITA' LIMITATA</t>
  </si>
  <si>
    <t>10612490960</t>
  </si>
  <si>
    <t>011920</t>
  </si>
  <si>
    <t>Milano</t>
  </si>
  <si>
    <t>AQUILA DEL TORRE S.R.L. - SOCIETA' AGRICOLA</t>
  </si>
  <si>
    <t>01693970301</t>
  </si>
  <si>
    <t>Udine</t>
  </si>
  <si>
    <t>VELMER SOCIETA' AGRICOLA S.R.L.</t>
  </si>
  <si>
    <t>01403740911</t>
  </si>
  <si>
    <t>Nuoro</t>
  </si>
  <si>
    <t>Sardegna</t>
  </si>
  <si>
    <t>011140</t>
  </si>
  <si>
    <t>Grosseto</t>
  </si>
  <si>
    <t>Toscana</t>
  </si>
  <si>
    <t>SOCIETA' AGRICOLA PIEVE S. STEFANO S.R.L.</t>
  </si>
  <si>
    <t>01084760451</t>
  </si>
  <si>
    <t>012000</t>
  </si>
  <si>
    <t>Lucca</t>
  </si>
  <si>
    <t>SVILUPPO CAMPESE AMBIENTE TURISMO SOCIETA' AGRICOLA S.R.L.</t>
  </si>
  <si>
    <t>02079960544</t>
  </si>
  <si>
    <t>010000</t>
  </si>
  <si>
    <t>Cuneo</t>
  </si>
  <si>
    <t>Piemonte</t>
  </si>
  <si>
    <t>011000</t>
  </si>
  <si>
    <t>Campania</t>
  </si>
  <si>
    <t>SOCIETA' AGRICOLA D'AIONE S.R.L.</t>
  </si>
  <si>
    <t>02476340647</t>
  </si>
  <si>
    <t>012100</t>
  </si>
  <si>
    <t>Avellino</t>
  </si>
  <si>
    <t>NELLA VECCHIA FATTORIA S.R.L. SEMPLIFICATA AGRICOLA IN BREVE NELLA VECCHIA FATTORIA S.R.L.S. AGRICOLA</t>
  </si>
  <si>
    <t>13449921009</t>
  </si>
  <si>
    <t>015000</t>
  </si>
  <si>
    <t>Roma</t>
  </si>
  <si>
    <t>Lazio</t>
  </si>
  <si>
    <t>IFARMING SRL</t>
  </si>
  <si>
    <t>02589630397</t>
  </si>
  <si>
    <t>016100</t>
  </si>
  <si>
    <t>Ravenna</t>
  </si>
  <si>
    <t>Emilia-Romagna</t>
  </si>
  <si>
    <t>UNIVERSAL SOCIETA' AGRICOLA S.R.L.</t>
  </si>
  <si>
    <t>02942230604</t>
  </si>
  <si>
    <t>Frosinone</t>
  </si>
  <si>
    <t>012600</t>
  </si>
  <si>
    <t>Sardegna</t>
  </si>
  <si>
    <t>FLORINDA BOLKAN SOCIETA' AGRICOLA A RESPONSABILITA' LIMITATA SEMP LIFICATA</t>
  </si>
  <si>
    <t>02205130566</t>
  </si>
  <si>
    <t>Viterbo</t>
  </si>
  <si>
    <t>SOCIETA' AGRICOLA FATTORIA DUE PALME S.R.L.</t>
  </si>
  <si>
    <t>00658700539</t>
  </si>
  <si>
    <t>SOCIETA' AGRICOLA COSTANTINI S.R.L.</t>
  </si>
  <si>
    <t>04287920757</t>
  </si>
  <si>
    <t>011300</t>
  </si>
  <si>
    <t>Lecce</t>
  </si>
  <si>
    <t>Puglia</t>
  </si>
  <si>
    <t>Veneto</t>
  </si>
  <si>
    <t>IL GIRASOLE SOCIETA' AGRICOLA SRL</t>
  </si>
  <si>
    <t>01513600112</t>
  </si>
  <si>
    <t>011310</t>
  </si>
  <si>
    <t>La Spezia</t>
  </si>
  <si>
    <t>Liguria</t>
  </si>
  <si>
    <t>SOCIETA' AGRICOLA SALT S.R.L.</t>
  </si>
  <si>
    <t>11013770968</t>
  </si>
  <si>
    <t>Bergamo</t>
  </si>
  <si>
    <t>Lombardia</t>
  </si>
  <si>
    <t>VIBE SOCIETA' AGRICOLA S.R.L.</t>
  </si>
  <si>
    <t>04898860269</t>
  </si>
  <si>
    <t>Treviso</t>
  </si>
  <si>
    <t>PODERE FRANCESCO SOCIETA' AGRICOLA A RESPONSABILITA' LIMITATA</t>
  </si>
  <si>
    <t>02769580354</t>
  </si>
  <si>
    <t>Reggio nell'Emilia</t>
  </si>
  <si>
    <t>AZIENDA AGRICOLA PIETRASANTA - SOCIETA' AGRICOLA SRL</t>
  </si>
  <si>
    <t>02305990745</t>
  </si>
  <si>
    <t>Brindisi</t>
  </si>
  <si>
    <t>TERMOFLORA SOCIETA' AGRICOLA S.R.L.</t>
  </si>
  <si>
    <t>02471420188</t>
  </si>
  <si>
    <t>Pavia</t>
  </si>
  <si>
    <t>DOMUS AGROPASTORALE SOCIETA' COOPERATIVA AGRICOLA</t>
  </si>
  <si>
    <t>01223490929</t>
  </si>
  <si>
    <t>014500</t>
  </si>
  <si>
    <t>SOCIETA' AGRICOLA ALLEVAMENTI IL SOLENGO S.R.L.</t>
  </si>
  <si>
    <t>00625270533</t>
  </si>
  <si>
    <t>Puglia</t>
  </si>
  <si>
    <t>COOPERATIVA AGRICOLA BAGNOLESE SOCIETA' AGRICOLA COOPERATIVA SIGLABILE COOPERATIVA AGRICOLA BAGNOLESE SOC. AGR. COOP.</t>
  </si>
  <si>
    <t>00228050043</t>
  </si>
  <si>
    <t>016000</t>
  </si>
  <si>
    <t>Cuneo</t>
  </si>
  <si>
    <t>Piemonte</t>
  </si>
  <si>
    <t>GREENSERVICE - S.R.L.</t>
  </si>
  <si>
    <t>01168970505</t>
  </si>
  <si>
    <t>011910</t>
  </si>
  <si>
    <t>Pisa</t>
  </si>
  <si>
    <t>Toscana</t>
  </si>
  <si>
    <t>016100</t>
  </si>
  <si>
    <t>Campania</t>
  </si>
  <si>
    <t>SOCIETA' AGRICOLA TERRE DI AGNANO S.R.L.</t>
  </si>
  <si>
    <t>09785921215</t>
  </si>
  <si>
    <t>011310</t>
  </si>
  <si>
    <t>Napoli</t>
  </si>
  <si>
    <t>VALLE ELVO - SOCIETA' COOPERATIVA</t>
  </si>
  <si>
    <t>01938930029</t>
  </si>
  <si>
    <t>Biella</t>
  </si>
  <si>
    <t>SOCIETA' AGRICOLA VILLA CANALI SRL</t>
  </si>
  <si>
    <t>02752230355</t>
  </si>
  <si>
    <t>Reggio nell'Emilia</t>
  </si>
  <si>
    <t>Emilia-Romagna</t>
  </si>
  <si>
    <t>012100</t>
  </si>
  <si>
    <t>LA PACE S.R.L. SOCIETA' AGRICOLA SOCIETA' BENEFIT</t>
  </si>
  <si>
    <t>01409920533</t>
  </si>
  <si>
    <t>Grosseto</t>
  </si>
  <si>
    <t>ELICUNEO - PICCOLA SOCIETA' COOPERATIVA A RESPONSABILITA' LIMITATA</t>
  </si>
  <si>
    <t>01652940048</t>
  </si>
  <si>
    <t>SOCIETA' COOPERATIVA CONSORZIO DIFESA PRODUZIONI AGRICOLE D'ABRUZZO</t>
  </si>
  <si>
    <t>00243880689</t>
  </si>
  <si>
    <t>Pescara</t>
  </si>
  <si>
    <t>Abruzzo</t>
  </si>
  <si>
    <t>GREEN PROJECT SOCIETA' AGRICOLA A RESPONSABILITA' LIMITATA</t>
  </si>
  <si>
    <t>03818820874</t>
  </si>
  <si>
    <t>Catania</t>
  </si>
  <si>
    <t>Sicilia</t>
  </si>
  <si>
    <t>012500</t>
  </si>
  <si>
    <t>MARTINO SOCIETA' COOPERATIVA AGRICOLA</t>
  </si>
  <si>
    <t>05080750754</t>
  </si>
  <si>
    <t>Lecce</t>
  </si>
  <si>
    <t>SOCIETA' AGRICOLA CD HORSES SRL</t>
  </si>
  <si>
    <t>03833910361</t>
  </si>
  <si>
    <t>014300</t>
  </si>
  <si>
    <t>Modena</t>
  </si>
  <si>
    <t>012100</t>
  </si>
  <si>
    <t>Ancona</t>
  </si>
  <si>
    <t>Marche</t>
  </si>
  <si>
    <t>SOCIETA' AGRICOLA F.LLI SPADARO S.R.L.</t>
  </si>
  <si>
    <t>00852470889</t>
  </si>
  <si>
    <t>015000</t>
  </si>
  <si>
    <t>Ragusa</t>
  </si>
  <si>
    <t>Sicilia</t>
  </si>
  <si>
    <t>011110</t>
  </si>
  <si>
    <t>Toscana</t>
  </si>
  <si>
    <t>COOPERATIVE LA VACHE RIT SOC. COOP. ABBREVIATA LA VACHE RIT S.C.</t>
  </si>
  <si>
    <t>00474380078</t>
  </si>
  <si>
    <t>014100</t>
  </si>
  <si>
    <t>Valle d'Aosta/Vallée d'Aoste</t>
  </si>
  <si>
    <t>AZIENDA AGRICOLA ZUCARO S.R.L.</t>
  </si>
  <si>
    <t>06475090723</t>
  </si>
  <si>
    <t>012000</t>
  </si>
  <si>
    <t>Barletta-Andria-Trani</t>
  </si>
  <si>
    <t>Puglia</t>
  </si>
  <si>
    <t>ASSOCIAZIONE REGIONALE DEI PRODUTTORI ORTOFRUTTICOLI DELLA SARDEG NA - A.R.P.O.S. - SOCIETA' COOPERATIVA</t>
  </si>
  <si>
    <t>00566230926</t>
  </si>
  <si>
    <t>016300</t>
  </si>
  <si>
    <t>Sardegna</t>
  </si>
  <si>
    <t>AKREN SOCIETA' AGRICOLA S.R.L.</t>
  </si>
  <si>
    <t>03967841200</t>
  </si>
  <si>
    <t>Bologna</t>
  </si>
  <si>
    <t>Emilia-Romagna</t>
  </si>
  <si>
    <t>SOCIETA' AGRICOLA SANT'ANDREA S.R.L.</t>
  </si>
  <si>
    <t>00700970965</t>
  </si>
  <si>
    <t>011000</t>
  </si>
  <si>
    <t>Monza e della Brianza</t>
  </si>
  <si>
    <t>Lombardia</t>
  </si>
  <si>
    <t>SOCIETA' AGRICOLA CAMPRIANO S.R.L.</t>
  </si>
  <si>
    <t>00522390525</t>
  </si>
  <si>
    <t>Siena</t>
  </si>
  <si>
    <t>SOCIETA' AGRICOLA S.V.P. SRL</t>
  </si>
  <si>
    <t>01247900507</t>
  </si>
  <si>
    <t>011140</t>
  </si>
  <si>
    <t>Pisa</t>
  </si>
  <si>
    <t>Bari</t>
  </si>
  <si>
    <t>SOCIETA' AGRICOLA TIRONE ENERGIA S.R.L.</t>
  </si>
  <si>
    <t>03717480986</t>
  </si>
  <si>
    <t>Brescia</t>
  </si>
  <si>
    <t>YESI FOOD S.R.L. SOCIETA' AGRICOLA</t>
  </si>
  <si>
    <t>02590970428</t>
  </si>
  <si>
    <t>LE VIGNE DI SAN PIETRO SOCIETA' AGRICOLA S.R.L.</t>
  </si>
  <si>
    <t>03674490234</t>
  </si>
  <si>
    <t>Verona</t>
  </si>
  <si>
    <t>Veneto</t>
  </si>
  <si>
    <t>AGRICOLMASI' - SOCIETA' A RESPONSABILITA' LIMITATA SEMPLIFICATA A GRICOLA</t>
  </si>
  <si>
    <t>08260150720</t>
  </si>
  <si>
    <t>AZIENDA AGRICOLA PURLARI S.R.L.</t>
  </si>
  <si>
    <t>04130931217</t>
  </si>
  <si>
    <t>012000</t>
  </si>
  <si>
    <t>Napoli</t>
  </si>
  <si>
    <t>Campania</t>
  </si>
  <si>
    <t>Puglia</t>
  </si>
  <si>
    <t>011320</t>
  </si>
  <si>
    <t>Sicilia</t>
  </si>
  <si>
    <t>COL DI CORTE S.R.L. SOCIETA' AGRICOLA</t>
  </si>
  <si>
    <t>12107051000</t>
  </si>
  <si>
    <t>012100</t>
  </si>
  <si>
    <t>Ancona</t>
  </si>
  <si>
    <t>Marche</t>
  </si>
  <si>
    <t>SOCIETA' AGRICOLA PAGANI DE MARCHI S.R.L.</t>
  </si>
  <si>
    <t>02030690503</t>
  </si>
  <si>
    <t>Pisa</t>
  </si>
  <si>
    <t>Toscana</t>
  </si>
  <si>
    <t>014500</t>
  </si>
  <si>
    <t>Veneto</t>
  </si>
  <si>
    <t>PADANA FUNGHI SOCIETA' AGRICOLA S.R.L.</t>
  </si>
  <si>
    <t>04103420230</t>
  </si>
  <si>
    <t>Verona</t>
  </si>
  <si>
    <t>SAMPERI - SOCIETA' COOPERATIVA AGRICOLA</t>
  </si>
  <si>
    <t>00356700815</t>
  </si>
  <si>
    <t>016300</t>
  </si>
  <si>
    <t>Trapani</t>
  </si>
  <si>
    <t>LA COSTA S.R.L. SOCIETA' AGRICOLA</t>
  </si>
  <si>
    <t>03107780243</t>
  </si>
  <si>
    <t>Vicenza</t>
  </si>
  <si>
    <t>Pistoia</t>
  </si>
  <si>
    <t>CESARI VIGNETI SOCIETA' AGRICOLA SRL</t>
  </si>
  <si>
    <t>03302400985</t>
  </si>
  <si>
    <t>SOCIETA' AGRICOLA CASAL DEL GREPPO S.R.L.</t>
  </si>
  <si>
    <t>01895930475</t>
  </si>
  <si>
    <t>012600</t>
  </si>
  <si>
    <t>SOCIETA' AGRICOLA CONTE SALENTINO S.R.L.</t>
  </si>
  <si>
    <t>03798190751</t>
  </si>
  <si>
    <t>Lecce</t>
  </si>
  <si>
    <t>MURAZZANO PENTA 3 SOCIETA' AGRICOLA A RESPONSABILITA' LIMITATA</t>
  </si>
  <si>
    <t>03901290043</t>
  </si>
  <si>
    <t>Cuneo</t>
  </si>
  <si>
    <t>Piemonte</t>
  </si>
  <si>
    <t>COOPERATIVA OLEIFICIO COLTIVATORI DIRETTI DI GUARDEA - SOCIETA' COOPERATIVA AGRICOLA</t>
  </si>
  <si>
    <t>00215490558</t>
  </si>
  <si>
    <t>Terni</t>
  </si>
  <si>
    <t>Umbria</t>
  </si>
  <si>
    <t>FATTORIA VARRAMISTA S.P.A.</t>
  </si>
  <si>
    <t>01336340508</t>
  </si>
  <si>
    <t>016100</t>
  </si>
  <si>
    <t>Sicilia</t>
  </si>
  <si>
    <t>011320</t>
  </si>
  <si>
    <t>Roma</t>
  </si>
  <si>
    <t>Lazio</t>
  </si>
  <si>
    <t>Calabria</t>
  </si>
  <si>
    <t>LE BANZOLE S.R.L. SOCIETA' AGRICOLA</t>
  </si>
  <si>
    <t>02482870348</t>
  </si>
  <si>
    <t>010000</t>
  </si>
  <si>
    <t>Parma</t>
  </si>
  <si>
    <t>Emilia-Romagna</t>
  </si>
  <si>
    <t>Campania</t>
  </si>
  <si>
    <t>011310</t>
  </si>
  <si>
    <t>ORTOESPERIA SOCIETA' COOPERATIVA AGRICOLA</t>
  </si>
  <si>
    <t>01430870889</t>
  </si>
  <si>
    <t>Ragusa</t>
  </si>
  <si>
    <t>Messina</t>
  </si>
  <si>
    <t>FIOI SOCIETA' AGRICOLA SRL PRODUTTORI BROCCOLO FIOLARO DI CREAZZO</t>
  </si>
  <si>
    <t>04054830247</t>
  </si>
  <si>
    <t>Vicenza</t>
  </si>
  <si>
    <t>Veneto</t>
  </si>
  <si>
    <t>CASA COMERCI SOCIETA' AGRICOLA A RESPONSABILITA' LIMITATA</t>
  </si>
  <si>
    <t>02980280792</t>
  </si>
  <si>
    <t>012100</t>
  </si>
  <si>
    <t>Vibo Valentia</t>
  </si>
  <si>
    <t>Salerno</t>
  </si>
  <si>
    <t>SASSAIA SOCIETA' AGRICOLA A RESPONSABILITA' LIMITATA</t>
  </si>
  <si>
    <t>02326730062</t>
  </si>
  <si>
    <t>Alessandria</t>
  </si>
  <si>
    <t>Piemonte</t>
  </si>
  <si>
    <t>GAGLIO VIGNAIOLI SOCIETA' AGRICOLA A R. L.</t>
  </si>
  <si>
    <t>03525370833</t>
  </si>
  <si>
    <t>ORGANIZZAZIONE REGIONALE OLIVICOLTORI LIGURIA - O.R.O. LIGURIA -ORGANIZZAZIONE PRODUTTORI SOCIETA' COOPERATIVA AGRICOLA</t>
  </si>
  <si>
    <t>01610990085</t>
  </si>
  <si>
    <t>Imperia</t>
  </si>
  <si>
    <t>Liguria</t>
  </si>
  <si>
    <t>AZIENDA AGRICOLA IANNIELLO S.R.L.</t>
  </si>
  <si>
    <t>05434780655</t>
  </si>
  <si>
    <t>012500</t>
  </si>
  <si>
    <t>MASSERIA DEL FEUDO SOCIETA' AGRICOLA S.R.L.</t>
  </si>
  <si>
    <t>01626320855</t>
  </si>
  <si>
    <t>Caltanissetta</t>
  </si>
  <si>
    <t>SOCIETA' AGRICOLA FONTANA S.R.L.</t>
  </si>
  <si>
    <t>11429350017</t>
  </si>
  <si>
    <t>Torino</t>
  </si>
  <si>
    <t>BIOCREATIVE - SOCIETA' AGRICOLA A RESPONSABILITA' LIMITATA SEMPLIFICATA</t>
  </si>
  <si>
    <t>05760690650</t>
  </si>
  <si>
    <t>013000</t>
  </si>
  <si>
    <t>THE VINUM SOCIETA' AGRICOLA S.R.L.</t>
  </si>
  <si>
    <t>02488410693</t>
  </si>
  <si>
    <t>Chieti</t>
  </si>
  <si>
    <t>Abruzzo</t>
  </si>
  <si>
    <t>AMERINA - S.R.L.</t>
  </si>
  <si>
    <t>04518171006</t>
  </si>
  <si>
    <t>012000</t>
  </si>
  <si>
    <t>012100</t>
  </si>
  <si>
    <t>011110</t>
  </si>
  <si>
    <t>Emilia-Romagna</t>
  </si>
  <si>
    <t>Campania</t>
  </si>
  <si>
    <t>SOCIETA' AGRICOLA LA BADIOLA SOCIETA' A RESPONSABILITA' LIMITATA ABBREVIATA IN: LA BADIOLA SOCIETA' AGRICOLA S.R.L. O: LA BADIOLA S.R.L.</t>
  </si>
  <si>
    <t>01211030463</t>
  </si>
  <si>
    <t>Lucca</t>
  </si>
  <si>
    <t>Toscana</t>
  </si>
  <si>
    <t>Lombardia</t>
  </si>
  <si>
    <t>SOCIETA' AGRICOLA VILLA DORA S.R.L.</t>
  </si>
  <si>
    <t>03261281210</t>
  </si>
  <si>
    <t>Napoli</t>
  </si>
  <si>
    <t>015000</t>
  </si>
  <si>
    <t>BERGAMINA SOCIETA' AGRICOLA A RESPONSABILITA' LIMITATA</t>
  </si>
  <si>
    <t>02958550341</t>
  </si>
  <si>
    <t>Parma</t>
  </si>
  <si>
    <t>Puglia</t>
  </si>
  <si>
    <t>SOCIETA' AGRICOLA TERRA E SOLE BOSCARINI SRL</t>
  </si>
  <si>
    <t>02615600414</t>
  </si>
  <si>
    <t>Pesaro Urbino</t>
  </si>
  <si>
    <t>Marche</t>
  </si>
  <si>
    <t>L'AVENIR S.R.L.</t>
  </si>
  <si>
    <t>03072780756</t>
  </si>
  <si>
    <t>Lecce</t>
  </si>
  <si>
    <t>PRIME EVOLUTION S.R.L.</t>
  </si>
  <si>
    <t>07720830962</t>
  </si>
  <si>
    <t>016409</t>
  </si>
  <si>
    <t>Milano</t>
  </si>
  <si>
    <t>014100</t>
  </si>
  <si>
    <t>Piemonte</t>
  </si>
  <si>
    <t>016300</t>
  </si>
  <si>
    <t>Puglia</t>
  </si>
  <si>
    <t>Bari</t>
  </si>
  <si>
    <t>AZIENDA AGRICOLA DIONISI S.R.L.</t>
  </si>
  <si>
    <t>11066251007</t>
  </si>
  <si>
    <t>Roma</t>
  </si>
  <si>
    <t>Lazio</t>
  </si>
  <si>
    <t>Pesaro Urbino</t>
  </si>
  <si>
    <t>Marche</t>
  </si>
  <si>
    <t>Perugia</t>
  </si>
  <si>
    <t>Umbria</t>
  </si>
  <si>
    <t>011110</t>
  </si>
  <si>
    <t>011310</t>
  </si>
  <si>
    <t>SOCIETA' AGRICOLA MONTE MONACO S.R.L.</t>
  </si>
  <si>
    <t>02303410449</t>
  </si>
  <si>
    <t>011130</t>
  </si>
  <si>
    <t>Fermo</t>
  </si>
  <si>
    <t>IL CASTAGNE' SOCIETA' AGRICOLA COOPERATIVA</t>
  </si>
  <si>
    <t>03368080044</t>
  </si>
  <si>
    <t>Cuneo</t>
  </si>
  <si>
    <t>SOCIETA' AGRICOLA KEBIO S.R.L.</t>
  </si>
  <si>
    <t>03109680540</t>
  </si>
  <si>
    <t>015000</t>
  </si>
  <si>
    <t>SOCIETA' AGRICOLA 5 SOGNI S.R.L.</t>
  </si>
  <si>
    <t>03667940047</t>
  </si>
  <si>
    <t>012100</t>
  </si>
  <si>
    <t>TENUTE SMERALDA S.R.L. SOCIETA' AGRICOLA</t>
  </si>
  <si>
    <t>03800240925</t>
  </si>
  <si>
    <t>Sardegna</t>
  </si>
  <si>
    <t>E.G.RO. SOLE SOCIETA' AGRICOLA S.R.L.</t>
  </si>
  <si>
    <t>06390040720</t>
  </si>
  <si>
    <t>CA' LE SUORE SOCIETA' AGRICOLA A RESPONSABILITA' LIMITATA</t>
  </si>
  <si>
    <t>02207970415</t>
  </si>
  <si>
    <t>Toscana</t>
  </si>
  <si>
    <t>VALLEVERDE S.R.L. SOCIETA' AGRICOLA</t>
  </si>
  <si>
    <t>00334200516</t>
  </si>
  <si>
    <t>012900</t>
  </si>
  <si>
    <t>Arezzo</t>
  </si>
  <si>
    <t>012100</t>
  </si>
  <si>
    <t>Catania</t>
  </si>
  <si>
    <t>Sicilia</t>
  </si>
  <si>
    <t>012000</t>
  </si>
  <si>
    <t>AZIENDA VIVAISTICA PUNTO VERDE SOCIETA' AGRICOLA A RESPONSABILITA LIMITATA</t>
  </si>
  <si>
    <t>04458270750</t>
  </si>
  <si>
    <t>013000</t>
  </si>
  <si>
    <t>Lecce</t>
  </si>
  <si>
    <t>Puglia</t>
  </si>
  <si>
    <t>LA FERRIERA S.R.L. SOCIETA' AGRICOLA</t>
  </si>
  <si>
    <t>02134490602</t>
  </si>
  <si>
    <t>Frosinone</t>
  </si>
  <si>
    <t>Lazio</t>
  </si>
  <si>
    <t>SOCIETA' AGRICOLA POGGIARELLO S.R.L.</t>
  </si>
  <si>
    <t>01249700525</t>
  </si>
  <si>
    <t>011110</t>
  </si>
  <si>
    <t>Siena</t>
  </si>
  <si>
    <t>Toscana</t>
  </si>
  <si>
    <t>SOCIETA' AGRICOLA TERRA SABINA SOCIETA' A RESPONSABILITA' LIMITATA E IN BREVE SOCIETA' AGRICOLA TERRA SABINA S.R.L.</t>
  </si>
  <si>
    <t>01017230572</t>
  </si>
  <si>
    <t>Rieti</t>
  </si>
  <si>
    <t>Emilia-Romagna</t>
  </si>
  <si>
    <t>Forlì-Cesena</t>
  </si>
  <si>
    <t>AGRISOLE S.R.L. SOCIETA' AGRICOLA</t>
  </si>
  <si>
    <t>04570590879</t>
  </si>
  <si>
    <t>011320</t>
  </si>
  <si>
    <t>011000</t>
  </si>
  <si>
    <t>FEUDO LUPARELLO SOCIETA' AGRICOLA S.R.L.</t>
  </si>
  <si>
    <t>05096330872</t>
  </si>
  <si>
    <t>Siracusa</t>
  </si>
  <si>
    <t>PODERE DELL'ANGELO SOCIETA' AGRICOLA S.R.L.</t>
  </si>
  <si>
    <t>00112750930</t>
  </si>
  <si>
    <t>Pordenone</t>
  </si>
  <si>
    <t>Friuli-Venezia Giulia</t>
  </si>
  <si>
    <t>COOPERATIVA AGRO-IPPOTURISTICA RIDOLLA (C.A.I.R.) SOCIETA' COO PERATIVA AGRICOLA IN SIGLA LA RIDOLLA SOCIETA' COOP. AGRICOLA</t>
  </si>
  <si>
    <t>01813670401</t>
  </si>
  <si>
    <t>CARBONA SOCIETA' AGRICOLA S.R.L.</t>
  </si>
  <si>
    <t>02411530815</t>
  </si>
  <si>
    <t>012600</t>
  </si>
  <si>
    <t>Trapani</t>
  </si>
  <si>
    <t>CARPINAIA SOCIETA' COOPERATIVA AGRICOLA</t>
  </si>
  <si>
    <t>01411950528</t>
  </si>
  <si>
    <t>014200</t>
  </si>
  <si>
    <t>LA CANOSA S.R.L. SOCIETA' AGRICOLA</t>
  </si>
  <si>
    <t>01716790686</t>
  </si>
  <si>
    <t>Ascoli Piceno</t>
  </si>
  <si>
    <t>Marche</t>
  </si>
  <si>
    <t>FATTORIA IL LAGO SOCIETA' AGRICOLA A RESPONSABILITA' LIMITATA</t>
  </si>
  <si>
    <t>03608810481</t>
  </si>
  <si>
    <t>Firenze</t>
  </si>
  <si>
    <t>Campania</t>
  </si>
  <si>
    <t>Toscana</t>
  </si>
  <si>
    <t>012100</t>
  </si>
  <si>
    <t>SOCIETA' AGRICOLA POMARIO S.R.L.</t>
  </si>
  <si>
    <t>08368901008</t>
  </si>
  <si>
    <t>012000</t>
  </si>
  <si>
    <t>Roma</t>
  </si>
  <si>
    <t>Lazio</t>
  </si>
  <si>
    <t>011310</t>
  </si>
  <si>
    <t>011140</t>
  </si>
  <si>
    <t>Emilia-Romagna</t>
  </si>
  <si>
    <t>SOCIETA COOPERATIVA AGRICOLA S.GIOVANNI BATTISTA DI PALATA PEPOLI (FRAZIONE DEL COMUNE DI CREVALCORE)-SOC.COOP A R.L.</t>
  </si>
  <si>
    <t>00508261203</t>
  </si>
  <si>
    <t>Bologna</t>
  </si>
  <si>
    <t>ARVAIA SOCIETA' COOPERATIVA AGRICOLA</t>
  </si>
  <si>
    <t>03273511208</t>
  </si>
  <si>
    <t>IMMOBILIARE VALERIA 1970 - SOCIETA A RESPONSABILI-TA LIMITATA</t>
  </si>
  <si>
    <t>00982971004</t>
  </si>
  <si>
    <t>012600</t>
  </si>
  <si>
    <t>SOCIETA' AGRICOLA VILLA PANE RESORT S.R.L.</t>
  </si>
  <si>
    <t>06507751219</t>
  </si>
  <si>
    <t>Napoli</t>
  </si>
  <si>
    <t>LE TORRI SOCIETA' AGRICOLA A RESPONSBILITA' LIMITATA</t>
  </si>
  <si>
    <t>03522590482</t>
  </si>
  <si>
    <t>Firenze</t>
  </si>
  <si>
    <t>AGRICOLA SOCIETA' AGRICOLA COOPERATIVA SOCIALE - ONLUS</t>
  </si>
  <si>
    <t>03190180988</t>
  </si>
  <si>
    <t>012400</t>
  </si>
  <si>
    <t>Brescia</t>
  </si>
  <si>
    <t>Lombardia</t>
  </si>
  <si>
    <t>Agrigento</t>
  </si>
  <si>
    <t>Sicilia</t>
  </si>
  <si>
    <t>Puglia</t>
  </si>
  <si>
    <t>011310</t>
  </si>
  <si>
    <t>012100</t>
  </si>
  <si>
    <t>AGRISEMI MINICOZZI SOCIETA'AGRICOLA A RESPONSABILITA' LIMITATA</t>
  </si>
  <si>
    <t>01666990625</t>
  </si>
  <si>
    <t>011110</t>
  </si>
  <si>
    <t>Benevento</t>
  </si>
  <si>
    <t>Campania</t>
  </si>
  <si>
    <t>SOCIETA' AGRICOLA S.GIORGIO S.R.L.</t>
  </si>
  <si>
    <t>03775720166</t>
  </si>
  <si>
    <t>Bergamo</t>
  </si>
  <si>
    <t>AGRI L.D.C. - SOCIETA' AGRICOLA S.R.L.</t>
  </si>
  <si>
    <t>08135640723</t>
  </si>
  <si>
    <t>Barletta-Andria-Trani</t>
  </si>
  <si>
    <t>AZIENDA AGRICOLA TRIPI SOCIETA' COOPERATIVA</t>
  </si>
  <si>
    <t>04701700827</t>
  </si>
  <si>
    <t>015000</t>
  </si>
  <si>
    <t>Palermo</t>
  </si>
  <si>
    <t>FRATANTONIO SOCIETA' AGRICOLA A R.L. - IN SIGLA FRATANTONIO S.A. R.L.</t>
  </si>
  <si>
    <t>01322040880</t>
  </si>
  <si>
    <t>Ragusa</t>
  </si>
  <si>
    <t>Perugia</t>
  </si>
  <si>
    <t>Umbria</t>
  </si>
  <si>
    <t>012600</t>
  </si>
  <si>
    <t>Toscana</t>
  </si>
  <si>
    <t>VERIDIA ITALIA SRL SOCIETA' AGRICOLA</t>
  </si>
  <si>
    <t>02196760686</t>
  </si>
  <si>
    <t>011910</t>
  </si>
  <si>
    <t>Pescara</t>
  </si>
  <si>
    <t>Abruzzo</t>
  </si>
  <si>
    <t>AZIENDA AGRICOLA SANTA GIUSTINA S.R.L. - SOCIETA' AGRICOLA</t>
  </si>
  <si>
    <t>01179000334</t>
  </si>
  <si>
    <t>Piacenza</t>
  </si>
  <si>
    <t>Emilia-Romagna</t>
  </si>
  <si>
    <t>IL PAGANELLO SOCIETA' AGRICOLA A RESPONSABILITA' LIMITATA</t>
  </si>
  <si>
    <t>00722660487</t>
  </si>
  <si>
    <t>Firenze</t>
  </si>
  <si>
    <t>SOCIETA' AGRICOLA IMPERATORI S.R.L.</t>
  </si>
  <si>
    <t>11086411003</t>
  </si>
  <si>
    <t>Roma</t>
  </si>
  <si>
    <t>Lazio</t>
  </si>
  <si>
    <t>UMBRIA VERDE SOCIETA' COOPERATIVA AGRICOLA</t>
  </si>
  <si>
    <t>03500360544</t>
  </si>
  <si>
    <t>AZIENDA AGRICOLA CASAMATTA SOCIETA' AGRICOLA A RESPONSABILITA' LIMITATA IN FORMA ABBREVIATA AZIENDA AGRICOLA CASAMATTA S.A.R.L.</t>
  </si>
  <si>
    <t>06950290483</t>
  </si>
  <si>
    <t>LA LUPINELLA S.R.L. SOCIETA' AGRICOLA</t>
  </si>
  <si>
    <t>01424930483</t>
  </si>
  <si>
    <t>SOCIETA' AGRICOLA LUNA SICANA S.R.L.</t>
  </si>
  <si>
    <t>02526780842</t>
  </si>
  <si>
    <t>Campania</t>
  </si>
  <si>
    <t>Veneto</t>
  </si>
  <si>
    <t>CA' DEL BRIC - SOCIETA' COOPERATIVA AGRICOLA</t>
  </si>
  <si>
    <t>01875160069</t>
  </si>
  <si>
    <t>016300</t>
  </si>
  <si>
    <t>Alessandria</t>
  </si>
  <si>
    <t>Piemonte</t>
  </si>
  <si>
    <t>COSTADILA' ARTICOLTURA S.R.L. SOCIETA' AGRICOLA</t>
  </si>
  <si>
    <t>04575390275</t>
  </si>
  <si>
    <t>012100</t>
  </si>
  <si>
    <t>Venezia</t>
  </si>
  <si>
    <t>Puglia</t>
  </si>
  <si>
    <t>Sicilia</t>
  </si>
  <si>
    <t>MIRALAGO SOCIETA' AGRICOLA S.R.L.</t>
  </si>
  <si>
    <t>04299330409</t>
  </si>
  <si>
    <t>011140</t>
  </si>
  <si>
    <t>Rimini</t>
  </si>
  <si>
    <t>Emilia-Romagna</t>
  </si>
  <si>
    <t>VIVAI MOLA DELLA ABBADIA S.R.L.</t>
  </si>
  <si>
    <t>07428060631</t>
  </si>
  <si>
    <t>011300</t>
  </si>
  <si>
    <t>Napoli</t>
  </si>
  <si>
    <t>015000</t>
  </si>
  <si>
    <t>012600</t>
  </si>
  <si>
    <t>AGRIVAL SOCIETA' COOPERATIVA AGRICOLA</t>
  </si>
  <si>
    <t>04770210872</t>
  </si>
  <si>
    <t>Catania</t>
  </si>
  <si>
    <t>CAMPILUNGO SOCIETA' AGRICOLA S.R.L.</t>
  </si>
  <si>
    <t>05458850483</t>
  </si>
  <si>
    <t>Firenze</t>
  </si>
  <si>
    <t>Toscana</t>
  </si>
  <si>
    <t>FEMADUE SOCIETA' COOPERATIVA AGRICOLA</t>
  </si>
  <si>
    <t>00153390851</t>
  </si>
  <si>
    <t>014910</t>
  </si>
  <si>
    <t>Caltanissetta</t>
  </si>
  <si>
    <t>STEA S.R.L.</t>
  </si>
  <si>
    <t>01317000741</t>
  </si>
  <si>
    <t>Brindisi</t>
  </si>
  <si>
    <t>FATTORIA DEGLI ANIMALI LA COLLINARA SOCIETA' COOPERATIVA SOCIALE</t>
  </si>
  <si>
    <t>01812290383</t>
  </si>
  <si>
    <t>014930</t>
  </si>
  <si>
    <t>Ferrara</t>
  </si>
  <si>
    <t>LA PIAGGIA S.R.L.</t>
  </si>
  <si>
    <t>01785980507</t>
  </si>
  <si>
    <t>014300</t>
  </si>
  <si>
    <t>Pisa</t>
  </si>
  <si>
    <t>016100</t>
  </si>
  <si>
    <t>Cuneo</t>
  </si>
  <si>
    <t>Piemonte</t>
  </si>
  <si>
    <t>Siena</t>
  </si>
  <si>
    <t>Toscana</t>
  </si>
  <si>
    <t>AGRYTECH 2002 S.R.L.</t>
  </si>
  <si>
    <t>05186290481</t>
  </si>
  <si>
    <t>Firenze</t>
  </si>
  <si>
    <t>AGRIROCCA S.R.L. - SOCIETA' AGRICOLA</t>
  </si>
  <si>
    <t>08904190157</t>
  </si>
  <si>
    <t>011140</t>
  </si>
  <si>
    <t>Milano</t>
  </si>
  <si>
    <t>Lombardia</t>
  </si>
  <si>
    <t>GREEN SYSTEM S.R.L.</t>
  </si>
  <si>
    <t>03828670756</t>
  </si>
  <si>
    <t>011310</t>
  </si>
  <si>
    <t>Lecce</t>
  </si>
  <si>
    <t>Puglia</t>
  </si>
  <si>
    <t>VILLA AGOSTOLI S.R.L. - SOCIETA' AGRICOLA</t>
  </si>
  <si>
    <t>00783200520</t>
  </si>
  <si>
    <t>012100</t>
  </si>
  <si>
    <t>Napoli</t>
  </si>
  <si>
    <t>Campania</t>
  </si>
  <si>
    <t>Cosenza</t>
  </si>
  <si>
    <t>Calabria</t>
  </si>
  <si>
    <t>VINO E CULTURA SOC. AGRICOLA S.R.L.</t>
  </si>
  <si>
    <t>03922350719</t>
  </si>
  <si>
    <t>Foggia</t>
  </si>
  <si>
    <t>BIOVERDE SOCIETA' CONSORTILE AGRICOLA A R.L.</t>
  </si>
  <si>
    <t>01620510899</t>
  </si>
  <si>
    <t>016300</t>
  </si>
  <si>
    <t>Siracusa</t>
  </si>
  <si>
    <t>Sicilia</t>
  </si>
  <si>
    <t>CASCINA PENSOLATO SOCIETA' COOPERATIVA AGRICOLA SOCIALE - ONLUS</t>
  </si>
  <si>
    <t>03709330041</t>
  </si>
  <si>
    <t>011300</t>
  </si>
  <si>
    <t>ENERGIA GREEN SOCIETA' AGRICOLA S.R.L.</t>
  </si>
  <si>
    <t>03908360161</t>
  </si>
  <si>
    <t>011329</t>
  </si>
  <si>
    <t>Bergamo</t>
  </si>
  <si>
    <t>PRATELLO S.R.L. SOCIETA' AGRICOLA</t>
  </si>
  <si>
    <t>01048700502</t>
  </si>
  <si>
    <t>011120</t>
  </si>
  <si>
    <t>Pisa</t>
  </si>
  <si>
    <t>COLACINO WINES SOCIETA' AGRICOLA S.R.L.</t>
  </si>
  <si>
    <t>02521360780</t>
  </si>
  <si>
    <t>SOCIETA' AGRICOLA TERRA NOSTRA S.R.L.</t>
  </si>
  <si>
    <t>05260211213</t>
  </si>
  <si>
    <t>011140</t>
  </si>
  <si>
    <t>012600</t>
  </si>
  <si>
    <t>Puglia</t>
  </si>
  <si>
    <t>EUROLIBURIA SOCIETA' COOPERATIVA AGRICOLA</t>
  </si>
  <si>
    <t>02860850615</t>
  </si>
  <si>
    <t>012000</t>
  </si>
  <si>
    <t>Caserta</t>
  </si>
  <si>
    <t>Campania</t>
  </si>
  <si>
    <t>Toscana</t>
  </si>
  <si>
    <t>PODERE SANTA LUCIA S.R.L. - SOCIETA' AGRICOLA</t>
  </si>
  <si>
    <t>01815240674</t>
  </si>
  <si>
    <t>014100</t>
  </si>
  <si>
    <t>Teramo</t>
  </si>
  <si>
    <t>Abruzzo</t>
  </si>
  <si>
    <t>Calabria</t>
  </si>
  <si>
    <t>Sicilia</t>
  </si>
  <si>
    <t>AZIENDA AGRICOLA CASCINA AL COLLE -SOCIETA' AGRICOLA A RESPONSABILITA' LIMITATA</t>
  </si>
  <si>
    <t>01730170493</t>
  </si>
  <si>
    <t>Livorno</t>
  </si>
  <si>
    <t>Emilia-Romagna</t>
  </si>
  <si>
    <t>Pavia</t>
  </si>
  <si>
    <t>Lombardia</t>
  </si>
  <si>
    <t>SUD AGRICOLA S.R.L.</t>
  </si>
  <si>
    <t>01003170717</t>
  </si>
  <si>
    <t>Foggia</t>
  </si>
  <si>
    <t>FARMECO DAUNA S.R.L.</t>
  </si>
  <si>
    <t>03770330714</t>
  </si>
  <si>
    <t>016100</t>
  </si>
  <si>
    <t>ECCELLENZA SOSTENIBILE S.R.L.</t>
  </si>
  <si>
    <t>04521470163</t>
  </si>
  <si>
    <t>016300</t>
  </si>
  <si>
    <t>Bergamo</t>
  </si>
  <si>
    <t>TENUTA COLOMBARDA S.R.L. SOCIETA' AGRICOLA IN SIGLA TENUTA COLOMBARDA</t>
  </si>
  <si>
    <t>04270620406</t>
  </si>
  <si>
    <t>012100</t>
  </si>
  <si>
    <t>Forlì-Cesena</t>
  </si>
  <si>
    <t>SOCIETA' COOPERATIVA AGRICOLA I CUMMARI</t>
  </si>
  <si>
    <t>01835370899</t>
  </si>
  <si>
    <t>012300</t>
  </si>
  <si>
    <t>Siracusa</t>
  </si>
  <si>
    <t>SAN SEBASTIANO S.R.L. - SOCIETA' AGRICOLA</t>
  </si>
  <si>
    <t>02973300797</t>
  </si>
  <si>
    <t>Crotone</t>
  </si>
  <si>
    <t>CORTE BENEDETTO SOCIETA' AGRICOLA S.R.L.</t>
  </si>
  <si>
    <t>02351260464</t>
  </si>
  <si>
    <t>Lucca</t>
  </si>
  <si>
    <t>AGRIBIOENERGIA SOCIETA' AGRICOLA S.R.L.</t>
  </si>
  <si>
    <t>02411140185</t>
  </si>
  <si>
    <t>IL LEBBIO S.R.L.</t>
  </si>
  <si>
    <t>02170450502</t>
  </si>
  <si>
    <t>Firenze</t>
  </si>
  <si>
    <t>POLENTA SOCIETA' AGRICOLA A RESPONSABILITA' LIMITATA</t>
  </si>
  <si>
    <t>02364900429</t>
  </si>
  <si>
    <t>Ancona</t>
  </si>
  <si>
    <t>Marche</t>
  </si>
  <si>
    <t>Sicilia</t>
  </si>
  <si>
    <t>VALLECHIARA S.R.L. SOCIETA' AGRICOLA</t>
  </si>
  <si>
    <t>01441100532</t>
  </si>
  <si>
    <t>012600</t>
  </si>
  <si>
    <t>Grosseto</t>
  </si>
  <si>
    <t>Toscana</t>
  </si>
  <si>
    <t>Puglia</t>
  </si>
  <si>
    <t>016100</t>
  </si>
  <si>
    <t>SOCIETA' AGRICOLA LUSVARDI WINE S.R.L.</t>
  </si>
  <si>
    <t>02805650351</t>
  </si>
  <si>
    <t>012100</t>
  </si>
  <si>
    <t>Reggio nell'Emilia</t>
  </si>
  <si>
    <t>Emilia-Romagna</t>
  </si>
  <si>
    <t>SOCIETA' AGRICOLA A R.L. TENUTA LU SPADA</t>
  </si>
  <si>
    <t>02446250744</t>
  </si>
  <si>
    <t>012000</t>
  </si>
  <si>
    <t>Brindisi</t>
  </si>
  <si>
    <t>SOCIETA' SANT'ANGELO SOCIETA' A RESPONSABILITA' LIMITATA SEMPLIFI CATA</t>
  </si>
  <si>
    <t>02085130850</t>
  </si>
  <si>
    <t>011140</t>
  </si>
  <si>
    <t>Caltanissetta</t>
  </si>
  <si>
    <t>AZIENDA VINICOLA LE VIE ANGARANO SRL - SOCIETA' AGRICOLA</t>
  </si>
  <si>
    <t>04219580240</t>
  </si>
  <si>
    <t>Vicenza</t>
  </si>
  <si>
    <t>Veneto</t>
  </si>
  <si>
    <t>Arezzo</t>
  </si>
  <si>
    <t>Lombardia</t>
  </si>
  <si>
    <t>011110</t>
  </si>
  <si>
    <t>SOCIETA' AGRICOLA CALINA S.R.L.</t>
  </si>
  <si>
    <t>03205510179</t>
  </si>
  <si>
    <t>Brescia</t>
  </si>
  <si>
    <t>DEL PASQUA S.R.L.</t>
  </si>
  <si>
    <t>01339520510</t>
  </si>
  <si>
    <t>CAFAGGIOLO SOCIETA' AGRICOLA SRL CON SIGLE: AZIENDA AGRICOLA CAFAGGIOLO-CAFAGGIOLO AGRICOLA- TENUTA DI CAFAGGIOLO</t>
  </si>
  <si>
    <t>06333480488</t>
  </si>
  <si>
    <t>Firenze</t>
  </si>
  <si>
    <t>VINO NUOVO - SOCIETA' COOPERATIVA AGRICOLA</t>
  </si>
  <si>
    <t>04316030230</t>
  </si>
  <si>
    <t>012100</t>
  </si>
  <si>
    <t>Verona</t>
  </si>
  <si>
    <t>Veneto</t>
  </si>
  <si>
    <t>SOCIETA' AGRICOLA AGRINICO S.R.L. IN SIGLA AGRINICO S.R.L.</t>
  </si>
  <si>
    <t>04036830489</t>
  </si>
  <si>
    <t>Firenze</t>
  </si>
  <si>
    <t>Toscana</t>
  </si>
  <si>
    <t>Campania</t>
  </si>
  <si>
    <t>SOCIETA' COOPERATIVA AGRICOLA FINA</t>
  </si>
  <si>
    <t>02375760747</t>
  </si>
  <si>
    <t>011110</t>
  </si>
  <si>
    <t>Brindisi</t>
  </si>
  <si>
    <t>Puglia</t>
  </si>
  <si>
    <t>Sicilia</t>
  </si>
  <si>
    <t>Potenza</t>
  </si>
  <si>
    <t>Basilicata</t>
  </si>
  <si>
    <t>SOCIETA' AGRICOLA ANIDAGRI S.R.L.</t>
  </si>
  <si>
    <t>01847020516</t>
  </si>
  <si>
    <t>011310</t>
  </si>
  <si>
    <t>Genova</t>
  </si>
  <si>
    <t>Liguria</t>
  </si>
  <si>
    <t>Emilia-Romagna</t>
  </si>
  <si>
    <t>ALLEVAMENTO DELLA FIORAVANTA SOC. A R.L.</t>
  </si>
  <si>
    <t>02937151203</t>
  </si>
  <si>
    <t>014990</t>
  </si>
  <si>
    <t>Bologna</t>
  </si>
  <si>
    <t>Roma</t>
  </si>
  <si>
    <t>Lazio</t>
  </si>
  <si>
    <t>AGRIPLANTECH SOCIETA' AGRICOLA S.R.L. UNIPERSNALE</t>
  </si>
  <si>
    <t>01980680894</t>
  </si>
  <si>
    <t>011300</t>
  </si>
  <si>
    <t>Siracusa</t>
  </si>
  <si>
    <t>RELAIS PARADISO SOCIETA' AGRICOLA A RESPONSABILITA' LIMITATA</t>
  </si>
  <si>
    <t>03050270549</t>
  </si>
  <si>
    <t>015000</t>
  </si>
  <si>
    <t>Perugia</t>
  </si>
  <si>
    <t>Umbria</t>
  </si>
  <si>
    <t>FAMILY FARM SOCIETA' AGRICOLA A R.L.</t>
  </si>
  <si>
    <t>04101230615</t>
  </si>
  <si>
    <t>Caserta</t>
  </si>
  <si>
    <t>FIOREBACCA SRL</t>
  </si>
  <si>
    <t>05005010268</t>
  </si>
  <si>
    <t>010000</t>
  </si>
  <si>
    <t>Forlì-Cesena</t>
  </si>
  <si>
    <t>PANI E FUNGHI - SOCIETA' AGRICOLA A RESPONSABILITA' LIMITATA</t>
  </si>
  <si>
    <t>01821430764</t>
  </si>
  <si>
    <t>GREEN GARDEN DI FRANCESCO GERVASIO S.R.L.</t>
  </si>
  <si>
    <t>16044791008</t>
  </si>
  <si>
    <t>013000</t>
  </si>
  <si>
    <t>Salerno</t>
  </si>
  <si>
    <t>Campania</t>
  </si>
  <si>
    <t>012100</t>
  </si>
  <si>
    <t>SELE VERDE S.R.L.</t>
  </si>
  <si>
    <t>05087080650</t>
  </si>
  <si>
    <t>011300</t>
  </si>
  <si>
    <t>012600</t>
  </si>
  <si>
    <t>Siena</t>
  </si>
  <si>
    <t>Toscana</t>
  </si>
  <si>
    <t>AGRICOOP FAUSTO GULLO SOCIETA' COOPERATIVA AGRICOLA</t>
  </si>
  <si>
    <t>00470650789</t>
  </si>
  <si>
    <t>Cosenza</t>
  </si>
  <si>
    <t>Calabria</t>
  </si>
  <si>
    <t>OLEIFICIO COOPERATIVO TRA PRODUTTORI AGRICOLI SOCIETA' COOPERATI- VA AGRICOLA</t>
  </si>
  <si>
    <t>00284930542</t>
  </si>
  <si>
    <t>Perugia</t>
  </si>
  <si>
    <t>Umbria</t>
  </si>
  <si>
    <t>SOCIETA' AGRICOLA UNIPERSONALE FATTORIA TOLOMEI S.R.L.</t>
  </si>
  <si>
    <t>01386410532</t>
  </si>
  <si>
    <t>015000</t>
  </si>
  <si>
    <t>Grosseto</t>
  </si>
  <si>
    <t>AGRICOSIMO SOCIETA' AGRICOLA SRL</t>
  </si>
  <si>
    <t>02362920692</t>
  </si>
  <si>
    <t>Chieti</t>
  </si>
  <si>
    <t>Abruzzo</t>
  </si>
  <si>
    <t>LENAGRICOLA - SRL SOCIETA' AGRICOLA</t>
  </si>
  <si>
    <t>00310480520</t>
  </si>
  <si>
    <t>011000</t>
  </si>
  <si>
    <t>Sicilia</t>
  </si>
  <si>
    <t>012100</t>
  </si>
  <si>
    <t>016100</t>
  </si>
  <si>
    <t>011000</t>
  </si>
  <si>
    <t>Lombardia</t>
  </si>
  <si>
    <t>TORREGHIOTTA SOCIETA' AGRICOLA S.R.L.</t>
  </si>
  <si>
    <t>01932340472</t>
  </si>
  <si>
    <t>012600</t>
  </si>
  <si>
    <t>Pistoia</t>
  </si>
  <si>
    <t>Toscana</t>
  </si>
  <si>
    <t>Sondrio</t>
  </si>
  <si>
    <t>BENE S.R.L. SOCIETA' AGRICOLA</t>
  </si>
  <si>
    <t>03321250833</t>
  </si>
  <si>
    <t>012300</t>
  </si>
  <si>
    <t>Messina</t>
  </si>
  <si>
    <t>METTOLA SOCIETA' AGRICOLA A R. L.</t>
  </si>
  <si>
    <t>03673100040</t>
  </si>
  <si>
    <t>Cuneo</t>
  </si>
  <si>
    <t>Piemonte</t>
  </si>
  <si>
    <t>016300</t>
  </si>
  <si>
    <t>012400</t>
  </si>
  <si>
    <t>CONTADINI DELLE ALPI SOCIETA' COOPERATIVA AGRICOLA</t>
  </si>
  <si>
    <t>00949740146</t>
  </si>
  <si>
    <t>SOCIETA' AGRICOLA VILLA VALENTINA S.R.L.</t>
  </si>
  <si>
    <t>02730900541</t>
  </si>
  <si>
    <t>Perugia</t>
  </si>
  <si>
    <t>Umbria</t>
  </si>
  <si>
    <t>AGRINNTEC S.R.L.</t>
  </si>
  <si>
    <t>03987940230</t>
  </si>
  <si>
    <t>Bergamo</t>
  </si>
  <si>
    <t>SOCIETA' COOPERATIVA AGRICOLA DEL DUC</t>
  </si>
  <si>
    <t>07339770013</t>
  </si>
  <si>
    <t>Torino</t>
  </si>
  <si>
    <t>011310</t>
  </si>
  <si>
    <t>012100</t>
  </si>
  <si>
    <t>Firenze</t>
  </si>
  <si>
    <t>Toscana</t>
  </si>
  <si>
    <t>Lazio</t>
  </si>
  <si>
    <t>SOCIETA' AGRICOLA GUARISCO A RESPONSABILITA' LIMITATA</t>
  </si>
  <si>
    <t>03136780131</t>
  </si>
  <si>
    <t>015000</t>
  </si>
  <si>
    <t>Como</t>
  </si>
  <si>
    <t>Lombardia</t>
  </si>
  <si>
    <t>AZIENDA AGRICOLA INALTO S.R.L.</t>
  </si>
  <si>
    <t>02017870664</t>
  </si>
  <si>
    <t>L'Aquila</t>
  </si>
  <si>
    <t>Abruzzo</t>
  </si>
  <si>
    <t>Campania</t>
  </si>
  <si>
    <t>SOCIETA' COOPERATIVA AGRICOLA SAN GALGANO - SRL</t>
  </si>
  <si>
    <t>00684150527</t>
  </si>
  <si>
    <t>011110</t>
  </si>
  <si>
    <t>Siena</t>
  </si>
  <si>
    <t>NUOVA TENUTA PARADISO - SOCIETA' AGRICOLA A R.L.</t>
  </si>
  <si>
    <t>01515670550</t>
  </si>
  <si>
    <t>Terni</t>
  </si>
  <si>
    <t>Umbria</t>
  </si>
  <si>
    <t>SOCIETA' AGRICOLA L'ALLORINA SOCIETA' A RESPONSABILITA' LIMITATA SEMPLIFICATA</t>
  </si>
  <si>
    <t>15789761002</t>
  </si>
  <si>
    <t>Roma</t>
  </si>
  <si>
    <t>014300</t>
  </si>
  <si>
    <t>ACCONIA ANTICA - SOCIETA' COOPERATIVA AGRICOLA</t>
  </si>
  <si>
    <t>02140910791</t>
  </si>
  <si>
    <t>012600</t>
  </si>
  <si>
    <t>Catanzaro</t>
  </si>
  <si>
    <t>Calabria</t>
  </si>
  <si>
    <t>TECHNOJUMP SOCIETA' A RESPONSABILITA' LIMITATA SEMPLIFICATA</t>
  </si>
  <si>
    <t>01556390191</t>
  </si>
  <si>
    <t>Cremona</t>
  </si>
  <si>
    <t>SOCIETA' AGRICOLA TERRA MIA S.R.L.</t>
  </si>
  <si>
    <t>04108770613</t>
  </si>
  <si>
    <t>Caserta</t>
  </si>
  <si>
    <t>SOCIETA' AGRICOLA F.M. HORSE DREAM FARM - SRL</t>
  </si>
  <si>
    <t>03541010124</t>
  </si>
  <si>
    <t>Varese</t>
  </si>
  <si>
    <t>GORI AGRICOLA SOCIETA' A RESPONSABILITA' LIMITATA</t>
  </si>
  <si>
    <t>02533510307</t>
  </si>
  <si>
    <t>Udine</t>
  </si>
  <si>
    <t>Friuli-Venezia Giulia</t>
  </si>
  <si>
    <t>SOCIETA' AGRICOLA PUGLIANO S.R.L.</t>
  </si>
  <si>
    <t>05212800485</t>
  </si>
  <si>
    <t>PODERE DELL'ANGELO UNO SOCIETA' AGRICOLA S.R.L.</t>
  </si>
  <si>
    <t>01802750933</t>
  </si>
  <si>
    <t>Pordenone</t>
  </si>
  <si>
    <t>SOCIETA' AGRICOLA SAVOLDI S.R.L.</t>
  </si>
  <si>
    <t>02136340987</t>
  </si>
  <si>
    <t>012100</t>
  </si>
  <si>
    <t>Brescia</t>
  </si>
  <si>
    <t>Lombardia</t>
  </si>
  <si>
    <t>Salerno</t>
  </si>
  <si>
    <t>Campania</t>
  </si>
  <si>
    <t>012400</t>
  </si>
  <si>
    <t>Puglia</t>
  </si>
  <si>
    <t>Sicilia</t>
  </si>
  <si>
    <t>011310</t>
  </si>
  <si>
    <t>Catania</t>
  </si>
  <si>
    <t>SOCIETA' AGRICOLA CASTELVECCHIO S.R.L.</t>
  </si>
  <si>
    <t>02449320502</t>
  </si>
  <si>
    <t>Pisa</t>
  </si>
  <si>
    <t>Toscana</t>
  </si>
  <si>
    <t>SOCIETA' AGRICOLA LE SODE DI SANT'ANGELO S.R.L.</t>
  </si>
  <si>
    <t>01285180533</t>
  </si>
  <si>
    <t>Perugia</t>
  </si>
  <si>
    <t>Umbria</t>
  </si>
  <si>
    <t>PL PROPERTIES &amp; LOCATIONS SRL</t>
  </si>
  <si>
    <t>02378040873</t>
  </si>
  <si>
    <t>012300</t>
  </si>
  <si>
    <t>SOCIETA' AGRICOLA ALBAMARINA A R.L.</t>
  </si>
  <si>
    <t>04637740657</t>
  </si>
  <si>
    <t>SOCIETA' AGRICOLA SCANNANO - S.R.L.</t>
  </si>
  <si>
    <t>01258350527</t>
  </si>
  <si>
    <t>Siena</t>
  </si>
  <si>
    <t>SOCIETA' AGRICOLA SOLLEONE S.R.L.</t>
  </si>
  <si>
    <t>04669450878</t>
  </si>
  <si>
    <t>012800</t>
  </si>
  <si>
    <t>Ragusa</t>
  </si>
  <si>
    <t>IL GIRASOLE - SOCIETA' AGRICOLA A RESPONSABILITA' LIMITATA</t>
  </si>
  <si>
    <t>03888090408</t>
  </si>
  <si>
    <t>Forlì-Cesena</t>
  </si>
  <si>
    <t>Emilia-Romagna</t>
  </si>
  <si>
    <t>SOCIETA' AGRICOLA ORO DEL SALENTO S.R.L</t>
  </si>
  <si>
    <t>02815611203</t>
  </si>
  <si>
    <t>Lecce</t>
  </si>
  <si>
    <t>AGRICADD SOCIETA' AGRICOLA SRL</t>
  </si>
  <si>
    <t>01507460549</t>
  </si>
  <si>
    <t>011140</t>
  </si>
  <si>
    <t>SOCIETA' AGRICOLA ANTICHI SAPORI CAMUNI S.R.L.</t>
  </si>
  <si>
    <t>02906590985</t>
  </si>
  <si>
    <t>015000</t>
  </si>
  <si>
    <t>Brescia</t>
  </si>
  <si>
    <t>Lombardia</t>
  </si>
  <si>
    <t>011140</t>
  </si>
  <si>
    <t>Marche</t>
  </si>
  <si>
    <t>CALIA S.R.L. SOCIETA' AGRICOLA</t>
  </si>
  <si>
    <t>02793520731</t>
  </si>
  <si>
    <t>012600</t>
  </si>
  <si>
    <t>Taranto</t>
  </si>
  <si>
    <t>Puglia</t>
  </si>
  <si>
    <t>014700</t>
  </si>
  <si>
    <t>IL MOLINACCIO DI MONTEPULCIANO SOCIETA' AGRICOLA S.R.L.</t>
  </si>
  <si>
    <t>01333160529</t>
  </si>
  <si>
    <t>012100</t>
  </si>
  <si>
    <t>Siena</t>
  </si>
  <si>
    <t>Toscana</t>
  </si>
  <si>
    <t>Emilia-Romagna</t>
  </si>
  <si>
    <t>Piemonte</t>
  </si>
  <si>
    <t>FATTORIA BIOSOLE SRL SOCIETA' AGRICOLA</t>
  </si>
  <si>
    <t>06496180487</t>
  </si>
  <si>
    <t>Firenze</t>
  </si>
  <si>
    <t>SOCIETA' AGRICOLA SERENISSIMA S.R.L.</t>
  </si>
  <si>
    <t>04808400289</t>
  </si>
  <si>
    <t>Padova</t>
  </si>
  <si>
    <t>Veneto</t>
  </si>
  <si>
    <t>SOCIETA' AGRICOLA DOSSI S.R.L.</t>
  </si>
  <si>
    <t>02183600127</t>
  </si>
  <si>
    <t>010000</t>
  </si>
  <si>
    <t>Novara</t>
  </si>
  <si>
    <t>AZIENDA AGRICOLA PRINCIPE PIGNATELLI DI MONTERODUNI S.R.L.</t>
  </si>
  <si>
    <t>00372840942</t>
  </si>
  <si>
    <t>Isernia</t>
  </si>
  <si>
    <t>Molise</t>
  </si>
  <si>
    <t>PRELATO SOCIETA' AGRICOLA A RESPONSABILITA' LIMITATA</t>
  </si>
  <si>
    <t>02458930415</t>
  </si>
  <si>
    <t>Pesaro Urbino</t>
  </si>
  <si>
    <t>GREEN DOG BREWERY SOCIETA' AGRICOLA SRL</t>
  </si>
  <si>
    <t>01723990337</t>
  </si>
  <si>
    <t>Piacenza</t>
  </si>
  <si>
    <t>IL GREPPO SOCIETA' AGRICOLA A RESPONSABILITA' LIMITATA</t>
  </si>
  <si>
    <t>01204310526</t>
  </si>
  <si>
    <t>FABBRI VIVAI SOCIETA' AGRICOLA A RESPONSABILITA' LIMITATA</t>
  </si>
  <si>
    <t>02296540517</t>
  </si>
  <si>
    <t>011910</t>
  </si>
  <si>
    <t>Arezzo</t>
  </si>
  <si>
    <t>AZIENDA AGRICOLA LA CASELLA - SOCIETA' AGRICOLA A RESPONSABILITA LIMITATA</t>
  </si>
  <si>
    <t>01327250559</t>
  </si>
  <si>
    <t>012600</t>
  </si>
  <si>
    <t>Terni</t>
  </si>
  <si>
    <t>Umbria</t>
  </si>
  <si>
    <t>SOCIETA' AGRICOLA BILLOTTO S.R.L.</t>
  </si>
  <si>
    <t>04424480277</t>
  </si>
  <si>
    <t>011110</t>
  </si>
  <si>
    <t>Venezia</t>
  </si>
  <si>
    <t>Veneto</t>
  </si>
  <si>
    <t>LA BIOLOGICA SOCIETA' COOPERATIVA AGRICOLA</t>
  </si>
  <si>
    <t>02584400416</t>
  </si>
  <si>
    <t>Pesaro Urbino</t>
  </si>
  <si>
    <t>Marche</t>
  </si>
  <si>
    <t>012100</t>
  </si>
  <si>
    <t>Toscana</t>
  </si>
  <si>
    <t>Lazio</t>
  </si>
  <si>
    <t>SOCIETA' AGRICOLA LE ROTE S.R.L.</t>
  </si>
  <si>
    <t>06207830487</t>
  </si>
  <si>
    <t>Firenze</t>
  </si>
  <si>
    <t>Latina</t>
  </si>
  <si>
    <t>AZIENDA AGRICOLA VILLA LIANA SOCIETA' AGRICOLA - S.R.L.</t>
  </si>
  <si>
    <t>00662900505</t>
  </si>
  <si>
    <t>Pisa</t>
  </si>
  <si>
    <t>APE D'ORO SOCIETA' AGRICOLA A RESPONSABILITA' LIMITATA SEMPLIFICA TA</t>
  </si>
  <si>
    <t>02901130597</t>
  </si>
  <si>
    <t>014930</t>
  </si>
  <si>
    <t>AZIENDA VINICOLA F.LLI DE LUCA S.R.L.</t>
  </si>
  <si>
    <t>02003260698</t>
  </si>
  <si>
    <t>016300</t>
  </si>
  <si>
    <t>Chieti</t>
  </si>
  <si>
    <t>Abruzzo</t>
  </si>
  <si>
    <t>D.E.S. FRIUL DI MIEC - SOCIETA' COOPERATIVA DI COMUNITA'</t>
  </si>
  <si>
    <t>02874220300</t>
  </si>
  <si>
    <t>Udine</t>
  </si>
  <si>
    <t>Friuli-Venezia Giulia</t>
  </si>
  <si>
    <t>LA CASTAGNA SOCIETA' AGRICOLA A RESPONSABILITA' LIMITATA</t>
  </si>
  <si>
    <t>10520600155</t>
  </si>
  <si>
    <t>011990</t>
  </si>
  <si>
    <t>BRIPLANT SOCIETA' AGRICOLA A RESPONSABILITA' LIMITATA</t>
  </si>
  <si>
    <t>02584340596</t>
  </si>
  <si>
    <t>011920</t>
  </si>
  <si>
    <t>SOCIETA' AGRICOLA TERRACALO' S.R.L.</t>
  </si>
  <si>
    <t>02989150731</t>
  </si>
  <si>
    <t>Taranto</t>
  </si>
  <si>
    <t>Puglia</t>
  </si>
  <si>
    <t>Emilia-Romagna</t>
  </si>
  <si>
    <t>SALVIA E ROSMARINO S.R.L. SOCIETA' AGRICOLA</t>
  </si>
  <si>
    <t>01644970558</t>
  </si>
  <si>
    <t>TENUTA RITA SOLARI SOCIETA' AGRICOLA S.R.L.</t>
  </si>
  <si>
    <t>01727000331</t>
  </si>
  <si>
    <t>Piacenza</t>
  </si>
  <si>
    <t>IHC SOCIETA' AGRICOLA S.R.L.</t>
  </si>
  <si>
    <t>03654400401</t>
  </si>
  <si>
    <t>014300</t>
  </si>
  <si>
    <t>Forlì-Cesena</t>
  </si>
  <si>
    <t>016300</t>
  </si>
  <si>
    <t>Campania</t>
  </si>
  <si>
    <t>SOCIETA' AGRICOLA VALLE DI FIORDIMONTE S.R.L.</t>
  </si>
  <si>
    <t>01721520433</t>
  </si>
  <si>
    <t>017000</t>
  </si>
  <si>
    <t>Macerata</t>
  </si>
  <si>
    <t>Marche</t>
  </si>
  <si>
    <t>AZIENDA AGRITURISTICA RICCIARDELLI SOCIETA' AGRICOLA A RESPONSABI LITA' LIMITATA</t>
  </si>
  <si>
    <t>01879880647</t>
  </si>
  <si>
    <t>012500</t>
  </si>
  <si>
    <t>Napoli</t>
  </si>
  <si>
    <t>TENUTA FAVORITA SOCIETA' A RESPONSABILITA' LIMITATA AGRICOLA</t>
  </si>
  <si>
    <t>02719970028</t>
  </si>
  <si>
    <t>011200</t>
  </si>
  <si>
    <t>Vercelli</t>
  </si>
  <si>
    <t>Piemonte</t>
  </si>
  <si>
    <t>Salerno</t>
  </si>
  <si>
    <t>Reggio di Calabria</t>
  </si>
  <si>
    <t>Calabria</t>
  </si>
  <si>
    <t>Milano</t>
  </si>
  <si>
    <t>Lombardia</t>
  </si>
  <si>
    <t>015000</t>
  </si>
  <si>
    <t>Toscana</t>
  </si>
  <si>
    <t>AZIENDA AGRITURISTICA VILLA IONE SOCIETA' COOPERATIVA AGRICOLA</t>
  </si>
  <si>
    <t>01964720567</t>
  </si>
  <si>
    <t>Viterbo</t>
  </si>
  <si>
    <t>Lazio</t>
  </si>
  <si>
    <t>AZIENDA AGRICOLA S.GIACOMO SOCIETA' AGRICOLA A RESPONSABILITA' LI MITATA</t>
  </si>
  <si>
    <t>10708970156</t>
  </si>
  <si>
    <t>AQUAPONIC DESIGN S.R.L.</t>
  </si>
  <si>
    <t>03987711201</t>
  </si>
  <si>
    <t>016100</t>
  </si>
  <si>
    <t>Bologna</t>
  </si>
  <si>
    <t>Emilia-Romagna</t>
  </si>
  <si>
    <t>UN FIORE PER TUTTI - SOCIETA' COOPERATIVA SOCIALE AGRICOLA</t>
  </si>
  <si>
    <t>01834330472</t>
  </si>
  <si>
    <t>013000</t>
  </si>
  <si>
    <t>Pistoia</t>
  </si>
  <si>
    <t>AGRICOLA NIZZI SRL</t>
  </si>
  <si>
    <t>01499130548</t>
  </si>
  <si>
    <t>Perugia</t>
  </si>
  <si>
    <t>Umbria</t>
  </si>
  <si>
    <t>SOCIETA' AGRICOLA TENUTA IL MELOGRANO S.R.L.</t>
  </si>
  <si>
    <t>02349500567</t>
  </si>
  <si>
    <t>FRATELLI ROTELLA OLII S.R.L.</t>
  </si>
  <si>
    <t>00985560796</t>
  </si>
  <si>
    <t>Catanzaro</t>
  </si>
  <si>
    <t>TENUTA CALISSONI BULGARI SOCIETA' AGRICOLA A R.L.</t>
  </si>
  <si>
    <t>02401730599</t>
  </si>
  <si>
    <t>012600</t>
  </si>
  <si>
    <t>Latina</t>
  </si>
  <si>
    <t>SOCIETA' AGRICOLA NUOVA VALCALORE SRL</t>
  </si>
  <si>
    <t>05657140652</t>
  </si>
  <si>
    <t>GALLUZZO GROUP S.R.L. - SOCIETA' AGRICOLA</t>
  </si>
  <si>
    <t>03125210801</t>
  </si>
  <si>
    <t>BAGLIO BONSIGNORE SOCIETA' AGRICOLA S.R.L.</t>
  </si>
  <si>
    <t>01973690850</t>
  </si>
  <si>
    <t>012100</t>
  </si>
  <si>
    <t>Caltanissetta</t>
  </si>
  <si>
    <t>Sicilia</t>
  </si>
  <si>
    <t>VIVAI GIACOMO MANNONE S.R.L. SOCIETA' AGRICOLA</t>
  </si>
  <si>
    <t>02711400818</t>
  </si>
  <si>
    <t>013000</t>
  </si>
  <si>
    <t>Trapani</t>
  </si>
  <si>
    <t>012500</t>
  </si>
  <si>
    <t>LE MAGNOLIE SOCIETA' AGRICOLA SRL</t>
  </si>
  <si>
    <t>10998190150</t>
  </si>
  <si>
    <t>011110</t>
  </si>
  <si>
    <t>Milano</t>
  </si>
  <si>
    <t>Lombardia</t>
  </si>
  <si>
    <t>Roma</t>
  </si>
  <si>
    <t>Lazio</t>
  </si>
  <si>
    <t>MONTEROSEO S.R.L. SOCIETA' AGRICOLA</t>
  </si>
  <si>
    <t>02514130984</t>
  </si>
  <si>
    <t>015000</t>
  </si>
  <si>
    <t>Brescia</t>
  </si>
  <si>
    <t>SOCIETA' AGRICOLA TENUTA LA PAZZAGLIA S.R.L.</t>
  </si>
  <si>
    <t>01986150561</t>
  </si>
  <si>
    <t>Viterbo</t>
  </si>
  <si>
    <t>LE CASE DI FARNERA S.R.L. SOCIETA' AGRICOLA</t>
  </si>
  <si>
    <t>03928620982</t>
  </si>
  <si>
    <t>SAN PASTORE SOCIETA' AGRICOLA A RESPONSABILITA' LIMITATA</t>
  </si>
  <si>
    <t>01099801001</t>
  </si>
  <si>
    <t>Puglia</t>
  </si>
  <si>
    <t>FLORAPULIA SOCIETA' AGRICOLA A RESPONSABILITA' LIMITATA</t>
  </si>
  <si>
    <t>06617870727</t>
  </si>
  <si>
    <t>013000</t>
  </si>
  <si>
    <t>Bari</t>
  </si>
  <si>
    <t>SOCIETA' AGRICOLA BRACCI TORSI S.R.L.</t>
  </si>
  <si>
    <t>01159580503</t>
  </si>
  <si>
    <t>011110</t>
  </si>
  <si>
    <t>Pisa</t>
  </si>
  <si>
    <t>Toscana</t>
  </si>
  <si>
    <t>Emilia-Romagna</t>
  </si>
  <si>
    <t>I FRUTTI DEL SOLE S.R.L. - SOCIETA' AGRICOLA</t>
  </si>
  <si>
    <t>02068020920</t>
  </si>
  <si>
    <t>012100</t>
  </si>
  <si>
    <t>Cagliari</t>
  </si>
  <si>
    <t>Sardegna</t>
  </si>
  <si>
    <t>Campania</t>
  </si>
  <si>
    <t>CAPUTO AGRICOLA S.R.L. - SOCIETA' AGRICOLA</t>
  </si>
  <si>
    <t>09211231213</t>
  </si>
  <si>
    <t>012500</t>
  </si>
  <si>
    <t>Napoli</t>
  </si>
  <si>
    <t>IL CALESSE S.R.L. SOCIETA' AGRICOLA</t>
  </si>
  <si>
    <t>01431100476</t>
  </si>
  <si>
    <t>012600</t>
  </si>
  <si>
    <t>Pistoia</t>
  </si>
  <si>
    <t>MARAMAO SOCIETA' COOPERATIVA SOCIALE - SOCIETA' AGRICOLA</t>
  </si>
  <si>
    <t>01608270052</t>
  </si>
  <si>
    <t>Asti</t>
  </si>
  <si>
    <t>Piemonte</t>
  </si>
  <si>
    <t>COMUNITA' MARTAMARIA SOCIETA' COOPERATIVA SOCIALE ABBREVIABILE IN COMUNITA' MARTA MARIA S.C.S.</t>
  </si>
  <si>
    <t>02130570357</t>
  </si>
  <si>
    <t>Reggio nell'Emilia</t>
  </si>
  <si>
    <t>FUTURELAB SOCIALE 2.0 COOPERATIVA SOCIALE AGRICOLA</t>
  </si>
  <si>
    <t>03619430360</t>
  </si>
  <si>
    <t>012800</t>
  </si>
  <si>
    <t>Modena</t>
  </si>
  <si>
    <t>SEVERINO BECAGLI S.R.L. SOCIETA' AGRICOLA</t>
  </si>
  <si>
    <t>01584930539</t>
  </si>
  <si>
    <t>016100</t>
  </si>
  <si>
    <t>Grosseto</t>
  </si>
  <si>
    <t>Toscana</t>
  </si>
  <si>
    <t>Puglia</t>
  </si>
  <si>
    <t>012100</t>
  </si>
  <si>
    <t>L'ORTICELLO BIO SOCIETA' AGRICOLA S.R.L.</t>
  </si>
  <si>
    <t>02311950501</t>
  </si>
  <si>
    <t>011310</t>
  </si>
  <si>
    <t>Pisa</t>
  </si>
  <si>
    <t>DON MONACO SOCIETA' AGRICOLA A R.L.</t>
  </si>
  <si>
    <t>04285580751</t>
  </si>
  <si>
    <t>011110</t>
  </si>
  <si>
    <t>Lecce</t>
  </si>
  <si>
    <t>AMARATERRA SOCIETA' AGRICOLA S.R.L.S.</t>
  </si>
  <si>
    <t>02009210853</t>
  </si>
  <si>
    <t>Caltanissetta</t>
  </si>
  <si>
    <t>Sicilia</t>
  </si>
  <si>
    <t>AZIENDA VINICOLA MINARDI SRL SOCIETA' AGRICOLA</t>
  </si>
  <si>
    <t>02395830819</t>
  </si>
  <si>
    <t>Trapani</t>
  </si>
  <si>
    <t>AGRO TURISTICA MARELLA S.R.L. SOCIETA' AGRICOLA</t>
  </si>
  <si>
    <t>12077170152</t>
  </si>
  <si>
    <t>Milano</t>
  </si>
  <si>
    <t>Lombardia</t>
  </si>
  <si>
    <t>ALLEVAMENTO DI VERGIANO - SOCIETA' AGRICOLA - S.R.L.</t>
  </si>
  <si>
    <t>00361190408</t>
  </si>
  <si>
    <t>014300</t>
  </si>
  <si>
    <t>Rimini</t>
  </si>
  <si>
    <t>Emilia-Romagna</t>
  </si>
  <si>
    <t>Lazio</t>
  </si>
  <si>
    <t>GRUPPO SCHINA SOCIETA' AGRICOLA SELVA DI PALIANO A RESPONSABILITA' LIMITATA</t>
  </si>
  <si>
    <t>11795751004</t>
  </si>
  <si>
    <t>Roma</t>
  </si>
  <si>
    <t>AGROTECH SOCIETA' AGRICOLA A R.L.</t>
  </si>
  <si>
    <t>01208140317</t>
  </si>
  <si>
    <t>Gorizia</t>
  </si>
  <si>
    <t>Friuli-Venezia Giulia</t>
  </si>
  <si>
    <t>NATURA SOCIETA' AGRICOLA A R.L.</t>
  </si>
  <si>
    <t>12377160010</t>
  </si>
  <si>
    <t>Catania</t>
  </si>
  <si>
    <t>BARONE DE CLES - SOCIETA' AGRICOLA S.R.L.</t>
  </si>
  <si>
    <t>02289650224</t>
  </si>
  <si>
    <t>Trento</t>
  </si>
  <si>
    <t>Trentino-Alto Adige</t>
  </si>
  <si>
    <t>SOCIETA' AGRICOLA NUOVO CRISILIO S.R.L. SEMPLIFICATA</t>
  </si>
  <si>
    <t>01912960893</t>
  </si>
  <si>
    <t>012600</t>
  </si>
  <si>
    <t>Siracusa</t>
  </si>
  <si>
    <t>Sicilia</t>
  </si>
  <si>
    <t>VALLE DELL'ORETO SOCIETA' COOPERATIVA AGRICOLA</t>
  </si>
  <si>
    <t>05168310828</t>
  </si>
  <si>
    <t>016000</t>
  </si>
  <si>
    <t>Palermo</t>
  </si>
  <si>
    <t>012100</t>
  </si>
  <si>
    <t>SOCIETA' AGRICOLA RURALE S.R.L.S.</t>
  </si>
  <si>
    <t>05641580658</t>
  </si>
  <si>
    <t>012500</t>
  </si>
  <si>
    <t>Salerno</t>
  </si>
  <si>
    <t>Campania</t>
  </si>
  <si>
    <t>Lombardia</t>
  </si>
  <si>
    <t>Pavia</t>
  </si>
  <si>
    <t>SOCIETA' AGRICOLA KORBAN S.R.L.</t>
  </si>
  <si>
    <t>03174410047</t>
  </si>
  <si>
    <t>015000</t>
  </si>
  <si>
    <t>Cuneo</t>
  </si>
  <si>
    <t>Piemonte</t>
  </si>
  <si>
    <t>016300</t>
  </si>
  <si>
    <t>CINOFILA SOCIETA' AGRICOLA A RESPONSABILITA' LIMITATA</t>
  </si>
  <si>
    <t>06959260487</t>
  </si>
  <si>
    <t>011110</t>
  </si>
  <si>
    <t>Firenze</t>
  </si>
  <si>
    <t>Toscana</t>
  </si>
  <si>
    <t>TENUTA QUVESTRA SOCIETA' AGRICOLA S.R.L.</t>
  </si>
  <si>
    <t>02542850181</t>
  </si>
  <si>
    <t>CANTINA SOCIALE DEI COLLI PESARESI SOCIETA' COOPERATIVA AGRICOLA O IN SIGLA LA MORCIOLA S.C.A.</t>
  </si>
  <si>
    <t>00191230416</t>
  </si>
  <si>
    <t>Pesaro Urbino</t>
  </si>
  <si>
    <t>Marche</t>
  </si>
  <si>
    <t>Campania</t>
  </si>
  <si>
    <t>012100</t>
  </si>
  <si>
    <t>Sicilia</t>
  </si>
  <si>
    <t>Puglia</t>
  </si>
  <si>
    <t>011140</t>
  </si>
  <si>
    <t>BEPPE MONTANA LIBERA TERRA - SOCIETA' COOPERATIVA SOCIALE A RESPONSABILITA' LIMITATA</t>
  </si>
  <si>
    <t>01693150896</t>
  </si>
  <si>
    <t>011110</t>
  </si>
  <si>
    <t>Siracusa</t>
  </si>
  <si>
    <t>011300</t>
  </si>
  <si>
    <t>Toscana</t>
  </si>
  <si>
    <t>BORGODANGELO SOCIETA' AGRICOLA S.R.L.</t>
  </si>
  <si>
    <t>02356460648</t>
  </si>
  <si>
    <t>Avellino</t>
  </si>
  <si>
    <t>PASSOPISCIARO S.R.L. - SOCIETA' AGRICOLA</t>
  </si>
  <si>
    <t>02052880420</t>
  </si>
  <si>
    <t>012000</t>
  </si>
  <si>
    <t>Siena</t>
  </si>
  <si>
    <t>AZIENDA AGRICOLA CORLETO S.R.L.</t>
  </si>
  <si>
    <t>01684090713</t>
  </si>
  <si>
    <t>Foggia</t>
  </si>
  <si>
    <t>GUADALUPE AZIENDA AGRICOLA SRL</t>
  </si>
  <si>
    <t>00626390538</t>
  </si>
  <si>
    <t>Grosseto</t>
  </si>
  <si>
    <t>SOCIETA' AGRICOLA CHIASALP SRL</t>
  </si>
  <si>
    <t>00990330300</t>
  </si>
  <si>
    <t>Udine</t>
  </si>
  <si>
    <t>Friuli-Venezia Giulia</t>
  </si>
  <si>
    <t>AZIENDA AGRICOLA EREDI DI GIOVANNI SALERNO - SOCIETA' AGRICOLA A RESPONSABILITA' LIMITATA</t>
  </si>
  <si>
    <t>03074430798</t>
  </si>
  <si>
    <t>Crotone</t>
  </si>
  <si>
    <t>Calabria</t>
  </si>
  <si>
    <t>FRANTOIO DEL PARCO - SOCIETA' COOPERATIVA AGRICOLA</t>
  </si>
  <si>
    <t>06563740486</t>
  </si>
  <si>
    <t>012600</t>
  </si>
  <si>
    <t>SOCIETA' AGRICOLA F.A.R.M. S.R.L.</t>
  </si>
  <si>
    <t>05435190870</t>
  </si>
  <si>
    <t>012900</t>
  </si>
  <si>
    <t>Catania</t>
  </si>
  <si>
    <t>AZIENDA AGRICOLA DI FIETRI SOCIETA' AGRICOLA A RESPONSABILITA' LI MITATA</t>
  </si>
  <si>
    <t>00861381002</t>
  </si>
  <si>
    <t>012100</t>
  </si>
  <si>
    <t>Roma</t>
  </si>
  <si>
    <t>Lazio</t>
  </si>
  <si>
    <t>011310</t>
  </si>
  <si>
    <t>Puglia</t>
  </si>
  <si>
    <t>IL PINO GRANDE SOCIETA' COOPERATIVA AGRICOLA</t>
  </si>
  <si>
    <t>05812560729</t>
  </si>
  <si>
    <t>012600</t>
  </si>
  <si>
    <t>Bari</t>
  </si>
  <si>
    <t>AGRICOLA MEVANTE - SOCIETA' AGRICOLA A RESPONSABILITA' LIMITATA</t>
  </si>
  <si>
    <t>13910481004</t>
  </si>
  <si>
    <t>Lombardia</t>
  </si>
  <si>
    <t>COOP. AGRICOLA TRE COLLI - SOCIETA' COOPERATIVA</t>
  </si>
  <si>
    <t>13287761004</t>
  </si>
  <si>
    <t>Veneto</t>
  </si>
  <si>
    <t>Milano</t>
  </si>
  <si>
    <t>Toscana</t>
  </si>
  <si>
    <t>SOCIETA' AGRICOLA COLLE REGINA S.R.L.</t>
  </si>
  <si>
    <t>04795640269</t>
  </si>
  <si>
    <t>Treviso</t>
  </si>
  <si>
    <t>PIGMALIONE - SOCIETA' COOPERATIVA AGRICOLA</t>
  </si>
  <si>
    <t>04895140756</t>
  </si>
  <si>
    <t>012500</t>
  </si>
  <si>
    <t>Lecce</t>
  </si>
  <si>
    <t>SOCIETA' AGRICOLA SAN BRUNO S.R.L.</t>
  </si>
  <si>
    <t>08004120153</t>
  </si>
  <si>
    <t>011000</t>
  </si>
  <si>
    <t>SOCIETA' AGRICOLA LA PIANA CAPRAIA SOCIETA' A RESPONSABILITA' LIMIITATA SEMPLIFICATA</t>
  </si>
  <si>
    <t>01824840498</t>
  </si>
  <si>
    <t>Livorno</t>
  </si>
  <si>
    <t>012100</t>
  </si>
  <si>
    <t>MACCHIACUPA SOCIETA' AGRICOLA A RESPONSABILITA' LIMITATA</t>
  </si>
  <si>
    <t>01625950629</t>
  </si>
  <si>
    <t>011140</t>
  </si>
  <si>
    <t>Benevento</t>
  </si>
  <si>
    <t>Campania</t>
  </si>
  <si>
    <t>SOCIETA' AGRICOLA SERRETTE S.R.L.</t>
  </si>
  <si>
    <t>01544390097</t>
  </si>
  <si>
    <t>011310</t>
  </si>
  <si>
    <t>Savona</t>
  </si>
  <si>
    <t>Liguria</t>
  </si>
  <si>
    <t>CANENERO S.R.L. SOCIETA' AGRICOLA</t>
  </si>
  <si>
    <t>02260970518</t>
  </si>
  <si>
    <t>Arezzo</t>
  </si>
  <si>
    <t>Toscana</t>
  </si>
  <si>
    <t>OLEIFICIO SANTA BARBARA - SOCIETA' COOPERATIVA AGRICOLA COLTIVATO I DIRETTI DI SCANDRIGLIA</t>
  </si>
  <si>
    <t>00636130577</t>
  </si>
  <si>
    <t>012600</t>
  </si>
  <si>
    <t>Rieti</t>
  </si>
  <si>
    <t>Lazio</t>
  </si>
  <si>
    <t>SOCIETA' AGRICOLA TENUTA BARONI CAMPANINO S.R.L.</t>
  </si>
  <si>
    <t>02991150547</t>
  </si>
  <si>
    <t>Perugia</t>
  </si>
  <si>
    <t>Umbria</t>
  </si>
  <si>
    <t>AZIENDA AGRICOLA BARBIALLA S.R.L. SOCIETA' AGRICOLA</t>
  </si>
  <si>
    <t>04905120483</t>
  </si>
  <si>
    <t>011000</t>
  </si>
  <si>
    <t>Firenze</t>
  </si>
  <si>
    <t>011140</t>
  </si>
  <si>
    <t>Lazio</t>
  </si>
  <si>
    <t>SOCIETA' COOPERATIVA RURALE CASOLESE SOCIETA' AGRICOLA</t>
  </si>
  <si>
    <t>00135090520</t>
  </si>
  <si>
    <t>011110</t>
  </si>
  <si>
    <t>Siena</t>
  </si>
  <si>
    <t>Toscana</t>
  </si>
  <si>
    <t>TENUTA MARCANTONIO SOCIETA' AGRICOLA A RESPONSABILITA' LIMITATA</t>
  </si>
  <si>
    <t>01706290622</t>
  </si>
  <si>
    <t>Benevento</t>
  </si>
  <si>
    <t>Campania</t>
  </si>
  <si>
    <t>Sardegna</t>
  </si>
  <si>
    <t>AZIENDA AGRICOLA FRATELLI TULLIO CATALDO S.R.L.</t>
  </si>
  <si>
    <t>03693720710</t>
  </si>
  <si>
    <t>012100</t>
  </si>
  <si>
    <t>Foggia</t>
  </si>
  <si>
    <t>Puglia</t>
  </si>
  <si>
    <t>PODERE 676 SOCIETA' A RESPONSABILITA' LIMITATA SEMPLIFICATA - SOCIETA' AGRICOLA</t>
  </si>
  <si>
    <t>15707081004</t>
  </si>
  <si>
    <t>Roma</t>
  </si>
  <si>
    <t>011310</t>
  </si>
  <si>
    <t>TOPINAMBUR SOCIETA' COOPERATIVA AGRICOLA SOCIALE</t>
  </si>
  <si>
    <t>04417080266</t>
  </si>
  <si>
    <t>Treviso</t>
  </si>
  <si>
    <t>Veneto</t>
  </si>
  <si>
    <t>FRADILES SRL AGRICOLA</t>
  </si>
  <si>
    <t>01204920910</t>
  </si>
  <si>
    <t>Nuoro</t>
  </si>
  <si>
    <t>PIAPIO SOCIETA' AGRICOLA A R.L. UNIPERSONALE</t>
  </si>
  <si>
    <t>06644340488</t>
  </si>
  <si>
    <t>012600</t>
  </si>
  <si>
    <t>SOCIETA' AGRICOLA PONTERIO S.R.L.</t>
  </si>
  <si>
    <t>03426430793</t>
  </si>
  <si>
    <t>Catanzaro</t>
  </si>
  <si>
    <t>Calabria</t>
  </si>
  <si>
    <t>ANTONUCCI GARDEN S.R.L. SOCIETA' AGRICOLA</t>
  </si>
  <si>
    <t>04152440618</t>
  </si>
  <si>
    <t>013000</t>
  </si>
  <si>
    <t>Caserta</t>
  </si>
  <si>
    <t>SOCIETA' AGRICOLA DELLA COLOMBA S.R.L.</t>
  </si>
  <si>
    <t>02567140740</t>
  </si>
  <si>
    <t>Brindisi</t>
  </si>
  <si>
    <t>012600</t>
  </si>
  <si>
    <t>Sicilia</t>
  </si>
  <si>
    <t>012500</t>
  </si>
  <si>
    <t>Lazio</t>
  </si>
  <si>
    <t>011110</t>
  </si>
  <si>
    <t>012100</t>
  </si>
  <si>
    <t>Veneto</t>
  </si>
  <si>
    <t>SOCIETA' AGRICOLA LA MARINA VALCOMINO S.R.L.</t>
  </si>
  <si>
    <t>02712730601</t>
  </si>
  <si>
    <t>Frosinone</t>
  </si>
  <si>
    <t>SOCIETA' AGRICOLA TENUTE MEREU S.R.L.</t>
  </si>
  <si>
    <t>02807720905</t>
  </si>
  <si>
    <t>Sassari</t>
  </si>
  <si>
    <t>Sardegna</t>
  </si>
  <si>
    <t>PIMPICKS S.R.L.</t>
  </si>
  <si>
    <t>02339260180</t>
  </si>
  <si>
    <t>014300</t>
  </si>
  <si>
    <t>Pavia</t>
  </si>
  <si>
    <t>Lombardia</t>
  </si>
  <si>
    <t>016100</t>
  </si>
  <si>
    <t>SOCIETA' AGRICOLA VENATORE SOCIETA' A RESPONSABILITA' LIMITATA</t>
  </si>
  <si>
    <t>00870171006</t>
  </si>
  <si>
    <t>Roma</t>
  </si>
  <si>
    <t>SOCIETA' AGRICOLA LA FABBRICA IN SABINA SOCIETA' A RESPONSABILITA' LIMITATA SEMPLIFICATA</t>
  </si>
  <si>
    <t>14866911002</t>
  </si>
  <si>
    <t>011310</t>
  </si>
  <si>
    <t>Catania</t>
  </si>
  <si>
    <t>Verona</t>
  </si>
  <si>
    <t>M.P. LAVORAZIONI AGRICOLE SOCIETA' A RESPONSABILITA' LIMITATA SEMPLIFICATA</t>
  </si>
  <si>
    <t>04499210237</t>
  </si>
  <si>
    <t>MAGNA GRAECIA SOCIETA' AGRICOLA A R.L.</t>
  </si>
  <si>
    <t>02905950784</t>
  </si>
  <si>
    <t>Cosenza</t>
  </si>
  <si>
    <t>Calabria</t>
  </si>
  <si>
    <t>TERRE ALTRE - SOCIETA' COOPERATIVA SOCIALE AGRICOLA</t>
  </si>
  <si>
    <t>02288290220</t>
  </si>
  <si>
    <t>Trento</t>
  </si>
  <si>
    <t>Trentino-Alto Adige</t>
  </si>
  <si>
    <t>SOCIETA' AGRICOLA ARDEATINA A RESPONSABILITA' LIMITATA</t>
  </si>
  <si>
    <t>10700421000</t>
  </si>
  <si>
    <t>AGRICOLA BRONTESE S.R.L. SOCIETA' AGRICOLA</t>
  </si>
  <si>
    <t>05666230874</t>
  </si>
  <si>
    <t>011300</t>
  </si>
  <si>
    <t>Sicilia</t>
  </si>
  <si>
    <t>SOCIETA' AGRICOLA LE PALME S.R.L.</t>
  </si>
  <si>
    <t>04075600231</t>
  </si>
  <si>
    <t>011310</t>
  </si>
  <si>
    <t>Verona</t>
  </si>
  <si>
    <t>Veneto</t>
  </si>
  <si>
    <t>TENUTA DI ARIIS SOCIETA' AGRICOLA A R.L.</t>
  </si>
  <si>
    <t>00989430301</t>
  </si>
  <si>
    <t>011000</t>
  </si>
  <si>
    <t>Udine</t>
  </si>
  <si>
    <t>Friuli-Venezia Giulia</t>
  </si>
  <si>
    <t>Toscana</t>
  </si>
  <si>
    <t>EDILEAGRARIA - SOCIETA' AGRICOLA A RESPONSABILITA' LIMITATA</t>
  </si>
  <si>
    <t>00124830514</t>
  </si>
  <si>
    <t>012600</t>
  </si>
  <si>
    <t>Arezzo</t>
  </si>
  <si>
    <t>Caserta</t>
  </si>
  <si>
    <t>Campania</t>
  </si>
  <si>
    <t>011110</t>
  </si>
  <si>
    <t>A CASA DI MIRRA SOCIETA' AGRICOLA S.R.L.</t>
  </si>
  <si>
    <t>04306280167</t>
  </si>
  <si>
    <t>014990</t>
  </si>
  <si>
    <t>Bergamo</t>
  </si>
  <si>
    <t>Lombardia</t>
  </si>
  <si>
    <t>Vicenza</t>
  </si>
  <si>
    <t>LA MULATTIERA SOCIETA' AGRICOLA COOPERATIVA FORESTALE</t>
  </si>
  <si>
    <t>02359550460</t>
  </si>
  <si>
    <t>Lucca</t>
  </si>
  <si>
    <t>IL GIARDINO DI ALISIA SOCIETA' AGRICOLA S.R.L.S.</t>
  </si>
  <si>
    <t>03992140610</t>
  </si>
  <si>
    <t>011321</t>
  </si>
  <si>
    <t>SOCIETA' AGRICOLA GIORGI S.R.L.</t>
  </si>
  <si>
    <t>01629710490</t>
  </si>
  <si>
    <t>Livorno</t>
  </si>
  <si>
    <t>AGRICOLA VILLA LUPARA SRL SOCIETA' AGRICOLA</t>
  </si>
  <si>
    <t>04046110658</t>
  </si>
  <si>
    <t>Salerno</t>
  </si>
  <si>
    <t>SOCIETA' AGRICOLA GLI AROMI SICILY S.R.L.S.</t>
  </si>
  <si>
    <t>01595100882</t>
  </si>
  <si>
    <t>012800</t>
  </si>
  <si>
    <t>Ragusa</t>
  </si>
  <si>
    <t>TESEI &amp; TESEI PRATO PIANTE SRL SOCIETA' AGRICOLA</t>
  </si>
  <si>
    <t>02549750590</t>
  </si>
  <si>
    <t>013000</t>
  </si>
  <si>
    <t>Latina</t>
  </si>
  <si>
    <t>Lazio</t>
  </si>
  <si>
    <t>CAPITELLO S.R.L. SOCIETA' AGRICOLA</t>
  </si>
  <si>
    <t>03433480245</t>
  </si>
  <si>
    <t>Piemonte</t>
  </si>
  <si>
    <t>012100</t>
  </si>
  <si>
    <t>016100</t>
  </si>
  <si>
    <t>Sicilia</t>
  </si>
  <si>
    <t>015000</t>
  </si>
  <si>
    <t>Roma</t>
  </si>
  <si>
    <t>Lazio</t>
  </si>
  <si>
    <t>SOCIETA' AGRICOLA AL.PA. - SOCIETA' A RESPONSABILITA' LIMITATA</t>
  </si>
  <si>
    <t>02111991002</t>
  </si>
  <si>
    <t>011110</t>
  </si>
  <si>
    <t>AZIENDA AGRICOLA ICOLLIROSSI SOCIETA' AGRICOLA A RESPONSABILITA' LIMITATA IN BREVE ICOLLIROSSI S.A.R.L.</t>
  </si>
  <si>
    <t>03742490133</t>
  </si>
  <si>
    <t>Cuneo</t>
  </si>
  <si>
    <t>ROSSA SERA SOCIETA' COOPERATIVA SOCIALE</t>
  </si>
  <si>
    <t>02544120815</t>
  </si>
  <si>
    <t>011310</t>
  </si>
  <si>
    <t>Trapani</t>
  </si>
  <si>
    <t>I GUSTI DELL'ETNA - SOCIETA' COOPERATIVA AGRICOLA</t>
  </si>
  <si>
    <t>04848570877</t>
  </si>
  <si>
    <t>012300</t>
  </si>
  <si>
    <t>Catania</t>
  </si>
  <si>
    <t>COOPERATIVA BIODIGESTORE PREDAZZO - SOCIETA' COOPERATIVA AGRICOLA</t>
  </si>
  <si>
    <t>02395910223</t>
  </si>
  <si>
    <t>Trento</t>
  </si>
  <si>
    <t>Trentino-Alto Adige</t>
  </si>
  <si>
    <t>Lucca</t>
  </si>
  <si>
    <t>Toscana</t>
  </si>
  <si>
    <t>SOCIETA' AGRICOLA RIBUSIERI SRL</t>
  </si>
  <si>
    <t>01264780535</t>
  </si>
  <si>
    <t>Grosseto</t>
  </si>
  <si>
    <t>SOCIETA' AGRICOLA PODERE PASSIATORE SOCIETA' A RESPONSABILITA' LIMITATA IN FORMA ABBREVIATA SOCIETA' AGRICOLA PODERE PASSIATORE S.R.L.</t>
  </si>
  <si>
    <t>02594570463</t>
  </si>
  <si>
    <t>Lombardia</t>
  </si>
  <si>
    <t>FONTECALDA S.R.L. SOCIETA' AGRICOLA</t>
  </si>
  <si>
    <t>01473620522</t>
  </si>
  <si>
    <t>012100</t>
  </si>
  <si>
    <t>Siena</t>
  </si>
  <si>
    <t>Toscana</t>
  </si>
  <si>
    <t>ATHA RUJA PODERI S.R.L. - SOCIETA' AGRICOLA</t>
  </si>
  <si>
    <t>01457900916</t>
  </si>
  <si>
    <t>Nuoro</t>
  </si>
  <si>
    <t>Sardegna</t>
  </si>
  <si>
    <t>Pavia</t>
  </si>
  <si>
    <t>SOCIETA' AGRICOLA LA COSTAIOLA S.R.L.</t>
  </si>
  <si>
    <t>02452110188</t>
  </si>
  <si>
    <t>Campania</t>
  </si>
  <si>
    <t>CANTINA SOCIALE VINI DEI COLLI SABINI VI.CO.SA. SOCIETA' COOPERAT IVA AGRICOLA</t>
  </si>
  <si>
    <t>00044800571</t>
  </si>
  <si>
    <t>Rieti</t>
  </si>
  <si>
    <t>Lazio</t>
  </si>
  <si>
    <t>TECNOAGRICOLA SOCIETA' AGRICOLA A RESPONSABILITA' LIMITATA</t>
  </si>
  <si>
    <t>01763800636</t>
  </si>
  <si>
    <t>Benevento</t>
  </si>
  <si>
    <t>GIARDINI DEL MONFERRATO S.R.L.</t>
  </si>
  <si>
    <t>01992130060</t>
  </si>
  <si>
    <t>010000</t>
  </si>
  <si>
    <t>Alessandria</t>
  </si>
  <si>
    <t>Piemonte</t>
  </si>
  <si>
    <t>CONTADI GASPAROTTI SOCIETA' AGRICOLA A RESPONSABILITA' LIMITATA</t>
  </si>
  <si>
    <t>00983000142</t>
  </si>
  <si>
    <t>Sondrio</t>
  </si>
  <si>
    <t>NATURA BUONA SOCIETA' AGRICOLA A R.L.</t>
  </si>
  <si>
    <t>09852491217</t>
  </si>
  <si>
    <t>011929</t>
  </si>
  <si>
    <t>Napoli</t>
  </si>
  <si>
    <t>Campania</t>
  </si>
  <si>
    <t>NUGARETO SOCIETA' AGRICOLA VINICOLA - S.R.L.</t>
  </si>
  <si>
    <t>03152841205</t>
  </si>
  <si>
    <t>012100</t>
  </si>
  <si>
    <t>Bologna</t>
  </si>
  <si>
    <t>Emilia-Romagna</t>
  </si>
  <si>
    <t>Sicilia</t>
  </si>
  <si>
    <t>LUNA BUONA S.R.L. SOCIETA' AGRICOLA</t>
  </si>
  <si>
    <t>03611661202</t>
  </si>
  <si>
    <t>011110</t>
  </si>
  <si>
    <t>COOPERATIVA AGRICOLA ROSSONUBIA</t>
  </si>
  <si>
    <t>02369250812</t>
  </si>
  <si>
    <t>011310</t>
  </si>
  <si>
    <t>Trapani</t>
  </si>
  <si>
    <t>Toscana</t>
  </si>
  <si>
    <t>PROEMIO SOCIETA' AGRICOLA A RESPONSABILITA' LIMITATA</t>
  </si>
  <si>
    <t>01996020671</t>
  </si>
  <si>
    <t>012600</t>
  </si>
  <si>
    <t>Teramo</t>
  </si>
  <si>
    <t>Abruzzo</t>
  </si>
  <si>
    <t>ARCELLA - SOCIETA' COOPERATIVA</t>
  </si>
  <si>
    <t>03629000658</t>
  </si>
  <si>
    <t>013000</t>
  </si>
  <si>
    <t>Salerno</t>
  </si>
  <si>
    <t>SOCIETA' AGRICOLA I VICINI S.R.L.</t>
  </si>
  <si>
    <t>01733360513</t>
  </si>
  <si>
    <t>Arezzo</t>
  </si>
  <si>
    <t>SOCIETA' COOPERATIVA AGRICOLA FRAGIACOMO</t>
  </si>
  <si>
    <t>01337130320</t>
  </si>
  <si>
    <t>Trieste</t>
  </si>
  <si>
    <t>Friuli-Venezia Giulia</t>
  </si>
  <si>
    <t>011990</t>
  </si>
  <si>
    <t>Campania</t>
  </si>
  <si>
    <t>DA AMICI VIVIAMO INSIEME DIVIDENDO ESPERIENZE SOC. COOP. SOCIALE IN BREVE DAVIDE SOC. COOP. SOCIALE</t>
  </si>
  <si>
    <t>02170610303</t>
  </si>
  <si>
    <t>011300</t>
  </si>
  <si>
    <t>Udine</t>
  </si>
  <si>
    <t>Friuli-Venezia Giulia</t>
  </si>
  <si>
    <t>PODERE IL POGGIOLO S.R.L. SOCIETA' AGRICOLA</t>
  </si>
  <si>
    <t>01979660519</t>
  </si>
  <si>
    <t>Arezzo</t>
  </si>
  <si>
    <t>Toscana</t>
  </si>
  <si>
    <t>012100</t>
  </si>
  <si>
    <t>Napoli</t>
  </si>
  <si>
    <t>Sicilia</t>
  </si>
  <si>
    <t>011310</t>
  </si>
  <si>
    <t>LAGOVUVERI SOCIETA' AGRICOLA R.L.</t>
  </si>
  <si>
    <t>01264120880</t>
  </si>
  <si>
    <t>Ragusa</t>
  </si>
  <si>
    <t>012600</t>
  </si>
  <si>
    <t>IL CENGIO SOCIETA' COOPERATIVA SOCIALE</t>
  </si>
  <si>
    <t>03343480244</t>
  </si>
  <si>
    <t>012000</t>
  </si>
  <si>
    <t>Vicenza</t>
  </si>
  <si>
    <t>Veneto</t>
  </si>
  <si>
    <t>SOCIETA' AGRICOLA CARPINO S.R.L.</t>
  </si>
  <si>
    <t>03440470981</t>
  </si>
  <si>
    <t>Brescia</t>
  </si>
  <si>
    <t>Lombardia</t>
  </si>
  <si>
    <t>COLTIVARE FRATERNITA' SOCIETA' COOPERATIVA AGRICOLA E SOCIALE</t>
  </si>
  <si>
    <t>04287180402</t>
  </si>
  <si>
    <t>Rimini</t>
  </si>
  <si>
    <t>Emilia-Romagna</t>
  </si>
  <si>
    <t>Bari</t>
  </si>
  <si>
    <t>Puglia</t>
  </si>
  <si>
    <t>011140</t>
  </si>
  <si>
    <t>AZIENDA AGRICOLA BIOLOGICA G &amp; G SOCIETA' AGRICOLA A RESPONSABILI TA' LIMITATA</t>
  </si>
  <si>
    <t>02903641211</t>
  </si>
  <si>
    <t>015000</t>
  </si>
  <si>
    <t>SOCIETA' AGRICOLA IAZZO SCAGNO SOCIETA' A RESPONSABILITA' LIMITATA IMPRESA SOCIALE</t>
  </si>
  <si>
    <t>08531700725</t>
  </si>
  <si>
    <t>SOCIETA' AGRICOLA VALLE CA' DEL LOVO S.R.L.</t>
  </si>
  <si>
    <t>02876380300</t>
  </si>
  <si>
    <t>COOPERATIVA LE VALLI SOCIETA' COOPERATIVA A RESPONSABILITA' LIMIT ATA</t>
  </si>
  <si>
    <t>01836840247</t>
  </si>
  <si>
    <t>015000</t>
  </si>
  <si>
    <t>Vicenza</t>
  </si>
  <si>
    <t>Veneto</t>
  </si>
  <si>
    <t>AGRI-FOREST - SOCIETA' A RESPONSABILITA' LIMITATA SEMPLIFICATA</t>
  </si>
  <si>
    <t>03268950783</t>
  </si>
  <si>
    <t>016300</t>
  </si>
  <si>
    <t>Cosenza</t>
  </si>
  <si>
    <t>Calabria</t>
  </si>
  <si>
    <t>Friuli-Venezia Giulia</t>
  </si>
  <si>
    <t>SOCIETA' AGRICOLA TOTO S.R.L.</t>
  </si>
  <si>
    <t>07448280722</t>
  </si>
  <si>
    <t>012600</t>
  </si>
  <si>
    <t>Bari</t>
  </si>
  <si>
    <t>Puglia</t>
  </si>
  <si>
    <t>SOCIETA' AGRICOLA I SEGRETI DEL BORGO A R.L.</t>
  </si>
  <si>
    <t>09877511007</t>
  </si>
  <si>
    <t>Terni</t>
  </si>
  <si>
    <t>Umbria</t>
  </si>
  <si>
    <t>Sicilia</t>
  </si>
  <si>
    <t>I CASTELLI - SOCIETA' COOPERATIVA AGRICOLA</t>
  </si>
  <si>
    <t>01058480110</t>
  </si>
  <si>
    <t>012100</t>
  </si>
  <si>
    <t>La Spezia</t>
  </si>
  <si>
    <t>Liguria</t>
  </si>
  <si>
    <t>Emilia-Romagna</t>
  </si>
  <si>
    <t>SOCIETA' AGRICOLA FUORI BOLLA S.R.L.</t>
  </si>
  <si>
    <t>05603620872</t>
  </si>
  <si>
    <t>Catania</t>
  </si>
  <si>
    <t>SOCIETA' AGRICOLA PERNIGO S.R.L.</t>
  </si>
  <si>
    <t>03854330234</t>
  </si>
  <si>
    <t>Verona</t>
  </si>
  <si>
    <t>SOCIETA' AGRICOLA HELIANTHUS S.R.L.</t>
  </si>
  <si>
    <t>01232760320</t>
  </si>
  <si>
    <t>013000</t>
  </si>
  <si>
    <t>Trieste</t>
  </si>
  <si>
    <t>DULCAMARA SOCIETA' COOPERATIVA A RESPONSABILITA' LIMITATA IN SIGLA DULCAMARA</t>
  </si>
  <si>
    <t>01576121204</t>
  </si>
  <si>
    <t>010000</t>
  </si>
  <si>
    <t>Bologna</t>
  </si>
  <si>
    <t>Brescia</t>
  </si>
  <si>
    <t>Lombardia</t>
  </si>
  <si>
    <t>011300</t>
  </si>
  <si>
    <t>AZIENDA AGRICOLA ANTEZZATE S.R.L.</t>
  </si>
  <si>
    <t>01008320176</t>
  </si>
  <si>
    <t>014900</t>
  </si>
  <si>
    <t>012100</t>
  </si>
  <si>
    <t>Puglia</t>
  </si>
  <si>
    <t>Toscana</t>
  </si>
  <si>
    <t>SOCIETA' AGRICOLA MASSERIA PALESI S.R.L.</t>
  </si>
  <si>
    <t>02258740741</t>
  </si>
  <si>
    <t>015000</t>
  </si>
  <si>
    <t>Taranto</t>
  </si>
  <si>
    <t>IL GIARDINO MEDITERRANEO SOCIETA' AGRICOLA A R.L.</t>
  </si>
  <si>
    <t>03865921211</t>
  </si>
  <si>
    <t>Napoli</t>
  </si>
  <si>
    <t>Campania</t>
  </si>
  <si>
    <t>SOCIETA' AGRICOLA FATTORIA DI FIANO S.R.L.</t>
  </si>
  <si>
    <t>06380920485</t>
  </si>
  <si>
    <t>Firenze</t>
  </si>
  <si>
    <t>V.P.M. SRL</t>
  </si>
  <si>
    <t>00888390622</t>
  </si>
  <si>
    <t>Benevento</t>
  </si>
  <si>
    <t>016100</t>
  </si>
  <si>
    <t>Veneto</t>
  </si>
  <si>
    <t>ONGARESCA SOCIETA' AGRICOLA S.R.L.</t>
  </si>
  <si>
    <t>02700730241</t>
  </si>
  <si>
    <t>Vicenza</t>
  </si>
  <si>
    <t>PRINCIPIO ATTIVO SOCIETA' COOPERATIVA</t>
  </si>
  <si>
    <t>00610290454</t>
  </si>
  <si>
    <t>016300</t>
  </si>
  <si>
    <t>Massa-Carrara</t>
  </si>
  <si>
    <t>L'OVILE DI CIRENE SOCIETA' COOPERATIVA AGRICOLA</t>
  </si>
  <si>
    <t>03864890797</t>
  </si>
  <si>
    <t>014500</t>
  </si>
  <si>
    <t>Catanzaro</t>
  </si>
  <si>
    <t>Calabria</t>
  </si>
  <si>
    <t>CARDONE S.R.L.</t>
  </si>
  <si>
    <t>07873200633</t>
  </si>
  <si>
    <t>SOCIETA' AGRICOLA DOL GAL SRLS</t>
  </si>
  <si>
    <t>04263550164</t>
  </si>
  <si>
    <t>015000</t>
  </si>
  <si>
    <t>Bergamo</t>
  </si>
  <si>
    <t>Lombardia</t>
  </si>
  <si>
    <t>011110</t>
  </si>
  <si>
    <t>SOCIETA' AGRICOLA TENUTA MIRANDA S.R.L.</t>
  </si>
  <si>
    <t>08393511210</t>
  </si>
  <si>
    <t>012600</t>
  </si>
  <si>
    <t>Napoli</t>
  </si>
  <si>
    <t>Campania</t>
  </si>
  <si>
    <t>Puglia</t>
  </si>
  <si>
    <t>Lazio</t>
  </si>
  <si>
    <t>Sicilia</t>
  </si>
  <si>
    <t>Marche</t>
  </si>
  <si>
    <t>CORREO SOCIETA' AGRICOLA S.R.L. SEMPLIFICATA</t>
  </si>
  <si>
    <t>02505080743</t>
  </si>
  <si>
    <t>014100</t>
  </si>
  <si>
    <t>Brindisi</t>
  </si>
  <si>
    <t>SOCIETA' AGRICOLA BIO DI NUCCELLI BARBARA E SERENA S.R.L.</t>
  </si>
  <si>
    <t>01916370438</t>
  </si>
  <si>
    <t>011140</t>
  </si>
  <si>
    <t>Macerata</t>
  </si>
  <si>
    <t>LE CERQUETA SOCIETA' AGRICOLA A R.L.</t>
  </si>
  <si>
    <t>01199490572</t>
  </si>
  <si>
    <t>Rieti</t>
  </si>
  <si>
    <t>COOPERATIVA SOCIALE KOINE' IMPRESA SOCIALE</t>
  </si>
  <si>
    <t>03193710617</t>
  </si>
  <si>
    <t>Caserta</t>
  </si>
  <si>
    <t>FEUDO SAN MARTINO S.R.L. SOCIETA' AGRICOLA</t>
  </si>
  <si>
    <t>01379170853</t>
  </si>
  <si>
    <t>Caltanissetta</t>
  </si>
  <si>
    <t>Toscana</t>
  </si>
  <si>
    <t>LE PIETRE SOCIETA AGRICOLA A RESPONSABILITA LIMITATA</t>
  </si>
  <si>
    <t>01902800497</t>
  </si>
  <si>
    <t>Livorno</t>
  </si>
  <si>
    <t>ISALLE ORRULE SOCIETA' COOPERATIVA AGRICOLA</t>
  </si>
  <si>
    <t>00208000919</t>
  </si>
  <si>
    <t>015000</t>
  </si>
  <si>
    <t>Nuoro</t>
  </si>
  <si>
    <t>Sardegna</t>
  </si>
  <si>
    <t>AZIENDA AGRICOLA RISAIA DEL DUCA SOCIETA' AGRICOLA A R.L. SOCIETA' BENEFIT</t>
  </si>
  <si>
    <t>03787520364</t>
  </si>
  <si>
    <t>011990</t>
  </si>
  <si>
    <t>Modena</t>
  </si>
  <si>
    <t>Emilia-Romagna</t>
  </si>
  <si>
    <t>012100</t>
  </si>
  <si>
    <t>Toscana</t>
  </si>
  <si>
    <t>PREMIER WINE SOCIETA' AGRICOLA A RESPONSABILITA' LIMITATA</t>
  </si>
  <si>
    <t>01549180527</t>
  </si>
  <si>
    <t>Siena</t>
  </si>
  <si>
    <t>Campania</t>
  </si>
  <si>
    <t>011000</t>
  </si>
  <si>
    <t>SOCIETA' AGRICOLA LE FORNACELLE A R.L.</t>
  </si>
  <si>
    <t>06761011219</t>
  </si>
  <si>
    <t>Napoli</t>
  </si>
  <si>
    <t>AGRICOLA FRASCHIERA S.R.L.</t>
  </si>
  <si>
    <t>01605800505</t>
  </si>
  <si>
    <t>010000</t>
  </si>
  <si>
    <t>Firenze</t>
  </si>
  <si>
    <t>Sicilia</t>
  </si>
  <si>
    <t>012100</t>
  </si>
  <si>
    <t>016100</t>
  </si>
  <si>
    <t>Toscana</t>
  </si>
  <si>
    <t>Lazio</t>
  </si>
  <si>
    <t>TORREBRADO S.R.L.</t>
  </si>
  <si>
    <t>03802140545</t>
  </si>
  <si>
    <t>011110</t>
  </si>
  <si>
    <t>Perugia</t>
  </si>
  <si>
    <t>Umbria</t>
  </si>
  <si>
    <t>Puglia</t>
  </si>
  <si>
    <t>Veneto</t>
  </si>
  <si>
    <t>PANTELLERIA EROICA S.R.L.</t>
  </si>
  <si>
    <t>02808040816</t>
  </si>
  <si>
    <t>Trapani</t>
  </si>
  <si>
    <t>CONSORZIO TUTELA DENOMINAZIONI VINI FRASCATI</t>
  </si>
  <si>
    <t>00600220586</t>
  </si>
  <si>
    <t>Roma</t>
  </si>
  <si>
    <t>FATTORIA DI CASPRI SOCIETA' AGRICOLA S.R.L.</t>
  </si>
  <si>
    <t>05525760483</t>
  </si>
  <si>
    <t>012900</t>
  </si>
  <si>
    <t>Arezzo</t>
  </si>
  <si>
    <t>SOCIETA' AGRICOLA INNOVATIVA LOIUDICE S.R.L.</t>
  </si>
  <si>
    <t>08663550724</t>
  </si>
  <si>
    <t>Bari</t>
  </si>
  <si>
    <t>CANTINA PRODUTTORI FREGONA SOCIETA' COOPERATIVA AGRICOLA OVVERO CANTINA PRODUTTORI FREGONA S.C.A.</t>
  </si>
  <si>
    <t>04551300264</t>
  </si>
  <si>
    <t>Treviso</t>
  </si>
  <si>
    <t>Marche</t>
  </si>
  <si>
    <t>015000</t>
  </si>
  <si>
    <t>Sicilia</t>
  </si>
  <si>
    <t>Piemonte</t>
  </si>
  <si>
    <t>011310</t>
  </si>
  <si>
    <t>Napoli</t>
  </si>
  <si>
    <t>Campania</t>
  </si>
  <si>
    <t>Macerata</t>
  </si>
  <si>
    <t>SCALIA &amp; OLIVA AGRICOLA S.R.L.</t>
  </si>
  <si>
    <t>02371210812</t>
  </si>
  <si>
    <t>012600</t>
  </si>
  <si>
    <t>Trapani</t>
  </si>
  <si>
    <t>LA NUOVA ARCA SOCIETA' AGRICOLA IMPRESA SOCIALE A RESPONSABILITA' LIMITATA</t>
  </si>
  <si>
    <t>11815281008</t>
  </si>
  <si>
    <t>Roma</t>
  </si>
  <si>
    <t>Lazio</t>
  </si>
  <si>
    <t>FERRARA SOCIETA' AGRICOLA SOCIETA' A RESPONSABILITA' LIMITATA SEMPLIFICATA</t>
  </si>
  <si>
    <t>07988181215</t>
  </si>
  <si>
    <t>LA ROSSA DI COLFIORITO SOCIETA' COOPERATIVA AGRICOLA</t>
  </si>
  <si>
    <t>01862650437</t>
  </si>
  <si>
    <t>016300</t>
  </si>
  <si>
    <t>AGRIMA SOCIETA' AGRICOLA S.R.L.</t>
  </si>
  <si>
    <t>00584410864</t>
  </si>
  <si>
    <t>Enna</t>
  </si>
  <si>
    <t>SOCIETA' AGRICOLA CASTELLO DI ROCCAFORTE S.R.L.</t>
  </si>
  <si>
    <t>02063000067</t>
  </si>
  <si>
    <t>014500</t>
  </si>
  <si>
    <t>Alessandria</t>
  </si>
  <si>
    <t>Lombardia</t>
  </si>
  <si>
    <t>CAPRIGLIANO SOCIETA' AGRICOLA A R.L.</t>
  </si>
  <si>
    <t>02234000566</t>
  </si>
  <si>
    <t>012100</t>
  </si>
  <si>
    <t>Viterbo</t>
  </si>
  <si>
    <t>Lazio</t>
  </si>
  <si>
    <t>I DUE TRULLI - SOCIETA' COOPERATIVA DI PRODUZIONE, LAVORO E SERVI ZI A.R.L.</t>
  </si>
  <si>
    <t>05154260722</t>
  </si>
  <si>
    <t>014990</t>
  </si>
  <si>
    <t>Bari</t>
  </si>
  <si>
    <t>Puglia</t>
  </si>
  <si>
    <t>011140</t>
  </si>
  <si>
    <t>TENUTE MFR SOCIETA' AGRICOLA A RESPONSABILITA' LIMITATA</t>
  </si>
  <si>
    <t>01635350083</t>
  </si>
  <si>
    <t>012600</t>
  </si>
  <si>
    <t>Imperia</t>
  </si>
  <si>
    <t>Liguria</t>
  </si>
  <si>
    <t>SOCIETA' AGRICOLA IL FRANTOIO DI VICOPISANO S.R.L.</t>
  </si>
  <si>
    <t>01655040507</t>
  </si>
  <si>
    <t>012000</t>
  </si>
  <si>
    <t>Pisa</t>
  </si>
  <si>
    <t>Toscana</t>
  </si>
  <si>
    <t>SOCIETA' AGRICOLA COLMELLO DI GROTTA S.R.L.</t>
  </si>
  <si>
    <t>11678381002</t>
  </si>
  <si>
    <t>Gorizia</t>
  </si>
  <si>
    <t>Friuli-Venezia Giulia</t>
  </si>
  <si>
    <t>GRUPPO BISARO VIVI S.R.L. AGRICOLA</t>
  </si>
  <si>
    <t>01730870936</t>
  </si>
  <si>
    <t>Pordenone</t>
  </si>
  <si>
    <t>014000</t>
  </si>
  <si>
    <t>Firenze</t>
  </si>
  <si>
    <t>ECOBIOFILIA SOCIETA' AGRICOLA S.R.L.</t>
  </si>
  <si>
    <t>03802720130</t>
  </si>
  <si>
    <t>012800</t>
  </si>
  <si>
    <t>Como</t>
  </si>
  <si>
    <t>SOCIETA' TOSCANA AGRICOLA IMMOBILIARE SOCIETA' A RESPONSABILITA' LIMITATA IN BREVE S.T.A.I.-S.R.L.</t>
  </si>
  <si>
    <t>00626200489</t>
  </si>
  <si>
    <t>SOCIETA' AGRICOLA SANTA VITTORIA SOCIETA' A RESPONSABILITA'LIMITA TA O IN FORMA ABBREVIATA SOCIETA' AGRICOLA SANTA VITTORIA S.R.L.</t>
  </si>
  <si>
    <t>01594940536</t>
  </si>
  <si>
    <t>Grosseto</t>
  </si>
  <si>
    <t>Emilia-Romagna</t>
  </si>
  <si>
    <t>LA COLLINA DEGLI IBLEI SOCIETA' AGRICOLA SOCIETA' A RESPONSABILITA' LIMITATA</t>
  </si>
  <si>
    <t>01681900880</t>
  </si>
  <si>
    <t>011310</t>
  </si>
  <si>
    <t>Ragusa</t>
  </si>
  <si>
    <t>Sicilia</t>
  </si>
  <si>
    <t>011140</t>
  </si>
  <si>
    <t>AZIENDA AGRICOLA IL CASTAGNOLINO S.R.L. - SOCIETA' AGRICOLA</t>
  </si>
  <si>
    <t>01248570523</t>
  </si>
  <si>
    <t>012600</t>
  </si>
  <si>
    <t>Siena</t>
  </si>
  <si>
    <t>Toscana</t>
  </si>
  <si>
    <t>SOCIETA' AGRICOLA SANTA GEROSA S.R.L.</t>
  </si>
  <si>
    <t>02298010519</t>
  </si>
  <si>
    <t>012100</t>
  </si>
  <si>
    <t>Arezzo</t>
  </si>
  <si>
    <t>SOCIETA' AGRICOLA LAGERTAL S.R.L.</t>
  </si>
  <si>
    <t>02434170227</t>
  </si>
  <si>
    <t>Trento</t>
  </si>
  <si>
    <t>Trentino-Alto Adige</t>
  </si>
  <si>
    <t>Piacenza</t>
  </si>
  <si>
    <t>Alessandria</t>
  </si>
  <si>
    <t>Piemonte</t>
  </si>
  <si>
    <t>IL GELSO SRL - SOCIETA' AGRICOLA</t>
  </si>
  <si>
    <t>02671300784</t>
  </si>
  <si>
    <t>Cosenza</t>
  </si>
  <si>
    <t>Calabria</t>
  </si>
  <si>
    <t>VILLA PALLAVICINI SOCIETA' AGRICOLA S.R.L.S</t>
  </si>
  <si>
    <t>02629670064</t>
  </si>
  <si>
    <t>COOPERATIVA LA MAGNANA - SOCIETA' COOPERATIVA AGRICOLA SOCIALE ON LUS</t>
  </si>
  <si>
    <t>01442520332</t>
  </si>
  <si>
    <t>AZIENDA LUCI GIUSEPPE SOCIETA' AGRICOLA SRL</t>
  </si>
  <si>
    <t>03710750781</t>
  </si>
  <si>
    <t>012100</t>
  </si>
  <si>
    <t>Puglia</t>
  </si>
  <si>
    <t>012600</t>
  </si>
  <si>
    <t>011110</t>
  </si>
  <si>
    <t>SOCIETA' AGRICOLA LE THADEE SRL</t>
  </si>
  <si>
    <t>03618210540</t>
  </si>
  <si>
    <t>Perugia</t>
  </si>
  <si>
    <t>Umbria</t>
  </si>
  <si>
    <t>011310</t>
  </si>
  <si>
    <t>011320</t>
  </si>
  <si>
    <t>Potenza</t>
  </si>
  <si>
    <t>Basilicata</t>
  </si>
  <si>
    <t>SOCIETA' AGRICOLA PAUL - BRICIUS &amp; COMPANY SRL</t>
  </si>
  <si>
    <t>01212450884</t>
  </si>
  <si>
    <t>Ragusa</t>
  </si>
  <si>
    <t>Sicilia</t>
  </si>
  <si>
    <t>Lecce</t>
  </si>
  <si>
    <t>FATTORIA DI NONNA PATTY S.A.C.P.A. - SOCIETA' AGRICOLA COOPERATIV A PER AZIONI</t>
  </si>
  <si>
    <t>11431681003</t>
  </si>
  <si>
    <t>011300</t>
  </si>
  <si>
    <t>Roma</t>
  </si>
  <si>
    <t>Lazio</t>
  </si>
  <si>
    <t>MEDITERRANEA ORTICOLTURA SOCIETA' AGRICOLA A RESPONSABILITA' LIMITATA</t>
  </si>
  <si>
    <t>05406110873</t>
  </si>
  <si>
    <t>Catania</t>
  </si>
  <si>
    <t>Emilia-Romagna</t>
  </si>
  <si>
    <t>PROFARMS PRODUCTS SRL SOCIETA' AGRICOLA</t>
  </si>
  <si>
    <t>03116200217</t>
  </si>
  <si>
    <t>Bolzano/Bozen</t>
  </si>
  <si>
    <t>Trentino-Alto Adige</t>
  </si>
  <si>
    <t>SOCIETA' AGRICOLA GROTTAROSSA S.R.L.</t>
  </si>
  <si>
    <t>04070720406</t>
  </si>
  <si>
    <t>012500</t>
  </si>
  <si>
    <t>Rimini</t>
  </si>
  <si>
    <t>SANT'ANDREA SOCIETA' AGRICOLA A RESPONSABILITA' LIMITATA SEMPLIFICATA</t>
  </si>
  <si>
    <t>04706690759</t>
  </si>
  <si>
    <t>CONSORZIO DELLE VALLI E DELLE DOLOMITI FRIULANE</t>
  </si>
  <si>
    <t>01819730936</t>
  </si>
  <si>
    <t>014500</t>
  </si>
  <si>
    <t>Pordenone</t>
  </si>
  <si>
    <t>Friuli-Venezia Giulia</t>
  </si>
  <si>
    <t>SOCIETA' AGRICOLA COLLI CERENTINO - S.R.L.</t>
  </si>
  <si>
    <t>01561200765</t>
  </si>
  <si>
    <t>SOCIETA'AGRICOLA ROSA CANINA SRL</t>
  </si>
  <si>
    <t>01683470338</t>
  </si>
  <si>
    <t>Piacenza</t>
  </si>
  <si>
    <t>FRANTOIO DEI CINQUE COLLI SOCIETA' COOPERATIVA AGRICOLA</t>
  </si>
  <si>
    <t>00284830510</t>
  </si>
  <si>
    <t>016100</t>
  </si>
  <si>
    <t>Arezzo</t>
  </si>
  <si>
    <t>Toscana</t>
  </si>
  <si>
    <t>Siracusa</t>
  </si>
  <si>
    <t>Sicilia</t>
  </si>
  <si>
    <t>011310</t>
  </si>
  <si>
    <t>012100</t>
  </si>
  <si>
    <t>PARAGRICOLE SOCIETA' AGRICOLA A RESPONSABILITA' LIMITATA</t>
  </si>
  <si>
    <t>01366920534</t>
  </si>
  <si>
    <t>Grosseto</t>
  </si>
  <si>
    <t>KIFRA SOCIETA' AGRICOLA A R.L.</t>
  </si>
  <si>
    <t>02961260649</t>
  </si>
  <si>
    <t>Avellino</t>
  </si>
  <si>
    <t>Campania</t>
  </si>
  <si>
    <t>011110</t>
  </si>
  <si>
    <t>Emilia-Romagna</t>
  </si>
  <si>
    <t>015000</t>
  </si>
  <si>
    <t>Roma</t>
  </si>
  <si>
    <t>Lazio</t>
  </si>
  <si>
    <t>IL CASTORO DI MARTIGNANO SOCIETA' AGRICOLA A RESPONSABILITA' LIMITATA</t>
  </si>
  <si>
    <t>15727011007</t>
  </si>
  <si>
    <t>014200</t>
  </si>
  <si>
    <t>AZIENDA AGRICOLA S. ANNA SOCIETA A RESPONSABILITA LIMITATA</t>
  </si>
  <si>
    <t>01388711002</t>
  </si>
  <si>
    <t>TEAM 4X4 SRL</t>
  </si>
  <si>
    <t>01250520895</t>
  </si>
  <si>
    <t>012600</t>
  </si>
  <si>
    <t>FATTORIA FIBBIANO S.R.L. SOCIETA' AGRICOLA</t>
  </si>
  <si>
    <t>01509860506</t>
  </si>
  <si>
    <t>Pisa</t>
  </si>
  <si>
    <t>CONIGLIO DEL VENETO SOCIETA' COOPERATIVA AGRICOLA A RESPONSABILIT A' LIMITATA</t>
  </si>
  <si>
    <t>05071600281</t>
  </si>
  <si>
    <t>014910</t>
  </si>
  <si>
    <t>Padova</t>
  </si>
  <si>
    <t>Veneto</t>
  </si>
  <si>
    <t>MONTEGONFOLI SRL SOCIETA' AGRICOLA</t>
  </si>
  <si>
    <t>04316760638</t>
  </si>
  <si>
    <t>011300</t>
  </si>
  <si>
    <t>Napoli</t>
  </si>
  <si>
    <t>Abruzzo</t>
  </si>
  <si>
    <t>FATTORIA DI PALTRATICO SOCIETA' AGRICOLA S.R.L.</t>
  </si>
  <si>
    <t>07842641008</t>
  </si>
  <si>
    <t>SOCIETA' AGRICOLA TERRE DI VARANO S.R.L.</t>
  </si>
  <si>
    <t>01789010681</t>
  </si>
  <si>
    <t>Pescara</t>
  </si>
  <si>
    <t>PROMOSAGRI SOCIETA' COOPERATIVA AGRICOLA PER AZIONI IN SIGLA PROMOSAGRI SOC. COOP. AGR. P.A.</t>
  </si>
  <si>
    <t>01069570396</t>
  </si>
  <si>
    <t>016000</t>
  </si>
  <si>
    <t>Ravenna</t>
  </si>
  <si>
    <t>Sicilia</t>
  </si>
  <si>
    <t>OLEIFICIO COOPERATIVO DI PORTOCANNONE- SOCIETA' COOPERATIVA</t>
  </si>
  <si>
    <t>00068360700</t>
  </si>
  <si>
    <t>012600</t>
  </si>
  <si>
    <t>Campobasso</t>
  </si>
  <si>
    <t>Molise</t>
  </si>
  <si>
    <t>FATTORIA CAMPORIGNANO SOCIETA' AGRICOLA A RESPONSABILITA' LIMITAT A IN BREVE FATTORIA CAMPORIGNANO SOC. AGR. R.L.</t>
  </si>
  <si>
    <t>13196530151</t>
  </si>
  <si>
    <t>012100</t>
  </si>
  <si>
    <t>Siena</t>
  </si>
  <si>
    <t>Toscana</t>
  </si>
  <si>
    <t>UNDERWINE SOCIETA' AGRICOLA S.R.L.</t>
  </si>
  <si>
    <t>02444260448</t>
  </si>
  <si>
    <t>Pescara</t>
  </si>
  <si>
    <t>Abruzzo</t>
  </si>
  <si>
    <t>BAGOLARO S.R.L. SOCIETA' AGRICOLA</t>
  </si>
  <si>
    <t>04774580874</t>
  </si>
  <si>
    <t>012300</t>
  </si>
  <si>
    <t>Catania</t>
  </si>
  <si>
    <t>SOCIETA' AGRICOLA COLLE DEL GIGLIO A R.L.</t>
  </si>
  <si>
    <t>01905910442</t>
  </si>
  <si>
    <t>011140</t>
  </si>
  <si>
    <t>Ascoli Piceno</t>
  </si>
  <si>
    <t>Marche</t>
  </si>
  <si>
    <t>AGRICOLA MONTE SALINE S.R.L. - SOCIETA' AGRICOLA</t>
  </si>
  <si>
    <t>04806450237</t>
  </si>
  <si>
    <t>Verona</t>
  </si>
  <si>
    <t>Veneto</t>
  </si>
  <si>
    <t>GROWIT LAB SOCIETA' AGRICOLA A RESPONSABILITA' LIMITATA</t>
  </si>
  <si>
    <t>02686330032</t>
  </si>
  <si>
    <t>011929</t>
  </si>
  <si>
    <t>Novara</t>
  </si>
  <si>
    <t>Piemonte</t>
  </si>
  <si>
    <t>SOCIETA' AGRICOLA MONTEGUIDI - S.R.L.</t>
  </si>
  <si>
    <t>04964750154</t>
  </si>
  <si>
    <t>Milano</t>
  </si>
  <si>
    <t>Lombardia</t>
  </si>
  <si>
    <t>011110</t>
  </si>
  <si>
    <t>MUSIGNANO SOCIETA' AGRICOLA A RESPONSABILITA' LIMITATA</t>
  </si>
  <si>
    <t>06712070488</t>
  </si>
  <si>
    <t>Firenze</t>
  </si>
  <si>
    <t>STROZZI MACHIAVELLI SOCIETA' AGRICOLA A R.L.</t>
  </si>
  <si>
    <t>06770340484</t>
  </si>
  <si>
    <t>TENUTA MANELLI SOCIETA' AGRICOLA A RESPONSABILITA' LIMITATA</t>
  </si>
  <si>
    <t>02486410745</t>
  </si>
  <si>
    <t>012600</t>
  </si>
  <si>
    <t>Brindisi</t>
  </si>
  <si>
    <t>Puglia</t>
  </si>
  <si>
    <t>SOCIETA' COOPERATIVA AGRICOLA L'ALPE</t>
  </si>
  <si>
    <t>02099370666</t>
  </si>
  <si>
    <t>016300</t>
  </si>
  <si>
    <t>L'Aquila</t>
  </si>
  <si>
    <t>Abruzzo</t>
  </si>
  <si>
    <t>SOCIETA' AGRICOLA TUTTOVERDE S.R.L. IMPRESA SOCIALE</t>
  </si>
  <si>
    <t>02487690220</t>
  </si>
  <si>
    <t>011910</t>
  </si>
  <si>
    <t>Trento</t>
  </si>
  <si>
    <t>Trentino-Alto Adige</t>
  </si>
  <si>
    <t>012100</t>
  </si>
  <si>
    <t>Sicilia</t>
  </si>
  <si>
    <t>Agrigento</t>
  </si>
  <si>
    <t>COOPERATIVA INTERPROVINCIALE FRA AGRICOLTORI PER IL MIGLIORAMENTO DELLE RAZZE BOVINE CENTRO DI FECONDAZIONE ARTIFICIALE - SOCIETA' COOPERATIVA AGRICOLA - IN SIGLA CIA S.C.A.</t>
  </si>
  <si>
    <t>00169370244</t>
  </si>
  <si>
    <t>016209</t>
  </si>
  <si>
    <t>Vicenza</t>
  </si>
  <si>
    <t>Veneto</t>
  </si>
  <si>
    <t>SOCIETA' AGRICOLA APIDOL S.R.L.</t>
  </si>
  <si>
    <t>05551300659</t>
  </si>
  <si>
    <t>014930</t>
  </si>
  <si>
    <t>Salerno</t>
  </si>
  <si>
    <t>Campania</t>
  </si>
  <si>
    <t>NARDELLI OLEARIA SOCIETA' AGRICOLA SOCIETA' A RESPONSABILITA' LIM ITATA SOCIETA' BENEFIT IN SIGLIA NOSA SOCIETA' AGRICOLA S.R.L. SB</t>
  </si>
  <si>
    <t>15734241001</t>
  </si>
  <si>
    <t>Roma</t>
  </si>
  <si>
    <t>Lazio</t>
  </si>
  <si>
    <t>SOCIETA' AGRICOLA CENTRO CINOFILO DEGLI ALBURNI S.R.L.S.</t>
  </si>
  <si>
    <t>05675650658</t>
  </si>
  <si>
    <t>014990</t>
  </si>
  <si>
    <t>COOPERATIVA AGRICOLA SAN GIORGIO SOCIETA' AGRICOLA</t>
  </si>
  <si>
    <t>00186800066</t>
  </si>
  <si>
    <t>016000</t>
  </si>
  <si>
    <t>Alessandria</t>
  </si>
  <si>
    <t>Piemonte</t>
  </si>
  <si>
    <t>AGRIPER SOCIETA' AGRICOLA S.R.L.</t>
  </si>
  <si>
    <t>02570370847</t>
  </si>
  <si>
    <t>COOP. F.LLI GIANNATTASIO - SOCIETA' AGRICOLA COOPERATIVA</t>
  </si>
  <si>
    <t>03704750714</t>
  </si>
  <si>
    <t>Barletta-Andria-Trani</t>
  </si>
  <si>
    <t>CONSORZIO SANTA TERESA - SOCIETA' CONSORTILE AGRICOLA COOPERATIVA</t>
  </si>
  <si>
    <t>01917790683</t>
  </si>
  <si>
    <t>010000</t>
  </si>
  <si>
    <t>Pescara</t>
  </si>
  <si>
    <t>V.D. FRUIT S.R.L. SOCIETA' AGRICOLA</t>
  </si>
  <si>
    <t>02646690814</t>
  </si>
  <si>
    <t>011310</t>
  </si>
  <si>
    <t>Trapani</t>
  </si>
  <si>
    <t>Sicilia</t>
  </si>
  <si>
    <t>Lazio</t>
  </si>
  <si>
    <t>Emilia-Romagna</t>
  </si>
  <si>
    <t>Caserta</t>
  </si>
  <si>
    <t>Campania</t>
  </si>
  <si>
    <t>Catania</t>
  </si>
  <si>
    <t>012100</t>
  </si>
  <si>
    <t>GRILLI S.R.L.</t>
  </si>
  <si>
    <t>00181380494</t>
  </si>
  <si>
    <t>016100</t>
  </si>
  <si>
    <t>Livorno</t>
  </si>
  <si>
    <t>Toscana</t>
  </si>
  <si>
    <t>CASCINA MORINA S.R.L. SOCIETA' AGRICOLA</t>
  </si>
  <si>
    <t>01713160339</t>
  </si>
  <si>
    <t>Piacenza</t>
  </si>
  <si>
    <t>TREEFUELGARDEN SOCIETA' COOPERATIVA AGRICOLA</t>
  </si>
  <si>
    <t>05545080870</t>
  </si>
  <si>
    <t>012300</t>
  </si>
  <si>
    <t>011110</t>
  </si>
  <si>
    <t>AZIENDA AGRICOLA SESTO 21 SOCIETA' A RESPONSABILITA' LIMITATA</t>
  </si>
  <si>
    <t>13021361004</t>
  </si>
  <si>
    <t>Roma</t>
  </si>
  <si>
    <t>SOCIETA' AGRICOLA OASI FLEGREA S.R.L.</t>
  </si>
  <si>
    <t>08533121219</t>
  </si>
  <si>
    <t>011300</t>
  </si>
  <si>
    <t>Napoli</t>
  </si>
  <si>
    <t>SOCIETA' AGRICOLA MASTROIANNI SOCIETA' A RESPONSABILITA' LIMITATA SEMPLIFICATA IN SIGLA: SOCIETA' AGRICOLA MASTROIANNI S.R.L.S.</t>
  </si>
  <si>
    <t>04351100617</t>
  </si>
  <si>
    <t>VILLA BUCHER S.R.L.</t>
  </si>
  <si>
    <t>02543560540</t>
  </si>
  <si>
    <t>012100</t>
  </si>
  <si>
    <t>Terni</t>
  </si>
  <si>
    <t>Umbria</t>
  </si>
  <si>
    <t>SOCIETA' AGRICOLA VALLEGARA S.R.L.S.</t>
  </si>
  <si>
    <t>02190450565</t>
  </si>
  <si>
    <t>012600</t>
  </si>
  <si>
    <t>Viterbo</t>
  </si>
  <si>
    <t>Lazio</t>
  </si>
  <si>
    <t>012000</t>
  </si>
  <si>
    <t>VALTARTANO S.R.L. - SOCIETA' AGRICOLA</t>
  </si>
  <si>
    <t>00403680143</t>
  </si>
  <si>
    <t>Sondrio</t>
  </si>
  <si>
    <t>Lombardia</t>
  </si>
  <si>
    <t>Treviso</t>
  </si>
  <si>
    <t>Veneto</t>
  </si>
  <si>
    <t>EUROTRADE S.R.L. SOCIETA' AGRICOLA</t>
  </si>
  <si>
    <t>06963341000</t>
  </si>
  <si>
    <t>Roma</t>
  </si>
  <si>
    <t>011000</t>
  </si>
  <si>
    <t>Toscana</t>
  </si>
  <si>
    <t>SOCIETA' AGRICOLA MASSOSERPENTE S.R.L.</t>
  </si>
  <si>
    <t>05344620488</t>
  </si>
  <si>
    <t>015000</t>
  </si>
  <si>
    <t>Firenze</t>
  </si>
  <si>
    <t>SOCIETA' AGRICOLA BOSCHETTO CAMPACCI S.R.L. CON SIGLA ABC S.R.L.</t>
  </si>
  <si>
    <t>01462970524</t>
  </si>
  <si>
    <t>Siena</t>
  </si>
  <si>
    <t>SOCIETA' AGRICOLA CA' DEL LUPO S.R.L.</t>
  </si>
  <si>
    <t>02862220163</t>
  </si>
  <si>
    <t>Brescia</t>
  </si>
  <si>
    <t>SOCIETA' AGRICOLA DIOTISALVI S.R.L.</t>
  </si>
  <si>
    <t>05010680261</t>
  </si>
  <si>
    <t>IMPREAGRI S.R.L. SOCIETA' AGRICOLA</t>
  </si>
  <si>
    <t>02612740908</t>
  </si>
  <si>
    <t>014930</t>
  </si>
  <si>
    <t>Sassari</t>
  </si>
  <si>
    <t>Sardegna</t>
  </si>
  <si>
    <t>C.S.A. COMPAGNIA SACCOMANDI AGRITURISTICA - SOCIETA' AGRICOLA A R ESPONSABILITA'</t>
  </si>
  <si>
    <t>11463181005</t>
  </si>
  <si>
    <t>012500</t>
  </si>
  <si>
    <t>Roma</t>
  </si>
  <si>
    <t>Lazio</t>
  </si>
  <si>
    <t>ALU S.R.L. SOCIETA' AGRICOLA</t>
  </si>
  <si>
    <t>01747780490</t>
  </si>
  <si>
    <t>012600</t>
  </si>
  <si>
    <t>Livorno</t>
  </si>
  <si>
    <t>Toscana</t>
  </si>
  <si>
    <t>LOGOS S.R.L. - SOCIETA' AGRICOLA</t>
  </si>
  <si>
    <t>01976980902</t>
  </si>
  <si>
    <t>011110</t>
  </si>
  <si>
    <t>Sassari</t>
  </si>
  <si>
    <t>Sardegna</t>
  </si>
  <si>
    <t>012100</t>
  </si>
  <si>
    <t>Veneto</t>
  </si>
  <si>
    <t>SOCIETA' AGRICOLA PODERE PARADISINO S.R.L.</t>
  </si>
  <si>
    <t>01431390523</t>
  </si>
  <si>
    <t>Siena</t>
  </si>
  <si>
    <t>Cosenza</t>
  </si>
  <si>
    <t>Calabria</t>
  </si>
  <si>
    <t>A.M.C. SOCIETA' COOPERATIVA</t>
  </si>
  <si>
    <t>02242720783</t>
  </si>
  <si>
    <t>013000</t>
  </si>
  <si>
    <t>AZIENDA AGRICOLA FATTORIA LA STRISCIA S.R.L.</t>
  </si>
  <si>
    <t>06664940480</t>
  </si>
  <si>
    <t>Firenze</t>
  </si>
  <si>
    <t>FATTORIA MASSIGNAN SOCIETA' AGRICOLA IMPRESA SOCIALE S.R.L.</t>
  </si>
  <si>
    <t>04131970248</t>
  </si>
  <si>
    <t>Vicenza</t>
  </si>
  <si>
    <t>SOCIETA' AGRICOLA MONTE ZARA S.R.L.</t>
  </si>
  <si>
    <t>03249350921</t>
  </si>
  <si>
    <t>SERVICE EAAP - S.R.L.</t>
  </si>
  <si>
    <t>11612611001</t>
  </si>
  <si>
    <t>016209</t>
  </si>
  <si>
    <t>BONALDI - CASCINA DEL BOSCO S.R.L.</t>
  </si>
  <si>
    <t>04148030168</t>
  </si>
  <si>
    <t>Bergamo</t>
  </si>
  <si>
    <t>Lombardia</t>
  </si>
  <si>
    <t>Toscana</t>
  </si>
  <si>
    <t>POZZO DI GASPARE S.R.L. - SOCIETA' AGRICOLA</t>
  </si>
  <si>
    <t>05682220875</t>
  </si>
  <si>
    <t>012300</t>
  </si>
  <si>
    <t>Catania</t>
  </si>
  <si>
    <t>Sicilia</t>
  </si>
  <si>
    <t>012100</t>
  </si>
  <si>
    <t>Puglia</t>
  </si>
  <si>
    <t>SOCIETA' AGRICOLA TENUTA PEZZAPANE S.R.L.</t>
  </si>
  <si>
    <t>04252830619</t>
  </si>
  <si>
    <t>Caserta</t>
  </si>
  <si>
    <t>Campania</t>
  </si>
  <si>
    <t>AGRIVERDE SOCIETA' AGRICOLA A RESPONSABILITA' LIMITATA SEMPLIFICATA</t>
  </si>
  <si>
    <t>03311070787</t>
  </si>
  <si>
    <t>011910</t>
  </si>
  <si>
    <t>Cosenza</t>
  </si>
  <si>
    <t>Calabria</t>
  </si>
  <si>
    <t>012600</t>
  </si>
  <si>
    <t>016100</t>
  </si>
  <si>
    <t>MASSERIA ROSA DELL'ESARO - SOCIETA' AGRICOLA S.R.L.</t>
  </si>
  <si>
    <t>03392400788</t>
  </si>
  <si>
    <t>015000</t>
  </si>
  <si>
    <t>SOCIETA' AGRICOLA OLIVICOLA DEGLI ERNICI - S.R.L.</t>
  </si>
  <si>
    <t>02703850608</t>
  </si>
  <si>
    <t>Frosinone</t>
  </si>
  <si>
    <t>Lazio</t>
  </si>
  <si>
    <t>SALUS PER HERBAM SOCIETA' AGRICOLA SRL</t>
  </si>
  <si>
    <t>05770680659</t>
  </si>
  <si>
    <t>Bergamo</t>
  </si>
  <si>
    <t>Lombardia</t>
  </si>
  <si>
    <t>AGRIFLORA SOCIETA' COOPERATIVA AGRICOLA</t>
  </si>
  <si>
    <t>01459540769</t>
  </si>
  <si>
    <t>Potenza</t>
  </si>
  <si>
    <t>Basilicata</t>
  </si>
  <si>
    <t>SOCIETA' AGRICOLA AZIENDE AGRICOLE DIOCESANE RIUNITE S.R.L.</t>
  </si>
  <si>
    <t>01612070514</t>
  </si>
  <si>
    <t>Arezzo</t>
  </si>
  <si>
    <t>CAMPANELLA SOCIETA' AGRICOLA S.R.L.</t>
  </si>
  <si>
    <t>03721720245</t>
  </si>
  <si>
    <t>Vicenza</t>
  </si>
  <si>
    <t>Veneto</t>
  </si>
  <si>
    <t>LE CARNI PUGLIESI - SOCIETA' CONSORTILE AGRICOLA A R.L.</t>
  </si>
  <si>
    <t>07410290725</t>
  </si>
  <si>
    <t>016209</t>
  </si>
  <si>
    <t>Bari</t>
  </si>
  <si>
    <t>011000</t>
  </si>
  <si>
    <t>Siena</t>
  </si>
  <si>
    <t>Toscana</t>
  </si>
  <si>
    <t>011310</t>
  </si>
  <si>
    <t>TENUTA CASTELLO DI GRUMELLO S.R.L. - SOCIETA' AGRICOLA</t>
  </si>
  <si>
    <t>04611690167</t>
  </si>
  <si>
    <t>012100</t>
  </si>
  <si>
    <t>Bergamo</t>
  </si>
  <si>
    <t>Lombardia</t>
  </si>
  <si>
    <t>Lazio</t>
  </si>
  <si>
    <t>Sicilia</t>
  </si>
  <si>
    <t>016300</t>
  </si>
  <si>
    <t>Roma</t>
  </si>
  <si>
    <t>Emilia-Romagna</t>
  </si>
  <si>
    <t>Ragusa</t>
  </si>
  <si>
    <t>SOCIETA' COOPERATIVA AGRICOLA MONTENEBO A R.L.</t>
  </si>
  <si>
    <t>03050150600</t>
  </si>
  <si>
    <t>011300</t>
  </si>
  <si>
    <t>Frosinone</t>
  </si>
  <si>
    <t>SOCIETA' COOPERATIVA AGRICOLA CASTAGNE DI MONTELLA</t>
  </si>
  <si>
    <t>00217920644</t>
  </si>
  <si>
    <t>Avellino</t>
  </si>
  <si>
    <t>Campania</t>
  </si>
  <si>
    <t>CONSORZIO HISTORIA ANTIQUA SOCIETA' AGRICOLA A R.L.</t>
  </si>
  <si>
    <t>02477480640</t>
  </si>
  <si>
    <t>AGRICOLA POGGIO ALLE CORTI (CHIANTI) SOCIETA' A RESPONSABILITA' L IMITATA</t>
  </si>
  <si>
    <t>02307070488</t>
  </si>
  <si>
    <t>Firenze</t>
  </si>
  <si>
    <t>MAREMIRTILLI SOCIETA' AGRICOLA - S.R.L.</t>
  </si>
  <si>
    <t>04835790652</t>
  </si>
  <si>
    <t>011110</t>
  </si>
  <si>
    <t>Salerno</t>
  </si>
  <si>
    <t>SOCIETA' AGRICOLA CAMPORSEVOLI S.R.L.</t>
  </si>
  <si>
    <t>01351710528</t>
  </si>
  <si>
    <t>COLLE DI MAGGIO WINE FARM - SOCIETA' AGRICOLA A RESPONSABILITA' L IMITATA</t>
  </si>
  <si>
    <t>15389661008</t>
  </si>
  <si>
    <t>ORTOSI' SOCIETA' AGRICOLA S.R.L.</t>
  </si>
  <si>
    <t>04156950166</t>
  </si>
  <si>
    <t>012400</t>
  </si>
  <si>
    <t>SOCIETA' AGRICOLA TERRE DELLA ROCCA SOCIETA' A RESPONSABILITA' LIMITATA</t>
  </si>
  <si>
    <t>03721751208</t>
  </si>
  <si>
    <t>Bologna</t>
  </si>
  <si>
    <t>SOCIETA' COOPERATIVA AGRICOLA COLLE CALANDRA</t>
  </si>
  <si>
    <t>01744190883</t>
  </si>
  <si>
    <t>LE PRATA SOCIETA COOPERATIVA AGRICOLA A RESPONSABILITA LIMITATA</t>
  </si>
  <si>
    <t>01020021000</t>
  </si>
  <si>
    <t>011140</t>
  </si>
  <si>
    <t>Roma</t>
  </si>
  <si>
    <t>Lazio</t>
  </si>
  <si>
    <t>011110</t>
  </si>
  <si>
    <t>Lombardia</t>
  </si>
  <si>
    <t>012100</t>
  </si>
  <si>
    <t>Firenze</t>
  </si>
  <si>
    <t>Toscana</t>
  </si>
  <si>
    <t>FRIULVITI SOCIETA' COOPERATIVA AGRICOLA</t>
  </si>
  <si>
    <t>00249850306</t>
  </si>
  <si>
    <t>016000</t>
  </si>
  <si>
    <t>Udine</t>
  </si>
  <si>
    <t>Friuli-Venezia Giulia</t>
  </si>
  <si>
    <t>MEZZACANE SOCIETA' AGRICOLA S.R.L.</t>
  </si>
  <si>
    <t>02744940186</t>
  </si>
  <si>
    <t>Pavia</t>
  </si>
  <si>
    <t>Sicilia</t>
  </si>
  <si>
    <t>Forlì-Cesena</t>
  </si>
  <si>
    <t>Emilia-Romagna</t>
  </si>
  <si>
    <t>TENUTA IL QUINTO - SOCIETA' AGRICOLA A RESPONSABILITA' LIMITATA</t>
  </si>
  <si>
    <t>01204590531</t>
  </si>
  <si>
    <t>Grosseto</t>
  </si>
  <si>
    <t>Puglia</t>
  </si>
  <si>
    <t>FATTORIA ALTOMENA S.R.L. SOCIETA' AGRICOLA</t>
  </si>
  <si>
    <t>04428410486</t>
  </si>
  <si>
    <t>SOCIETA' AGRICOLA LA SELVA S.R.L.</t>
  </si>
  <si>
    <t>02735550739</t>
  </si>
  <si>
    <t>Taranto</t>
  </si>
  <si>
    <t>SOCIETA' AGRICOLA SAN VITO A R.L.</t>
  </si>
  <si>
    <t>01371160779</t>
  </si>
  <si>
    <t>Matera</t>
  </si>
  <si>
    <t>Basilicata</t>
  </si>
  <si>
    <t>ANTICHE FOSSE SRL SOCIETA' AGRICOLA F.LLI ROSSINI</t>
  </si>
  <si>
    <t>04277330405</t>
  </si>
  <si>
    <t>011990</t>
  </si>
  <si>
    <t>AZIENDA AGRICOLA GLI ARCHI SOCIETA' AGRICOLA A RESPONSABILITA' LIMITATA</t>
  </si>
  <si>
    <t>02254290501</t>
  </si>
  <si>
    <t>Pisa</t>
  </si>
  <si>
    <t>ERPACRIFE SRL SOCIETA' AGRICOLA</t>
  </si>
  <si>
    <t>01387040056</t>
  </si>
  <si>
    <t>Asti</t>
  </si>
  <si>
    <t>Piemonte</t>
  </si>
  <si>
    <t>RILO SOCIETA' AGRICOLA A R.L.</t>
  </si>
  <si>
    <t>02690840810</t>
  </si>
  <si>
    <t>012600</t>
  </si>
  <si>
    <t>Trapani</t>
  </si>
  <si>
    <t>012000</t>
  </si>
  <si>
    <t>SOCIETA' AGRICOLA COLLEPINA S.R.L.</t>
  </si>
  <si>
    <t>00699350559</t>
  </si>
  <si>
    <t>011140</t>
  </si>
  <si>
    <t>Terni</t>
  </si>
  <si>
    <t>Umbria</t>
  </si>
  <si>
    <t>COLLEFASANI SOCIETA' AGRICOLA A R.L.</t>
  </si>
  <si>
    <t>03369350610</t>
  </si>
  <si>
    <t>012100</t>
  </si>
  <si>
    <t>Caserta</t>
  </si>
  <si>
    <t>Campania</t>
  </si>
  <si>
    <t>Sicilia</t>
  </si>
  <si>
    <t>AGRICOLA FORESTALE CASALE SAN TOMAO S.R.L</t>
  </si>
  <si>
    <t>00965370570</t>
  </si>
  <si>
    <t>010000</t>
  </si>
  <si>
    <t>Rieti</t>
  </si>
  <si>
    <t>Lazio</t>
  </si>
  <si>
    <t>MELIA SOCIETA' A RESPONSABILITA' LIMITATA SOCIETA' AGRICOLA</t>
  </si>
  <si>
    <t>02483430845</t>
  </si>
  <si>
    <t>Agrigento</t>
  </si>
  <si>
    <t>AZIENDA AGRICOLA LE TORE S.R.L.</t>
  </si>
  <si>
    <t>03173571211</t>
  </si>
  <si>
    <t>Napoli</t>
  </si>
  <si>
    <t>AGRICOLA MONTESCOSSO DI GINO MAGNINI &amp; C. S.R.L.</t>
  </si>
  <si>
    <t>02905260168</t>
  </si>
  <si>
    <t>011140</t>
  </si>
  <si>
    <t>Bergamo</t>
  </si>
  <si>
    <t>Lombardia</t>
  </si>
  <si>
    <t>Toscana</t>
  </si>
  <si>
    <t>Campania</t>
  </si>
  <si>
    <t>012100</t>
  </si>
  <si>
    <t>TENUTA VALDOMINI S.AGRICOLA R.L.</t>
  </si>
  <si>
    <t>02313220309</t>
  </si>
  <si>
    <t>Udine</t>
  </si>
  <si>
    <t>Friuli-Venezia Giulia</t>
  </si>
  <si>
    <t>015000</t>
  </si>
  <si>
    <t>Roma</t>
  </si>
  <si>
    <t>Lazio</t>
  </si>
  <si>
    <t>Puglia</t>
  </si>
  <si>
    <t>TENUTA VOLPARE SOCIETA' AGRICOLA S.R.L.</t>
  </si>
  <si>
    <t>02391160229</t>
  </si>
  <si>
    <t>Trento</t>
  </si>
  <si>
    <t>Trentino-Alto Adige</t>
  </si>
  <si>
    <t>FATTORIA SOCIALE SOCIETA' COOPERATIVA AGRICOLA E SOCIALE A R.L.</t>
  </si>
  <si>
    <t>03308870546</t>
  </si>
  <si>
    <t>Perugia</t>
  </si>
  <si>
    <t>Umbria</t>
  </si>
  <si>
    <t>I GIRASOLI SOCIETA' AGRICOLA S.R.L.</t>
  </si>
  <si>
    <t>01956360471</t>
  </si>
  <si>
    <t>012600</t>
  </si>
  <si>
    <t>Pistoia</t>
  </si>
  <si>
    <t>FATTORIA FIORENTINO SOCIETA' AGRICOLA A R.L.</t>
  </si>
  <si>
    <t>04010770719</t>
  </si>
  <si>
    <t>011110</t>
  </si>
  <si>
    <t>Foggia</t>
  </si>
  <si>
    <t>SOCIETA' AGRICOLA OFFICINE DEL VERDE S.R.L.S.</t>
  </si>
  <si>
    <t>02907530907</t>
  </si>
  <si>
    <t>011929</t>
  </si>
  <si>
    <t>Sassari</t>
  </si>
  <si>
    <t>Sardegna</t>
  </si>
  <si>
    <t>FATTORIA DI MANZANO SOCIETA' AGRICOLA S.R.L.</t>
  </si>
  <si>
    <t>13317621004</t>
  </si>
  <si>
    <t>SOCIETA' AGRICOLA TENUTA IL SOGNO S.R.L.</t>
  </si>
  <si>
    <t>01588600054</t>
  </si>
  <si>
    <t>Asti</t>
  </si>
  <si>
    <t>Piemonte</t>
  </si>
  <si>
    <t>SOCIETA' AGRICOLA PAPA SRL</t>
  </si>
  <si>
    <t>09255211212</t>
  </si>
  <si>
    <t>012500</t>
  </si>
  <si>
    <t>Napoli</t>
  </si>
  <si>
    <t>C.I.V.V. AMPELOS CONSORZIO ITALIANO VIVAISTI VITICOLI</t>
  </si>
  <si>
    <t>01468540396</t>
  </si>
  <si>
    <t>016300</t>
  </si>
  <si>
    <t>Ravenna</t>
  </si>
  <si>
    <t>Emilia-Romagna</t>
  </si>
  <si>
    <t>015000</t>
  </si>
  <si>
    <t>BIOVITROAGRI SOCIETA' AGRICOLA S.R.L.</t>
  </si>
  <si>
    <t>01234670956</t>
  </si>
  <si>
    <t>016100</t>
  </si>
  <si>
    <t>Oristano</t>
  </si>
  <si>
    <t>Sardegna</t>
  </si>
  <si>
    <t>CARUSVINI SOCIETA' AGRICOLA S.R.L.</t>
  </si>
  <si>
    <t>01313790527</t>
  </si>
  <si>
    <t>012100</t>
  </si>
  <si>
    <t>Siena</t>
  </si>
  <si>
    <t>Toscana</t>
  </si>
  <si>
    <t>Campania</t>
  </si>
  <si>
    <t>011110</t>
  </si>
  <si>
    <t>PRIVILEGIUM SOCIETA' AGRICOLA S.R.L.</t>
  </si>
  <si>
    <t>04594710230</t>
  </si>
  <si>
    <t>011990</t>
  </si>
  <si>
    <t>Verona</t>
  </si>
  <si>
    <t>Veneto</t>
  </si>
  <si>
    <t>Emilia-Romagna</t>
  </si>
  <si>
    <t>Piemonte</t>
  </si>
  <si>
    <t>AGRICOLA RIOFI, SOCIETA' AGRICOLA A RESPONSABILITA' LIMITATA</t>
  </si>
  <si>
    <t>02067460515</t>
  </si>
  <si>
    <t>Arezzo</t>
  </si>
  <si>
    <t>AGRICIBUS SRL SOCIETA' AGRICOLA</t>
  </si>
  <si>
    <t>02555580394</t>
  </si>
  <si>
    <t>Ravenna</t>
  </si>
  <si>
    <t>SOCIETA' AGRICOLA JURE S.R.L.</t>
  </si>
  <si>
    <t>03552490785</t>
  </si>
  <si>
    <t>011910</t>
  </si>
  <si>
    <t>Cosenza</t>
  </si>
  <si>
    <t>Calabria</t>
  </si>
  <si>
    <t>PETALI DI SOLIDARIETA' - SOCIETA' COOPERATIVA SOCIALE AGRICOLA - ONLUS</t>
  </si>
  <si>
    <t>03408470130</t>
  </si>
  <si>
    <t>011900</t>
  </si>
  <si>
    <t>Como</t>
  </si>
  <si>
    <t>Lombardia</t>
  </si>
  <si>
    <t>VILLAGGIO A 4 ZAMPE S.R.L.</t>
  </si>
  <si>
    <t>02724790130</t>
  </si>
  <si>
    <t>016209</t>
  </si>
  <si>
    <t>SARTI S.R.L. - SOCIETA' AGRICOLA</t>
  </si>
  <si>
    <t>03495280400</t>
  </si>
  <si>
    <t>014990</t>
  </si>
  <si>
    <t>VIVERE LA MANDRIA SOCIETA' COOPERATIVA AGRICOLA</t>
  </si>
  <si>
    <t>11382240015</t>
  </si>
  <si>
    <t>Torino</t>
  </si>
  <si>
    <t>LA VALLE S.R.L. SOCIETA' AGRICOLA SOCIETA' UNIPERSONALE</t>
  </si>
  <si>
    <t>04570710964</t>
  </si>
  <si>
    <t>Parma</t>
  </si>
  <si>
    <t>ALBURNI NATURA S.R.L.S. SOCIETA' AGRICOLA</t>
  </si>
  <si>
    <t>05708760656</t>
  </si>
  <si>
    <t>012500</t>
  </si>
  <si>
    <t>Salerno</t>
  </si>
  <si>
    <t>CASA DEL SOLE S.R.L. SOCIETA' AGRICOLA</t>
  </si>
  <si>
    <t>02132270352</t>
  </si>
  <si>
    <t>015000</t>
  </si>
  <si>
    <t>Reggio nell'Emilia</t>
  </si>
  <si>
    <t>Emilia-Romagna</t>
  </si>
  <si>
    <t>Veneto</t>
  </si>
  <si>
    <t>Salerno</t>
  </si>
  <si>
    <t>Campania</t>
  </si>
  <si>
    <t>011310</t>
  </si>
  <si>
    <t>Reggio di Calabria</t>
  </si>
  <si>
    <t>Calabria</t>
  </si>
  <si>
    <t>Toscana</t>
  </si>
  <si>
    <t>MASANEO AGRICOLTURA SOCIETA' COOPERATIVA</t>
  </si>
  <si>
    <t>02047870809</t>
  </si>
  <si>
    <t>012300</t>
  </si>
  <si>
    <t>HORTUS SOCIETA' COOPERATIVA SOCIALE ONLUS</t>
  </si>
  <si>
    <t>02498740204</t>
  </si>
  <si>
    <t>Mantova</t>
  </si>
  <si>
    <t>Lombardia</t>
  </si>
  <si>
    <t>012100</t>
  </si>
  <si>
    <t>JUST FEEL BETTER ITALIAN FARMERS - SOCIETA' AGRICOLA S.R.L.</t>
  </si>
  <si>
    <t>04950220261</t>
  </si>
  <si>
    <t>013000</t>
  </si>
  <si>
    <t>Treviso</t>
  </si>
  <si>
    <t>SCOVAVENTI SOCIETA' AGRICOLA S.R.L.</t>
  </si>
  <si>
    <t>01577010539</t>
  </si>
  <si>
    <t>012600</t>
  </si>
  <si>
    <t>Grosseto</t>
  </si>
  <si>
    <t>TENUTE DEL FASANELLA S.R.L.</t>
  </si>
  <si>
    <t>04069810655</t>
  </si>
  <si>
    <t>AGRITURISMO PARADISO SOCIETA' AGRICOLA-SOCIETA' A RESPONSABILITA' LIMITATA</t>
  </si>
  <si>
    <t>02715590424</t>
  </si>
  <si>
    <t>011140</t>
  </si>
  <si>
    <t>Ancona</t>
  </si>
  <si>
    <t>Marche</t>
  </si>
  <si>
    <t>IL CONVENTINO SOCIETA' AGRICOLA A RESPONSABILITA' LIMITATA</t>
  </si>
  <si>
    <t>01093510525</t>
  </si>
  <si>
    <t>012100</t>
  </si>
  <si>
    <t>Siena</t>
  </si>
  <si>
    <t>Toscana</t>
  </si>
  <si>
    <t>PRIMA TERRA - SOCIETA' A RESPONSABILITA' LIMITATA</t>
  </si>
  <si>
    <t>01165270115</t>
  </si>
  <si>
    <t>La Spezia</t>
  </si>
  <si>
    <t>Liguria</t>
  </si>
  <si>
    <t>AGRICOLA SALONE SOCIETA' AGRICOLA A RESPONSABILITA' LIMITATA</t>
  </si>
  <si>
    <t>00863991006</t>
  </si>
  <si>
    <t>011000</t>
  </si>
  <si>
    <t>Roma</t>
  </si>
  <si>
    <t>Lazio</t>
  </si>
  <si>
    <t>011310</t>
  </si>
  <si>
    <t>Lombardia</t>
  </si>
  <si>
    <t>COLTIBIO SOCIETA' AGRICOLA COOPERATIVA IMPRESA SOCIALE</t>
  </si>
  <si>
    <t>06725920489</t>
  </si>
  <si>
    <t>011110</t>
  </si>
  <si>
    <t>Firenze</t>
  </si>
  <si>
    <t>FATTORIA DI GRIGNANO SOCIETA' AGRICOLA A R.L.</t>
  </si>
  <si>
    <t>06051740964</t>
  </si>
  <si>
    <t>Veneto</t>
  </si>
  <si>
    <t>AGRIVIS - SOCIETA' COOPERATIVA SOCIALE AGRICOLA</t>
  </si>
  <si>
    <t>09489430968</t>
  </si>
  <si>
    <t>Milano</t>
  </si>
  <si>
    <t>AZIENDA AGRICOLA CASCINA CA' BELLA - SOCIETA' AGRICOLA A RESPONSA BILITA' LIMITATA</t>
  </si>
  <si>
    <t>02236020067</t>
  </si>
  <si>
    <t>014500</t>
  </si>
  <si>
    <t>Alessandria</t>
  </si>
  <si>
    <t>Piemonte</t>
  </si>
  <si>
    <t>SOCIETA' AGRICOLA ASTICOLATTE S.R.L.</t>
  </si>
  <si>
    <t>04130260245</t>
  </si>
  <si>
    <t>Vicenza</t>
  </si>
  <si>
    <t>011110</t>
  </si>
  <si>
    <t>011310</t>
  </si>
  <si>
    <t>016100</t>
  </si>
  <si>
    <t>Veneto</t>
  </si>
  <si>
    <t>Sicilia</t>
  </si>
  <si>
    <t>LA BONA USANZA SOC. COOP. AGRICOLA A R.L. OPPURE LA BONA USANZA OPPURE LA BONA USANZA S.C.A.R.L. O IN VIA ABBREVIATA L.B.U.</t>
  </si>
  <si>
    <t>01583820426</t>
  </si>
  <si>
    <t>Ancona</t>
  </si>
  <si>
    <t>Marche</t>
  </si>
  <si>
    <t>015000</t>
  </si>
  <si>
    <t>Toscana</t>
  </si>
  <si>
    <t>TENUTA LONDI S.R.L. SOCIETA' AGRICOLA</t>
  </si>
  <si>
    <t>03910050610</t>
  </si>
  <si>
    <t>Caserta</t>
  </si>
  <si>
    <t>Campania</t>
  </si>
  <si>
    <t>012100</t>
  </si>
  <si>
    <t>Benevento</t>
  </si>
  <si>
    <t>SOCIETA' AGRICOLA MONTE CACCIONE SOCIETA' A RESPONSABILITA' LIMITATA SEMPLIFICATA</t>
  </si>
  <si>
    <t>02058580859</t>
  </si>
  <si>
    <t>Caltanissetta</t>
  </si>
  <si>
    <t>SOCIETA' AGRICOLA BAFOLO S.R.L.</t>
  </si>
  <si>
    <t>02561930468</t>
  </si>
  <si>
    <t>012700</t>
  </si>
  <si>
    <t>Lucca</t>
  </si>
  <si>
    <t>SOCIETA' AGRICOLA VILLA MERIGHI SRL</t>
  </si>
  <si>
    <t>03906920230</t>
  </si>
  <si>
    <t>Verona</t>
  </si>
  <si>
    <t>AZIENDA AGRICOLA SAF 365 SRL SEMPLIFICATA AGRICOLA</t>
  </si>
  <si>
    <t>01705440624</t>
  </si>
  <si>
    <t>Veneto</t>
  </si>
  <si>
    <t>012600</t>
  </si>
  <si>
    <t>RIVOMARIS SOCIETA' COOPERATIVA A RESPONSABILITA' LIMITATA - SOCIETA' AGRICOLA</t>
  </si>
  <si>
    <t>02283590699</t>
  </si>
  <si>
    <t>012100</t>
  </si>
  <si>
    <t>Chieti</t>
  </si>
  <si>
    <t>Abruzzo</t>
  </si>
  <si>
    <t>URBANCOOLTUR SOCIETA' AGRICOLA S.R.L.</t>
  </si>
  <si>
    <t>12320060010</t>
  </si>
  <si>
    <t>011321</t>
  </si>
  <si>
    <t>Torino</t>
  </si>
  <si>
    <t>Piemonte</t>
  </si>
  <si>
    <t>Toscana</t>
  </si>
  <si>
    <t>OLEIFICIO SOCIALE DI SENEGHE - SOCIETA' COOPERATIVA AGRICOLA</t>
  </si>
  <si>
    <t>00433570959</t>
  </si>
  <si>
    <t>016300</t>
  </si>
  <si>
    <t>Oristano</t>
  </si>
  <si>
    <t>Sardegna</t>
  </si>
  <si>
    <t>Lombardia</t>
  </si>
  <si>
    <t>COOPERATIVA AGRICOLA SAN DAMIANO ALLE CASE NICE SOCIETA' AGRICOLA COOPERATIVA</t>
  </si>
  <si>
    <t>01103190250</t>
  </si>
  <si>
    <t>014100</t>
  </si>
  <si>
    <t>Belluno</t>
  </si>
  <si>
    <t>GEA SOCIETA' AGRICOLA SRL</t>
  </si>
  <si>
    <t>10579000968</t>
  </si>
  <si>
    <t>016100</t>
  </si>
  <si>
    <t>Milano</t>
  </si>
  <si>
    <t>SOCIETA' COOPERATIVA AGRICOLA 1429</t>
  </si>
  <si>
    <t>01793610096</t>
  </si>
  <si>
    <t>011310</t>
  </si>
  <si>
    <t>Savona</t>
  </si>
  <si>
    <t>Liguria</t>
  </si>
  <si>
    <t>Lazio</t>
  </si>
  <si>
    <t>FATTORIA CERBAIA SOCIETA' AGRICOLA S.R.L.</t>
  </si>
  <si>
    <t>04847690486</t>
  </si>
  <si>
    <t>Firenze</t>
  </si>
  <si>
    <t>SELVA SOCIETA' COOPERATIVA SOCIALE</t>
  </si>
  <si>
    <t>02726330422</t>
  </si>
  <si>
    <t>Ancona</t>
  </si>
  <si>
    <t>Marche</t>
  </si>
  <si>
    <t>SOCIETA' AGRICOLA I CIACCA S.R.L.</t>
  </si>
  <si>
    <t>02749430605</t>
  </si>
  <si>
    <t>015000</t>
  </si>
  <si>
    <t>Frosinone</t>
  </si>
  <si>
    <t>CASA GIANI SOCIETA' AGRICOLA S.R.L.</t>
  </si>
  <si>
    <t>06483600489</t>
  </si>
  <si>
    <t>012100</t>
  </si>
  <si>
    <t>Firenze</t>
  </si>
  <si>
    <t>Toscana</t>
  </si>
  <si>
    <t>Sicilia</t>
  </si>
  <si>
    <t>FIORENTINO SOCIETA' AGRICOLA A.R.L.</t>
  </si>
  <si>
    <t>02745000642</t>
  </si>
  <si>
    <t>Avellino</t>
  </si>
  <si>
    <t>Campania</t>
  </si>
  <si>
    <t>SEMI DI VITA - SOCIETA' COOPERATIVA SOCIALE</t>
  </si>
  <si>
    <t>07590310723</t>
  </si>
  <si>
    <t>016100</t>
  </si>
  <si>
    <t>Bari</t>
  </si>
  <si>
    <t>Puglia</t>
  </si>
  <si>
    <t>MASHA EXPERIENCE S.R.L.</t>
  </si>
  <si>
    <t>09673621216</t>
  </si>
  <si>
    <t>012500</t>
  </si>
  <si>
    <t>Napoli</t>
  </si>
  <si>
    <t>OLIVUM - SOCIETA' AGRICOLA A RESPONSABILITA' LIMITATA</t>
  </si>
  <si>
    <t>01358630497</t>
  </si>
  <si>
    <t>011110</t>
  </si>
  <si>
    <t>Grosseto</t>
  </si>
  <si>
    <t>010000</t>
  </si>
  <si>
    <t>CANTINA RICCIO SOCIETA' AGRICOLA S.R.L.</t>
  </si>
  <si>
    <t>02822370645</t>
  </si>
  <si>
    <t>Lombardia</t>
  </si>
  <si>
    <t>SOCIETA' AGRICOLA MARILU' S.R.L.</t>
  </si>
  <si>
    <t>02484300740</t>
  </si>
  <si>
    <t>Brindisi</t>
  </si>
  <si>
    <t>SOCIETA' AGRICOLA VITIVINICOLA COLOMBARINO S.R.L.</t>
  </si>
  <si>
    <t>01561730985</t>
  </si>
  <si>
    <t>Brescia</t>
  </si>
  <si>
    <t>M &amp; B SOCIETA' AGRICOLA S.R.L.</t>
  </si>
  <si>
    <t>01467070890</t>
  </si>
  <si>
    <t>012600</t>
  </si>
  <si>
    <t>Siracusa</t>
  </si>
  <si>
    <t>Foggia</t>
  </si>
  <si>
    <t>LA BALLERINA SOCIETA' AGRICOLA A RESPONSABILITA' LIMITATA</t>
  </si>
  <si>
    <t>01551720053</t>
  </si>
  <si>
    <t>Asti</t>
  </si>
  <si>
    <t>Piemonte</t>
  </si>
  <si>
    <t>015000</t>
  </si>
  <si>
    <t>BUENA VISTA SOCIETA' AGRICOLA S.R.L.</t>
  </si>
  <si>
    <t>03643030137</t>
  </si>
  <si>
    <t>Como</t>
  </si>
  <si>
    <t>AZIENDA AGRICOLA COPPA DI MEZZO S.R.L.S.</t>
  </si>
  <si>
    <t>04377440716</t>
  </si>
  <si>
    <t>Salerno</t>
  </si>
  <si>
    <t>Campania</t>
  </si>
  <si>
    <t>SOCIETA' AGRICOLA RUCOLI' S.R.L. SEMPLIFICATA</t>
  </si>
  <si>
    <t>05715660659</t>
  </si>
  <si>
    <t>011320</t>
  </si>
  <si>
    <t>AIA DELLE MONACHE SOCIETA' AGRICOLA A RESPONSABILITA' LIMITATA IN SIGLA: AIA DELLE MONACHE SOCIETA' AGRICOLA A R.L.</t>
  </si>
  <si>
    <t>04161760618</t>
  </si>
  <si>
    <t>012100</t>
  </si>
  <si>
    <t>Caserta</t>
  </si>
  <si>
    <t>AZIENDA AGRICOLA CEFALICCHIO, SOCIETA' AGRICOLA A R.L.</t>
  </si>
  <si>
    <t>05771870721</t>
  </si>
  <si>
    <t>011000</t>
  </si>
  <si>
    <t>Barletta-Andria-Trani</t>
  </si>
  <si>
    <t>Puglia</t>
  </si>
  <si>
    <t>MASSERIA MELODORO - SOCIETA' COOPERATIVA SOCIALE</t>
  </si>
  <si>
    <t>01986950762</t>
  </si>
  <si>
    <t>015000</t>
  </si>
  <si>
    <t>Potenza</t>
  </si>
  <si>
    <t>Basilicata</t>
  </si>
  <si>
    <t>Toscana</t>
  </si>
  <si>
    <t>BARZAGHI STUD SOCIETA' AGRICOLA A R.L.</t>
  </si>
  <si>
    <t>02359450463</t>
  </si>
  <si>
    <t>014300</t>
  </si>
  <si>
    <t>Lucca</t>
  </si>
  <si>
    <t>FRANTOIO PETASECCA DONATI S.R.L.</t>
  </si>
  <si>
    <t>02441790546</t>
  </si>
  <si>
    <t>012600</t>
  </si>
  <si>
    <t>Perugia</t>
  </si>
  <si>
    <t>Umbria</t>
  </si>
  <si>
    <t>SOCIETA' AGRICOLA ARDESIA DI RENZO ABBONDANDOLO SOCIETA' A RESPONSABILITA' LIMITATA SEMPLIFICATA</t>
  </si>
  <si>
    <t>02892660644</t>
  </si>
  <si>
    <t>014930</t>
  </si>
  <si>
    <t>Avellino</t>
  </si>
  <si>
    <t>SINERGIC@ - SOCIETA' COOPERATIVA AGRICOLA SOCIALE - ONLUS</t>
  </si>
  <si>
    <t>06277140486</t>
  </si>
  <si>
    <t>011310</t>
  </si>
  <si>
    <t>Firenze</t>
  </si>
  <si>
    <t>TENUTA PRIBUS SOCIETA' AGRICOLA A R.L.</t>
  </si>
  <si>
    <t>03061510305</t>
  </si>
  <si>
    <t>Udine</t>
  </si>
  <si>
    <t>Friuli-Venezia Giulia</t>
  </si>
  <si>
    <t>012100</t>
  </si>
  <si>
    <t>Lazio</t>
  </si>
  <si>
    <t>011110</t>
  </si>
  <si>
    <t>Toscana</t>
  </si>
  <si>
    <t>012000</t>
  </si>
  <si>
    <t>COOPERATIVA SOCIALE ARCOBALENO 86 ONLUS SOCIETA' COOPERATIVA SOCIALE</t>
  </si>
  <si>
    <t>00686770256</t>
  </si>
  <si>
    <t>011910</t>
  </si>
  <si>
    <t>Belluno</t>
  </si>
  <si>
    <t>Veneto</t>
  </si>
  <si>
    <t>011140</t>
  </si>
  <si>
    <t>VOLTA LA TERRA SOCIETA' AGRICOLA SRL</t>
  </si>
  <si>
    <t>02245470568</t>
  </si>
  <si>
    <t>Viterbo</t>
  </si>
  <si>
    <t>011000</t>
  </si>
  <si>
    <t>SANAFONTE S.R.L.</t>
  </si>
  <si>
    <t>00930590401</t>
  </si>
  <si>
    <t>Forlì-Cesena</t>
  </si>
  <si>
    <t>Emilia-Romagna</t>
  </si>
  <si>
    <t>SOCIETA' AGRICOLA GOCCIA DI LUNA S.R.L.</t>
  </si>
  <si>
    <t>02089720516</t>
  </si>
  <si>
    <t>Arezzo</t>
  </si>
  <si>
    <t>NICOFRUIT - SOCIETA' COOPERATIVA AGRICOLA</t>
  </si>
  <si>
    <t>00577610777</t>
  </si>
  <si>
    <t>Matera</t>
  </si>
  <si>
    <t>Basilicata</t>
  </si>
  <si>
    <t>AZIENDA AGRICOLA BUON RIPOSO - S.R.L.</t>
  </si>
  <si>
    <t>00827780503</t>
  </si>
  <si>
    <t>Pisa</t>
  </si>
  <si>
    <t>TERRE SOLIDALI DI ONFERNO - GEMMANO - SOCIETA' COOPERATIVA</t>
  </si>
  <si>
    <t>03653440408</t>
  </si>
  <si>
    <t>016300</t>
  </si>
  <si>
    <t>Rimini</t>
  </si>
  <si>
    <t>COLLINA TOSCANA S.R.L.</t>
  </si>
  <si>
    <t>01539070472</t>
  </si>
  <si>
    <t>012600</t>
  </si>
  <si>
    <t>Pistoia</t>
  </si>
  <si>
    <t>MEAZZI S.R.L. IMPRESA AGRICOLA</t>
  </si>
  <si>
    <t>02511490548</t>
  </si>
  <si>
    <t>Perugia</t>
  </si>
  <si>
    <t>Umbria</t>
  </si>
  <si>
    <t>BEMA S.R.L. - SOCIETA' AGRICOLA</t>
  </si>
  <si>
    <t>00598160521</t>
  </si>
  <si>
    <t>Siena</t>
  </si>
  <si>
    <t>011310</t>
  </si>
  <si>
    <t>Ragusa</t>
  </si>
  <si>
    <t>Sicilia</t>
  </si>
  <si>
    <t>FLORIDA S.R.L.</t>
  </si>
  <si>
    <t>00254840283</t>
  </si>
  <si>
    <t>013000</t>
  </si>
  <si>
    <t>Padova</t>
  </si>
  <si>
    <t>Veneto</t>
  </si>
  <si>
    <t>011140</t>
  </si>
  <si>
    <t>Modena</t>
  </si>
  <si>
    <t>Emilia-Romagna</t>
  </si>
  <si>
    <t>016100</t>
  </si>
  <si>
    <t>Sardegna</t>
  </si>
  <si>
    <t>TENUTA ARIELLO SOCIETA' AGRICOLA S.R.L.</t>
  </si>
  <si>
    <t>01689250627</t>
  </si>
  <si>
    <t>Benevento</t>
  </si>
  <si>
    <t>Campania</t>
  </si>
  <si>
    <t>SOCIETA' AGRICOLA FORESTALE MONTALERA A R.L.</t>
  </si>
  <si>
    <t>00961491008</t>
  </si>
  <si>
    <t>012900</t>
  </si>
  <si>
    <t>Forlì-Cesena</t>
  </si>
  <si>
    <t>PICCOLO SOGNO SOCIETA' AGRICOLA A RESPONSABILITA' LIMITATA</t>
  </si>
  <si>
    <t>06732540486</t>
  </si>
  <si>
    <t>012600</t>
  </si>
  <si>
    <t>Firenze</t>
  </si>
  <si>
    <t>Toscana</t>
  </si>
  <si>
    <t>PODERE TESORO SOCIETA' AGRICOLA SRL</t>
  </si>
  <si>
    <t>06764160484</t>
  </si>
  <si>
    <t>AZIENDA AGRICOLA OLIVE GROVE PARTNERS S.R.L SOCIETA' AGRICOLA</t>
  </si>
  <si>
    <t>01584750531</t>
  </si>
  <si>
    <t>Grosseto</t>
  </si>
  <si>
    <t>011000</t>
  </si>
  <si>
    <t>SOCIETA' AGRICOLA SHONA SOCIETA' A RESPONSABILITA' LIMITATA</t>
  </si>
  <si>
    <t>01507010526</t>
  </si>
  <si>
    <t>012100</t>
  </si>
  <si>
    <t>Siena</t>
  </si>
  <si>
    <t>Perugia</t>
  </si>
  <si>
    <t>Umbria</t>
  </si>
  <si>
    <t>TENUTA SAN FELICE S.R.L. SOCIETA' AGRICOLA</t>
  </si>
  <si>
    <t>02488660545</t>
  </si>
  <si>
    <t>ELPIS SOCIETA' AGRICOLA A R. L.</t>
  </si>
  <si>
    <t>04201250612</t>
  </si>
  <si>
    <t>014700</t>
  </si>
  <si>
    <t>Caserta</t>
  </si>
  <si>
    <t>TENUTA LA CASTELLINA S.R.L. - SOCIETA' AGRICOLA</t>
  </si>
  <si>
    <t>01770580510</t>
  </si>
  <si>
    <t>Arezzo</t>
  </si>
  <si>
    <t>014500</t>
  </si>
  <si>
    <t>TERRA SI-CURA SOCIETA' COOPERATIVA SOCIALE - ONLUS</t>
  </si>
  <si>
    <t>01668200882</t>
  </si>
  <si>
    <t>ENA PRUNA SOCIETA' AGRICOLA A R.L.</t>
  </si>
  <si>
    <t>01154130957</t>
  </si>
  <si>
    <t>Oristano</t>
  </si>
  <si>
    <t>SOCIETA' AGRICOLA CANTINA DEL FRIGNANO S.R.L.</t>
  </si>
  <si>
    <t>03821810367</t>
  </si>
  <si>
    <t>011310</t>
  </si>
  <si>
    <t>Sicilia</t>
  </si>
  <si>
    <t>011300</t>
  </si>
  <si>
    <t>SOCIETA' AGRICOLA LA FATTORIA SUL LAGO S.R.L.</t>
  </si>
  <si>
    <t>02469090449</t>
  </si>
  <si>
    <t>Ascoli Piceno</t>
  </si>
  <si>
    <t>Marche</t>
  </si>
  <si>
    <t>Lazio</t>
  </si>
  <si>
    <t>SOCIETA' AGRICOLA IL PINO S.R.L.</t>
  </si>
  <si>
    <t>02087020463</t>
  </si>
  <si>
    <t>Lucca</t>
  </si>
  <si>
    <t>Toscana</t>
  </si>
  <si>
    <t>011110</t>
  </si>
  <si>
    <t>CRIMATO SRL SOCIETA' AGRICOLA</t>
  </si>
  <si>
    <t>09688461004</t>
  </si>
  <si>
    <t>Roma</t>
  </si>
  <si>
    <t>LA COLLINA DEL MONTE SOCIETA' COOPERATIVA</t>
  </si>
  <si>
    <t>02039090432</t>
  </si>
  <si>
    <t>016300</t>
  </si>
  <si>
    <t>Macerata</t>
  </si>
  <si>
    <t>SOCIETA' AGRICOLA FRATELLI NUCCI S.R.L.</t>
  </si>
  <si>
    <t>02496100419</t>
  </si>
  <si>
    <t>Pesaro Urbino</t>
  </si>
  <si>
    <t>IL FARO SOCIETA' COOPERATIVA SOCIALE</t>
  </si>
  <si>
    <t>03502670783</t>
  </si>
  <si>
    <t>Cosenza</t>
  </si>
  <si>
    <t>Calabria</t>
  </si>
  <si>
    <t>SOCIETA' AGRICOLA M &amp; M S.R.L.</t>
  </si>
  <si>
    <t>04309290262</t>
  </si>
  <si>
    <t>Treviso</t>
  </si>
  <si>
    <t>Veneto</t>
  </si>
  <si>
    <t>012100</t>
  </si>
  <si>
    <t>TERRE GRECANICHE SOCIETA' COOPERATIVA AGRICOLA</t>
  </si>
  <si>
    <t>02698370802</t>
  </si>
  <si>
    <t>Reggio di Calabria</t>
  </si>
  <si>
    <t>RISERVA LA CHIUSA S.R.L.</t>
  </si>
  <si>
    <t>02741950832</t>
  </si>
  <si>
    <t>Messina</t>
  </si>
  <si>
    <t>011110</t>
  </si>
  <si>
    <t>Lombardia</t>
  </si>
  <si>
    <t>012100</t>
  </si>
  <si>
    <t>Sicilia</t>
  </si>
  <si>
    <t>011140</t>
  </si>
  <si>
    <t>FLOWER FACTORY SRL</t>
  </si>
  <si>
    <t>10419080964</t>
  </si>
  <si>
    <t>013000</t>
  </si>
  <si>
    <t>Milano</t>
  </si>
  <si>
    <t>Alessandria</t>
  </si>
  <si>
    <t>Piemonte</t>
  </si>
  <si>
    <t>Lazio</t>
  </si>
  <si>
    <t>SOCIETA' COOPERATIVA SOCIALE VERBUMCAUDO</t>
  </si>
  <si>
    <t>06751870822</t>
  </si>
  <si>
    <t>Palermo</t>
  </si>
  <si>
    <t>L'ORTO DEI NONNI SOCIETA' COOPERATIVA SOCIALE AGRICOLA</t>
  </si>
  <si>
    <t>02662260062</t>
  </si>
  <si>
    <t>PARIBELLI SOCIETA' AGRICOLA S.R.L.</t>
  </si>
  <si>
    <t>00800750143</t>
  </si>
  <si>
    <t>Sondrio</t>
  </si>
  <si>
    <t>TENIMENTI CERES SOCIETA' AGRICOLA A R.L.</t>
  </si>
  <si>
    <t>01222500579</t>
  </si>
  <si>
    <t>015000</t>
  </si>
  <si>
    <t>Rieti</t>
  </si>
  <si>
    <t>SOCIETA 'AGRICOLA MONTEGUZZO SRL</t>
  </si>
  <si>
    <t>02790070185</t>
  </si>
  <si>
    <t>Pavia</t>
  </si>
  <si>
    <t>Sicilia</t>
  </si>
  <si>
    <t>SCOMAT S.C.R.L. - SOCIETA' COOPERATIVA PER LA VALORIZZAZIONE DEI PRODOTTI AGRICOLI IN SIGLA SCOMAT S.C.R.L.</t>
  </si>
  <si>
    <t>01487720482</t>
  </si>
  <si>
    <t>016100</t>
  </si>
  <si>
    <t>Firenze</t>
  </si>
  <si>
    <t>Toscana</t>
  </si>
  <si>
    <t>Grosseto</t>
  </si>
  <si>
    <t>MASSERIA FERRI S.R.L. SEMPLIFICATA SOCIETA' AGRICOLA</t>
  </si>
  <si>
    <t>02509380743</t>
  </si>
  <si>
    <t>015000</t>
  </si>
  <si>
    <t>Brindisi</t>
  </si>
  <si>
    <t>Puglia</t>
  </si>
  <si>
    <t>VITA S.R.L. SOCIETA' AGRICOLA</t>
  </si>
  <si>
    <t>02005300674</t>
  </si>
  <si>
    <t>011110</t>
  </si>
  <si>
    <t>Teramo</t>
  </si>
  <si>
    <t>Abruzzo</t>
  </si>
  <si>
    <t>012100</t>
  </si>
  <si>
    <t>SOCIETA' AGRICOLA DE ALCHEMIA S.R.L.</t>
  </si>
  <si>
    <t>03312090784</t>
  </si>
  <si>
    <t>Cosenza</t>
  </si>
  <si>
    <t>Calabria</t>
  </si>
  <si>
    <t>016300</t>
  </si>
  <si>
    <t>Potenza</t>
  </si>
  <si>
    <t>Basilicata</t>
  </si>
  <si>
    <t>D&amp;B SRL SOCIETA' AGRICOLA</t>
  </si>
  <si>
    <t>01389140532</t>
  </si>
  <si>
    <t>012000</t>
  </si>
  <si>
    <t>APUTIA SOCIETA' A RESPONSABILITA' LIMITATA SEMPLIFICATA</t>
  </si>
  <si>
    <t>05812480878</t>
  </si>
  <si>
    <t>011310</t>
  </si>
  <si>
    <t>Catania</t>
  </si>
  <si>
    <t>SOCIETA' AGRICOLA LA CORTE DELL'OLMO S.R.L.</t>
  </si>
  <si>
    <t>03889850982</t>
  </si>
  <si>
    <t>013000</t>
  </si>
  <si>
    <t>Brescia</t>
  </si>
  <si>
    <t>Lombardia</t>
  </si>
  <si>
    <t>COOPERATIVA AGRICOLA CAMAGNA MONFERRATO S.C. A R.L.</t>
  </si>
  <si>
    <t>02687500062</t>
  </si>
  <si>
    <t>Alessandria</t>
  </si>
  <si>
    <t>Piemonte</t>
  </si>
  <si>
    <t>SOCIETA' AGRICOLA VESUVE' SRL</t>
  </si>
  <si>
    <t>09675561212</t>
  </si>
  <si>
    <t>Napoli</t>
  </si>
  <si>
    <t>Campania</t>
  </si>
  <si>
    <t>IL POLLINO A TAVOLA SOCIETA' AGRICOLA A RESPONSABILITA' LIMITATA</t>
  </si>
  <si>
    <t>01921840763</t>
  </si>
  <si>
    <t>SOCIETA' AGRICOLA RIGATTERI S.R.L.</t>
  </si>
  <si>
    <t>02302420902</t>
  </si>
  <si>
    <t>Sassari</t>
  </si>
  <si>
    <t>Sardegna</t>
  </si>
  <si>
    <t>GIUMARRA BIO SOCIETA' AGRICOLA S.R.L.SEMPLIFICATA</t>
  </si>
  <si>
    <t>05554980879</t>
  </si>
  <si>
    <t>012100</t>
  </si>
  <si>
    <t>Veneto</t>
  </si>
  <si>
    <t>FACCHINI AGRICOLA S.R.L. SOCIETA' AGRICOLA</t>
  </si>
  <si>
    <t>02545950392</t>
  </si>
  <si>
    <t>011140</t>
  </si>
  <si>
    <t>Ravenna</t>
  </si>
  <si>
    <t>Emilia-Romagna</t>
  </si>
  <si>
    <t>IL BROLO SOCIETA' AGRICOLA IMPRESA SOCIALE S.R.L.</t>
  </si>
  <si>
    <t>04878650284</t>
  </si>
  <si>
    <t>Padova</t>
  </si>
  <si>
    <t>SOCIETA' AGRICOLA TERRA DELLE DOLOMITI S.R.L.</t>
  </si>
  <si>
    <t>01096600257</t>
  </si>
  <si>
    <t>012500</t>
  </si>
  <si>
    <t>Belluno</t>
  </si>
  <si>
    <t>Lombardia</t>
  </si>
  <si>
    <t>SANTA FOSCA SOCIETA' AGRICOLA S.R.L. UNIPERSONALE</t>
  </si>
  <si>
    <t>02806990640</t>
  </si>
  <si>
    <t>Avellino</t>
  </si>
  <si>
    <t>Campania</t>
  </si>
  <si>
    <t>BARONIBLEI SOCIETA' AGRICOLA S.R.L.</t>
  </si>
  <si>
    <t>03649980137</t>
  </si>
  <si>
    <t>Como</t>
  </si>
  <si>
    <t>SOCIETA' AGRICOLA AQUILA NERA S.R.L.</t>
  </si>
  <si>
    <t>02390300503</t>
  </si>
  <si>
    <t>011110</t>
  </si>
  <si>
    <t>Pisa</t>
  </si>
  <si>
    <t>Toscana</t>
  </si>
  <si>
    <t>011310</t>
  </si>
  <si>
    <t>Campania</t>
  </si>
  <si>
    <t>Piemonte</t>
  </si>
  <si>
    <t>012100</t>
  </si>
  <si>
    <t>LA SEGGIANESE SOCIETA' COOPERATIVA AGRICOLA</t>
  </si>
  <si>
    <t>01613830536</t>
  </si>
  <si>
    <t>012600</t>
  </si>
  <si>
    <t>Grosseto</t>
  </si>
  <si>
    <t>GAGGIANO S.R.L. SOCIETA' AGRICOLA</t>
  </si>
  <si>
    <t>02616010027</t>
  </si>
  <si>
    <t>Biella</t>
  </si>
  <si>
    <t>Perugia</t>
  </si>
  <si>
    <t>Umbria</t>
  </si>
  <si>
    <t>CANTINA CERRETANO SRL SOCIETA' AGRICOLA</t>
  </si>
  <si>
    <t>02659070698</t>
  </si>
  <si>
    <t>Chieti</t>
  </si>
  <si>
    <t>Abruzzo</t>
  </si>
  <si>
    <t>SOCIETA' AGRICOLA LE VILLE S.R.L.</t>
  </si>
  <si>
    <t>03421110549</t>
  </si>
  <si>
    <t>SOCIETA' AGRICOLA FONTANA DEI FIERI S.R.L.</t>
  </si>
  <si>
    <t>01507530622</t>
  </si>
  <si>
    <t>Benevento</t>
  </si>
  <si>
    <t>Marche</t>
  </si>
  <si>
    <t>012100</t>
  </si>
  <si>
    <t>Emilia-Romagna</t>
  </si>
  <si>
    <t>TENUTE SHARDANA SOCIETA' AGRICOLA A R.L. SEMPLIFICATA</t>
  </si>
  <si>
    <t>02624810905</t>
  </si>
  <si>
    <t>Sassari</t>
  </si>
  <si>
    <t>Sardegna</t>
  </si>
  <si>
    <t>TENUTA COSTESELLE SRL SOCIETA' AGRICOLA</t>
  </si>
  <si>
    <t>05216400282</t>
  </si>
  <si>
    <t>Padova</t>
  </si>
  <si>
    <t>Veneto</t>
  </si>
  <si>
    <t>SOCIETA' AGRICOLA VILLA LAZZARINI SRL</t>
  </si>
  <si>
    <t>01711090439</t>
  </si>
  <si>
    <t>Macerata</t>
  </si>
  <si>
    <t>011140</t>
  </si>
  <si>
    <t>SOCIETA' AGRICOLA NURE S.R.L.</t>
  </si>
  <si>
    <t>01647430337</t>
  </si>
  <si>
    <t>Piacenza</t>
  </si>
  <si>
    <t>Lombardia</t>
  </si>
  <si>
    <t>Toscana</t>
  </si>
  <si>
    <t>VALPELIGNA SOCIETA' COOPERATIVA AGRICOLA A RESPONSABILITA' LIMITA TA</t>
  </si>
  <si>
    <t>01344630668</t>
  </si>
  <si>
    <t>012100</t>
  </si>
  <si>
    <t>L'Aquila</t>
  </si>
  <si>
    <t>Abruzzo</t>
  </si>
  <si>
    <t>Viterbo</t>
  </si>
  <si>
    <t>Lazio</t>
  </si>
  <si>
    <t>IL CAPPERO SOCIETA' AGRICOLA PANTELLERIA S.R.L.</t>
  </si>
  <si>
    <t>02400230815</t>
  </si>
  <si>
    <t>012800</t>
  </si>
  <si>
    <t>Trapani</t>
  </si>
  <si>
    <t>Sicilia</t>
  </si>
  <si>
    <t>011110</t>
  </si>
  <si>
    <t>010000</t>
  </si>
  <si>
    <t>SERRASPINA S.R.L. SOCIETA' AGRICOLA</t>
  </si>
  <si>
    <t>01498080504</t>
  </si>
  <si>
    <t>Pisa</t>
  </si>
  <si>
    <t>SOCIETA' AGRICOLA TORRE VENTURINI SOCIETA' A RESPONSABILITA' LIMI TATA</t>
  </si>
  <si>
    <t>01939220560</t>
  </si>
  <si>
    <t>TELLURIT S.R.L. SOCIETA' AGRICOLA</t>
  </si>
  <si>
    <t>03812270167</t>
  </si>
  <si>
    <t>Bergamo</t>
  </si>
  <si>
    <t>Sicilia</t>
  </si>
  <si>
    <t>AGRIOLIVER SOCIETA' AGRICOLA S.R.L.</t>
  </si>
  <si>
    <t>02566730749</t>
  </si>
  <si>
    <t>012600</t>
  </si>
  <si>
    <t>Brindisi</t>
  </si>
  <si>
    <t>Puglia</t>
  </si>
  <si>
    <t>RAPITALA' SOCIETA' COOPERATIVA</t>
  </si>
  <si>
    <t>00116710815</t>
  </si>
  <si>
    <t>011000</t>
  </si>
  <si>
    <t>Trapani</t>
  </si>
  <si>
    <t>POCOPOCO SOCIETA' COOPERATIVA SOCIALE ONLUS</t>
  </si>
  <si>
    <t>03223060926</t>
  </si>
  <si>
    <t>011310</t>
  </si>
  <si>
    <t>Cagliari</t>
  </si>
  <si>
    <t>Sardegna</t>
  </si>
  <si>
    <t>TENUTA ROSBURGO SOCIETA' AGRICOLA INNOVATIVA A R.L.</t>
  </si>
  <si>
    <t>02122000678</t>
  </si>
  <si>
    <t>Teramo</t>
  </si>
  <si>
    <t>Abruzzo</t>
  </si>
  <si>
    <t>VILLA CILNIA S.R.L</t>
  </si>
  <si>
    <t>02264610615</t>
  </si>
  <si>
    <t>Arezzo</t>
  </si>
  <si>
    <t>Toscana</t>
  </si>
  <si>
    <t>Lazio</t>
  </si>
  <si>
    <t>INSECTFARM S.R.L.</t>
  </si>
  <si>
    <t>13268631002</t>
  </si>
  <si>
    <t>014990</t>
  </si>
  <si>
    <t>Roma</t>
  </si>
  <si>
    <t>SOCIETA' AGRICOLA AMEDEO CHERCHI S.R.L.</t>
  </si>
  <si>
    <t>02552980902</t>
  </si>
  <si>
    <t>011120</t>
  </si>
  <si>
    <t>Sassari</t>
  </si>
  <si>
    <t>Bari</t>
  </si>
  <si>
    <t>Puglia</t>
  </si>
  <si>
    <t>011140</t>
  </si>
  <si>
    <t>011110</t>
  </si>
  <si>
    <t>ITALIAN ALMOND S.R.L.</t>
  </si>
  <si>
    <t>05393170872</t>
  </si>
  <si>
    <t>012500</t>
  </si>
  <si>
    <t>Catania</t>
  </si>
  <si>
    <t>Sicilia</t>
  </si>
  <si>
    <t>Siracusa</t>
  </si>
  <si>
    <t>Roma</t>
  </si>
  <si>
    <t>Lazio</t>
  </si>
  <si>
    <t>012100</t>
  </si>
  <si>
    <t>011320</t>
  </si>
  <si>
    <t>SOCIETA' AGRICOLA AGRIFFOLI S.R.L.</t>
  </si>
  <si>
    <t>00989070529</t>
  </si>
  <si>
    <t>Siena</t>
  </si>
  <si>
    <t>Toscana</t>
  </si>
  <si>
    <t>LO ZAFFERANETO S.R.L.S. AGRICOLA</t>
  </si>
  <si>
    <t>02042220893</t>
  </si>
  <si>
    <t>Friuli-Venezia Giulia</t>
  </si>
  <si>
    <t>LA TENUTA DI TEO D'ORO S.R.L. SOCIETA' AGRICOLA</t>
  </si>
  <si>
    <t>02855410904</t>
  </si>
  <si>
    <t>Sassari</t>
  </si>
  <si>
    <t>Sardegna</t>
  </si>
  <si>
    <t>TENUTA PLANISIUM SOCIETA' AGRICOLA A RESPONSABILITA' LIMITATA</t>
  </si>
  <si>
    <t>04292480714</t>
  </si>
  <si>
    <t>Foggia</t>
  </si>
  <si>
    <t>SOCIETA' AGRICOLA CANTINA RIBELA' S.R.L.</t>
  </si>
  <si>
    <t>13650721007</t>
  </si>
  <si>
    <t>DONNAPAOLA SOCIETA' AGRICOLA S.R.L.</t>
  </si>
  <si>
    <t>07868850723</t>
  </si>
  <si>
    <t>015000</t>
  </si>
  <si>
    <t>SOCIETA' AGRICOLA BELVEDERE SRL</t>
  </si>
  <si>
    <t>01864020936</t>
  </si>
  <si>
    <t>Pordenone</t>
  </si>
  <si>
    <t>SOCIETA' AGRICOLA TRA SERRA E LAGO S.R.L.</t>
  </si>
  <si>
    <t>02173840022</t>
  </si>
  <si>
    <t>011310</t>
  </si>
  <si>
    <t>Biella</t>
  </si>
  <si>
    <t>Piemonte</t>
  </si>
  <si>
    <t>012600</t>
  </si>
  <si>
    <t>Puglia</t>
  </si>
  <si>
    <t>015000</t>
  </si>
  <si>
    <t>CERROLUNGO SOCIETA' AGRICOLA A R.L.</t>
  </si>
  <si>
    <t>01298850114</t>
  </si>
  <si>
    <t>012100</t>
  </si>
  <si>
    <t>La Spezia</t>
  </si>
  <si>
    <t>Liguria</t>
  </si>
  <si>
    <t>Brindisi</t>
  </si>
  <si>
    <t>Campania</t>
  </si>
  <si>
    <t>Milano</t>
  </si>
  <si>
    <t>Lombardia</t>
  </si>
  <si>
    <t>Lazio</t>
  </si>
  <si>
    <t>SANTISIDORO SOCIETA' AGRICOLA S.R.L.</t>
  </si>
  <si>
    <t>07012440967</t>
  </si>
  <si>
    <t>Emilia-Romagna</t>
  </si>
  <si>
    <t>FARMECH SOCIETA' AGRICOLA S.R.L.</t>
  </si>
  <si>
    <t>11873680968</t>
  </si>
  <si>
    <t>012800</t>
  </si>
  <si>
    <t>011140</t>
  </si>
  <si>
    <t>SHAZIN SOCIETA' AGRICOLA S.R.L.</t>
  </si>
  <si>
    <t>01659410334</t>
  </si>
  <si>
    <t>Piacenza</t>
  </si>
  <si>
    <t>FATTORIA RAMERINO SOCIETA' AGRICOLA S.R.L.</t>
  </si>
  <si>
    <t>06578200484</t>
  </si>
  <si>
    <t>Firenze</t>
  </si>
  <si>
    <t>Toscana</t>
  </si>
  <si>
    <t>TENUTA ARA DEL TUFO SOCIETA' AGRICOLA A RESPONSABILITA' LIMITATA</t>
  </si>
  <si>
    <t>02935370607</t>
  </si>
  <si>
    <t>Frosinone</t>
  </si>
  <si>
    <t>ORTOVIVAI S.R.L. SOCIETA' AGRICOLA</t>
  </si>
  <si>
    <t>03049100641</t>
  </si>
  <si>
    <t>013000</t>
  </si>
  <si>
    <t>Avellino</t>
  </si>
  <si>
    <t>SOCIETA' AGRICOLA OLIVO DELLA FORTUNA S.R.L.</t>
  </si>
  <si>
    <t>02135300743</t>
  </si>
  <si>
    <t>AGRI SMART SOCIETA' AGRICOLA A R.L.</t>
  </si>
  <si>
    <t>01953650494</t>
  </si>
  <si>
    <t>Livorno</t>
  </si>
  <si>
    <t>NK SOCIETA' COOPERATIVA AGRICOLA</t>
  </si>
  <si>
    <t>11279000019</t>
  </si>
  <si>
    <t>Torino</t>
  </si>
  <si>
    <t>Piemonte</t>
  </si>
  <si>
    <t>Abruzzo</t>
  </si>
  <si>
    <t>Puglia</t>
  </si>
  <si>
    <t>SOVERAGRI - SOCIETA' AGRICOLA S.R.L.</t>
  </si>
  <si>
    <t>06869900727</t>
  </si>
  <si>
    <t>012000</t>
  </si>
  <si>
    <t>Bari</t>
  </si>
  <si>
    <t>CANNABIS PROTECTIO SOCIETA' A RESPONSABILITA' LIMITATA SEMPLIFICA TA</t>
  </si>
  <si>
    <t>03705761207</t>
  </si>
  <si>
    <t>011600</t>
  </si>
  <si>
    <t>Bologna</t>
  </si>
  <si>
    <t>Emilia-Romagna</t>
  </si>
  <si>
    <t>SOCIETA' AGRICOLA CASCINA NORESA S.R.L.</t>
  </si>
  <si>
    <t>02108970068</t>
  </si>
  <si>
    <t>012100</t>
  </si>
  <si>
    <t>Alessandria</t>
  </si>
  <si>
    <t>Piemonte</t>
  </si>
  <si>
    <t>CHATEAU LA SIROQUE SOCIETA' AGRICOLA S.R.L. SEMPLIFICATA</t>
  </si>
  <si>
    <t>01435710528</t>
  </si>
  <si>
    <t>Siena</t>
  </si>
  <si>
    <t>Toscana</t>
  </si>
  <si>
    <t>TERRA SLOW SOCIETA' A RESPONSABILITA' LIMITATA AGRICOLA</t>
  </si>
  <si>
    <t>05513690650</t>
  </si>
  <si>
    <t>011310</t>
  </si>
  <si>
    <t>Salerno</t>
  </si>
  <si>
    <t>Campania</t>
  </si>
  <si>
    <t>012600</t>
  </si>
  <si>
    <t>SOCIETA' AGRICOLA ROTELLA SRL</t>
  </si>
  <si>
    <t>00356320440</t>
  </si>
  <si>
    <t>014100</t>
  </si>
  <si>
    <t>Ascoli Piceno</t>
  </si>
  <si>
    <t>Marche</t>
  </si>
  <si>
    <t>BIO BONIZIO AGRICOLA SRLS</t>
  </si>
  <si>
    <t>08418900729</t>
  </si>
  <si>
    <t>011120</t>
  </si>
  <si>
    <t>Barletta-Andria-Trani</t>
  </si>
  <si>
    <t>Firenze</t>
  </si>
  <si>
    <t>SOCIETA' AGRICOLA CIGNALE S.R.L.</t>
  </si>
  <si>
    <t>01771390687</t>
  </si>
  <si>
    <t>Pescara</t>
  </si>
  <si>
    <t>MARYAMADO S.R.L. - SOCIETA' AGRICOLA</t>
  </si>
  <si>
    <t>06852030482</t>
  </si>
  <si>
    <t>AZIENDA AGRICOLA BALBI - FATTORIA IL CAPITANO S.R.L.</t>
  </si>
  <si>
    <t>02208310108</t>
  </si>
  <si>
    <t>GENTILE VINI SOCIETA' AGRICOLA S.R.L.</t>
  </si>
  <si>
    <t>02025020666</t>
  </si>
  <si>
    <t>L'Aquila</t>
  </si>
  <si>
    <t>AZIENDA AGRICOLA SASSOLIVE S.R.L. SEMPLIFICATA</t>
  </si>
  <si>
    <t>01644400085</t>
  </si>
  <si>
    <t>012600</t>
  </si>
  <si>
    <t>Imperia</t>
  </si>
  <si>
    <t>Liguria</t>
  </si>
  <si>
    <t>SOCIETA' AGRICOLA ROCCAVINEALIS S.R.L.</t>
  </si>
  <si>
    <t>01722630090</t>
  </si>
  <si>
    <t>012100</t>
  </si>
  <si>
    <t>Savona</t>
  </si>
  <si>
    <t>Perugia</t>
  </si>
  <si>
    <t>Umbria</t>
  </si>
  <si>
    <t>011310</t>
  </si>
  <si>
    <t>Lombardia</t>
  </si>
  <si>
    <t>AZIENDA SILVO PASTORALE NUOVA BACCARESCA S.R.L. SOCIETA' AGRICOLA</t>
  </si>
  <si>
    <t>04519181004</t>
  </si>
  <si>
    <t>015000</t>
  </si>
  <si>
    <t>SOCIETA' AGRICOLA BIRRA LOVE S.R.L.</t>
  </si>
  <si>
    <t>10338040966</t>
  </si>
  <si>
    <t>011600</t>
  </si>
  <si>
    <t>Milano</t>
  </si>
  <si>
    <t>SANT'ANASTASIO SOCIETA' AGRICOLA S.R.L.</t>
  </si>
  <si>
    <t>06587300481</t>
  </si>
  <si>
    <t>Firenze</t>
  </si>
  <si>
    <t>Toscana</t>
  </si>
  <si>
    <t>Pisa</t>
  </si>
  <si>
    <t>CAPICHERA LOMELLINA SOCIETA' AGRICOLA S.R.L.</t>
  </si>
  <si>
    <t>02079140907</t>
  </si>
  <si>
    <t>Sassari</t>
  </si>
  <si>
    <t>Sardegna</t>
  </si>
  <si>
    <t>SOCIETA' AGRICOLA GDM S.R.L.</t>
  </si>
  <si>
    <t>04214371009</t>
  </si>
  <si>
    <t>010000</t>
  </si>
  <si>
    <t>Roma</t>
  </si>
  <si>
    <t>Lazio</t>
  </si>
  <si>
    <t>FATTORIA DI CORAZZANO SOCIETA' AGRICOLA A RESPONSABILITA' LIMITATA</t>
  </si>
  <si>
    <t>01254080508</t>
  </si>
  <si>
    <t>012100</t>
  </si>
  <si>
    <t>015000</t>
  </si>
  <si>
    <t>AZIENDA AGRICOLA IL SARACELLO - SOCIETA' A RESPONSABILITA' LIMITATA AGRICOLA</t>
  </si>
  <si>
    <t>01838350492</t>
  </si>
  <si>
    <t>014500</t>
  </si>
  <si>
    <t>Livorno</t>
  </si>
  <si>
    <t>Toscana</t>
  </si>
  <si>
    <t>Campania</t>
  </si>
  <si>
    <t>TENUTA DEI MILLE SOCIETA' AGRICOLA A RESPONSABILITA' LIMITATA</t>
  </si>
  <si>
    <t>02326720840</t>
  </si>
  <si>
    <t>012500</t>
  </si>
  <si>
    <t>Agrigento</t>
  </si>
  <si>
    <t>Sicilia</t>
  </si>
  <si>
    <t>VISTA CASTELLO FATTORIA E VIGNETI SOCIETA' AGRICOLA A RESPONSABILITA' LIMITATA</t>
  </si>
  <si>
    <t>07143500481</t>
  </si>
  <si>
    <t>Firenze</t>
  </si>
  <si>
    <t>SOCIETA' AGRICOLA CIRIGA S.R.L.</t>
  </si>
  <si>
    <t>01661380889</t>
  </si>
  <si>
    <t>011320</t>
  </si>
  <si>
    <t>Ragusa</t>
  </si>
  <si>
    <t>COLLE ALBERTO SOCIETA' AGRICOLA A RESPONSABILITA' LIMITATA</t>
  </si>
  <si>
    <t>01384380471</t>
  </si>
  <si>
    <t>Pistoia</t>
  </si>
  <si>
    <t>LA BOTTE S.R.L.</t>
  </si>
  <si>
    <t>05084770659</t>
  </si>
  <si>
    <t>Salerno</t>
  </si>
  <si>
    <t>IL CASALE DELLE VIGNE SRLS SOCIETA' AGRICOLA</t>
  </si>
  <si>
    <t>02963540592</t>
  </si>
  <si>
    <t>012100</t>
  </si>
  <si>
    <t>Latina</t>
  </si>
  <si>
    <t>Lazio</t>
  </si>
  <si>
    <t>Brescia</t>
  </si>
  <si>
    <t>Lombardia</t>
  </si>
  <si>
    <t>016100</t>
  </si>
  <si>
    <t>POCCI E DONDOLI SOCIETA' AGRICOLA SRL</t>
  </si>
  <si>
    <t>01558590525</t>
  </si>
  <si>
    <t>Siena</t>
  </si>
  <si>
    <t>Toscana</t>
  </si>
  <si>
    <t>SOCIETA' AGRICOLA AMOR VITAE SOCIETA' A RESPONSABILITA' LIMITATA SEMPLIFICATA</t>
  </si>
  <si>
    <t>03100630593</t>
  </si>
  <si>
    <t>LA TORRE S.R.L. - SOCIETA' AGRICOLA</t>
  </si>
  <si>
    <t>04355330236</t>
  </si>
  <si>
    <t>Verona</t>
  </si>
  <si>
    <t>Veneto</t>
  </si>
  <si>
    <t>Roma</t>
  </si>
  <si>
    <t>AGRICOLA LUNIGIANA SANTA CHIARA S.R.L. - SOCIETA' AGRICOLA</t>
  </si>
  <si>
    <t>01064760455</t>
  </si>
  <si>
    <t>012000</t>
  </si>
  <si>
    <t>Massa-Carrara</t>
  </si>
  <si>
    <t>BARISELLI AGROSERVIZI SRL</t>
  </si>
  <si>
    <t>04402850988</t>
  </si>
  <si>
    <t>TERRE DEL PRINCIPE - SOCIETA' AGRICOLA A R. L.</t>
  </si>
  <si>
    <t>02975740610</t>
  </si>
  <si>
    <t>Caserta</t>
  </si>
  <si>
    <t>Campania</t>
  </si>
  <si>
    <t>SOCIETA' AGRICOLA PIAN DELLE VETTE S.R.L.</t>
  </si>
  <si>
    <t>01186430250</t>
  </si>
  <si>
    <t>Belluno</t>
  </si>
  <si>
    <t>FATTORIA DI CORNIOLA S.R.L.- SOCIETA' AGRICOLA</t>
  </si>
  <si>
    <t>06585880484</t>
  </si>
  <si>
    <t>Firenze</t>
  </si>
  <si>
    <t>SOCIETA' AGRICOLA ANTICHI GRANI S.R.L.</t>
  </si>
  <si>
    <t>14224401001</t>
  </si>
  <si>
    <t>012800</t>
  </si>
  <si>
    <t>SOCIETA' AGRICOLA MONGALE &amp; CO. S.R.L.</t>
  </si>
  <si>
    <t>13933751003</t>
  </si>
  <si>
    <t>010000</t>
  </si>
  <si>
    <t>SOCIETA' AGRICOLA PANIN S.R.L.</t>
  </si>
  <si>
    <t>04504810260</t>
  </si>
  <si>
    <t>Treviso</t>
  </si>
  <si>
    <t>011300</t>
  </si>
  <si>
    <t>Lombardia</t>
  </si>
  <si>
    <t>TORRE SAN MARTINO SOCIETA' AGRICOLA S.R.L. IN BREVE TORRE SOC. AGR S.R.L.</t>
  </si>
  <si>
    <t>02104690397</t>
  </si>
  <si>
    <t>012000</t>
  </si>
  <si>
    <t>Roma</t>
  </si>
  <si>
    <t>Lazio</t>
  </si>
  <si>
    <t>DELLAGRI SOCIETA' COOPERATIVA AGRICOLA</t>
  </si>
  <si>
    <t>04429120712</t>
  </si>
  <si>
    <t>011310</t>
  </si>
  <si>
    <t>Foggia</t>
  </si>
  <si>
    <t>Puglia</t>
  </si>
  <si>
    <t>012100</t>
  </si>
  <si>
    <t>Toscana</t>
  </si>
  <si>
    <t>CASE MARCOSANTI S.R.L. SOCIETA' AGRICOLA</t>
  </si>
  <si>
    <t>04096280401</t>
  </si>
  <si>
    <t>Rimini</t>
  </si>
  <si>
    <t>Emilia-Romagna</t>
  </si>
  <si>
    <t>SANT'UBERTO SOCIETA' AGRICOLA S.R.L.</t>
  </si>
  <si>
    <t>08155680963</t>
  </si>
  <si>
    <t>014990</t>
  </si>
  <si>
    <t>Varese</t>
  </si>
  <si>
    <t>Sicilia</t>
  </si>
  <si>
    <t>ISOLA DELLE FALCOLE SRL SOCIETA' AGRICOLA</t>
  </si>
  <si>
    <t>06731950488</t>
  </si>
  <si>
    <t>Firenze</t>
  </si>
  <si>
    <t>C.A.I.F.E. SOCIETA' COOPERATIVA - AGRICOLA - IDRAULICO - FORESTAL E - EDILE</t>
  </si>
  <si>
    <t>00596270835</t>
  </si>
  <si>
    <t>Messina</t>
  </si>
  <si>
    <t>016100</t>
  </si>
  <si>
    <t>AGRICOLA LOMBARDA SRL</t>
  </si>
  <si>
    <t>02212540153</t>
  </si>
  <si>
    <t>015000</t>
  </si>
  <si>
    <t>Milano</t>
  </si>
  <si>
    <t>Lombardia</t>
  </si>
  <si>
    <t>Toscana</t>
  </si>
  <si>
    <t>RANZI S.R.L.</t>
  </si>
  <si>
    <t>03077110215</t>
  </si>
  <si>
    <t>Bolzano/Bozen</t>
  </si>
  <si>
    <t>Trentino-Alto Adige</t>
  </si>
  <si>
    <t>OLEIFICIO SOCIALE VALDINIEVOLE SOCIETA COOPERATIVA AGRICOLA</t>
  </si>
  <si>
    <t>00125400473</t>
  </si>
  <si>
    <t>Pistoia</t>
  </si>
  <si>
    <t>SOCIETA' AGRICOLA CANTINE VIOLA S.R.L.</t>
  </si>
  <si>
    <t>03412220786</t>
  </si>
  <si>
    <t>012100</t>
  </si>
  <si>
    <t>Cosenza</t>
  </si>
  <si>
    <t>Calabria</t>
  </si>
  <si>
    <t>Emilia-Romagna</t>
  </si>
  <si>
    <t>Abruzzo</t>
  </si>
  <si>
    <t>SOCIETA' AGRICOLA ZEFIRA S.R.L.</t>
  </si>
  <si>
    <t>03397281209</t>
  </si>
  <si>
    <t>011140</t>
  </si>
  <si>
    <t>Bologna</t>
  </si>
  <si>
    <t>SOCIETA' COOPERATIVA AGRICOLA LUPPOLO &amp; CO. A R.L.</t>
  </si>
  <si>
    <t>02038390676</t>
  </si>
  <si>
    <t>012800</t>
  </si>
  <si>
    <t>Teramo</t>
  </si>
  <si>
    <t>COOP. AGRICOLA MASSERIE DEL PARCO</t>
  </si>
  <si>
    <t>01580270674</t>
  </si>
  <si>
    <t>015000</t>
  </si>
  <si>
    <t>TERRAMICA SOCIETA' COOPERATIVA SOCIALE</t>
  </si>
  <si>
    <t>04953460260</t>
  </si>
  <si>
    <t>011300</t>
  </si>
  <si>
    <t>Treviso</t>
  </si>
  <si>
    <t>Veneto</t>
  </si>
  <si>
    <t>Puglia</t>
  </si>
  <si>
    <t>MASSERIA DUCA D'ASCOLI S.R.L. SOCIETA' AGRICOLA</t>
  </si>
  <si>
    <t>03453140711</t>
  </si>
  <si>
    <t>012000</t>
  </si>
  <si>
    <t>Foggia</t>
  </si>
  <si>
    <t>SOCIETA' AGRICOLA S.I.A. - S.R.L.</t>
  </si>
  <si>
    <t>01261880155</t>
  </si>
  <si>
    <t>Cremona</t>
  </si>
  <si>
    <t>Lombardia</t>
  </si>
  <si>
    <t>Basilicata</t>
  </si>
  <si>
    <t>TENUTA TERRE VALDIANO S.R.L. SOCIETA' AGRICOLA</t>
  </si>
  <si>
    <t>05673970652</t>
  </si>
  <si>
    <t>012600</t>
  </si>
  <si>
    <t>Salerno</t>
  </si>
  <si>
    <t>Campania</t>
  </si>
  <si>
    <t>MANCINI DANIELA S.R.L. SOCIETA' UNIPERSONALE</t>
  </si>
  <si>
    <t>02493030791</t>
  </si>
  <si>
    <t>014930</t>
  </si>
  <si>
    <t>Catanzaro</t>
  </si>
  <si>
    <t>Calabria</t>
  </si>
  <si>
    <t>016300</t>
  </si>
  <si>
    <t>Sicilia</t>
  </si>
  <si>
    <t>IMMCAS SOCIETA' AGRICOLA S.R.L.</t>
  </si>
  <si>
    <t>09932420152</t>
  </si>
  <si>
    <t>Siena</t>
  </si>
  <si>
    <t>Toscana</t>
  </si>
  <si>
    <t>016100</t>
  </si>
  <si>
    <t>Lecce</t>
  </si>
  <si>
    <t>Puglia</t>
  </si>
  <si>
    <t>SOCIETA' AGRICOLA MG FLORPLANT S.R.L.</t>
  </si>
  <si>
    <t>01962060784</t>
  </si>
  <si>
    <t>011910</t>
  </si>
  <si>
    <t>Cosenza</t>
  </si>
  <si>
    <t>SOCIETA' AGRICOLA CACALUPI CASTELLANA S.R.L.</t>
  </si>
  <si>
    <t>04394700753</t>
  </si>
  <si>
    <t>DONNA CONCETTA - SOCIETA' COOPERATIVA AGRICOLA</t>
  </si>
  <si>
    <t>03705240715</t>
  </si>
  <si>
    <t>012100</t>
  </si>
  <si>
    <t>Foggia</t>
  </si>
  <si>
    <t>SOCIETA' AGRICOLA DOMIZIANO SOCIETA' A RESPONSABILITA' LIMITATA</t>
  </si>
  <si>
    <t>02386590745</t>
  </si>
  <si>
    <t>Brindisi</t>
  </si>
  <si>
    <t>LAND, FOOD &amp; BEVERAGE SOCIETA' COOPERATIVA AGRICOLA</t>
  </si>
  <si>
    <t>03907710713</t>
  </si>
  <si>
    <t>011140</t>
  </si>
  <si>
    <t>PREDIUM SOCIETA' AGRICOLA COOPERATIVA</t>
  </si>
  <si>
    <t>01586750760</t>
  </si>
  <si>
    <t>Potenza</t>
  </si>
  <si>
    <t>AZIENDA AGRICOLA F.LLI LA CARA SOCIETA' AGRICOLA A RESPONSABILITA LIMITATA SEMPLIFICATA</t>
  </si>
  <si>
    <t>01207120864</t>
  </si>
  <si>
    <t>011300</t>
  </si>
  <si>
    <t>Enna</t>
  </si>
  <si>
    <t>SOCIETA' AGRICOLA LA PADULA S.R.L.</t>
  </si>
  <si>
    <t>04841460753</t>
  </si>
  <si>
    <t>011310</t>
  </si>
  <si>
    <t>Emilia-Romagna</t>
  </si>
  <si>
    <t>Trapani</t>
  </si>
  <si>
    <t>SOCIETA' AGRICOLA TERRE DI S. MAMANTE E ORIOLO OPERE PIE FAENZA S.R.L.</t>
  </si>
  <si>
    <t>02290330394</t>
  </si>
  <si>
    <t>Ravenna</t>
  </si>
  <si>
    <t>TERRA DIVES S.R.L. SOCIETA' AGRICOLA</t>
  </si>
  <si>
    <t>02749940819</t>
  </si>
  <si>
    <t>SAMAGRI S.R.L.</t>
  </si>
  <si>
    <t>05643630659</t>
  </si>
  <si>
    <t>012100</t>
  </si>
  <si>
    <t>Lombardia</t>
  </si>
  <si>
    <t>012500</t>
  </si>
  <si>
    <t>Latina</t>
  </si>
  <si>
    <t>Lazio</t>
  </si>
  <si>
    <t>PAPALINO SOCIETA' AGRICOLA S.R.L.</t>
  </si>
  <si>
    <t>02238070565</t>
  </si>
  <si>
    <t>Viterbo</t>
  </si>
  <si>
    <t>Salerno</t>
  </si>
  <si>
    <t>Campania</t>
  </si>
  <si>
    <t>SOCIETA' AGRICOLA FASANARELLA S.R.L.</t>
  </si>
  <si>
    <t>05109470657</t>
  </si>
  <si>
    <t>GARDENFUTURA SOCIETA' A RESPONSABILITA' LIMITATA SEMPLIFICATA</t>
  </si>
  <si>
    <t>02489670204</t>
  </si>
  <si>
    <t>013000</t>
  </si>
  <si>
    <t>Mantova</t>
  </si>
  <si>
    <t>MASA SOCIETA' AGRICOLA A RESPONSABILITA' LIMITATA</t>
  </si>
  <si>
    <t>03024740593</t>
  </si>
  <si>
    <t>011990</t>
  </si>
  <si>
    <t>Foggia</t>
  </si>
  <si>
    <t>Puglia</t>
  </si>
  <si>
    <t>012600</t>
  </si>
  <si>
    <t>SOCIETA' AGRICOLA VIGNE GUADAGNO S.R.L. UNIPERSONALE</t>
  </si>
  <si>
    <t>02733470641</t>
  </si>
  <si>
    <t>012100</t>
  </si>
  <si>
    <t>Avellino</t>
  </si>
  <si>
    <t>Campania</t>
  </si>
  <si>
    <t>VENETO LATTE SOCIETA' COOPERATIVA AGRICOLA</t>
  </si>
  <si>
    <t>04725150264</t>
  </si>
  <si>
    <t>016209</t>
  </si>
  <si>
    <t>Treviso</t>
  </si>
  <si>
    <t>Veneto</t>
  </si>
  <si>
    <t>GIA.CI. SRLS UNIPERSONALE</t>
  </si>
  <si>
    <t>01603470889</t>
  </si>
  <si>
    <t>015000</t>
  </si>
  <si>
    <t>Ragusa</t>
  </si>
  <si>
    <t>Sicilia</t>
  </si>
  <si>
    <t>TRALCI HIRPINI SOCIETA' AGRICOLA SRL</t>
  </si>
  <si>
    <t>03063400646</t>
  </si>
  <si>
    <t>SOCIETA' AGRICOLA DONIGA SRL</t>
  </si>
  <si>
    <t>03742030715</t>
  </si>
  <si>
    <t>012100</t>
  </si>
  <si>
    <t>CASALTA SOCIETA' AGRICOLA A R.L..</t>
  </si>
  <si>
    <t>03778800544</t>
  </si>
  <si>
    <t>011110</t>
  </si>
  <si>
    <t>Perugia</t>
  </si>
  <si>
    <t>Umbria</t>
  </si>
  <si>
    <t>SOCIETA' AGRICOLA PERETO S.R.L.</t>
  </si>
  <si>
    <t>03024660544</t>
  </si>
  <si>
    <t>AGRINOPAL S.R.L. - SOCIETA' AGRICOLA</t>
  </si>
  <si>
    <t>05651810870</t>
  </si>
  <si>
    <t>012900</t>
  </si>
  <si>
    <t>Catania</t>
  </si>
  <si>
    <t>Sicilia</t>
  </si>
  <si>
    <t>Puglia</t>
  </si>
  <si>
    <t>SOCIETA' AGRICOLA CASELLEONE S.R.L.</t>
  </si>
  <si>
    <t>03136170150</t>
  </si>
  <si>
    <t>Milano</t>
  </si>
  <si>
    <t>Lombardia</t>
  </si>
  <si>
    <t>SOCIETA' COOPERATIVA AGRICOLA VENERI</t>
  </si>
  <si>
    <t>02312440742</t>
  </si>
  <si>
    <t>012600</t>
  </si>
  <si>
    <t>Brindisi</t>
  </si>
  <si>
    <t>IL VECCHIO GINEPRO SOCIETA' AGRICOLA S.R.L.</t>
  </si>
  <si>
    <t>02602200905</t>
  </si>
  <si>
    <t>014200</t>
  </si>
  <si>
    <t>Sassari</t>
  </si>
  <si>
    <t>Sardegna</t>
  </si>
  <si>
    <t>I SASSOLI SOCIETA' AGRICOLA A RESPONSABILITA' LIMITATA</t>
  </si>
  <si>
    <t>04031830484</t>
  </si>
  <si>
    <t>012000</t>
  </si>
  <si>
    <t>Firenze</t>
  </si>
  <si>
    <t>Toscana</t>
  </si>
  <si>
    <t>NERI SOCIETA' AGRICOLA A R.L.</t>
  </si>
  <si>
    <t>05405790873</t>
  </si>
  <si>
    <t>LUMINOSITA' SRL</t>
  </si>
  <si>
    <t>01441430525</t>
  </si>
  <si>
    <t>Siena</t>
  </si>
  <si>
    <t>Emilia-Romagna</t>
  </si>
  <si>
    <t>016100</t>
  </si>
  <si>
    <t>012100</t>
  </si>
  <si>
    <t>Veneto</t>
  </si>
  <si>
    <t>GES SOCIETA' AGRICOLA A RESPONSABILITA' LIMITATA</t>
  </si>
  <si>
    <t>01604240299</t>
  </si>
  <si>
    <t>012500</t>
  </si>
  <si>
    <t>Rovigo</t>
  </si>
  <si>
    <t>GREEN GUYS' FARM S.R.L.S.</t>
  </si>
  <si>
    <t>03772111203</t>
  </si>
  <si>
    <t>011910</t>
  </si>
  <si>
    <t>Bologna</t>
  </si>
  <si>
    <t>Sicilia</t>
  </si>
  <si>
    <t>Cuneo</t>
  </si>
  <si>
    <t>Piemonte</t>
  </si>
  <si>
    <t>CORTE NOGAROLA S.R.L.</t>
  </si>
  <si>
    <t>03200290249</t>
  </si>
  <si>
    <t>011110</t>
  </si>
  <si>
    <t>Vicenza</t>
  </si>
  <si>
    <t>SOCIETA' AGRICOLA TENUTA CAMPO AL SIGNORE S.R.L.</t>
  </si>
  <si>
    <t>01657410492</t>
  </si>
  <si>
    <t>Livorno</t>
  </si>
  <si>
    <t>Toscana</t>
  </si>
  <si>
    <t>TENUTA TARCISIO MAULE S.R.L. - SOCIETA' AGRICOLA</t>
  </si>
  <si>
    <t>04183740242</t>
  </si>
  <si>
    <t>SOCIETA' COOPERATIVA AGRICOLA DELL'AGLIO</t>
  </si>
  <si>
    <t>06528470724</t>
  </si>
  <si>
    <t>Barletta-Andria-Trani</t>
  </si>
  <si>
    <t>Puglia</t>
  </si>
  <si>
    <t>ASOLO MANOR SOCIETA' AGRICOLA S.R.L.</t>
  </si>
  <si>
    <t>03648020240</t>
  </si>
  <si>
    <t>Treviso</t>
  </si>
  <si>
    <t>AMICHEAPI SOCIETA' COOPERATIVA AGRICOLA</t>
  </si>
  <si>
    <t>06772230824</t>
  </si>
  <si>
    <t>014930</t>
  </si>
  <si>
    <t>Palermo</t>
  </si>
  <si>
    <t>SOCIETA' AGRICOLA DELLE MONACHE S.R.L.</t>
  </si>
  <si>
    <t>02747500425</t>
  </si>
  <si>
    <t>Ancona</t>
  </si>
  <si>
    <t>Marche</t>
  </si>
  <si>
    <t>AOP PIEMONTE SOCIETA' CONSORTILE A RESPONSABILITA' LIMITATA IN SIGLA AOP PIEMONTE SOC. CONS. A R.L.</t>
  </si>
  <si>
    <t>03349350045</t>
  </si>
  <si>
    <t>BORGO SETTE TIGLI SRL SOCIETA' AGRICOLA</t>
  </si>
  <si>
    <t>03058670211</t>
  </si>
  <si>
    <t>Bolzano/Bozen</t>
  </si>
  <si>
    <t>Trentino-Alto Adige</t>
  </si>
  <si>
    <t>SOCIETA' AGRICOLA CAPACCHIONE S.R.L.S.</t>
  </si>
  <si>
    <t>05773220651</t>
  </si>
  <si>
    <t>011320</t>
  </si>
  <si>
    <t>Salerno</t>
  </si>
  <si>
    <t>Campania</t>
  </si>
  <si>
    <t>012100</t>
  </si>
  <si>
    <t>Foggia</t>
  </si>
  <si>
    <t>Puglia</t>
  </si>
  <si>
    <t>FATTORIA GAGLIERANO SRL UNIPERSONALE SOCIETA' AGRICOLA</t>
  </si>
  <si>
    <t>01901490688</t>
  </si>
  <si>
    <t>Pescara</t>
  </si>
  <si>
    <t>Abruzzo</t>
  </si>
  <si>
    <t>011110</t>
  </si>
  <si>
    <t>Roma</t>
  </si>
  <si>
    <t>Lazio</t>
  </si>
  <si>
    <t>EMMAUS - SOCIETA' COOPERATIVA SOCIALE A R.L.</t>
  </si>
  <si>
    <t>00492620711</t>
  </si>
  <si>
    <t>014500</t>
  </si>
  <si>
    <t>SOCIETA' AGRICOLA LE PILE A RESPONSABILITA' LIMITATA (IN BREVE SOCIETA' AGRICOLA LE PILE A R.L.)</t>
  </si>
  <si>
    <t>05904651006</t>
  </si>
  <si>
    <t>015000</t>
  </si>
  <si>
    <t>012500</t>
  </si>
  <si>
    <t>Campania</t>
  </si>
  <si>
    <t>Salerno</t>
  </si>
  <si>
    <t>012100</t>
  </si>
  <si>
    <t>Sicilia</t>
  </si>
  <si>
    <t>SOCIETA' AGRICOLA CANTINA POGGIO CIGNANO S.R.L.</t>
  </si>
  <si>
    <t>02732620733</t>
  </si>
  <si>
    <t>Taranto</t>
  </si>
  <si>
    <t>Puglia</t>
  </si>
  <si>
    <t>VALLE DEL SALTO S.R.L. AGRICOLA</t>
  </si>
  <si>
    <t>03429440799</t>
  </si>
  <si>
    <t>Catanzaro</t>
  </si>
  <si>
    <t>Calabria</t>
  </si>
  <si>
    <t>FEUDI CROCIFISSI S.R.L. - SOCIETA' AGRICOLA</t>
  </si>
  <si>
    <t>04698220656</t>
  </si>
  <si>
    <t>GREEN VALLEY AZIENDA AGRICOLA SRL</t>
  </si>
  <si>
    <t>03491290833</t>
  </si>
  <si>
    <t>012300</t>
  </si>
  <si>
    <t>Messina</t>
  </si>
  <si>
    <t>011310</t>
  </si>
  <si>
    <t>Catania</t>
  </si>
  <si>
    <t>Sicilia</t>
  </si>
  <si>
    <t>Piemonte</t>
  </si>
  <si>
    <t>012900</t>
  </si>
  <si>
    <t>SOCIETA' AGRICOLA ANNESE S.R.L.</t>
  </si>
  <si>
    <t>07956100726</t>
  </si>
  <si>
    <t>Bari</t>
  </si>
  <si>
    <t>Puglia</t>
  </si>
  <si>
    <t>S.I.L.O. S.R.L.</t>
  </si>
  <si>
    <t>01337030595</t>
  </si>
  <si>
    <t>016000</t>
  </si>
  <si>
    <t>Latina</t>
  </si>
  <si>
    <t>Lazio</t>
  </si>
  <si>
    <t>012100</t>
  </si>
  <si>
    <t>012500</t>
  </si>
  <si>
    <t>SOCIETA' AGRICOLA ORGANIC GARDEN SRL</t>
  </si>
  <si>
    <t>03528630837</t>
  </si>
  <si>
    <t>Messina</t>
  </si>
  <si>
    <t>KAIROS - SOCIETA' COOPERATIVA AGRICOLA</t>
  </si>
  <si>
    <t>05586770876</t>
  </si>
  <si>
    <t>SOCIETA' AGRICOLA MONTESE S.R.L.</t>
  </si>
  <si>
    <t>00280720459</t>
  </si>
  <si>
    <t>014200</t>
  </si>
  <si>
    <t>Massa-Carrara</t>
  </si>
  <si>
    <t>Toscana</t>
  </si>
  <si>
    <t>TENUTA DI POGGIO S.R.L. SOCIETA' AGRICOLA</t>
  </si>
  <si>
    <t>02078670508</t>
  </si>
  <si>
    <t>Pisa</t>
  </si>
  <si>
    <t>BORDIGA SOCIETA' AGRICOLA A RESPONSABILITA' LIMITATA</t>
  </si>
  <si>
    <t>03972070043</t>
  </si>
  <si>
    <t>012700</t>
  </si>
  <si>
    <t>Cuneo</t>
  </si>
  <si>
    <t>ROCCA MADRE SOCIETA' COOPERATIVA AGRICOLA DI COMUNITA'</t>
  </si>
  <si>
    <t>02286580440</t>
  </si>
  <si>
    <t>011310</t>
  </si>
  <si>
    <t>Fermo</t>
  </si>
  <si>
    <t>Marche</t>
  </si>
  <si>
    <t>011110</t>
  </si>
  <si>
    <t>012100</t>
  </si>
  <si>
    <t>Emilia-Romagna</t>
  </si>
  <si>
    <t>AZIENDA AGRICOLA TURRICCHIA ARTURO S.R.L.</t>
  </si>
  <si>
    <t>00804351203</t>
  </si>
  <si>
    <t>011000</t>
  </si>
  <si>
    <t>Bologna</t>
  </si>
  <si>
    <t>VINOFFIDA S.R.L. AGRICOLA</t>
  </si>
  <si>
    <t>01733560443</t>
  </si>
  <si>
    <t>Ascoli Piceno</t>
  </si>
  <si>
    <t>Calabria</t>
  </si>
  <si>
    <t>Sicilia</t>
  </si>
  <si>
    <t>SOCIETA' AGRICOLA BARILLARO SOCIETA' A RESPONSABILITA' LIMITATA</t>
  </si>
  <si>
    <t>03083930796</t>
  </si>
  <si>
    <t>012900</t>
  </si>
  <si>
    <t>Catanzaro</t>
  </si>
  <si>
    <t>ERBA BONA - CONSORZIO PRODUTTORI ERBE OFFICINALI</t>
  </si>
  <si>
    <t>02101840037</t>
  </si>
  <si>
    <t>Verbano-Cusio-Ossola</t>
  </si>
  <si>
    <t>Piemonte</t>
  </si>
  <si>
    <t>SPACE JUNGLE S.R.L.</t>
  </si>
  <si>
    <t>12138340018</t>
  </si>
  <si>
    <t>013000</t>
  </si>
  <si>
    <t>Torino</t>
  </si>
  <si>
    <t>012300</t>
  </si>
  <si>
    <t>SAPORI DI SICILIA - SOCIETA' COOPERATIVA</t>
  </si>
  <si>
    <t>04398850877</t>
  </si>
  <si>
    <t>Catania</t>
  </si>
  <si>
    <t>DONNA MARIA S.R.L. SOCIETA' AGRICOLA</t>
  </si>
  <si>
    <t>04303810610</t>
  </si>
  <si>
    <t>012100</t>
  </si>
  <si>
    <t>Caserta</t>
  </si>
  <si>
    <t>Campania</t>
  </si>
  <si>
    <t>Piemonte</t>
  </si>
  <si>
    <t>012600</t>
  </si>
  <si>
    <t>Toscana</t>
  </si>
  <si>
    <t>DUE COMUNI SOCIETA AGRICOLA A RESPONSABILITA LIMITATA SEMPLIFICATA</t>
  </si>
  <si>
    <t>02183390505</t>
  </si>
  <si>
    <t>014930</t>
  </si>
  <si>
    <t>Pisa</t>
  </si>
  <si>
    <t>014100</t>
  </si>
  <si>
    <t>011110</t>
  </si>
  <si>
    <t>SOCIETA' AGRICOLA MONTEGRAPPA SRL</t>
  </si>
  <si>
    <t>04387590286</t>
  </si>
  <si>
    <t>Padova</t>
  </si>
  <si>
    <t>Veneto</t>
  </si>
  <si>
    <t>IL BORGO DELLA CANAPA SRL - SOCIETA' AGRICOLA BENEFIT</t>
  </si>
  <si>
    <t>01684350539</t>
  </si>
  <si>
    <t>011910</t>
  </si>
  <si>
    <t>Grosseto</t>
  </si>
  <si>
    <t>I TALENTI AZIENDA AGRICOLA DEI PADRI TRINITARI S.R.L. UNIPERSONAL E</t>
  </si>
  <si>
    <t>01689060760</t>
  </si>
  <si>
    <t>Potenza</t>
  </si>
  <si>
    <t>Basilicata</t>
  </si>
  <si>
    <t>TENUTA LA FORTEZZA SOCIETA' AGRICOLA A R. L.</t>
  </si>
  <si>
    <t>01721700621</t>
  </si>
  <si>
    <t>Benevento</t>
  </si>
  <si>
    <t>VIGNE DEI MASTRI SOCIETA' AGRICOLA A RESPONSABILITA' LIMITATA</t>
  </si>
  <si>
    <t>01337010050</t>
  </si>
  <si>
    <t>Asti</t>
  </si>
  <si>
    <t>AD MAIORA SOCIETA' AGRICOLA S.R.L.</t>
  </si>
  <si>
    <t>03338320546</t>
  </si>
  <si>
    <t>Perugia</t>
  </si>
  <si>
    <t>Umbria</t>
  </si>
  <si>
    <t>011110</t>
  </si>
  <si>
    <t>Veneto</t>
  </si>
  <si>
    <t>012100</t>
  </si>
  <si>
    <t>Catania</t>
  </si>
  <si>
    <t>Sicilia</t>
  </si>
  <si>
    <t>FATTORIA SOCIALE PAIDEIA IMPRESA SOCIALE SOCIETA' AGRICOLA S.R.L.</t>
  </si>
  <si>
    <t>11765660011</t>
  </si>
  <si>
    <t>015000</t>
  </si>
  <si>
    <t>Torino</t>
  </si>
  <si>
    <t>Piemonte</t>
  </si>
  <si>
    <t>012300</t>
  </si>
  <si>
    <t>FATTORIA ZACCARI SOCIETA' AGRICOLA A RESPONSABILITA' LIMITATA</t>
  </si>
  <si>
    <t>01658510621</t>
  </si>
  <si>
    <t>014700</t>
  </si>
  <si>
    <t>Benevento</t>
  </si>
  <si>
    <t>Campania</t>
  </si>
  <si>
    <t>LA MASCA - SOCIETA' COOPERATIVA AGRICOLA</t>
  </si>
  <si>
    <t>01274190055</t>
  </si>
  <si>
    <t>014500</t>
  </si>
  <si>
    <t>Asti</t>
  </si>
  <si>
    <t>SOCIETA' AGRICOLA LA QUIETE S.R.L.</t>
  </si>
  <si>
    <t>01482130521</t>
  </si>
  <si>
    <t>Siena</t>
  </si>
  <si>
    <t>Toscana</t>
  </si>
  <si>
    <t>Pordenone</t>
  </si>
  <si>
    <t>Friuli-Venezia Giulia</t>
  </si>
  <si>
    <t>FIDES SOCIETA' AGRICOLA A RESPONSABILITA' LIMITATA</t>
  </si>
  <si>
    <t>01398480937</t>
  </si>
  <si>
    <t>SCARAFILE SOCIETA' AGRICOLA SRL</t>
  </si>
  <si>
    <t>02496320744</t>
  </si>
  <si>
    <t>012600</t>
  </si>
  <si>
    <t>Brindisi</t>
  </si>
  <si>
    <t>Puglia</t>
  </si>
  <si>
    <t>CIMA SRL</t>
  </si>
  <si>
    <t>01834370262</t>
  </si>
  <si>
    <t>Treviso</t>
  </si>
  <si>
    <t>LA SELVA ALLEVAMENTO PIAN DEL LAGO S.R.L. - SOCIETA' AGRICOLA</t>
  </si>
  <si>
    <t>00524860525</t>
  </si>
  <si>
    <t>014300</t>
  </si>
  <si>
    <t>011140</t>
  </si>
  <si>
    <t>IL CASALE DELL'OTTOCENTO S.R.L.</t>
  </si>
  <si>
    <t>03751090873</t>
  </si>
  <si>
    <t>NEW POGGINO SOCIETA' AGRICOLA S.R.L.</t>
  </si>
  <si>
    <t>01429860529</t>
  </si>
  <si>
    <t>SOCIETA' AGRICOLA CA' LEALTA' S.R.L.</t>
  </si>
  <si>
    <t>02955120247</t>
  </si>
  <si>
    <t>Venezia</t>
  </si>
  <si>
    <t>CASTELGARO SOCIETA' AGRICOLA S.R.L.</t>
  </si>
  <si>
    <t>01462080050</t>
  </si>
  <si>
    <t>012100</t>
  </si>
  <si>
    <t>SOCIETA' AGRICOLA SANVITIS SOCIETA' A RESPONSABILITA' LIMITATA</t>
  </si>
  <si>
    <t>13135621004</t>
  </si>
  <si>
    <t>Roma</t>
  </si>
  <si>
    <t>Lazio</t>
  </si>
  <si>
    <t>SOCIETA' AGRICOLA SANTIMARTINI S.R.L.</t>
  </si>
  <si>
    <t>01206990622</t>
  </si>
  <si>
    <t>Benevento</t>
  </si>
  <si>
    <t>Campania</t>
  </si>
  <si>
    <t>FATTORIA POGGIO PONETA SOCIETA' AGRICOLA S.R.L.</t>
  </si>
  <si>
    <t>03851840482</t>
  </si>
  <si>
    <t>Firenze</t>
  </si>
  <si>
    <t>Toscana</t>
  </si>
  <si>
    <t>Piemonte</t>
  </si>
  <si>
    <t>AZIENDA AGRICOLA VISCONTI DI SAN VITO - S.R.L.</t>
  </si>
  <si>
    <t>13204410156</t>
  </si>
  <si>
    <t>011000</t>
  </si>
  <si>
    <t>Milano</t>
  </si>
  <si>
    <t>Lombardia</t>
  </si>
  <si>
    <t>SOCIETA' AGRICOLA GIORGI SRL</t>
  </si>
  <si>
    <t>01465290110</t>
  </si>
  <si>
    <t>La Spezia</t>
  </si>
  <si>
    <t>Liguria</t>
  </si>
  <si>
    <t>CARBONE VINI S.R.L.S. AGRICOLA</t>
  </si>
  <si>
    <t>02072980762</t>
  </si>
  <si>
    <t>Potenza</t>
  </si>
  <si>
    <t>Basilicata</t>
  </si>
  <si>
    <t>SOCIETA' AGRICOLA FRANCIGENA S.R.L.</t>
  </si>
  <si>
    <t>02197970565</t>
  </si>
  <si>
    <t>012600</t>
  </si>
  <si>
    <t>Viterbo</t>
  </si>
  <si>
    <t>MONTERUELLO S.R.L. - SOCIETA' AGRICOLA</t>
  </si>
  <si>
    <t>01674580053</t>
  </si>
  <si>
    <t>Asti</t>
  </si>
  <si>
    <t>Puglia</t>
  </si>
  <si>
    <t>ADA SOCIETA' AGRICOLA A R.L.</t>
  </si>
  <si>
    <t>07225750962</t>
  </si>
  <si>
    <t>012300</t>
  </si>
  <si>
    <t>Monza e della Brianza</t>
  </si>
  <si>
    <t>Lombardia</t>
  </si>
  <si>
    <t>Toscana</t>
  </si>
  <si>
    <t>SOCIETA' AGRICOLA I DUE COLLI S.R.L.</t>
  </si>
  <si>
    <t>02945660302</t>
  </si>
  <si>
    <t>012100</t>
  </si>
  <si>
    <t>Udine</t>
  </si>
  <si>
    <t>Friuli-Venezia Giulia</t>
  </si>
  <si>
    <t>SOCIETA' AGRICOLA CASTELLO DI LUCIGNANO -S.R.L.</t>
  </si>
  <si>
    <t>00307190520</t>
  </si>
  <si>
    <t>Siena</t>
  </si>
  <si>
    <t>CINCIA S.R.L. - SOCIETA' AGRICOLA</t>
  </si>
  <si>
    <t>01660880533</t>
  </si>
  <si>
    <t>011990</t>
  </si>
  <si>
    <t>Grosseto</t>
  </si>
  <si>
    <t>SOCIETA' AGRICOLA CONCA D'ORO S.R.L.</t>
  </si>
  <si>
    <t>03735960241</t>
  </si>
  <si>
    <t>Vicenza</t>
  </si>
  <si>
    <t>Veneto</t>
  </si>
  <si>
    <t>Catania</t>
  </si>
  <si>
    <t>Sicilia</t>
  </si>
  <si>
    <t>FRUIT HUB S.R.L.SOCIETA' AGRICOLA</t>
  </si>
  <si>
    <t>05214710872</t>
  </si>
  <si>
    <t>ONE BELVEDERE SOCIETA' AGRICOLA A RESPONSABILITA' LIMITATA</t>
  </si>
  <si>
    <t>04398131005</t>
  </si>
  <si>
    <t>SOCIETA' AGRICOLA CONTERO - S.R.L.</t>
  </si>
  <si>
    <t>00893290064</t>
  </si>
  <si>
    <t>Alessandria</t>
  </si>
  <si>
    <t>Piemonte</t>
  </si>
  <si>
    <t>AZIENDE AGRICOLE D'ADDARIO - SOCIETA' AGRICOLA S.R.L.</t>
  </si>
  <si>
    <t>08387410726</t>
  </si>
  <si>
    <t>Barletta-Andria-Trani</t>
  </si>
  <si>
    <t>Puglia</t>
  </si>
  <si>
    <t>Sardegna</t>
  </si>
  <si>
    <t>Campania</t>
  </si>
  <si>
    <t>016100</t>
  </si>
  <si>
    <t>Lazio</t>
  </si>
  <si>
    <t>Lombardia</t>
  </si>
  <si>
    <t>012600</t>
  </si>
  <si>
    <t>Bari</t>
  </si>
  <si>
    <t>011110</t>
  </si>
  <si>
    <t>012100</t>
  </si>
  <si>
    <t>Sicilia</t>
  </si>
  <si>
    <t>SOCIETA' AGRICOLA MONTESSU S.R.L.</t>
  </si>
  <si>
    <t>03372230924</t>
  </si>
  <si>
    <t>PRUVAS - PRODUTTORI UVE ASSOCIATI SOCIETA' COOPERATIVA AGRICOLA</t>
  </si>
  <si>
    <t>00091530733</t>
  </si>
  <si>
    <t>Taranto</t>
  </si>
  <si>
    <t>AZIENDA AGRICOLA GIUSEPPE SORTINO S.R.L.S.</t>
  </si>
  <si>
    <t>02538600814</t>
  </si>
  <si>
    <t>Trapani</t>
  </si>
  <si>
    <t>IMMOBILIARE AGRICOLA SAN VITTORINO - S.R.L.</t>
  </si>
  <si>
    <t>01008471003</t>
  </si>
  <si>
    <t>Roma</t>
  </si>
  <si>
    <t>AZIENDA IL MULINO SOCIETA' AGRICOLA A RESPONSABILITA' LIMITATA</t>
  </si>
  <si>
    <t>01830060131</t>
  </si>
  <si>
    <t>014300</t>
  </si>
  <si>
    <t>Como</t>
  </si>
  <si>
    <t>MASSERIA CALANDRELLA SOCIETA' AGRICOLA - SOCIETA' A RESPONSABILITA' LIMITATA UNIPERSONALE</t>
  </si>
  <si>
    <t>06902920724</t>
  </si>
  <si>
    <t>015000</t>
  </si>
  <si>
    <t>Piacenza</t>
  </si>
  <si>
    <t>Emilia-Romagna</t>
  </si>
  <si>
    <t>4 A. - SOCIETA' A RESPONSABILITA' LIMITATA A CAPITALE RIDOTTO ENCIABILE ANCHE 4 A. S.R.L.C.R.</t>
  </si>
  <si>
    <t>01649740337</t>
  </si>
  <si>
    <t>ULIVETI CASTEL SAN MARTINO S.R.L. SOCIETA' AGRICOLA</t>
  </si>
  <si>
    <t>01556770624</t>
  </si>
  <si>
    <t>Benevento</t>
  </si>
  <si>
    <t>012100</t>
  </si>
  <si>
    <t>FUNGOROBICA S.R.L. - SOCIETA' AGRICOLA</t>
  </si>
  <si>
    <t>00225120161</t>
  </si>
  <si>
    <t>011300</t>
  </si>
  <si>
    <t>Bergamo</t>
  </si>
  <si>
    <t>Lombardia</t>
  </si>
  <si>
    <t>FORRESTGUMPVDA 2.0 COOP.SOCIALE</t>
  </si>
  <si>
    <t>01243390075</t>
  </si>
  <si>
    <t>011340</t>
  </si>
  <si>
    <t>Valle d'Aosta/Vallée d'Aoste</t>
  </si>
  <si>
    <t>011310</t>
  </si>
  <si>
    <t>Foggia</t>
  </si>
  <si>
    <t>Puglia</t>
  </si>
  <si>
    <t>AGRICOLA MUCILLA 2004 SOCIETA' COOPERATIVA A RESPONSABILITA' LIMI TATA</t>
  </si>
  <si>
    <t>00962300570</t>
  </si>
  <si>
    <t>012800</t>
  </si>
  <si>
    <t>Rieti</t>
  </si>
  <si>
    <t>Lazio</t>
  </si>
  <si>
    <t>GIOVENZO S.R.L. SOCIETA' AGRICOLA</t>
  </si>
  <si>
    <t>02677980696</t>
  </si>
  <si>
    <t>Chieti</t>
  </si>
  <si>
    <t>Abruzzo</t>
  </si>
  <si>
    <t>Friuli-Venezia Giulia</t>
  </si>
  <si>
    <t>016100</t>
  </si>
  <si>
    <t>SELVA GRANDE SOCIETA' COOPERATIVA SOCIALE</t>
  </si>
  <si>
    <t>05405391003</t>
  </si>
  <si>
    <t>Roma</t>
  </si>
  <si>
    <t>012500</t>
  </si>
  <si>
    <t>DIVINA COSTIERA AMALFITANA - M.P.M. - SOCIETA' COOPERATIVA AGRICOLA</t>
  </si>
  <si>
    <t>04568220653</t>
  </si>
  <si>
    <t>Salerno</t>
  </si>
  <si>
    <t>Campania</t>
  </si>
  <si>
    <t>011110</t>
  </si>
  <si>
    <t>SOCIETA' COOPERATIVA SOCIALE AGRICOLA TERRE UMBRE</t>
  </si>
  <si>
    <t>01529480558</t>
  </si>
  <si>
    <t>Terni</t>
  </si>
  <si>
    <t>Umbria</t>
  </si>
  <si>
    <t>Napoli</t>
  </si>
  <si>
    <t>ENERGY BIOFARM SOCIETA' AGRICOLA A R.L.</t>
  </si>
  <si>
    <t>03798630715</t>
  </si>
  <si>
    <t>CONSORZIO PER LA TUTELA E VALORIZZAZIONE DEL FIGO MORO DA CANEVA</t>
  </si>
  <si>
    <t>01601960931</t>
  </si>
  <si>
    <t>Pordenone</t>
  </si>
  <si>
    <t>BORGO CERQUELLE SOCIETA' COOPERATIVA AGRICOLA</t>
  </si>
  <si>
    <t>07142240634</t>
  </si>
  <si>
    <t>012100</t>
  </si>
  <si>
    <t>Toscana</t>
  </si>
  <si>
    <t>MASSERIE MANCA DEL BOSCO - SOCIETA' AGRICOLA A RESPONSABILITA' LI MITATA SEMPLIFICATA</t>
  </si>
  <si>
    <t>01950280766</t>
  </si>
  <si>
    <t>015000</t>
  </si>
  <si>
    <t>Potenza</t>
  </si>
  <si>
    <t>Basilicata</t>
  </si>
  <si>
    <t>SOCIETA' AGRICOLA LA SGRIGNA S.R.L.</t>
  </si>
  <si>
    <t>04130200407</t>
  </si>
  <si>
    <t>011110</t>
  </si>
  <si>
    <t>Rimini</t>
  </si>
  <si>
    <t>Emilia-Romagna</t>
  </si>
  <si>
    <t>LA CORTE - S.R.L.</t>
  </si>
  <si>
    <t>01446920090</t>
  </si>
  <si>
    <t>012500</t>
  </si>
  <si>
    <t>Savona</t>
  </si>
  <si>
    <t>Liguria</t>
  </si>
  <si>
    <t>ETRUSCIA SOCIETA' AGRICOLA S.R.L.</t>
  </si>
  <si>
    <t>06317440482</t>
  </si>
  <si>
    <t>Firenze</t>
  </si>
  <si>
    <t>011140</t>
  </si>
  <si>
    <t>I CILIEGI SELVATICI SOCIETA' COOPERATIVA AGRICOLA SOCIALE</t>
  </si>
  <si>
    <t>03368240044</t>
  </si>
  <si>
    <t>012900</t>
  </si>
  <si>
    <t>Cuneo</t>
  </si>
  <si>
    <t>Piemonte</t>
  </si>
  <si>
    <t>LE ORIGINI SOCIETA' AGRICOLA S.R.L.</t>
  </si>
  <si>
    <t>01745140432</t>
  </si>
  <si>
    <t>Macerata</t>
  </si>
  <si>
    <t>Marche</t>
  </si>
  <si>
    <t>Toscana</t>
  </si>
  <si>
    <t>ROMAL SRL SOCIETA' AGRICOLA</t>
  </si>
  <si>
    <t>05748620654</t>
  </si>
  <si>
    <t>011310</t>
  </si>
  <si>
    <t>Salerno</t>
  </si>
  <si>
    <t>Campania</t>
  </si>
  <si>
    <t>Roma</t>
  </si>
  <si>
    <t>Lazio</t>
  </si>
  <si>
    <t>Abruzzo</t>
  </si>
  <si>
    <t>VIGNAQUARANTI SOCIETA' AGRICOLA A RESPONSABILITA' LIMITATA</t>
  </si>
  <si>
    <t>01700000050</t>
  </si>
  <si>
    <t>012100</t>
  </si>
  <si>
    <t>Asti</t>
  </si>
  <si>
    <t>Piemonte</t>
  </si>
  <si>
    <t>012600</t>
  </si>
  <si>
    <t>IL CERRITOIO S.R.L.</t>
  </si>
  <si>
    <t>00251080974</t>
  </si>
  <si>
    <t>Prato</t>
  </si>
  <si>
    <t>LE MOIRE SOCIETA' A RESPONSABILITA' LIMITATA</t>
  </si>
  <si>
    <t>02769740792</t>
  </si>
  <si>
    <t>Catanzaro</t>
  </si>
  <si>
    <t>Calabria</t>
  </si>
  <si>
    <t>RES UVAE SOCIETA' AGRICOLA A RESPONSABILITA' LIMITATAENUNCIABILE ANCHE RES UVAE SOC. AGR. A R.L.</t>
  </si>
  <si>
    <t>01686200336</t>
  </si>
  <si>
    <t>Piacenza</t>
  </si>
  <si>
    <t>Emilia-Romagna</t>
  </si>
  <si>
    <t>MOVITER AGRICOLTURA S.R.L. - SOCIETA' AGRICOLA</t>
  </si>
  <si>
    <t>06093920483</t>
  </si>
  <si>
    <t>Firenze</t>
  </si>
  <si>
    <t>COOPERATIVA SOCIALE TERRA E VITA</t>
  </si>
  <si>
    <t>00947250437</t>
  </si>
  <si>
    <t>011300</t>
  </si>
  <si>
    <t>Macerata</t>
  </si>
  <si>
    <t>Marche</t>
  </si>
  <si>
    <t>SOCIETA' AGRICOLA FATTORIA VOLTRONA - S.R.L.</t>
  </si>
  <si>
    <t>01251490528</t>
  </si>
  <si>
    <t>Siena</t>
  </si>
  <si>
    <t>FAUSTO ZAZZARA S.R.L. AGRICOLA</t>
  </si>
  <si>
    <t>02621450697</t>
  </si>
  <si>
    <t>Chieti</t>
  </si>
  <si>
    <t>CO.R.AG.GIO. - SOCIETA' AGRICOLA COOPERATIVA</t>
  </si>
  <si>
    <t>12403521003</t>
  </si>
  <si>
    <t>015000</t>
  </si>
  <si>
    <t>AGRI.API.BIO. - SOCIETA' AGRICOLA S.R.L.</t>
  </si>
  <si>
    <t>02392360604</t>
  </si>
  <si>
    <t>Frosinone</t>
  </si>
  <si>
    <t>012600</t>
  </si>
  <si>
    <t>Puglia</t>
  </si>
  <si>
    <t>Sicilia</t>
  </si>
  <si>
    <t>TERRA E GENTE SOCIETA' COOPERATIVA AGRICOLA</t>
  </si>
  <si>
    <t>00601800055</t>
  </si>
  <si>
    <t>012100</t>
  </si>
  <si>
    <t>Asti</t>
  </si>
  <si>
    <t>Piemonte</t>
  </si>
  <si>
    <t>VIVAI GARDENIA SOCIETA' AGRICOLA S.R.L. SEMPLIFICATA</t>
  </si>
  <si>
    <t>06102930655</t>
  </si>
  <si>
    <t>013000</t>
  </si>
  <si>
    <t>Salerno</t>
  </si>
  <si>
    <t>Campania</t>
  </si>
  <si>
    <t>SOCIETA' AGRICOLA TENUTE NAVARRA S.R.L.</t>
  </si>
  <si>
    <t>02048510859</t>
  </si>
  <si>
    <t>Caltanissetta</t>
  </si>
  <si>
    <t>SOCIETA' AGRICOLA TENUTA DEI RE S.R.L.</t>
  </si>
  <si>
    <t>10397820159</t>
  </si>
  <si>
    <t>Catania</t>
  </si>
  <si>
    <t>Lazio</t>
  </si>
  <si>
    <t>Lecce</t>
  </si>
  <si>
    <t>MESSER GESUALDO S.R.L. SOCIETA' AGRICOLA</t>
  </si>
  <si>
    <t>04755050756</t>
  </si>
  <si>
    <t>LAVALIGIADIMIMI' S.R.L. SOCIETA' AGRICOLA</t>
  </si>
  <si>
    <t>03993220874</t>
  </si>
  <si>
    <t>GESFIM SOCIETA' AGRICOLA A.R.L.</t>
  </si>
  <si>
    <t>03513421002</t>
  </si>
  <si>
    <t>Roma</t>
  </si>
  <si>
    <t>MASCITTI PIANTE SOCIETA' AGRICOLA A RESPONSABILITA' LIMITATA</t>
  </si>
  <si>
    <t>02756460594</t>
  </si>
  <si>
    <t>013000</t>
  </si>
  <si>
    <t>Latina</t>
  </si>
  <si>
    <t>Lazio</t>
  </si>
  <si>
    <t>Campania</t>
  </si>
  <si>
    <t>EQUILAB S.R.L. - SOCIETA' AGRICOLA</t>
  </si>
  <si>
    <t>12394290014</t>
  </si>
  <si>
    <t>014300</t>
  </si>
  <si>
    <t>Torino</t>
  </si>
  <si>
    <t>Piemonte</t>
  </si>
  <si>
    <t>011140</t>
  </si>
  <si>
    <t>012100</t>
  </si>
  <si>
    <t>SOCIETA' AGRICOLA DELLE SELVE S.R.L.</t>
  </si>
  <si>
    <t>03955790401</t>
  </si>
  <si>
    <t>Rimini</t>
  </si>
  <si>
    <t>Emilia-Romagna</t>
  </si>
  <si>
    <t>AMA APICOLTORI MIELI APUANI SOCIETA' COOPERATIVA AGRICOLA</t>
  </si>
  <si>
    <t>01419030455</t>
  </si>
  <si>
    <t>014930</t>
  </si>
  <si>
    <t>Massa-Carrara</t>
  </si>
  <si>
    <t>Toscana</t>
  </si>
  <si>
    <t>CONDUZIONI E MIGLIORAMENTI FONDIARI - SRL, IN FORMA ABBREVIATA C.M.F. SRL</t>
  </si>
  <si>
    <t>00132750498</t>
  </si>
  <si>
    <t>011000</t>
  </si>
  <si>
    <t>Livorno</t>
  </si>
  <si>
    <t>SOCIETA' AGRICOLA GIANNASCA SOCIETA' A RESPONSABILITA' LIMITATA S EMPLIFICATA</t>
  </si>
  <si>
    <t>03011860644</t>
  </si>
  <si>
    <t>Avellino</t>
  </si>
  <si>
    <t>Lombardia</t>
  </si>
  <si>
    <t>SESTERZIO SOCIETA' AGRICOLA S.R.L.</t>
  </si>
  <si>
    <t>01024480145</t>
  </si>
  <si>
    <t>Sondrio</t>
  </si>
  <si>
    <t>012600</t>
  </si>
  <si>
    <t>Campania</t>
  </si>
  <si>
    <t>016000</t>
  </si>
  <si>
    <t>Roma</t>
  </si>
  <si>
    <t>Lazio</t>
  </si>
  <si>
    <t>TERRE DELL'ANGELO SOCIETA' AGRICOLA A R.L.</t>
  </si>
  <si>
    <t>04124210610</t>
  </si>
  <si>
    <t>Caserta</t>
  </si>
  <si>
    <t>Toscana</t>
  </si>
  <si>
    <t>ACQUAVIVA SOCIETA' AGRICOLA S.R.L.</t>
  </si>
  <si>
    <t>02338110980</t>
  </si>
  <si>
    <t>011921</t>
  </si>
  <si>
    <t>Brescia</t>
  </si>
  <si>
    <t>Lombardia</t>
  </si>
  <si>
    <t>016300</t>
  </si>
  <si>
    <t>Umbria</t>
  </si>
  <si>
    <t>Sicilia</t>
  </si>
  <si>
    <t>012100</t>
  </si>
  <si>
    <t>AGRICOLA MONTALCETO S.R.L</t>
  </si>
  <si>
    <t>01317291001</t>
  </si>
  <si>
    <t>Siena</t>
  </si>
  <si>
    <t>Perugia</t>
  </si>
  <si>
    <t>OLEIFICIO SOCIALE SABINO - SOCIETA' COOPERATIVA</t>
  </si>
  <si>
    <t>01032261008</t>
  </si>
  <si>
    <t>TENUTA VINCA SOCIETA' AGRICOLA S.R.L.</t>
  </si>
  <si>
    <t>02616430399</t>
  </si>
  <si>
    <t>Palermo</t>
  </si>
  <si>
    <t>RISICOLTORI POLESANI SOC. CONS. A R.L.</t>
  </si>
  <si>
    <t>01241740297</t>
  </si>
  <si>
    <t>Rovigo</t>
  </si>
  <si>
    <t>Veneto</t>
  </si>
  <si>
    <t>AZIENDA AGRICOLA BORGO LA PIEVINA SOCIETA' AGRICOLA - SOCIETA' A RESPONSABILITA' LIMITATA - IN FORMA ABBREVIATA BORGO LA PIEVINA SOCIETA' AGRICOLA - S.R.L.</t>
  </si>
  <si>
    <t>01434850523</t>
  </si>
  <si>
    <t>011110</t>
  </si>
  <si>
    <t>SOCIETA' AGRICOLA AGER OLIVA S.R.L.</t>
  </si>
  <si>
    <t>02010200471</t>
  </si>
  <si>
    <t>Pistoia</t>
  </si>
  <si>
    <t>PERUSIA VIVAI SOCIETA' AGRICOLA A RESPONSABILITA' LIMITATA SEMPLIFICATA - PER BREVITA' ANCHE CON LA SIGLA PERUSIA VIVAI S.R.L.S.</t>
  </si>
  <si>
    <t>03519910545</t>
  </si>
  <si>
    <t>011910</t>
  </si>
  <si>
    <t>CONSORZIO FEUDO MONDELLO</t>
  </si>
  <si>
    <t>05795790822</t>
  </si>
  <si>
    <t>011140</t>
  </si>
  <si>
    <t>SANTA CHIARA S.R.L. SOCIETA' AGRICOLA</t>
  </si>
  <si>
    <t>02513440541</t>
  </si>
  <si>
    <t>SOCIETA' AGRICOLA GALFARM S.R.L.</t>
  </si>
  <si>
    <t>03532870122</t>
  </si>
  <si>
    <t>012500</t>
  </si>
  <si>
    <t>Varese</t>
  </si>
  <si>
    <t>Varese</t>
  </si>
  <si>
    <t>Lombardia</t>
  </si>
  <si>
    <t>012100</t>
  </si>
  <si>
    <t>Toscana</t>
  </si>
  <si>
    <t>AZIENDA AGRICOLA S. BEATRICE S.R.L SOCIETA' AGRICOLA</t>
  </si>
  <si>
    <t>01601100538</t>
  </si>
  <si>
    <t>Grosseto</t>
  </si>
  <si>
    <t>Sicilia</t>
  </si>
  <si>
    <t>PODERE LE POZZE AZIENDA AGRICOLA SRL</t>
  </si>
  <si>
    <t>01037320528</t>
  </si>
  <si>
    <t>015000</t>
  </si>
  <si>
    <t>Siena</t>
  </si>
  <si>
    <t>VIVAI DIAMANTE DEL MEDITERRANEO SOCIETA' COOPERATIVA</t>
  </si>
  <si>
    <t>02226910848</t>
  </si>
  <si>
    <t>011910</t>
  </si>
  <si>
    <t>Agrigento</t>
  </si>
  <si>
    <t>SOCIETA' AGRICOLA LOSETTA SRL</t>
  </si>
  <si>
    <t>03169410127</t>
  </si>
  <si>
    <t>010000</t>
  </si>
  <si>
    <t>011110</t>
  </si>
  <si>
    <t>GE.FRA. SOCIETA' AGRICOLA A R.L.</t>
  </si>
  <si>
    <t>03269110759</t>
  </si>
  <si>
    <t>012600</t>
  </si>
  <si>
    <t>Lecce</t>
  </si>
  <si>
    <t>Puglia</t>
  </si>
  <si>
    <t>AZIENDA AGRICOLA LANZARA - SOCIETA' A RESPONSABILITA' LIMITATA</t>
  </si>
  <si>
    <t>02321800845</t>
  </si>
  <si>
    <t>012100</t>
  </si>
  <si>
    <t>Roma</t>
  </si>
  <si>
    <t>Lazio</t>
  </si>
  <si>
    <t>TORCILACQUA SOCIETA' AGRICOLA S.R.L.</t>
  </si>
  <si>
    <t>06836530482</t>
  </si>
  <si>
    <t>Firenze</t>
  </si>
  <si>
    <t>Toscana</t>
  </si>
  <si>
    <t>EOS GROUP S.R.L.</t>
  </si>
  <si>
    <t>02323730420</t>
  </si>
  <si>
    <t>016100</t>
  </si>
  <si>
    <t>Ascoli Piceno</t>
  </si>
  <si>
    <t>Marche</t>
  </si>
  <si>
    <t>AZIENDA AGRICOLA PODERE LUCANO - SOCIETA' AGRICOLA A RESPONSABILITA' LIMITATA</t>
  </si>
  <si>
    <t>01713930764</t>
  </si>
  <si>
    <t>Potenza</t>
  </si>
  <si>
    <t>Basilicata</t>
  </si>
  <si>
    <t>AZIENDA AGRICOLA FRANCESCO RADINO S.R.L.</t>
  </si>
  <si>
    <t>01871400766</t>
  </si>
  <si>
    <t>Matera</t>
  </si>
  <si>
    <t>Caserta</t>
  </si>
  <si>
    <t>Campania</t>
  </si>
  <si>
    <t>SOCIETA' AGRICOLA SCLAVIA S.R.L.</t>
  </si>
  <si>
    <t>03485820611</t>
  </si>
  <si>
    <t>011000</t>
  </si>
  <si>
    <t>LE POGGERE SOCIETA' AGRICOLA S.R.L.</t>
  </si>
  <si>
    <t>01356350569</t>
  </si>
  <si>
    <t>Viterbo</t>
  </si>
  <si>
    <t>Salerno</t>
  </si>
  <si>
    <t>TRONCO AGRICOLA - S.R.L.</t>
  </si>
  <si>
    <t>02289020659</t>
  </si>
  <si>
    <t>AGRI JOSU SOCIETA' AGRICOLA A RESPONSABILITA' LIMITATA</t>
  </si>
  <si>
    <t>01426330476</t>
  </si>
  <si>
    <t>Puglia</t>
  </si>
  <si>
    <t>Roma</t>
  </si>
  <si>
    <t>Lazio</t>
  </si>
  <si>
    <t>Milano</t>
  </si>
  <si>
    <t>Lombardia</t>
  </si>
  <si>
    <t>Toscana</t>
  </si>
  <si>
    <t>Sicilia</t>
  </si>
  <si>
    <t>016300</t>
  </si>
  <si>
    <t>BIFARM SRL SOCIETA' AGRICOLA</t>
  </si>
  <si>
    <t>04863360261</t>
  </si>
  <si>
    <t>011110</t>
  </si>
  <si>
    <t>Treviso</t>
  </si>
  <si>
    <t>Veneto</t>
  </si>
  <si>
    <t>Lecce</t>
  </si>
  <si>
    <t>COOPERATIVA AGRICOLA LA DIANA SOCIETA' AGRICOLA COOPERATIVA</t>
  </si>
  <si>
    <t>01365520525</t>
  </si>
  <si>
    <t>Siena</t>
  </si>
  <si>
    <t>PAPPALUGA IMPRESA SOCIALE AGRICOLA A RESPONSABILITA' LIMITATA O IN FORMA ABBREVIATA PAPPALUGA IMPRESA SOCIALE AGRICOLA A R.L.</t>
  </si>
  <si>
    <t>10875100967</t>
  </si>
  <si>
    <t>011321</t>
  </si>
  <si>
    <t>Palermo</t>
  </si>
  <si>
    <t>SOCIETA' AGRICOLA VILLA CARLA - S.R.L.</t>
  </si>
  <si>
    <t>01829890514</t>
  </si>
  <si>
    <t>010000</t>
  </si>
  <si>
    <t>Arezzo</t>
  </si>
  <si>
    <t>WEINGUT STEINHAUS S.R.L. SOCIETA' AGRICOLA</t>
  </si>
  <si>
    <t>02935640215</t>
  </si>
  <si>
    <t>012100</t>
  </si>
  <si>
    <t>Bolzano/Bozen</t>
  </si>
  <si>
    <t>Trentino-Alto Adige</t>
  </si>
  <si>
    <t>SOCIETA' AGRICOLA LUNGHEZZINA 2017 A R.L.</t>
  </si>
  <si>
    <t>14313721004</t>
  </si>
  <si>
    <t>RINASCITA DELL'AMBIENTE SOC. COOP. A R.L.</t>
  </si>
  <si>
    <t>00486020787</t>
  </si>
  <si>
    <t>011310</t>
  </si>
  <si>
    <t>Cosenza</t>
  </si>
  <si>
    <t>Calabria</t>
  </si>
  <si>
    <t>012300</t>
  </si>
  <si>
    <t>CASALE DI CAMPO SOCIETA' COOPERATIVA AGRICOLA</t>
  </si>
  <si>
    <t>06004660822</t>
  </si>
  <si>
    <t>012000</t>
  </si>
  <si>
    <t>GUSTAVO SOCIETA' A RESPONSABILITA' LIMITATA SEMPLIFICATA</t>
  </si>
  <si>
    <t>04968120750</t>
  </si>
  <si>
    <t>PROMO.TER.AGRI SOC.AGR.SRL</t>
  </si>
  <si>
    <t>01718400888</t>
  </si>
  <si>
    <t>Ragusa</t>
  </si>
  <si>
    <t>FEXTAL S.R.L.</t>
  </si>
  <si>
    <t>06360060963</t>
  </si>
  <si>
    <t>011300</t>
  </si>
  <si>
    <t>Milano</t>
  </si>
  <si>
    <t>Lombardia</t>
  </si>
  <si>
    <t>012600</t>
  </si>
  <si>
    <t>Foggia</t>
  </si>
  <si>
    <t>Puglia</t>
  </si>
  <si>
    <t>013000</t>
  </si>
  <si>
    <t>FLOR CIRCEO PIANTE MEDITERRANEE SOCIETA' A RESPONSABILITA' LIMITA</t>
  </si>
  <si>
    <t>02120850595</t>
  </si>
  <si>
    <t>Sassari</t>
  </si>
  <si>
    <t>Sardegna</t>
  </si>
  <si>
    <t>011140</t>
  </si>
  <si>
    <t>Piemonte</t>
  </si>
  <si>
    <t>ZARRILLI SOCIETA' COOPERATIVA AGRICOLA</t>
  </si>
  <si>
    <t>04182750713</t>
  </si>
  <si>
    <t>014500</t>
  </si>
  <si>
    <t>Lazio</t>
  </si>
  <si>
    <t>Veneto</t>
  </si>
  <si>
    <t>AZIENDA AGRICOLA FAUNISTICO VENATORIA S.BERNARDINO S.R.L.</t>
  </si>
  <si>
    <t>01081880039</t>
  </si>
  <si>
    <t>017000</t>
  </si>
  <si>
    <t>Novara</t>
  </si>
  <si>
    <t>Alessandria</t>
  </si>
  <si>
    <t>OLIVICOLTORI LAGO DI COMO SOCIETA' COOPERATIVA AGRICOLA</t>
  </si>
  <si>
    <t>03331520134</t>
  </si>
  <si>
    <t>Lecco</t>
  </si>
  <si>
    <t>GUGGES MANTICO SRL - SOCIETA' AGRICOLA</t>
  </si>
  <si>
    <t>04874080239</t>
  </si>
  <si>
    <t>011990</t>
  </si>
  <si>
    <t>Verona</t>
  </si>
  <si>
    <t>SOCIETA' AGRICOLA GROPELLA - S.R.L.</t>
  </si>
  <si>
    <t>03512120100</t>
  </si>
  <si>
    <t>OLIO LEONARDI SOCIETA' A RESPONSABILITA' LIMITATA SEMPLIFICATA SO CIETA' AGRICOLA IN SIGLA OLIO LEONARDI S.R.L.S. SOCIETA' AGRICOLA</t>
  </si>
  <si>
    <t>01209490570</t>
  </si>
  <si>
    <t>Rieti</t>
  </si>
  <si>
    <t>011110</t>
  </si>
  <si>
    <t>012600</t>
  </si>
  <si>
    <t>Trapani</t>
  </si>
  <si>
    <t>Sicilia</t>
  </si>
  <si>
    <t>CANAPA CAMPANA SOCIETA' COOPERATIVA AGRICOLA A R.L.</t>
  </si>
  <si>
    <t>08153291219</t>
  </si>
  <si>
    <t>016300</t>
  </si>
  <si>
    <t>Napoli</t>
  </si>
  <si>
    <t>Campania</t>
  </si>
  <si>
    <t>BATIA DELL'ARCANGELO GABRIELE S.R.L.</t>
  </si>
  <si>
    <t>04720700873</t>
  </si>
  <si>
    <t>012500</t>
  </si>
  <si>
    <t>Catania</t>
  </si>
  <si>
    <t>Puglia</t>
  </si>
  <si>
    <t>AZIENDA AGRICOLA SAN GERMANO SOCIETA' AGRICOLA A R.L.</t>
  </si>
  <si>
    <t>01823650765</t>
  </si>
  <si>
    <t>Potenza</t>
  </si>
  <si>
    <t>Basilicata</t>
  </si>
  <si>
    <t>012100</t>
  </si>
  <si>
    <t>Roma</t>
  </si>
  <si>
    <t>Lazio</t>
  </si>
  <si>
    <t>ANTICAIA SOCIETA' AGRICOLA S.R.L.</t>
  </si>
  <si>
    <t>02649520745</t>
  </si>
  <si>
    <t>Brindisi</t>
  </si>
  <si>
    <t>012300</t>
  </si>
  <si>
    <t>A.P.Z. . ASSOCIAZIONE PRODUTTORI ZOOTECNICI DELLA CALABRIA - SOCI ETA' COOPERATIVA</t>
  </si>
  <si>
    <t>00439840794</t>
  </si>
  <si>
    <t>016209</t>
  </si>
  <si>
    <t>Crotone</t>
  </si>
  <si>
    <t>Calabria</t>
  </si>
  <si>
    <t>SOCIETA' AGRICOLA DE ROSIS S.R.L.</t>
  </si>
  <si>
    <t>03592500783</t>
  </si>
  <si>
    <t>Cosenza</t>
  </si>
  <si>
    <t>SOCIETA' AGRICOLA MASTROSERIO SOCIETA' A RESPONSABILITA' LIMITATA</t>
  </si>
  <si>
    <t>08010530726</t>
  </si>
  <si>
    <t>Bari</t>
  </si>
  <si>
    <t>AZIENDA AGRICOLA CAPALDINO - SOCIETA A RESPONSABILITA LIMITATA</t>
  </si>
  <si>
    <t>02081501005</t>
  </si>
  <si>
    <t>011000</t>
  </si>
  <si>
    <t>PANE E SIGNORE - SOCIETA' COOPERATIVA SOCIALE AGRICOLA</t>
  </si>
  <si>
    <t>02100470992</t>
  </si>
  <si>
    <t>010000</t>
  </si>
  <si>
    <t>Genova</t>
  </si>
  <si>
    <t>Liguria</t>
  </si>
  <si>
    <t>SOCIETA' AGRICOLA PROVERBIO S.R.L.</t>
  </si>
  <si>
    <t>02675410811</t>
  </si>
  <si>
    <t>012100</t>
  </si>
  <si>
    <t>Sicilia</t>
  </si>
  <si>
    <t>SOCIETA' AGRICOLA PODERE LA VILLA S.R.L.</t>
  </si>
  <si>
    <t>01653580504</t>
  </si>
  <si>
    <t>012600</t>
  </si>
  <si>
    <t>Pisa</t>
  </si>
  <si>
    <t>Toscana</t>
  </si>
  <si>
    <t>BIONATURA SOCIETA' AGRICOLA S.R.L.</t>
  </si>
  <si>
    <t>06025930824</t>
  </si>
  <si>
    <t>014500</t>
  </si>
  <si>
    <t>Palermo</t>
  </si>
  <si>
    <t>Puglia</t>
  </si>
  <si>
    <t>016100</t>
  </si>
  <si>
    <t>MOUNTAINPLAN SRL</t>
  </si>
  <si>
    <t>02615080211</t>
  </si>
  <si>
    <t>Bolzano/Bozen</t>
  </si>
  <si>
    <t>Trentino-Alto Adige</t>
  </si>
  <si>
    <t>WAIS SOCIETA' AGRICOLA S.R.L.</t>
  </si>
  <si>
    <t>02145940512</t>
  </si>
  <si>
    <t>012500</t>
  </si>
  <si>
    <t>Arezzo</t>
  </si>
  <si>
    <t>FRANTOIO SOCIALE DI CASAMASSIMA SOCIETA' COOPERATIVA A MUTUALITA' PREVALENTE</t>
  </si>
  <si>
    <t>00364150722</t>
  </si>
  <si>
    <t>010000</t>
  </si>
  <si>
    <t>Bari</t>
  </si>
  <si>
    <t>Ragusa</t>
  </si>
  <si>
    <t>CONTRATTO DI RETE FILIEREQUE IBLEE</t>
  </si>
  <si>
    <t>01623860887</t>
  </si>
  <si>
    <t>016300</t>
  </si>
  <si>
    <t>AZ. AGRICOLA GORZA S.R.L.-SOCIETA' AGRICOLA</t>
  </si>
  <si>
    <t>01258450251</t>
  </si>
  <si>
    <t>Belluno</t>
  </si>
  <si>
    <t>Veneto</t>
  </si>
  <si>
    <t>AZIENDA AGRICOLA IL POGGIO DEL PICCHIO SOCIETA' AGRICOLA - S.R.L.</t>
  </si>
  <si>
    <t>02637060647</t>
  </si>
  <si>
    <t>Avellino</t>
  </si>
  <si>
    <t>Campania</t>
  </si>
  <si>
    <t>F.LLI FRANCESCONI DI GABRIELE FRANCESCONI SOCIETA' AGRICOLA SOCIETA' A RESPONSABILITA' LIMITATA IN FORMA ABBREVIATA: F.LLI FRANCESCONI DI GABRIELE FRANCESCONI SOCIETA' AGRICOLA S.R.L.</t>
  </si>
  <si>
    <t>02190150462</t>
  </si>
  <si>
    <t>013000</t>
  </si>
  <si>
    <t>Lucca</t>
  </si>
  <si>
    <t>011140</t>
  </si>
  <si>
    <t>Sicilia</t>
  </si>
  <si>
    <t>SOCIETA' AGRICOLA TERRE DEL PAPA S.R.L.</t>
  </si>
  <si>
    <t>03498170541</t>
  </si>
  <si>
    <t>012600</t>
  </si>
  <si>
    <t>Perugia</t>
  </si>
  <si>
    <t>Umbria</t>
  </si>
  <si>
    <t>Messina</t>
  </si>
  <si>
    <t>011310</t>
  </si>
  <si>
    <t>014100</t>
  </si>
  <si>
    <t>FATTORIA FABIO SOCIETA' COOPERATIVA AGRICOLA</t>
  </si>
  <si>
    <t>02157240835</t>
  </si>
  <si>
    <t>CASTEL DI PIETRA SOCIETA' AGRICOLA S.R.L.</t>
  </si>
  <si>
    <t>04327130482</t>
  </si>
  <si>
    <t>Firenze</t>
  </si>
  <si>
    <t>Toscana</t>
  </si>
  <si>
    <t>COOPERATIVA AGRICOLA NATURALMENTE SOCIETA' COOPERATIVA SOCIALE</t>
  </si>
  <si>
    <t>03276810045</t>
  </si>
  <si>
    <t>Cuneo</t>
  </si>
  <si>
    <t>Piemonte</t>
  </si>
  <si>
    <t>011110</t>
  </si>
  <si>
    <t>Emilia-Romagna</t>
  </si>
  <si>
    <t>Lombardia</t>
  </si>
  <si>
    <t>MOLBENA SOCIETA' AGRICOLA A RESPONSABILITA' LIMITATA</t>
  </si>
  <si>
    <t>06944430963</t>
  </si>
  <si>
    <t>Milano</t>
  </si>
  <si>
    <t>VILLA FONTANA SOCIETA' AGRICOLA S.R.L.</t>
  </si>
  <si>
    <t>02869060349</t>
  </si>
  <si>
    <t>012100</t>
  </si>
  <si>
    <t>Parma</t>
  </si>
  <si>
    <t>Toscana</t>
  </si>
  <si>
    <t>016100</t>
  </si>
  <si>
    <t>AGRIARTE PREMIUM S.R.L.</t>
  </si>
  <si>
    <t>01546220524</t>
  </si>
  <si>
    <t>Siena</t>
  </si>
  <si>
    <t>RUGGIERO S.R.L. SOCIETA' AGRICOLA</t>
  </si>
  <si>
    <t>05260760656</t>
  </si>
  <si>
    <t>011310</t>
  </si>
  <si>
    <t>Salerno</t>
  </si>
  <si>
    <t>Campania</t>
  </si>
  <si>
    <t>JOHANN KIEM S.R.L.</t>
  </si>
  <si>
    <t>00318440211</t>
  </si>
  <si>
    <t>Bolzano/Bozen</t>
  </si>
  <si>
    <t>Trentino-Alto Adige</t>
  </si>
  <si>
    <t>012500</t>
  </si>
  <si>
    <t>SOCIETA' AGRICOLA ORIOLO S.R.L.</t>
  </si>
  <si>
    <t>09653630963</t>
  </si>
  <si>
    <t>SOCIETA' AGRICOLA CASTALDI SRL</t>
  </si>
  <si>
    <t>00900990490</t>
  </si>
  <si>
    <t>Livorno</t>
  </si>
  <si>
    <t>011310</t>
  </si>
  <si>
    <t>DON MILANI SOCIETA' COOPERATIVA SOCIALE</t>
  </si>
  <si>
    <t>00517940789</t>
  </si>
  <si>
    <t>014940</t>
  </si>
  <si>
    <t>Cosenza</t>
  </si>
  <si>
    <t>Calabria</t>
  </si>
  <si>
    <t>Roma</t>
  </si>
  <si>
    <t>Lazio</t>
  </si>
  <si>
    <t>LA NUOVA BELLARIA SOCIETA' AGRICOLA S.R.L.</t>
  </si>
  <si>
    <t>10828610963</t>
  </si>
  <si>
    <t>012100</t>
  </si>
  <si>
    <t>Pavia</t>
  </si>
  <si>
    <t>Lombardia</t>
  </si>
  <si>
    <t>SOCIETA' AGRICOLA TECNOAGRI S.R.L.</t>
  </si>
  <si>
    <t>03459580407</t>
  </si>
  <si>
    <t>011110</t>
  </si>
  <si>
    <t>Verona</t>
  </si>
  <si>
    <t>Veneto</t>
  </si>
  <si>
    <t>TENUTA COLLE SERRANO SRL - SOCIETA' AGRICOLA</t>
  </si>
  <si>
    <t>02455360442</t>
  </si>
  <si>
    <t>012500</t>
  </si>
  <si>
    <t>Ascoli Piceno</t>
  </si>
  <si>
    <t>Marche</t>
  </si>
  <si>
    <t>CASULA VINARIA - SOCIETA' COOPERATIVA AGRICOLA</t>
  </si>
  <si>
    <t>04889000651</t>
  </si>
  <si>
    <t>Salerno</t>
  </si>
  <si>
    <t>Campania</t>
  </si>
  <si>
    <t>GERMINALE SOCIETA' COOPERATIVA AGRICOLA DI COMUNITA'</t>
  </si>
  <si>
    <t>03765230044</t>
  </si>
  <si>
    <t>Cuneo</t>
  </si>
  <si>
    <t>Piemonte</t>
  </si>
  <si>
    <t>SOCIETA' AGRICOLA MINGOTTI S.R.L.</t>
  </si>
  <si>
    <t>12026701008</t>
  </si>
  <si>
    <t>CANTINE DI STEFANO S.R.L.</t>
  </si>
  <si>
    <t>02123450690</t>
  </si>
  <si>
    <t>Chieti</t>
  </si>
  <si>
    <t>Abruzzo</t>
  </si>
  <si>
    <t>Ancona</t>
  </si>
  <si>
    <t>Marche</t>
  </si>
  <si>
    <t>Lazio</t>
  </si>
  <si>
    <t>ITALGIGLIO S.R.L. SOCIETA' AGRICOLA</t>
  </si>
  <si>
    <t>01866670597</t>
  </si>
  <si>
    <t>011910</t>
  </si>
  <si>
    <t>Latina</t>
  </si>
  <si>
    <t>WITTY DOG HOTEL S.R.L.- SOCIETA' AGRICOLA</t>
  </si>
  <si>
    <t>03534060169</t>
  </si>
  <si>
    <t>014990</t>
  </si>
  <si>
    <t>Bergamo</t>
  </si>
  <si>
    <t>Lombardia</t>
  </si>
  <si>
    <t>011140</t>
  </si>
  <si>
    <t>SPIRITO AGRICOLO SOCIETA' A RESPONSABILITA' LIMITATA SOCIETA' AGRICOLA</t>
  </si>
  <si>
    <t>02853090427</t>
  </si>
  <si>
    <t>OLEIFICIO PIAN DELLE VIGNE SOCIETA' COOPERATIVA AGRICOLA</t>
  </si>
  <si>
    <t>00216280552</t>
  </si>
  <si>
    <t>016000</t>
  </si>
  <si>
    <t>Terni</t>
  </si>
  <si>
    <t>Umbria</t>
  </si>
  <si>
    <t>LA BISCOLLA S.R.L.</t>
  </si>
  <si>
    <t>00914170477</t>
  </si>
  <si>
    <t>015000</t>
  </si>
  <si>
    <t>Lucca</t>
  </si>
  <si>
    <t>Toscana</t>
  </si>
  <si>
    <t>Roma</t>
  </si>
  <si>
    <t>Lazio</t>
  </si>
  <si>
    <t>PIANO MANGIERI S.R.L.</t>
  </si>
  <si>
    <t>05978660727</t>
  </si>
  <si>
    <t>012000</t>
  </si>
  <si>
    <t>Bari</t>
  </si>
  <si>
    <t>Puglia</t>
  </si>
  <si>
    <t>AZIENDA AGRICOLA AC SOCIETA' A RESPONSABILITA' LIMITATA SEMPLIFIC ATA OVVERO SOCIETA' AGRICOA AC S.R.L.S</t>
  </si>
  <si>
    <t>02665670812</t>
  </si>
  <si>
    <t>012100</t>
  </si>
  <si>
    <t>Trapani</t>
  </si>
  <si>
    <t>Sicilia</t>
  </si>
  <si>
    <t>012600</t>
  </si>
  <si>
    <t>SOLARE SOCIETA AGRICOLA A R.L.</t>
  </si>
  <si>
    <t>10410491004</t>
  </si>
  <si>
    <t>SOCIETA' AGRICOLA UMA CASANATURA S.R.L.</t>
  </si>
  <si>
    <t>01874270679</t>
  </si>
  <si>
    <t>Teramo</t>
  </si>
  <si>
    <t>Abruzzo</t>
  </si>
  <si>
    <t>SOCIETA' AGRICOLA TERRA MADRE SOCIETA' A RESPONSABILITA' LIMITATA SEMPLIFICATA</t>
  </si>
  <si>
    <t>04864140753</t>
  </si>
  <si>
    <t>011110</t>
  </si>
  <si>
    <t>Lecce</t>
  </si>
  <si>
    <t>SEMENTARECCE SOCIETA' AGRICOLA A R.L.</t>
  </si>
  <si>
    <t>00626260533</t>
  </si>
  <si>
    <t>014300</t>
  </si>
  <si>
    <t>Grosseto</t>
  </si>
  <si>
    <t>Toscana</t>
  </si>
  <si>
    <t>012100</t>
  </si>
  <si>
    <t>015000</t>
  </si>
  <si>
    <t>AZIENDA AGRICOLA MAISTO LUIGI S.R.L.</t>
  </si>
  <si>
    <t>04170531216</t>
  </si>
  <si>
    <t>013000</t>
  </si>
  <si>
    <t>Napoli</t>
  </si>
  <si>
    <t>Campania</t>
  </si>
  <si>
    <t>012600</t>
  </si>
  <si>
    <t>BIOLOGICO RECCHI SRL SOCIETA' AGRICOLA</t>
  </si>
  <si>
    <t>02259580443</t>
  </si>
  <si>
    <t>Fermo</t>
  </si>
  <si>
    <t>Marche</t>
  </si>
  <si>
    <t>IL GUALDO S.R.L. SOCIETA' AGRICOLA</t>
  </si>
  <si>
    <t>00758050520</t>
  </si>
  <si>
    <t>Milano</t>
  </si>
  <si>
    <t>Lombardia</t>
  </si>
  <si>
    <t>SOCIETA' AGRICOLA PONTE ROTTO S.R.L.</t>
  </si>
  <si>
    <t>02698770647</t>
  </si>
  <si>
    <t>Avellino</t>
  </si>
  <si>
    <t>011110</t>
  </si>
  <si>
    <t>AZIENDA AGRICOLA IL PICCHIO S.R.L.</t>
  </si>
  <si>
    <t>12148150969</t>
  </si>
  <si>
    <t>Monza e della Brianza</t>
  </si>
  <si>
    <t>TENUTA MONTE ILICE S.R.L.</t>
  </si>
  <si>
    <t>04302080876</t>
  </si>
  <si>
    <t>Catania</t>
  </si>
  <si>
    <t>Sicilia</t>
  </si>
  <si>
    <t>L'AGRICOLA MARSOS BIRRA S.R.L.S.</t>
  </si>
  <si>
    <t>02068800669</t>
  </si>
  <si>
    <t>L'Aquila</t>
  </si>
  <si>
    <t>Abruzzo</t>
  </si>
  <si>
    <t>LA CONTEA DELLA TERRA DI MEZZO SOCIETA' AGRICOLA SOCIETA' A RESPO NSABILITA' LIMI</t>
  </si>
  <si>
    <t>02793340353</t>
  </si>
  <si>
    <t>014400</t>
  </si>
  <si>
    <t>Reggio nell'Emilia</t>
  </si>
  <si>
    <t>Emilia-Romagna</t>
  </si>
  <si>
    <t>Sicilia</t>
  </si>
  <si>
    <t>015000</t>
  </si>
  <si>
    <t>012500</t>
  </si>
  <si>
    <t>Campania</t>
  </si>
  <si>
    <t>I VIGNAI DEL CASAVECCHIA SOCIETA' COOPERATIVA AGRICOLA</t>
  </si>
  <si>
    <t>03832160612</t>
  </si>
  <si>
    <t>012100</t>
  </si>
  <si>
    <t>Caserta</t>
  </si>
  <si>
    <t>SOCIETA' AGRICOLA AGRIARINA S.R.L.</t>
  </si>
  <si>
    <t>03229150796</t>
  </si>
  <si>
    <t>Vibo Valentia</t>
  </si>
  <si>
    <t>Calabria</t>
  </si>
  <si>
    <t>012600</t>
  </si>
  <si>
    <t>Lombardia</t>
  </si>
  <si>
    <t>ROTOFLEX POLIGRAFICA S.R.L.</t>
  </si>
  <si>
    <t>01378780892</t>
  </si>
  <si>
    <t>012300</t>
  </si>
  <si>
    <t>Siracusa</t>
  </si>
  <si>
    <t>AZIENDA AGRICOLA S.ANNA - S.R.L. SOCIETA' AGRICOLA</t>
  </si>
  <si>
    <t>00693040123</t>
  </si>
  <si>
    <t>Varese</t>
  </si>
  <si>
    <t>ALLE CAMELIE SOCIETA' COOPERATIVA AGRICOLA SRL</t>
  </si>
  <si>
    <t>02619410463</t>
  </si>
  <si>
    <t>Lucca</t>
  </si>
  <si>
    <t>Toscana</t>
  </si>
  <si>
    <t>Puglia</t>
  </si>
  <si>
    <t>SOCIETA' AGRICOLA TENUTA GIUSTINI S.R.L.</t>
  </si>
  <si>
    <t>03006240737</t>
  </si>
  <si>
    <t>Taranto</t>
  </si>
  <si>
    <t>R.E.S. REAL ESTATE SOCIETY SOCIETA' AGRICOLA ARL UNIPERSONALE</t>
  </si>
  <si>
    <t>01176370995</t>
  </si>
  <si>
    <t>Grosseto</t>
  </si>
  <si>
    <t>SOCIETA' AGRICOLA CA' SALAROLA S.R.L.</t>
  </si>
  <si>
    <t>03795890288</t>
  </si>
  <si>
    <t>012100</t>
  </si>
  <si>
    <t>Padova</t>
  </si>
  <si>
    <t>Veneto</t>
  </si>
  <si>
    <t>LA BAITA SOCIETA' COOPERATIVA AGRICOLA A R.L.</t>
  </si>
  <si>
    <t>01525600837</t>
  </si>
  <si>
    <t>012000</t>
  </si>
  <si>
    <t>Messina</t>
  </si>
  <si>
    <t>Sicilia</t>
  </si>
  <si>
    <t>012500</t>
  </si>
  <si>
    <t>Lazio</t>
  </si>
  <si>
    <t>012600</t>
  </si>
  <si>
    <t>SOCIETA' AGRICOLA BES S.R.L.</t>
  </si>
  <si>
    <t>02650600022</t>
  </si>
  <si>
    <t>Vercelli</t>
  </si>
  <si>
    <t>Piemonte</t>
  </si>
  <si>
    <t>CONTI TONI DI CIGOLI SOCIETA' AGRICOLA A RESPONSABILITA' LIMITATA</t>
  </si>
  <si>
    <t>05077340288</t>
  </si>
  <si>
    <t>Perugia</t>
  </si>
  <si>
    <t>Umbria</t>
  </si>
  <si>
    <t>I FILARI SOCIETA' COOPERATIVA AGRICOLA</t>
  </si>
  <si>
    <t>02490480064</t>
  </si>
  <si>
    <t>016300</t>
  </si>
  <si>
    <t>Alessandria</t>
  </si>
  <si>
    <t>Roma</t>
  </si>
  <si>
    <t>NUOVE INIZIATIVE IN AGRICOLTURA SOCIETA' AGRICOLA S.R.L.</t>
  </si>
  <si>
    <t>10634991003</t>
  </si>
  <si>
    <t>Lombardia</t>
  </si>
  <si>
    <t>012100</t>
  </si>
  <si>
    <t>Roma</t>
  </si>
  <si>
    <t>Lazio</t>
  </si>
  <si>
    <t>SOCIETA' AGRICOLA CICALESE S.R.L.</t>
  </si>
  <si>
    <t>05778330653</t>
  </si>
  <si>
    <t>012600</t>
  </si>
  <si>
    <t>Salerno</t>
  </si>
  <si>
    <t>Campania</t>
  </si>
  <si>
    <t>MACCHIE SAN VINCENZO S.R.L. SOCIETA' AGRICOLA</t>
  </si>
  <si>
    <t>01316750528</t>
  </si>
  <si>
    <t>011140</t>
  </si>
  <si>
    <t>Siena</t>
  </si>
  <si>
    <t>Toscana</t>
  </si>
  <si>
    <t>012500</t>
  </si>
  <si>
    <t>CASALE TERZO SOCIETA' AGRICOLA SRL</t>
  </si>
  <si>
    <t>01539840528</t>
  </si>
  <si>
    <t>011110</t>
  </si>
  <si>
    <t>011000</t>
  </si>
  <si>
    <t>LE CAPANNELLE DI MONTORSAIO SOCIETA' AGRICOLA A RESPONSABILITA' L IMITATA</t>
  </si>
  <si>
    <t>01434600530</t>
  </si>
  <si>
    <t>Grosseto</t>
  </si>
  <si>
    <t>Caserta</t>
  </si>
  <si>
    <t>TENUTA IL GIARDINO S.R.L. - SOCIETA' AGRICOLA - SOCIETA' UNIPERSONALE</t>
  </si>
  <si>
    <t>01227290523</t>
  </si>
  <si>
    <t>ALE.P.A. SOCIETA' AGRICOLA S.R.L.</t>
  </si>
  <si>
    <t>01578110619</t>
  </si>
  <si>
    <t>IL POGGIALE - SOCIETA' AGRICOLA A RESPONSABILITA' LIMITATA</t>
  </si>
  <si>
    <t>04264261001</t>
  </si>
  <si>
    <t>SOCIETA' AGRICOLA CASA SESTA S.R.L.</t>
  </si>
  <si>
    <t>06765040487</t>
  </si>
  <si>
    <t>Firenze</t>
  </si>
  <si>
    <t>MONCUCCA S.R.L. SOCIETA' AGRICOLA</t>
  </si>
  <si>
    <t>12887000151</t>
  </si>
  <si>
    <t>Milano</t>
  </si>
  <si>
    <t>PRODUTTORI AGRICOLI PARCO TICINO SOCIETA' CONSORTILE A R.L.</t>
  </si>
  <si>
    <t>02426800021</t>
  </si>
  <si>
    <t>010000</t>
  </si>
  <si>
    <t>Varese</t>
  </si>
  <si>
    <t>LA REVELLA S.R.L. - SOCIETA' AGRICOLA</t>
  </si>
  <si>
    <t>10631180014</t>
  </si>
  <si>
    <t>Torino</t>
  </si>
  <si>
    <t>Piemonte</t>
  </si>
  <si>
    <t>012600</t>
  </si>
  <si>
    <t>Campania</t>
  </si>
  <si>
    <t>015000</t>
  </si>
  <si>
    <t>SIRIO AGROINDUSTRIA SOCIETA' AGRICOLA A RESPONSABILITA' LIMITATA IN SIGLA SIRIO AGROINDUSTRIA SOCIETA' AGRICOLA S.R.L.</t>
  </si>
  <si>
    <t>01795810686</t>
  </si>
  <si>
    <t>Foggia</t>
  </si>
  <si>
    <t>Puglia</t>
  </si>
  <si>
    <t>011310</t>
  </si>
  <si>
    <t>AZIENDA S. ANNA S.R.L. AGRICOLA</t>
  </si>
  <si>
    <t>01729510097</t>
  </si>
  <si>
    <t>Savona</t>
  </si>
  <si>
    <t>Liguria</t>
  </si>
  <si>
    <t>SOCIETA' AGRICOLA FATTORIA DI BUCENA S.R.L.</t>
  </si>
  <si>
    <t>01101150520</t>
  </si>
  <si>
    <t>Siena</t>
  </si>
  <si>
    <t>Toscana</t>
  </si>
  <si>
    <t>Lazio</t>
  </si>
  <si>
    <t>OASI DEI SAPORI S.R.L. - SOCIETA' AGRICOLA</t>
  </si>
  <si>
    <t>02552890606</t>
  </si>
  <si>
    <t>Frosinone</t>
  </si>
  <si>
    <t>TERRE DI MOLINARA SOCIETA' COOPERATIVA AGRICOLA</t>
  </si>
  <si>
    <t>01659380628</t>
  </si>
  <si>
    <t>Benevento</t>
  </si>
  <si>
    <t>SOCIETA' AGRICOLA TENUTA PANACCIONE S.R.L.S.</t>
  </si>
  <si>
    <t>03045290602</t>
  </si>
  <si>
    <t>014600</t>
  </si>
  <si>
    <t>012100</t>
  </si>
  <si>
    <t>TENUTA DEL NICCHIO SOCIETA' AGRICOLA A RESPONSABILITA' LIMITATA</t>
  </si>
  <si>
    <t>02955890344</t>
  </si>
  <si>
    <t>Parma</t>
  </si>
  <si>
    <t>Emilia-Romagna</t>
  </si>
  <si>
    <t>Lazio</t>
  </si>
  <si>
    <t>011310</t>
  </si>
  <si>
    <t>TERRA BIA S.R.L.</t>
  </si>
  <si>
    <t>06077020656</t>
  </si>
  <si>
    <t>Salerno</t>
  </si>
  <si>
    <t>Campania</t>
  </si>
  <si>
    <t>011140</t>
  </si>
  <si>
    <t>Toscana</t>
  </si>
  <si>
    <t>012600</t>
  </si>
  <si>
    <t>MEZZECRETE SOCIETA' AGRICOLA A RESPONSABILITA' LIMITATA</t>
  </si>
  <si>
    <t>10871981006</t>
  </si>
  <si>
    <t>Roma</t>
  </si>
  <si>
    <t>SOCIETA' AGRICOLA BALDO&amp;RICCIA SRL SEMPLIFICATA</t>
  </si>
  <si>
    <t>03675710549</t>
  </si>
  <si>
    <t>012800</t>
  </si>
  <si>
    <t>Perugia</t>
  </si>
  <si>
    <t>Umbria</t>
  </si>
  <si>
    <t>SOCIETA ORTICOLA LAZIALE SRL</t>
  </si>
  <si>
    <t>00951651009</t>
  </si>
  <si>
    <t>011910</t>
  </si>
  <si>
    <t>TERRE DELLA RINASCITA S.R.L. AGRICOLA</t>
  </si>
  <si>
    <t>01972740490</t>
  </si>
  <si>
    <t>Livorno</t>
  </si>
  <si>
    <t>RELEASE SOCIETA' AGRICOLA COOPERATIVA SOCIALE</t>
  </si>
  <si>
    <t>11432040019</t>
  </si>
  <si>
    <t>Torino</t>
  </si>
  <si>
    <t>Piemonte</t>
  </si>
  <si>
    <t>CASA BONARIA S.R.L. - SOCIETA' AGRICOLA-</t>
  </si>
  <si>
    <t>03838640922</t>
  </si>
  <si>
    <t>Cagliari</t>
  </si>
  <si>
    <t>Sardegna</t>
  </si>
  <si>
    <t>011000</t>
  </si>
  <si>
    <t>Siena</t>
  </si>
  <si>
    <t>Toscana</t>
  </si>
  <si>
    <t>Lecce</t>
  </si>
  <si>
    <t>Puglia</t>
  </si>
  <si>
    <t>015000</t>
  </si>
  <si>
    <t>016000</t>
  </si>
  <si>
    <t>RESIDENZA LA TORRE S.R.L.</t>
  </si>
  <si>
    <t>02367220544</t>
  </si>
  <si>
    <t>Perugia</t>
  </si>
  <si>
    <t>Umbria</t>
  </si>
  <si>
    <t>COOP AGRI SOCIETA' AGRICOLA COOPERATIVA</t>
  </si>
  <si>
    <t>02621130752</t>
  </si>
  <si>
    <t>VILLA PURI SOCIETA' AGRICOLA A RESPONSABILITA' LIMITATA</t>
  </si>
  <si>
    <t>02329200568</t>
  </si>
  <si>
    <t>012100</t>
  </si>
  <si>
    <t>Viterbo</t>
  </si>
  <si>
    <t>Lazio</t>
  </si>
  <si>
    <t>Foggia</t>
  </si>
  <si>
    <t>SOCIETA' AGRICOLA C. FIGLIOLIA S.R.L.</t>
  </si>
  <si>
    <t>04075250714</t>
  </si>
  <si>
    <t>011140</t>
  </si>
  <si>
    <t>AZ. AGR. BARBIERI ADELE TENUTA DELLA CASA SRL SOCIETA' AGRICOLA</t>
  </si>
  <si>
    <t>00877010322</t>
  </si>
  <si>
    <t>011110</t>
  </si>
  <si>
    <t>Gorizia</t>
  </si>
  <si>
    <t>Friuli-Venezia Giulia</t>
  </si>
  <si>
    <t>AZIENDA AGRICOLA FORTI DEL VENTO - SOCIETA' AGRICOLA A RESPONSABILITA' LIMITATA SIGLABILE AZ AGR. FORTI DEL VENTO - S. AGR. A R.L.</t>
  </si>
  <si>
    <t>02279890061</t>
  </si>
  <si>
    <t>Alessandria</t>
  </si>
  <si>
    <t>Piemonte</t>
  </si>
  <si>
    <t>AZIENDA AGRICOLA BELVEDERE - S.R.L.</t>
  </si>
  <si>
    <t>05945490729</t>
  </si>
  <si>
    <t>Roma</t>
  </si>
  <si>
    <t>AZIENDA AGRICOLA LA BUSCA S.R.L.</t>
  </si>
  <si>
    <t>01082550524</t>
  </si>
  <si>
    <t>Terni</t>
  </si>
  <si>
    <t>COLLECESE SOCIETA' AGRICOLA SOCIETA' A RESPONSABILITA' LIMITATA</t>
  </si>
  <si>
    <t>00418740676</t>
  </si>
  <si>
    <t>Pescara</t>
  </si>
  <si>
    <t>Abruzzo</t>
  </si>
  <si>
    <t>NATURALMIELE SOCIETA' COOPERATIVA AGRICOLA</t>
  </si>
  <si>
    <t>00536780554</t>
  </si>
  <si>
    <t>014930</t>
  </si>
  <si>
    <t>SOCIETA' COOPERATIVA AGRICOLA AGRIVEGLIE</t>
  </si>
  <si>
    <t>04776480750</t>
  </si>
  <si>
    <t>012600</t>
  </si>
  <si>
    <t>Lecce</t>
  </si>
  <si>
    <t>Puglia</t>
  </si>
  <si>
    <t>LI CANTI SOCIETA' AGRICOLA S.R.L.</t>
  </si>
  <si>
    <t>04829900754</t>
  </si>
  <si>
    <t>Sicilia</t>
  </si>
  <si>
    <t>Toscana</t>
  </si>
  <si>
    <t>Emilia-Romagna</t>
  </si>
  <si>
    <t>SOCIETA' AGRICOLA MASSERIA DEI NUNZI S.R.L.</t>
  </si>
  <si>
    <t>02688010186</t>
  </si>
  <si>
    <t>Benevento</t>
  </si>
  <si>
    <t>Campania</t>
  </si>
  <si>
    <t>SOCIETA' AGRICOLA VILLA LOGGIO S.R.L.</t>
  </si>
  <si>
    <t>06102261002</t>
  </si>
  <si>
    <t>012100</t>
  </si>
  <si>
    <t>Arezzo</t>
  </si>
  <si>
    <t>Roma</t>
  </si>
  <si>
    <t>Lazio</t>
  </si>
  <si>
    <t>SOCIETA' AGRICOLA VILLA TOLOMEI A R.L. A SOCIO UNICO</t>
  </si>
  <si>
    <t>06727600485</t>
  </si>
  <si>
    <t>012900</t>
  </si>
  <si>
    <t>Firenze</t>
  </si>
  <si>
    <t>014300</t>
  </si>
  <si>
    <t>ROSY O' GRADY'S SOCIETA' AGRICOLA S.R.L.</t>
  </si>
  <si>
    <t>03237740364</t>
  </si>
  <si>
    <t>Modena</t>
  </si>
  <si>
    <t>VINCENZO SALVO S.R.L.- SOCIETA' AGRICOLA</t>
  </si>
  <si>
    <t>01558790083</t>
  </si>
  <si>
    <t>Imperia</t>
  </si>
  <si>
    <t>Liguria</t>
  </si>
  <si>
    <t>ORO ROSSO DI SICILIA - SOCIETA' COOPERATIVA AGRICOLA</t>
  </si>
  <si>
    <t>01129860860</t>
  </si>
  <si>
    <t>011990</t>
  </si>
  <si>
    <t>Enna</t>
  </si>
  <si>
    <t>CONSORZIO PER LA VALORIZZAZIONE DEI PRODOTTI ORTO FLORO VIVAISTIC I VERONESI</t>
  </si>
  <si>
    <t>03052570235</t>
  </si>
  <si>
    <t>016000</t>
  </si>
  <si>
    <t>Verona</t>
  </si>
  <si>
    <t>Veneto</t>
  </si>
  <si>
    <t>F.E.R. SOCIETA' COOPERATIVA AGRICOLA A R.L.</t>
  </si>
  <si>
    <t>02565950603</t>
  </si>
  <si>
    <t>016300</t>
  </si>
  <si>
    <t>COOPERATIVA SOCIALE LO SCUDO</t>
  </si>
  <si>
    <t>02416880611</t>
  </si>
  <si>
    <t>011310</t>
  </si>
  <si>
    <t>Napoli</t>
  </si>
  <si>
    <t>Campania</t>
  </si>
  <si>
    <t>012600</t>
  </si>
  <si>
    <t>011110</t>
  </si>
  <si>
    <t>Lombardia</t>
  </si>
  <si>
    <t>MILLE QUERCE SOCIETA' AGRICOLA S.R.L.</t>
  </si>
  <si>
    <t>02257120440</t>
  </si>
  <si>
    <t>015000</t>
  </si>
  <si>
    <t>Fermo</t>
  </si>
  <si>
    <t>Marche</t>
  </si>
  <si>
    <t>Toscana</t>
  </si>
  <si>
    <t>LE GORGHE S.R.L. SOCIETA' AGRICOLA</t>
  </si>
  <si>
    <t>02044770515</t>
  </si>
  <si>
    <t>Arezzo</t>
  </si>
  <si>
    <t>AGRICARMA S.R.L. SOCIETA' AGRICOLA</t>
  </si>
  <si>
    <t>02457910186</t>
  </si>
  <si>
    <t>Pavia</t>
  </si>
  <si>
    <t>Puglia</t>
  </si>
  <si>
    <t>SOCIETA' AGRICOLA LE 4 CANTINE S.R.L.</t>
  </si>
  <si>
    <t>14472261008</t>
  </si>
  <si>
    <t>015000</t>
  </si>
  <si>
    <t>Roma</t>
  </si>
  <si>
    <t>Lazio</t>
  </si>
  <si>
    <t>011310</t>
  </si>
  <si>
    <t>Lecce</t>
  </si>
  <si>
    <t>SOCIETA' AGRICOLA ALICE &amp; DAISY SRL</t>
  </si>
  <si>
    <t>03862520289</t>
  </si>
  <si>
    <t>012100</t>
  </si>
  <si>
    <t>Padova</t>
  </si>
  <si>
    <t>Veneto</t>
  </si>
  <si>
    <t>T &amp; S - S.R.L.</t>
  </si>
  <si>
    <t>03495880753</t>
  </si>
  <si>
    <t>012600</t>
  </si>
  <si>
    <t>L'ALBERO DI ZACCHEO SOCIETA' COOPERATIVA SOCIALE O.N.L.U.S.</t>
  </si>
  <si>
    <t>03433100546</t>
  </si>
  <si>
    <t>Perugia</t>
  </si>
  <si>
    <t>Umbria</t>
  </si>
  <si>
    <t>SOCIETA' AGRICOLA POGGIO REPENTI S.R.L.</t>
  </si>
  <si>
    <t>00322080524</t>
  </si>
  <si>
    <t>011110</t>
  </si>
  <si>
    <t>Siena</t>
  </si>
  <si>
    <t>Toscana</t>
  </si>
  <si>
    <t>012500</t>
  </si>
  <si>
    <t>Sicilia</t>
  </si>
  <si>
    <t>016300</t>
  </si>
  <si>
    <t>012100</t>
  </si>
  <si>
    <t>Sondrio</t>
  </si>
  <si>
    <t>Lombardia</t>
  </si>
  <si>
    <t>Campania</t>
  </si>
  <si>
    <t>BELLERO GREEN FACTORY S.R.L. SOCIETA' AGRICOLA</t>
  </si>
  <si>
    <t>01044590147</t>
  </si>
  <si>
    <t>Foggia</t>
  </si>
  <si>
    <t>Puglia</t>
  </si>
  <si>
    <t>012600</t>
  </si>
  <si>
    <t>CONSORZIO DELLA CASTAGNA DI VALLE CAMONICA SOCIETA' COOPERATIVA</t>
  </si>
  <si>
    <t>01882460981</t>
  </si>
  <si>
    <t>Brescia</t>
  </si>
  <si>
    <t>Emilia-Romagna</t>
  </si>
  <si>
    <t>SOCIETA' AGRICOLA DEMETRA S.R.L.</t>
  </si>
  <si>
    <t>02995080831</t>
  </si>
  <si>
    <t>012300</t>
  </si>
  <si>
    <t>Messina</t>
  </si>
  <si>
    <t>LA MASSARIA SOCIETA' AGRICOLA S.R.L.</t>
  </si>
  <si>
    <t>04393400710</t>
  </si>
  <si>
    <t>DREAM CONSULTING S.R.L.</t>
  </si>
  <si>
    <t>02891521201</t>
  </si>
  <si>
    <t>014300</t>
  </si>
  <si>
    <t>Bologna</t>
  </si>
  <si>
    <t>CONTEA DE' ALTAVILLA SRL</t>
  </si>
  <si>
    <t>02487070647</t>
  </si>
  <si>
    <t>Avellino</t>
  </si>
  <si>
    <t>COOPERATIVA LUPPOLI ITALIANI SOCIETA' COOPERATIVA AGRICOLA</t>
  </si>
  <si>
    <t>02614480396</t>
  </si>
  <si>
    <t>Ravenna</t>
  </si>
  <si>
    <t>SOCIETA' AGRICOLA YASSINE S.R.L. SEMPLIFICATA</t>
  </si>
  <si>
    <t>01730840889</t>
  </si>
  <si>
    <t>011320</t>
  </si>
  <si>
    <t>Ragusa</t>
  </si>
  <si>
    <t>CONTRADA DELL'OCA S.R.L. AGRICOLA</t>
  </si>
  <si>
    <t>01887330932</t>
  </si>
  <si>
    <t>Pordenone</t>
  </si>
  <si>
    <t>Friuli-Venezia Giulia</t>
  </si>
  <si>
    <t>SOCIETA' AGRICOLA AGRINAVIGLIO A R.L.</t>
  </si>
  <si>
    <t>06938030969</t>
  </si>
  <si>
    <t>012500</t>
  </si>
  <si>
    <t>Milano</t>
  </si>
  <si>
    <t>Lombardia</t>
  </si>
  <si>
    <t>LA RICOLLA S.R.L. SOCIETA' AGRICOLA</t>
  </si>
  <si>
    <t>02437020999</t>
  </si>
  <si>
    <t>012100</t>
  </si>
  <si>
    <t>Genova</t>
  </si>
  <si>
    <t>Liguria</t>
  </si>
  <si>
    <t>Toscana</t>
  </si>
  <si>
    <t>SATURNIA COUNTRY HOUSE - SOCIETA' AGRICOLA GRECO S.R.L.</t>
  </si>
  <si>
    <t>01653860534</t>
  </si>
  <si>
    <t>015000</t>
  </si>
  <si>
    <t>Grosseto</t>
  </si>
  <si>
    <t>SOCIETA' AGRICOLA SORELLE PALAZZI S.R.L.</t>
  </si>
  <si>
    <t>02338820505</t>
  </si>
  <si>
    <t>Pisa</t>
  </si>
  <si>
    <t>016100</t>
  </si>
  <si>
    <t>IMPRESA SOCIALE STRASHARE SOCIETA' AGRICOLA A R.L.</t>
  </si>
  <si>
    <t>00982590143</t>
  </si>
  <si>
    <t>Sondrio</t>
  </si>
  <si>
    <t>SOCIETA' AGRICOLA SVAP KIWI S.R.L.</t>
  </si>
  <si>
    <t>03002560591</t>
  </si>
  <si>
    <t>Latina</t>
  </si>
  <si>
    <t>Lazio</t>
  </si>
  <si>
    <t>MONVISO SRL SOCIETA' AGRICOLA</t>
  </si>
  <si>
    <t>02959040045</t>
  </si>
  <si>
    <t>014100</t>
  </si>
  <si>
    <t>Cuneo</t>
  </si>
  <si>
    <t>Piemonte</t>
  </si>
  <si>
    <t>FEDER SOCIETA' COOPERATIVA</t>
  </si>
  <si>
    <t>03934630231</t>
  </si>
  <si>
    <t>Verona</t>
  </si>
  <si>
    <t>Veneto</t>
  </si>
  <si>
    <t>S.I.P.M.A. - SOCIETA' ITALIANA PER MIGLIORAMENTI AGRARI -SOCIETA' AGRICOLA A RESPONSABILITA' LIMITATA IN FORMA ABBREVIATA S.I.P.M.A. - SOCIETA' AG RICOLA A R.L.</t>
  </si>
  <si>
    <t>01107361006</t>
  </si>
  <si>
    <t>011000</t>
  </si>
  <si>
    <t>Roma</t>
  </si>
  <si>
    <t>AGRICAMPEGGIO CAPESTRANO SOCIETA' AGRICOLA S.R.L.</t>
  </si>
  <si>
    <t>02010170666</t>
  </si>
  <si>
    <t>011140</t>
  </si>
  <si>
    <t>L'Aquila</t>
  </si>
  <si>
    <t>Abruzzo</t>
  </si>
  <si>
    <t>Sicilia</t>
  </si>
  <si>
    <t>Palermo</t>
  </si>
  <si>
    <t>Milano</t>
  </si>
  <si>
    <t>Lombardia</t>
  </si>
  <si>
    <t>Campania</t>
  </si>
  <si>
    <t>Calabria</t>
  </si>
  <si>
    <t>011110</t>
  </si>
  <si>
    <t>SOCIETA' AGRICOLA SANT'ALBERTO S.R.L.</t>
  </si>
  <si>
    <t>12653340153</t>
  </si>
  <si>
    <t>NIDO DI SETA SOCIETA' COOPERATIVA AGRICOLA</t>
  </si>
  <si>
    <t>03334190794</t>
  </si>
  <si>
    <t>014940</t>
  </si>
  <si>
    <t>Catanzaro</t>
  </si>
  <si>
    <t>GM POZZUTO SRL - SOCIETA' AGRICOLA</t>
  </si>
  <si>
    <t>01790800625</t>
  </si>
  <si>
    <t>Benevento</t>
  </si>
  <si>
    <t>LICO SOCIETA' AGRICOLA S.R.L.</t>
  </si>
  <si>
    <t>06246690827</t>
  </si>
  <si>
    <t>011140</t>
  </si>
  <si>
    <t>Perugia</t>
  </si>
  <si>
    <t>Umbria</t>
  </si>
  <si>
    <t>COOP CANAPA - SOCIETA' COOPERATIVA AGRICOLA</t>
  </si>
  <si>
    <t>01986390431</t>
  </si>
  <si>
    <t>012800</t>
  </si>
  <si>
    <t>Macerata</t>
  </si>
  <si>
    <t>Marche</t>
  </si>
  <si>
    <t>012600</t>
  </si>
  <si>
    <t>AGRI PUPOLI SOCIETA' AGRICOLA A RESPONSABILITA' LIMITATA</t>
  </si>
  <si>
    <t>02057500767</t>
  </si>
  <si>
    <t>Potenza</t>
  </si>
  <si>
    <t>Basilicata</t>
  </si>
  <si>
    <t>SOCIETA' AGRICOLA SAN FELICE S.R.L.</t>
  </si>
  <si>
    <t>03538390547</t>
  </si>
  <si>
    <t>012100</t>
  </si>
  <si>
    <t>Abruzzo</t>
  </si>
  <si>
    <t>012500</t>
  </si>
  <si>
    <t>AGRIFARM SOCIETA' AGRICOLA S.R.L.</t>
  </si>
  <si>
    <t>01958120022</t>
  </si>
  <si>
    <t>011110</t>
  </si>
  <si>
    <t>Vercelli</t>
  </si>
  <si>
    <t>Piemonte</t>
  </si>
  <si>
    <t>SOCIETA' AGRICOLA FEUDI DEL RICCIO S.R.L.</t>
  </si>
  <si>
    <t>06051830823</t>
  </si>
  <si>
    <t>011000</t>
  </si>
  <si>
    <t>Palermo</t>
  </si>
  <si>
    <t>Sicilia</t>
  </si>
  <si>
    <t>IL VECCHIO FIENILE SOCIETA' AGRICOLA A RESPONSABILITA' LIMITATA SEMPLIFICATA</t>
  </si>
  <si>
    <t>03576640548</t>
  </si>
  <si>
    <t>Perugia</t>
  </si>
  <si>
    <t>Umbria</t>
  </si>
  <si>
    <t>LA STECCATA SOCIETA' AGRICOLA A RESPONSABILITA' LIMITATA O , IN F ORMA ABBREVIATA</t>
  </si>
  <si>
    <t>02871080343</t>
  </si>
  <si>
    <t>Parma</t>
  </si>
  <si>
    <t>Emilia-Romagna</t>
  </si>
  <si>
    <t>SOCIETA' AGRICOLA ROCCIA ROSSA - S.R.L.</t>
  </si>
  <si>
    <t>02031680024</t>
  </si>
  <si>
    <t>Biella</t>
  </si>
  <si>
    <t>CONNY BLAAS SOCIETA' COOPERATIVA RL (COOPERATIVA SOCIALE) ETS</t>
  </si>
  <si>
    <t>02335980682</t>
  </si>
  <si>
    <t>012900</t>
  </si>
  <si>
    <t>Pescara</t>
  </si>
  <si>
    <t>EXENTIAE S.R.L. SOCIETA' AGRICOLA</t>
  </si>
  <si>
    <t>04813760875</t>
  </si>
  <si>
    <t>012800</t>
  </si>
  <si>
    <t>Catania</t>
  </si>
  <si>
    <t>Campania</t>
  </si>
  <si>
    <t>Basilicata</t>
  </si>
  <si>
    <t>MC SOCIETA' AGRICOLA A RESPONSABILITA' LIMITATA SEMPLIFICATA</t>
  </si>
  <si>
    <t>01685540534</t>
  </si>
  <si>
    <t>011140</t>
  </si>
  <si>
    <t>Grosseto</t>
  </si>
  <si>
    <t>Toscana</t>
  </si>
  <si>
    <t>012100</t>
  </si>
  <si>
    <t>THARROS SRL</t>
  </si>
  <si>
    <t>02558080350</t>
  </si>
  <si>
    <t>014300</t>
  </si>
  <si>
    <t>Reggio nell'Emilia</t>
  </si>
  <si>
    <t>Emilia-Romagna</t>
  </si>
  <si>
    <t>Avellino</t>
  </si>
  <si>
    <t>AZIENDA AGRICOLA ANTONIO NAPOLITANO S.R.L.</t>
  </si>
  <si>
    <t>08609431211</t>
  </si>
  <si>
    <t>Abruzzo</t>
  </si>
  <si>
    <t>TERRE DEL FARO - SOCIETA' AGRICOLA A RESPONSABILITA' LIMITATA SEMPLIFICATA</t>
  </si>
  <si>
    <t>01320530775</t>
  </si>
  <si>
    <t>012400</t>
  </si>
  <si>
    <t>Matera</t>
  </si>
  <si>
    <t>012600</t>
  </si>
  <si>
    <t>014500</t>
  </si>
  <si>
    <t>SOCIETA' AGRICOLA POGGIO AL LUPO SRL</t>
  </si>
  <si>
    <t>03943890164</t>
  </si>
  <si>
    <t>Bergamo</t>
  </si>
  <si>
    <t>Lombardia</t>
  </si>
  <si>
    <t>DAL MARE ALLA MAIELLA SOCIETA' AGRICOLA A RESPONSABILITA' LIMITATA SEMPLIFICATA</t>
  </si>
  <si>
    <t>02304170687</t>
  </si>
  <si>
    <t>Pescara</t>
  </si>
  <si>
    <t>PALAZZO PICCOLO - SOCIETA' COOPERATIVA AGRICOLA A R. L.</t>
  </si>
  <si>
    <t>03180740718</t>
  </si>
  <si>
    <t>011110</t>
  </si>
  <si>
    <t>Foggia</t>
  </si>
  <si>
    <t>Puglia</t>
  </si>
  <si>
    <t>SOCIETA' AGRICOLA PRK S.R.L.</t>
  </si>
  <si>
    <t>02556690747</t>
  </si>
  <si>
    <t>012800</t>
  </si>
  <si>
    <t>Brindisi</t>
  </si>
  <si>
    <t>012100</t>
  </si>
  <si>
    <t>Taranto</t>
  </si>
  <si>
    <t>Friuli-Venezia Giulia</t>
  </si>
  <si>
    <t>015000</t>
  </si>
  <si>
    <t>SOCIETA' AGRICOLA MASSERIA PEPE SOCIETA' A RESPONSABILITA' LIMITA TA</t>
  </si>
  <si>
    <t>02709940734</t>
  </si>
  <si>
    <t>011120</t>
  </si>
  <si>
    <t>LA MOSCA BIANCA SOCIETA' AGRICOLA SRL</t>
  </si>
  <si>
    <t>03747700163</t>
  </si>
  <si>
    <t>Bergamo</t>
  </si>
  <si>
    <t>Lombardia</t>
  </si>
  <si>
    <t>ROSET S.R.L. SOCIETA' AGRICOLA</t>
  </si>
  <si>
    <t>04249110166</t>
  </si>
  <si>
    <t>JUST FRIENDS SOCIETA' AGRICOLA A R.L.</t>
  </si>
  <si>
    <t>02905900300</t>
  </si>
  <si>
    <t>Udine</t>
  </si>
  <si>
    <t>TERRA DELLA LUNA SOCIETA' AGRICOLA A RESPONSABILITA' LIMITATA</t>
  </si>
  <si>
    <t>01138980451</t>
  </si>
  <si>
    <t>011000</t>
  </si>
  <si>
    <t>La Spezia</t>
  </si>
  <si>
    <t>Liguria</t>
  </si>
  <si>
    <t>AGRICOLA TUDERTE AMERINA SOCIETA' COOPERATIVA AGRICOLA</t>
  </si>
  <si>
    <t>01260450554</t>
  </si>
  <si>
    <t>011140</t>
  </si>
  <si>
    <t>Terni</t>
  </si>
  <si>
    <t>Umbria</t>
  </si>
  <si>
    <t>012100</t>
  </si>
  <si>
    <t>SOCIETA' AGRICOLA S.GIORGIO S.R.L.</t>
  </si>
  <si>
    <t>00263570566</t>
  </si>
  <si>
    <t>011000</t>
  </si>
  <si>
    <t>Viterbo</t>
  </si>
  <si>
    <t>Lazio</t>
  </si>
  <si>
    <t>Lombardia</t>
  </si>
  <si>
    <t>TENUTA RONCO SRL SOCIETA' AGRICOLA</t>
  </si>
  <si>
    <t>11215260016</t>
  </si>
  <si>
    <t>015000</t>
  </si>
  <si>
    <t>Torino</t>
  </si>
  <si>
    <t>Piemonte</t>
  </si>
  <si>
    <t>Trapani</t>
  </si>
  <si>
    <t>Sicilia</t>
  </si>
  <si>
    <t>011310</t>
  </si>
  <si>
    <t>ORTAGGI D'ORO SRLS</t>
  </si>
  <si>
    <t>01795880887</t>
  </si>
  <si>
    <t>011329</t>
  </si>
  <si>
    <t>Ragusa</t>
  </si>
  <si>
    <t>COOPERATIVA SOCIALE DE RERUM NATURA SOCIETA' COOPERATIVA AGRICOLA A RESPONSABILITA' LIMITATA</t>
  </si>
  <si>
    <t>02254910413</t>
  </si>
  <si>
    <t>011990</t>
  </si>
  <si>
    <t>Pesaro Urbino</t>
  </si>
  <si>
    <t>Marche</t>
  </si>
  <si>
    <t>SOCIETA' AGRICOLA CORIBAS S.R.L.</t>
  </si>
  <si>
    <t>01985790763</t>
  </si>
  <si>
    <t>016300</t>
  </si>
  <si>
    <t>Potenza</t>
  </si>
  <si>
    <t>Basilicata</t>
  </si>
  <si>
    <t>SOCIETA' AGRICOLA L'ISOLA DEL SALE S.R.L.</t>
  </si>
  <si>
    <t>02610500817</t>
  </si>
  <si>
    <t>PARCO DI CASTIADAS SOCIETA' AGRICOLA A RESPONSABILITA' LIMITATA</t>
  </si>
  <si>
    <t>02975530920</t>
  </si>
  <si>
    <t>Cagliari</t>
  </si>
  <si>
    <t>Sardegna</t>
  </si>
  <si>
    <t>SOCIETA' AGRICOLA CASCINA SANTA MARTA S.R.L.</t>
  </si>
  <si>
    <t>12250430969</t>
  </si>
  <si>
    <t>011321</t>
  </si>
  <si>
    <t>Milano</t>
  </si>
  <si>
    <t>COLLE VERDE SOCIETA' AGRICOLA A RESPONSABILITA' LIMITATA</t>
  </si>
  <si>
    <t>03029730599</t>
  </si>
  <si>
    <t>012500</t>
  </si>
  <si>
    <t>Latina</t>
  </si>
  <si>
    <t>TENUTA CHIUSE DEL SIGNORE SOC. CONS. A R.L.</t>
  </si>
  <si>
    <t>04131870877</t>
  </si>
  <si>
    <t>012000</t>
  </si>
  <si>
    <t>Catania</t>
  </si>
  <si>
    <t>012100</t>
  </si>
  <si>
    <t>012600</t>
  </si>
  <si>
    <t>016100</t>
  </si>
  <si>
    <t>Sicilia</t>
  </si>
  <si>
    <t>Campania</t>
  </si>
  <si>
    <t>LEMBO S.R.L.S.</t>
  </si>
  <si>
    <t>01782130700</t>
  </si>
  <si>
    <t>016300</t>
  </si>
  <si>
    <t>Campobasso</t>
  </si>
  <si>
    <t>Molise</t>
  </si>
  <si>
    <t>SYSTEM GREEN MULTISERVICE SOCIETA' COOPERATIVA</t>
  </si>
  <si>
    <t>04922020237</t>
  </si>
  <si>
    <t>Verona</t>
  </si>
  <si>
    <t>Veneto</t>
  </si>
  <si>
    <t>SOCIETA' AGRICOLA TERRE DI LEONE S.R.L.</t>
  </si>
  <si>
    <t>01678700624</t>
  </si>
  <si>
    <t>Benevento</t>
  </si>
  <si>
    <t>SOCIETA' AGRICOLA TENUTA IL QUADRIFOGLIO S.R.L. - SOCIETA' AGRICOLA A RESPONSABILITA' LIMITATA</t>
  </si>
  <si>
    <t>04980770657</t>
  </si>
  <si>
    <t>011300</t>
  </si>
  <si>
    <t>Salerno</t>
  </si>
  <si>
    <t>SOCIETA' AGRICOLA VILLA CONDULMER S.R.L.</t>
  </si>
  <si>
    <t>04246420261</t>
  </si>
  <si>
    <t>011110</t>
  </si>
  <si>
    <t>Treviso</t>
  </si>
  <si>
    <t>BONOMO - SOCIETA' COOPERATIVA AGRICOLA</t>
  </si>
  <si>
    <t>06213110825</t>
  </si>
  <si>
    <t>Palermo</t>
  </si>
  <si>
    <t>GALAVERA S.R.L. - SOCIETA' AGRICOLA</t>
  </si>
  <si>
    <t>02055330902</t>
  </si>
  <si>
    <t>Sassari</t>
  </si>
  <si>
    <t>Sardegna</t>
  </si>
  <si>
    <t>Emilia-Romagna</t>
  </si>
  <si>
    <t>IURA ET ARMA SOCIETA' AGRICOLA A RESPONSABILITA' LIMITATA</t>
  </si>
  <si>
    <t>02579990603</t>
  </si>
  <si>
    <t>012100</t>
  </si>
  <si>
    <t>Frosinone</t>
  </si>
  <si>
    <t>Lazio</t>
  </si>
  <si>
    <t>Veneto</t>
  </si>
  <si>
    <t>Sicilia</t>
  </si>
  <si>
    <t>CONSORZIO PER LA VALORIZZAZIONE DELLE SEMENTI - CONVASE</t>
  </si>
  <si>
    <t>02195420373</t>
  </si>
  <si>
    <t>010000</t>
  </si>
  <si>
    <t>Bologna</t>
  </si>
  <si>
    <t>AGRI &amp; INNESTI SOCIETA' A RESPONSABILITA' LIMITATA SEMPLIFICATA</t>
  </si>
  <si>
    <t>02696840814</t>
  </si>
  <si>
    <t>Trapani</t>
  </si>
  <si>
    <t>VERDE DI FARA SOCIETA' AGRICOLA SRL</t>
  </si>
  <si>
    <t>04331910168</t>
  </si>
  <si>
    <t>016100</t>
  </si>
  <si>
    <t>Bergamo</t>
  </si>
  <si>
    <t>Lombardia</t>
  </si>
  <si>
    <t>SOCIETA' AGRICOLA BIOFARM S.R.L.</t>
  </si>
  <si>
    <t>04527990230</t>
  </si>
  <si>
    <t>011340</t>
  </si>
  <si>
    <t>Verona</t>
  </si>
  <si>
    <t>CASTELLO DI AZEGLIO SOCIETA' AGRICOLA A RESPONSABILITA' LIMITATA</t>
  </si>
  <si>
    <t>11174320017</t>
  </si>
  <si>
    <t>Torino</t>
  </si>
  <si>
    <t>Piemonte</t>
  </si>
  <si>
    <t>012100</t>
  </si>
  <si>
    <t>Veneto</t>
  </si>
  <si>
    <t>Grosseto</t>
  </si>
  <si>
    <t>Toscana</t>
  </si>
  <si>
    <t>SOCIETA' AGRICOLA SAFINA S.R.L.</t>
  </si>
  <si>
    <t>01526660533</t>
  </si>
  <si>
    <t>TAPA OLEARIA - SOCIETA' COOPERATIVA AGRICOLA</t>
  </si>
  <si>
    <t>03828920268</t>
  </si>
  <si>
    <t>012600</t>
  </si>
  <si>
    <t>Treviso</t>
  </si>
  <si>
    <t>Benevento</t>
  </si>
  <si>
    <t>Campania</t>
  </si>
  <si>
    <t>016300</t>
  </si>
  <si>
    <t>SANTA BARBARA COUNTRY HOUSE SRL - SOCIETA' AGRICOLA</t>
  </si>
  <si>
    <t>01605590502</t>
  </si>
  <si>
    <t>012000</t>
  </si>
  <si>
    <t>Pisa</t>
  </si>
  <si>
    <t>ANTICHE MACINE SRLS SOCIETA' A RESPONSABILITA' LIMITATA SEMPLIF ICATA</t>
  </si>
  <si>
    <t>01652290626</t>
  </si>
  <si>
    <t>011110</t>
  </si>
  <si>
    <t>Lombardia</t>
  </si>
  <si>
    <t>012100</t>
  </si>
  <si>
    <t>Napoli</t>
  </si>
  <si>
    <t>Campania</t>
  </si>
  <si>
    <t>A RESTA SOCIETA' COOPERATIVA AGRICOLA</t>
  </si>
  <si>
    <t>01271460089</t>
  </si>
  <si>
    <t>011310</t>
  </si>
  <si>
    <t>Imperia</t>
  </si>
  <si>
    <t>Liguria</t>
  </si>
  <si>
    <t>ANGIMA SOCIETA' AGRICOLA A R.L.</t>
  </si>
  <si>
    <t>04448400822</t>
  </si>
  <si>
    <t>011300</t>
  </si>
  <si>
    <t>Caltanissetta</t>
  </si>
  <si>
    <t>Sicilia</t>
  </si>
  <si>
    <t>SOCIETA' AGRICOLA TENUTA BUONANNO S.R.L.</t>
  </si>
  <si>
    <t>02402350645</t>
  </si>
  <si>
    <t>015000</t>
  </si>
  <si>
    <t>Avellino</t>
  </si>
  <si>
    <t>SOCIETA' AGRICOLA PODERE SANTA FRANCESCA S.R.L.</t>
  </si>
  <si>
    <t>01067190528</t>
  </si>
  <si>
    <t>Siena</t>
  </si>
  <si>
    <t>Toscana</t>
  </si>
  <si>
    <t>012600</t>
  </si>
  <si>
    <t>FATTORIE F.LLI MOGAVERO SOCIETA' AGRICOLA S.R.L. - SOCIETA' A RESPONSABILITA' LIMITATA</t>
  </si>
  <si>
    <t>01500970627</t>
  </si>
  <si>
    <t>Benevento</t>
  </si>
  <si>
    <t>MOMI SCUDERIA DI UR S.R.L.</t>
  </si>
  <si>
    <t>01492450158</t>
  </si>
  <si>
    <t>014300</t>
  </si>
  <si>
    <t>Milano</t>
  </si>
  <si>
    <t>EFFEPIQUADRO SOCIETA' AGRICOLA A RESPONSABILITA' LIMITATA</t>
  </si>
  <si>
    <t>01775170499</t>
  </si>
  <si>
    <t>Livorno</t>
  </si>
  <si>
    <t>MONTEVASO S.R.L. SOCIETA' AGRICOLA</t>
  </si>
  <si>
    <t>00423450493</t>
  </si>
  <si>
    <t>011000</t>
  </si>
  <si>
    <t>SCALA FENICIA S.R.L. - SOCIETA' AGRICOLA</t>
  </si>
  <si>
    <t>06613481214</t>
  </si>
  <si>
    <t>IL SOLE A CAVALLO - SOCIETA' AGRICOLA A RESPONSABILITA' LIMITATA</t>
  </si>
  <si>
    <t>04719770879</t>
  </si>
  <si>
    <t>010000</t>
  </si>
  <si>
    <t>Catania</t>
  </si>
  <si>
    <t>SGCL VINI S.R.L. SOCIETA' AGRICOLA</t>
  </si>
  <si>
    <t>02252390741</t>
  </si>
  <si>
    <t>012100</t>
  </si>
  <si>
    <t>Brindisi</t>
  </si>
  <si>
    <t>Puglia</t>
  </si>
  <si>
    <t>011110</t>
  </si>
  <si>
    <t>Roma</t>
  </si>
  <si>
    <t>Lazio</t>
  </si>
  <si>
    <t>SOCIETA' AGRICOLA VILLA NINETTA SRL</t>
  </si>
  <si>
    <t>02029810435</t>
  </si>
  <si>
    <t>Macerata</t>
  </si>
  <si>
    <t>Marche</t>
  </si>
  <si>
    <t>SEREMUS SOCIETA' AGRICOLA S.R.L.</t>
  </si>
  <si>
    <t>01622420535</t>
  </si>
  <si>
    <t>011120</t>
  </si>
  <si>
    <t>Grosseto</t>
  </si>
  <si>
    <t>Toscana</t>
  </si>
  <si>
    <t>CASANUOVA S.R.L.</t>
  </si>
  <si>
    <t>05006031008</t>
  </si>
  <si>
    <t>012600</t>
  </si>
  <si>
    <t>Roma</t>
  </si>
  <si>
    <t>Lazio</t>
  </si>
  <si>
    <t>SOCIETA' AGRICOLA CERI S.R.L.</t>
  </si>
  <si>
    <t>02035970975</t>
  </si>
  <si>
    <t>012100</t>
  </si>
  <si>
    <t>Prato</t>
  </si>
  <si>
    <t>Toscana</t>
  </si>
  <si>
    <t>011310</t>
  </si>
  <si>
    <t>015000</t>
  </si>
  <si>
    <t>PIANCAVALLO SOCIETA' AGRICOLA COOPERATIVA</t>
  </si>
  <si>
    <t>01081080937</t>
  </si>
  <si>
    <t>014300</t>
  </si>
  <si>
    <t>Pordenone</t>
  </si>
  <si>
    <t>Friuli-Venezia Giulia</t>
  </si>
  <si>
    <t>Abruzzo</t>
  </si>
  <si>
    <t>FRL S.R.L. SOCIETA' AGRICOLA</t>
  </si>
  <si>
    <t>06801200483</t>
  </si>
  <si>
    <t>Firenze</t>
  </si>
  <si>
    <t>CUSCIANO S.R.L.</t>
  </si>
  <si>
    <t>02050880679</t>
  </si>
  <si>
    <t>Teramo</t>
  </si>
  <si>
    <t>COLLE SOLE S.R.L.</t>
  </si>
  <si>
    <t>08577531000</t>
  </si>
  <si>
    <t>DELLA TERRA CONTADINANZA NECESSARIA SOCIETA' COOPERATIVA IMPRESA SOCIALE ETS</t>
  </si>
  <si>
    <t>03126560808</t>
  </si>
  <si>
    <t>011320</t>
  </si>
  <si>
    <t>Reggio di Calabria</t>
  </si>
  <si>
    <t>Calabria</t>
  </si>
  <si>
    <t>FOP SOCIETA' AGRICOLA S.R.L.</t>
  </si>
  <si>
    <t>02232340501</t>
  </si>
  <si>
    <t>011120</t>
  </si>
  <si>
    <t>Pisa</t>
  </si>
  <si>
    <t>012600</t>
  </si>
  <si>
    <t>Grosseto</t>
  </si>
  <si>
    <t>Toscana</t>
  </si>
  <si>
    <t>CIUFFENNA - SOCIETA' AGRICOLA COOPERATIVA</t>
  </si>
  <si>
    <t>01347700518</t>
  </si>
  <si>
    <t>016300</t>
  </si>
  <si>
    <t>Arezzo</t>
  </si>
  <si>
    <t>COLLINE DI AFFILE - VIGNE NUOVE SOCIETA' AGRICOLA S.R.L.</t>
  </si>
  <si>
    <t>08950691009</t>
  </si>
  <si>
    <t>012100</t>
  </si>
  <si>
    <t>Roma</t>
  </si>
  <si>
    <t>Lazio</t>
  </si>
  <si>
    <t>Pordenone</t>
  </si>
  <si>
    <t>Friuli-Venezia Giulia</t>
  </si>
  <si>
    <t>012500</t>
  </si>
  <si>
    <t>Lombardia</t>
  </si>
  <si>
    <t>CASALE RONCHETTO SRL SOCIETA' AGRICOLA</t>
  </si>
  <si>
    <t>03734080132</t>
  </si>
  <si>
    <t>Como</t>
  </si>
  <si>
    <t>SOCIETA' AGRICOLA VERGNANO S.R.L.</t>
  </si>
  <si>
    <t>01560740332</t>
  </si>
  <si>
    <t>011110</t>
  </si>
  <si>
    <t>Piacenza</t>
  </si>
  <si>
    <t>Emilia-Romagna</t>
  </si>
  <si>
    <t>Basilicata</t>
  </si>
  <si>
    <t>SOCIETA' AGRICOLA COLLE MEZZANO - SOCIETA' A RESPONSABILITA' LI MITATA O PIU' BREVEMENTE SOCIETA' AGRICOLA COLLE MEZZANO - S.R.L.</t>
  </si>
  <si>
    <t>05420721002</t>
  </si>
  <si>
    <t>015000</t>
  </si>
  <si>
    <t>Livorno</t>
  </si>
  <si>
    <t>ALTERNATIVE BUSINESS SOLUTIONS SOCIETA' AGRICOLA A RESPONSABILITA ' LIMITATA</t>
  </si>
  <si>
    <t>08992751001</t>
  </si>
  <si>
    <t>COOPERATIVA SOCIALE IL POSTO DELLE VIOLE SOCIETA' COOPERATIVA AGRICOLA A RESPONSABILITA' LIMITATA</t>
  </si>
  <si>
    <t>02042020418</t>
  </si>
  <si>
    <t>011990</t>
  </si>
  <si>
    <t>Pesaro Urbino</t>
  </si>
  <si>
    <t>Marche</t>
  </si>
  <si>
    <t>SOCIETA' AGRICOLA LE TERRE DELLA CAROLEA S.R.L.S.</t>
  </si>
  <si>
    <t>03520230792</t>
  </si>
  <si>
    <t>012200</t>
  </si>
  <si>
    <t>Catanzaro</t>
  </si>
  <si>
    <t>Calabria</t>
  </si>
  <si>
    <t>SOCIETA' AGRICOLA BRIGHA S.R.L.</t>
  </si>
  <si>
    <t>02706110802</t>
  </si>
  <si>
    <t>Reggio di Calabria</t>
  </si>
  <si>
    <t>AZIENDA AGRICOLA MADDALENA S.R.L. SOCIETA' AGRICOLA</t>
  </si>
  <si>
    <t>01725450934</t>
  </si>
  <si>
    <t>AGRICOLA BIOLOGICA OLEARIA LUCANA SOC. COOP.</t>
  </si>
  <si>
    <t>01509140768</t>
  </si>
  <si>
    <t>011000</t>
  </si>
  <si>
    <t>Potenza</t>
  </si>
  <si>
    <t>SHARDANA S.R.L. - SOCIETA' AGRICOLA</t>
  </si>
  <si>
    <t>02177630908</t>
  </si>
  <si>
    <t>011300</t>
  </si>
  <si>
    <t>Sassari</t>
  </si>
  <si>
    <t>Sardegna</t>
  </si>
  <si>
    <t>ARTEMISIA SOCIETA' AGRICOLA A RESPONSABILITA' LIMITATA</t>
  </si>
  <si>
    <t>01298810530</t>
  </si>
  <si>
    <t>012800</t>
  </si>
  <si>
    <t>011310</t>
  </si>
  <si>
    <t>UNIGREEN SOCIETA' AGRICOLA S.R.L.</t>
  </si>
  <si>
    <t>01624770291</t>
  </si>
  <si>
    <t>Rovigo</t>
  </si>
  <si>
    <t>Veneto</t>
  </si>
  <si>
    <t>Veneto</t>
  </si>
  <si>
    <t>012600</t>
  </si>
  <si>
    <t>MASCALISI SOCIETA' AGRICOLA S.R.L.</t>
  </si>
  <si>
    <t>05487440876</t>
  </si>
  <si>
    <t>012400</t>
  </si>
  <si>
    <t>Catania</t>
  </si>
  <si>
    <t>Sicilia</t>
  </si>
  <si>
    <t>Lombardia</t>
  </si>
  <si>
    <t>AGRI - CULTURE SOCIETA' COOPERATIVA AGRICOLA</t>
  </si>
  <si>
    <t>08089960721</t>
  </si>
  <si>
    <t>011310</t>
  </si>
  <si>
    <t>Bari</t>
  </si>
  <si>
    <t>Puglia</t>
  </si>
  <si>
    <t>SOCIETA' AGRICOLA DEL RIPA S.R.L.</t>
  </si>
  <si>
    <t>02215850187</t>
  </si>
  <si>
    <t>014000</t>
  </si>
  <si>
    <t>Pavia</t>
  </si>
  <si>
    <t>DE.MA. START S.R.L.</t>
  </si>
  <si>
    <t>09237491213</t>
  </si>
  <si>
    <t>011320</t>
  </si>
  <si>
    <t>Napoli</t>
  </si>
  <si>
    <t>Campania</t>
  </si>
  <si>
    <t>015000</t>
  </si>
  <si>
    <t>SOCIETA' AGRICOLA CAPRA BIO SRL</t>
  </si>
  <si>
    <t>04904050236</t>
  </si>
  <si>
    <t>014500</t>
  </si>
  <si>
    <t>Verona</t>
  </si>
  <si>
    <t>CASTEL DI BOLO GOLLIA SOCIETA' COOPERATIVA AGRICOLA</t>
  </si>
  <si>
    <t>00573890878</t>
  </si>
  <si>
    <t>016000</t>
  </si>
  <si>
    <t>SOCIETA' AGRICOLA GREEN LIFE S.R.L.</t>
  </si>
  <si>
    <t>05277260872</t>
  </si>
  <si>
    <t>012300</t>
  </si>
  <si>
    <t>Roma</t>
  </si>
  <si>
    <t>Lazio</t>
  </si>
  <si>
    <t>AGRICOLA COLFIORITO 1974 SOCIETA' A RESPONSABILITA' LIMITATA - SOCIETA' AGRICOLA</t>
  </si>
  <si>
    <t>02122001007</t>
  </si>
  <si>
    <t>HOMNICARE SOCIETA' AGRICOLA A RESPONSABILITA' LIMITATA</t>
  </si>
  <si>
    <t>07743210721</t>
  </si>
  <si>
    <t>Puglia</t>
  </si>
  <si>
    <t>011310</t>
  </si>
  <si>
    <t>SOCIETA' AGRICOLA VERDI PASCOLI SOCIETA' A RESPONSABILITA' LIMITATA IN SIGLA SOCIETA' AGRICOLA VERDI PASCOLI S.R.L.</t>
  </si>
  <si>
    <t>08093870726</t>
  </si>
  <si>
    <t>014100</t>
  </si>
  <si>
    <t>Bari</t>
  </si>
  <si>
    <t>EURO PROGRAM SOCIETA' AGRICOLA A RESPONSABILITA' LIMITATA</t>
  </si>
  <si>
    <t>03448740617</t>
  </si>
  <si>
    <t>011110</t>
  </si>
  <si>
    <t>Caserta</t>
  </si>
  <si>
    <t>Campania</t>
  </si>
  <si>
    <t>012600</t>
  </si>
  <si>
    <t>VAL D'ORCIA TERRE SENESI S.R.L. SOCIETA' AGRICOLA</t>
  </si>
  <si>
    <t>00957730526</t>
  </si>
  <si>
    <t>012100</t>
  </si>
  <si>
    <t>Siena</t>
  </si>
  <si>
    <t>Toscana</t>
  </si>
  <si>
    <t>Taranto</t>
  </si>
  <si>
    <t>LUZI SRL - SOCIETA' AGRICOLA</t>
  </si>
  <si>
    <t>02005970443</t>
  </si>
  <si>
    <t>Fermo</t>
  </si>
  <si>
    <t>Marche</t>
  </si>
  <si>
    <t>ANTICHE TERRE BELVEDERE DI SAN LEONINO SOCIETA' AGRICOLA A RESPON SABILITA' LIMITATA IN SIGLA BELVEDERE - BELVEDERE DI SAN LEONINO - ANTICHE TERRE SAN LEONINO</t>
  </si>
  <si>
    <t>01431320520</t>
  </si>
  <si>
    <t>SOCIETA' AGRICOLA VILLA CLEMENTINA SRL</t>
  </si>
  <si>
    <t>05309890266</t>
  </si>
  <si>
    <t>Treviso</t>
  </si>
  <si>
    <t>Veneto</t>
  </si>
  <si>
    <t>SOCIETA' COOPERATIVA AGRICOLA I CARE</t>
  </si>
  <si>
    <t>02512680600</t>
  </si>
  <si>
    <t>Frosinone</t>
  </si>
  <si>
    <t>Lazio</t>
  </si>
  <si>
    <t>Umbria</t>
  </si>
  <si>
    <t>011140</t>
  </si>
  <si>
    <t>IL DIVIN PENSATORE SOCIETA' AGRICOLA A RESPONSABILITA' LIMITATA A CAPITALE RIDOTTO</t>
  </si>
  <si>
    <t>03297120549</t>
  </si>
  <si>
    <t>Perugia</t>
  </si>
  <si>
    <t>FASCINO ANTICO DELL'AGRICOLTURA SOCIETA' AGRICOLA COOPERATIVA</t>
  </si>
  <si>
    <t>03013710730</t>
  </si>
  <si>
    <t>012000</t>
  </si>
  <si>
    <t>SOCIETA' AGRICOLA ORZO BOLGHERESE S.R.L.</t>
  </si>
  <si>
    <t>01908610494</t>
  </si>
  <si>
    <t>011140</t>
  </si>
  <si>
    <t>Livorno</t>
  </si>
  <si>
    <t>Toscana</t>
  </si>
  <si>
    <t>HUMANS GARDEN S.R.L. SOCIETA' AGRICOLA</t>
  </si>
  <si>
    <t>03942830989</t>
  </si>
  <si>
    <t>011321</t>
  </si>
  <si>
    <t>Brescia</t>
  </si>
  <si>
    <t>Lombardia</t>
  </si>
  <si>
    <t>TENUTA CLIVO DEL CARDINALE SOCIETA' AGRICOLA A RESPONSABILITA'LIM ITATA</t>
  </si>
  <si>
    <t>13379901005</t>
  </si>
  <si>
    <t>012100</t>
  </si>
  <si>
    <t>Roma</t>
  </si>
  <si>
    <t>Lazio</t>
  </si>
  <si>
    <t>Piemonte</t>
  </si>
  <si>
    <t>011000</t>
  </si>
  <si>
    <t>012600</t>
  </si>
  <si>
    <t>AGRI.MA SRL</t>
  </si>
  <si>
    <t>04527820965</t>
  </si>
  <si>
    <t>Alessandria</t>
  </si>
  <si>
    <t>Salerno</t>
  </si>
  <si>
    <t>Campania</t>
  </si>
  <si>
    <t>HELYCASE S.R.L. START-UP COSTITUITA A NORMA DELL'ARTICOLO 4 COMMA 10 BIS DEL DECRETO LEGGE 24 GENNAIO 2015, N. 3</t>
  </si>
  <si>
    <t>15749991004</t>
  </si>
  <si>
    <t>011920</t>
  </si>
  <si>
    <t>SOCIETA' AGRICOLA LA GHINCHIA S.R.L.</t>
  </si>
  <si>
    <t>00426490496</t>
  </si>
  <si>
    <t>SOCIETA' AGRICOLA IL GIARDINO S.R.L.</t>
  </si>
  <si>
    <t>05778160654</t>
  </si>
  <si>
    <t>012100</t>
  </si>
  <si>
    <t>Siena</t>
  </si>
  <si>
    <t>Toscana</t>
  </si>
  <si>
    <t>IL CERVO RAMPANTE SOCIETA' AGRICOLA A R.L.</t>
  </si>
  <si>
    <t>09701281009</t>
  </si>
  <si>
    <t>012000</t>
  </si>
  <si>
    <t>Roma</t>
  </si>
  <si>
    <t>Lazio</t>
  </si>
  <si>
    <t>Marche</t>
  </si>
  <si>
    <t>AGRICOLA DUE TORRI S.R.L.</t>
  </si>
  <si>
    <t>00294890793</t>
  </si>
  <si>
    <t>Catanzaro</t>
  </si>
  <si>
    <t>Calabria</t>
  </si>
  <si>
    <t>Emilia-Romagna</t>
  </si>
  <si>
    <t>TENUTA GRIGEIRO SOCIETA' A RESPONSABILITA' LIMITATA</t>
  </si>
  <si>
    <t>01470330521</t>
  </si>
  <si>
    <t>013000</t>
  </si>
  <si>
    <t>CANTINA FONTURSIA SOCIETA' A R.L.</t>
  </si>
  <si>
    <t>01860290442</t>
  </si>
  <si>
    <t>Ascoli Piceno</t>
  </si>
  <si>
    <t>011310</t>
  </si>
  <si>
    <t>LA GRAMIGNA - SOCIETA' COOPERATIVA SOCIALE INTEGRATA</t>
  </si>
  <si>
    <t>13379291001</t>
  </si>
  <si>
    <t>FATTORIA LA SANTOLA SOCIETA' AGRICOLA A RESPONSABILITA' LIMITATA</t>
  </si>
  <si>
    <t>13922131001</t>
  </si>
  <si>
    <t>015000</t>
  </si>
  <si>
    <t>BERRY LAB SRL SOCIETA' AGRICOLA</t>
  </si>
  <si>
    <t>04265020406</t>
  </si>
  <si>
    <t>Forlì-Cesena</t>
  </si>
  <si>
    <t>Puglia</t>
  </si>
  <si>
    <t>011310</t>
  </si>
  <si>
    <t>012000</t>
  </si>
  <si>
    <t>Toscana</t>
  </si>
  <si>
    <t>012600</t>
  </si>
  <si>
    <t>Campania</t>
  </si>
  <si>
    <t>VILLA HUMBOURG SOCIETA' AGRICOLA A RESPONSABILITA' LIMITATA</t>
  </si>
  <si>
    <t>06095720485</t>
  </si>
  <si>
    <t>Firenze</t>
  </si>
  <si>
    <t>SOCIETA' AGRICOLA TITIANA S.R.L.</t>
  </si>
  <si>
    <t>01678700434</t>
  </si>
  <si>
    <t>012100</t>
  </si>
  <si>
    <t>Macerata</t>
  </si>
  <si>
    <t>Marche</t>
  </si>
  <si>
    <t>Roma</t>
  </si>
  <si>
    <t>Lazio</t>
  </si>
  <si>
    <t>016100</t>
  </si>
  <si>
    <t>SOCIETA' AGRICOLA PRATUM COLLER SRL</t>
  </si>
  <si>
    <t>02847810989</t>
  </si>
  <si>
    <t>Brescia</t>
  </si>
  <si>
    <t>Lombardia</t>
  </si>
  <si>
    <t>I NIPOTI DEL CAVALIER TIZZIANI SOCIETA' COOPERATIVA AGRICOLA</t>
  </si>
  <si>
    <t>01667890626</t>
  </si>
  <si>
    <t>Benevento</t>
  </si>
  <si>
    <t>AGROMECCANICA SOCIETA' COOPERATIVA AGRICOLA</t>
  </si>
  <si>
    <t>02122580562</t>
  </si>
  <si>
    <t>Viterbo</t>
  </si>
  <si>
    <t>LA FALLARESE - SOCIETA' AGRICOLA S.R.L.</t>
  </si>
  <si>
    <t>14111471000</t>
  </si>
  <si>
    <t>SALENTINVEST S.R.L. SOCIETA' AGRICOLA</t>
  </si>
  <si>
    <t>03803020753</t>
  </si>
  <si>
    <t>Lecce</t>
  </si>
  <si>
    <t>012600</t>
  </si>
  <si>
    <t>Calabria</t>
  </si>
  <si>
    <t>011000</t>
  </si>
  <si>
    <t>Grosseto</t>
  </si>
  <si>
    <t>Toscana</t>
  </si>
  <si>
    <t>Catania</t>
  </si>
  <si>
    <t>Sicilia</t>
  </si>
  <si>
    <t>AZIENDA AGRICOLA IL CUORE DI DIONISO S.R.L.</t>
  </si>
  <si>
    <t>01920860812</t>
  </si>
  <si>
    <t>Trapani</t>
  </si>
  <si>
    <t>011110</t>
  </si>
  <si>
    <t>012100</t>
  </si>
  <si>
    <t>SOCIETA' AGRICOLA SEMINARIO DUE S.R.L.</t>
  </si>
  <si>
    <t>05075301001</t>
  </si>
  <si>
    <t>Roma</t>
  </si>
  <si>
    <t>Lazio</t>
  </si>
  <si>
    <t>011140</t>
  </si>
  <si>
    <t>SOCIETA' AGRICOLA PIEMONTESE S.R.L.</t>
  </si>
  <si>
    <t>01759040338</t>
  </si>
  <si>
    <t>Asti</t>
  </si>
  <si>
    <t>Piemonte</t>
  </si>
  <si>
    <t>SOCIETA' AGRICOLA AZIENDA AGRICOLA AGRITURISTICA ARCIA S.R.L.</t>
  </si>
  <si>
    <t>04446180657</t>
  </si>
  <si>
    <t>Salerno</t>
  </si>
  <si>
    <t>Campania</t>
  </si>
  <si>
    <t>ANTICA TROCHLEA SOCIETA' AGRICOLA S.R.L.</t>
  </si>
  <si>
    <t>08367211219</t>
  </si>
  <si>
    <t>012500</t>
  </si>
  <si>
    <t>Napoli</t>
  </si>
  <si>
    <t>SOCIETA' AGRICOLA PATRIA A RESPONSABILITA' LIMITATA</t>
  </si>
  <si>
    <t>03346790870</t>
  </si>
  <si>
    <t>MERIDIANA SOCIETA' AGRICOLA A RESPONSABILITA' LIMITATA</t>
  </si>
  <si>
    <t>01668550534</t>
  </si>
  <si>
    <t>MEDITATIVA LA CANAPA SATIVA S.R.L. SOCIETA' AGRICOLA</t>
  </si>
  <si>
    <t>03543100782</t>
  </si>
  <si>
    <t>011600</t>
  </si>
  <si>
    <t>Cosenza</t>
  </si>
  <si>
    <t>TERRE LUCANE SOCIETA' AGRICOLA A R.L.</t>
  </si>
  <si>
    <t>03987600719</t>
  </si>
  <si>
    <t>011310</t>
  </si>
  <si>
    <t>Foggia</t>
  </si>
  <si>
    <t>Puglia</t>
  </si>
  <si>
    <t>SOCIETA' AGRICOLA SIBAL S.R.L.</t>
  </si>
  <si>
    <t>04129740488</t>
  </si>
  <si>
    <t>012600</t>
  </si>
  <si>
    <t>Firenze</t>
  </si>
  <si>
    <t>Toscana</t>
  </si>
  <si>
    <t>AZIENDA AGRICOLA BIOGASTRONOMICA BRIGANTE LUCANO SOCIETA' AGRICO LA A RESPONSABILITA' SEMPLIFICATA</t>
  </si>
  <si>
    <t>01952990768</t>
  </si>
  <si>
    <t>015000</t>
  </si>
  <si>
    <t>Potenza</t>
  </si>
  <si>
    <t>Basilicata</t>
  </si>
  <si>
    <t>Marche</t>
  </si>
  <si>
    <t>012100</t>
  </si>
  <si>
    <t>011140</t>
  </si>
  <si>
    <t>SOCIETA' AGRICOLA VALOR SOCIETA' A RESPONSABILITA' LIMITATA SEMPL</t>
  </si>
  <si>
    <t>03356260541</t>
  </si>
  <si>
    <t>Perugia</t>
  </si>
  <si>
    <t>Umbria</t>
  </si>
  <si>
    <t>SOCIETA'AGRICOLA PASQUINELLI ENNIO S.R.L.</t>
  </si>
  <si>
    <t>00397860420</t>
  </si>
  <si>
    <t>Ancona</t>
  </si>
  <si>
    <t>FATTORIA MONTANINE SOCIETA' AGRICOLA A R.L.</t>
  </si>
  <si>
    <t>04709700480</t>
  </si>
  <si>
    <t>CONSORZIO DI COOPERATIVE AGRICOLE E DI LAVORO - SOCIETA' COOPERATIVA - COTRACOOP</t>
  </si>
  <si>
    <t>04024700751</t>
  </si>
  <si>
    <t>Lecce</t>
  </si>
  <si>
    <t>Sicilia</t>
  </si>
  <si>
    <t>SOCIETA' COOPERATIVA TERRANIMADA - FATTORIA SOCIALE COOPERATIVA AGRICOLA SOCIALE DI SOLIDARIETA' A R.L.</t>
  </si>
  <si>
    <t>02269430902</t>
  </si>
  <si>
    <t>010000</t>
  </si>
  <si>
    <t>Sassari</t>
  </si>
  <si>
    <t>Sardegna</t>
  </si>
  <si>
    <t>COOPERATIVA AGRICOLA COLLI EREI - SOCIETA' COOPERATIVA</t>
  </si>
  <si>
    <t>01187030869</t>
  </si>
  <si>
    <t>011320</t>
  </si>
  <si>
    <t>Enna</t>
  </si>
  <si>
    <t>011110</t>
  </si>
  <si>
    <t>LA COLLINELLA SOCIETA' COOPERATIVA SOCIALE</t>
  </si>
  <si>
    <t>12065140019</t>
  </si>
  <si>
    <t>011300</t>
  </si>
  <si>
    <t>Torino</t>
  </si>
  <si>
    <t>Piemonte</t>
  </si>
  <si>
    <t>POGGIO LEONE SOCIETA' AGRICOLA S.R.L.</t>
  </si>
  <si>
    <t>01509350524</t>
  </si>
  <si>
    <t>014300</t>
  </si>
  <si>
    <t>Firenze</t>
  </si>
  <si>
    <t>Toscana</t>
  </si>
  <si>
    <t>FATTORIA MONTE CARMEL SRL</t>
  </si>
  <si>
    <t>11789280150</t>
  </si>
  <si>
    <t>011990</t>
  </si>
  <si>
    <t>Milano</t>
  </si>
  <si>
    <t>Lombardia</t>
  </si>
  <si>
    <t>LA VOLPAIA 1521 SOCIETA' AGRICOLA S.R.L.</t>
  </si>
  <si>
    <t>06915830480</t>
  </si>
  <si>
    <t>AGRI FOGLIA SOCIETA' AGRICOLA S.R.L. IN SIGLA AGRI FOGLIA S.R.L.</t>
  </si>
  <si>
    <t>01643820432</t>
  </si>
  <si>
    <t>011110</t>
  </si>
  <si>
    <t>Macerata</t>
  </si>
  <si>
    <t>Marche</t>
  </si>
  <si>
    <t>SOCIETA' AGRICOLA CASCINA MOTTA S.R.L.</t>
  </si>
  <si>
    <t>02569780063</t>
  </si>
  <si>
    <t>Alessandria</t>
  </si>
  <si>
    <t>Piemonte</t>
  </si>
  <si>
    <t>Roma</t>
  </si>
  <si>
    <t>Lazio</t>
  </si>
  <si>
    <t>IDRO ENERGY S.R.L. SOCIETA' AGRICOLA</t>
  </si>
  <si>
    <t>06007440966</t>
  </si>
  <si>
    <t>015000</t>
  </si>
  <si>
    <t>Lodi</t>
  </si>
  <si>
    <t>Lombardia</t>
  </si>
  <si>
    <t>SOLENTI CLIVI - SOCIETA' AGRICOLA S.R.L.</t>
  </si>
  <si>
    <t>14804901008</t>
  </si>
  <si>
    <t>OGNIBENE S.R.L</t>
  </si>
  <si>
    <t>01606180857</t>
  </si>
  <si>
    <t>012600</t>
  </si>
  <si>
    <t>Caltanissetta</t>
  </si>
  <si>
    <t>Sicilia</t>
  </si>
  <si>
    <t>012100</t>
  </si>
  <si>
    <t>Catania</t>
  </si>
  <si>
    <t>ETNA TERRE NORMANNE SRL AGRICOLA</t>
  </si>
  <si>
    <t>05757590871</t>
  </si>
  <si>
    <t>OPERE IN VERDE S.R.L.</t>
  </si>
  <si>
    <t>02336730680</t>
  </si>
  <si>
    <t>011910</t>
  </si>
  <si>
    <t>Pescara</t>
  </si>
  <si>
    <t>Abruzzo</t>
  </si>
  <si>
    <t>Avellino</t>
  </si>
  <si>
    <t>Campania</t>
  </si>
  <si>
    <t>IL NOCCIOLO SOCIETA' AGRICOLA S.R.L.</t>
  </si>
  <si>
    <t>02760920641</t>
  </si>
  <si>
    <t>012400</t>
  </si>
  <si>
    <t>Alessandria</t>
  </si>
  <si>
    <t>Piemonte</t>
  </si>
  <si>
    <t>Puglia</t>
  </si>
  <si>
    <t>012100</t>
  </si>
  <si>
    <t>TENUTA IO S.R.L. - SOCIETA' AGRICOLA</t>
  </si>
  <si>
    <t>02665280067</t>
  </si>
  <si>
    <t>ORIZZONTI VERTICALI SOCIETA' AGRICOLA A RESPONSABILITA' LIMITATA SEMPLIFICATA</t>
  </si>
  <si>
    <t>03336110733</t>
  </si>
  <si>
    <t>013000</t>
  </si>
  <si>
    <t>Taranto</t>
  </si>
  <si>
    <t>SOCIETA' AGRICOLA CASTROMURRO S.R.L.</t>
  </si>
  <si>
    <t>03223540786</t>
  </si>
  <si>
    <t>Cosenza</t>
  </si>
  <si>
    <t>Calabria</t>
  </si>
  <si>
    <t>PIRRO VARONE SOCIETA' AGRICOLA A RESPONSABILITA' LIMITATA SIGLABILE PIRRO VARONE SOCIETA' AGRICOLA S.R.L.</t>
  </si>
  <si>
    <t>10110480018</t>
  </si>
  <si>
    <t>015000</t>
  </si>
  <si>
    <t>012500</t>
  </si>
  <si>
    <t>Livorno</t>
  </si>
  <si>
    <t>Toscana</t>
  </si>
  <si>
    <t>CANTINE DEI VAAZ SOCIETA' AGRICOLA A RESPONSABILITA' LIMITATA</t>
  </si>
  <si>
    <t>08182980725</t>
  </si>
  <si>
    <t>012100</t>
  </si>
  <si>
    <t>Bari</t>
  </si>
  <si>
    <t>Puglia</t>
  </si>
  <si>
    <t>CIBO-CI SRL SOCIETA' AGRICOLA</t>
  </si>
  <si>
    <t>04228410983</t>
  </si>
  <si>
    <t>011321</t>
  </si>
  <si>
    <t>Brescia</t>
  </si>
  <si>
    <t>Lombardia</t>
  </si>
  <si>
    <t>LA BANDITACCIA SOCIETA' AGRICOLA A RESPONSABILITA' LIMITATA</t>
  </si>
  <si>
    <t>01604070530</t>
  </si>
  <si>
    <t>012800</t>
  </si>
  <si>
    <t>Grosseto</t>
  </si>
  <si>
    <t>011140</t>
  </si>
  <si>
    <t>SOCIETA' AGRICOLA LA BIDOGGIA S.R.L.</t>
  </si>
  <si>
    <t>03510190261</t>
  </si>
  <si>
    <t>Treviso</t>
  </si>
  <si>
    <t>Veneto</t>
  </si>
  <si>
    <t>Emilia-Romagna</t>
  </si>
  <si>
    <t>LE CANTINE DI FIGARO SOCIETA' AGRICOLA A R.L.</t>
  </si>
  <si>
    <t>02471630448</t>
  </si>
  <si>
    <t>Ascoli Piceno</t>
  </si>
  <si>
    <t>Marche</t>
  </si>
  <si>
    <t>WHITE TAIL ORGANIC FARM S.R.L. - SOCIETA' AGRICOLA</t>
  </si>
  <si>
    <t>02676770064</t>
  </si>
  <si>
    <t>Alessandria</t>
  </si>
  <si>
    <t>Piemonte</t>
  </si>
  <si>
    <t>SOCIETA' AGRICOLA SALENTINO - S.R.L.</t>
  </si>
  <si>
    <t>06771710727</t>
  </si>
  <si>
    <t>010000</t>
  </si>
  <si>
    <t>CAPITAL CIPOF SOCIETA' AGRICOLA A RESPONSABILITA' LIMITATA</t>
  </si>
  <si>
    <t>03229030360</t>
  </si>
  <si>
    <t>016300</t>
  </si>
  <si>
    <t>Modena</t>
  </si>
  <si>
    <t>CASTEL ANNENBERG SRL - SOCIETA' AGRICOLA</t>
  </si>
  <si>
    <t>02610740215</t>
  </si>
  <si>
    <t>012400</t>
  </si>
  <si>
    <t>Bolzano/Bozen</t>
  </si>
  <si>
    <t>Trentino-Alto Adige</t>
  </si>
  <si>
    <t>012600</t>
  </si>
  <si>
    <t>TERRE DEI GHELFI S.R.L. SOCIETA' AGRICOLA</t>
  </si>
  <si>
    <t>01274090495</t>
  </si>
  <si>
    <t>011110</t>
  </si>
  <si>
    <t>Puglia</t>
  </si>
  <si>
    <t>AGRI - LAB SOCIETA' AGRICOLA S.R.L.</t>
  </si>
  <si>
    <t>04188970166</t>
  </si>
  <si>
    <t>016100</t>
  </si>
  <si>
    <t>Bergamo</t>
  </si>
  <si>
    <t>Lombardia</t>
  </si>
  <si>
    <t>Lecce</t>
  </si>
  <si>
    <t>012600</t>
  </si>
  <si>
    <t>SOCIETA' COOPERATIVA AGRICOLA SOCIALE LABORATORIO TERRA A RESPONSABILITA' LIMITATA</t>
  </si>
  <si>
    <t>02480420419</t>
  </si>
  <si>
    <t>Pesaro Urbino</t>
  </si>
  <si>
    <t>Marche</t>
  </si>
  <si>
    <t>AZIENDA AGRICOLA MIGLIETTA S.R.L. - SOCIETA' AGRICOLA</t>
  </si>
  <si>
    <t>04066140759</t>
  </si>
  <si>
    <t>011300</t>
  </si>
  <si>
    <t>SOCIETA' AGRICOLA FEUDI DI TERRA D'OTRANTO S.R.L</t>
  </si>
  <si>
    <t>01730460654</t>
  </si>
  <si>
    <t>011000</t>
  </si>
  <si>
    <t>Salerno</t>
  </si>
  <si>
    <t>Campania</t>
  </si>
  <si>
    <t>Toscana</t>
  </si>
  <si>
    <t>SOCIETA' AGRICOLA EPONA S.R.L.</t>
  </si>
  <si>
    <t>11649830962</t>
  </si>
  <si>
    <t>014300</t>
  </si>
  <si>
    <t>Milano</t>
  </si>
  <si>
    <t>Lombardia</t>
  </si>
  <si>
    <t>012100</t>
  </si>
  <si>
    <t>015000</t>
  </si>
  <si>
    <t>Basilicata</t>
  </si>
  <si>
    <t>BOSCO DEL SASSO S.R.L. SOCIET+ AGRICOLA</t>
  </si>
  <si>
    <t>02876200185</t>
  </si>
  <si>
    <t>Pavia</t>
  </si>
  <si>
    <t>F.LLI IACOVAZZO SOCIETA' A RESPONSABILITA' LIMITATA AGRICOLA</t>
  </si>
  <si>
    <t>01199300771</t>
  </si>
  <si>
    <t>Matera</t>
  </si>
  <si>
    <t>PIAN DE' SOMARI - SOCIETA' AGRICOLA A RESPONSABILITA' LIMITATA</t>
  </si>
  <si>
    <t>01216370534</t>
  </si>
  <si>
    <t>Grosseto</t>
  </si>
  <si>
    <t>LA RONDINE A MACCARELLO SOCIETA' AGRICOLA COOPERATIVA SOCIALE DI TIPO B</t>
  </si>
  <si>
    <t>03443230549</t>
  </si>
  <si>
    <t>Perugia</t>
  </si>
  <si>
    <t>Umbria</t>
  </si>
  <si>
    <t>Sicilia</t>
  </si>
  <si>
    <t>011110</t>
  </si>
  <si>
    <t>015000</t>
  </si>
  <si>
    <t>012600</t>
  </si>
  <si>
    <t>SOCIETA' AGRICOLA EURO RISORSE S.R.L.</t>
  </si>
  <si>
    <t>01899210858</t>
  </si>
  <si>
    <t>Caltanissetta</t>
  </si>
  <si>
    <t>Campania</t>
  </si>
  <si>
    <t>SOCIETA' AGRICOLA TERRE DI VILLA ANGELINA S.R.L.</t>
  </si>
  <si>
    <t>08890651212</t>
  </si>
  <si>
    <t>Napoli</t>
  </si>
  <si>
    <t>SOCIETA' COOPERATIVA AGRICOLA OLEIFICIO COOPERATIVO</t>
  </si>
  <si>
    <t>00090630609</t>
  </si>
  <si>
    <t>016100</t>
  </si>
  <si>
    <t>Frosinone</t>
  </si>
  <si>
    <t>Lazio</t>
  </si>
  <si>
    <t>SOCIETA' AGRICOLA EMINUEL SRL</t>
  </si>
  <si>
    <t>01048540411</t>
  </si>
  <si>
    <t>Pesaro Urbino</t>
  </si>
  <si>
    <t>Marche</t>
  </si>
  <si>
    <t>CASCINA ALBATERRA SOCIETA' COOPERATIVA AGRICOLA E SOCIALE</t>
  </si>
  <si>
    <t>04499630236</t>
  </si>
  <si>
    <t>015000</t>
  </si>
  <si>
    <t>Verona</t>
  </si>
  <si>
    <t>Veneto</t>
  </si>
  <si>
    <t>012600</t>
  </si>
  <si>
    <t>Sicilia</t>
  </si>
  <si>
    <t>Firenze</t>
  </si>
  <si>
    <t>Toscana</t>
  </si>
  <si>
    <t>011110</t>
  </si>
  <si>
    <t>DOG RESORT S.R.L.</t>
  </si>
  <si>
    <t>03205880168</t>
  </si>
  <si>
    <t>012000</t>
  </si>
  <si>
    <t>011310</t>
  </si>
  <si>
    <t>SOCIETA' AGRICOLA MONNA GIOVANNELLA S.R.L.</t>
  </si>
  <si>
    <t>03795830482</t>
  </si>
  <si>
    <t>SOCIETA' AGRICOLA FRAPONTI S.R.L.</t>
  </si>
  <si>
    <t>02588220927</t>
  </si>
  <si>
    <t>012100</t>
  </si>
  <si>
    <t>Cagliari</t>
  </si>
  <si>
    <t>Sardegna</t>
  </si>
  <si>
    <t>LE FONTI DEL GIANO SOCIETA' COOPERATIVA</t>
  </si>
  <si>
    <t>00406290429</t>
  </si>
  <si>
    <t>Ancona</t>
  </si>
  <si>
    <t>Marche</t>
  </si>
  <si>
    <t>AZIENDA AGRICOLA MERLANO S.R.L.</t>
  </si>
  <si>
    <t>01776671008</t>
  </si>
  <si>
    <t>Roma</t>
  </si>
  <si>
    <t>Lazio</t>
  </si>
  <si>
    <t>G. PRIVITERA - ICODOR S.R.L.</t>
  </si>
  <si>
    <t>03190090872</t>
  </si>
  <si>
    <t>Catania</t>
  </si>
  <si>
    <t>011110</t>
  </si>
  <si>
    <t>Catania</t>
  </si>
  <si>
    <t>Sicilia</t>
  </si>
  <si>
    <t>PELLHERMOSA SOCIETA' AGRICOLA A RESPONSABILITA' LIMITATA</t>
  </si>
  <si>
    <t>02729780904</t>
  </si>
  <si>
    <t>012800</t>
  </si>
  <si>
    <t>Sassari</t>
  </si>
  <si>
    <t>Sardegna</t>
  </si>
  <si>
    <t>011310</t>
  </si>
  <si>
    <t>Z BIO SOCIETA' AGRICOLA S.R.L. SEMPLIFICATA</t>
  </si>
  <si>
    <t>13998561008</t>
  </si>
  <si>
    <t>012600</t>
  </si>
  <si>
    <t>Roma</t>
  </si>
  <si>
    <t>Lazio</t>
  </si>
  <si>
    <t>012500</t>
  </si>
  <si>
    <t>TORRE DON VIRGILIO S.R.L.</t>
  </si>
  <si>
    <t>02690700832</t>
  </si>
  <si>
    <t>Messina</t>
  </si>
  <si>
    <t>Lombardia</t>
  </si>
  <si>
    <t>Ravenna</t>
  </si>
  <si>
    <t>Emilia-Romagna</t>
  </si>
  <si>
    <t>Calabria</t>
  </si>
  <si>
    <t>PIANTE CUBEDA S.R.L. SEMPLIFICATA</t>
  </si>
  <si>
    <t>05943770874</t>
  </si>
  <si>
    <t>011910</t>
  </si>
  <si>
    <t>016000</t>
  </si>
  <si>
    <t>Bari</t>
  </si>
  <si>
    <t>Puglia</t>
  </si>
  <si>
    <t>SOCIETA' AGRICOLA SOVERO SOCIETA' A RESPONSABILITA' LIMITATA SEMPLIFICATA</t>
  </si>
  <si>
    <t>07851350723</t>
  </si>
  <si>
    <t>CONSORZIO PER LA TUTELA DEI VINI D.O.C. CASTEL DEL MONTE</t>
  </si>
  <si>
    <t>06227750723</t>
  </si>
  <si>
    <t>VILLAGGIO DEL FANCIULLO - SOCIETA' COOPERATIVA SOCIALE - ONLUS</t>
  </si>
  <si>
    <t>02574920399</t>
  </si>
  <si>
    <t>LAGOCUPO SOCIETA' AGRICOLA S.R.L.</t>
  </si>
  <si>
    <t>03461960787</t>
  </si>
  <si>
    <t>Cosenza</t>
  </si>
  <si>
    <t>SCAH ARABIANS SRL SOCIETA' AGRICOLA</t>
  </si>
  <si>
    <t>03228180125</t>
  </si>
  <si>
    <t>014300</t>
  </si>
  <si>
    <t>Varese</t>
  </si>
  <si>
    <t>012100</t>
  </si>
  <si>
    <t>Sicilia</t>
  </si>
  <si>
    <t>012600</t>
  </si>
  <si>
    <t>Lazio</t>
  </si>
  <si>
    <t>Friuli-Venezia Giulia</t>
  </si>
  <si>
    <t>Roma</t>
  </si>
  <si>
    <t>SOCIETA' AGRICOLA BERNABEI SRL</t>
  </si>
  <si>
    <t>15309061008</t>
  </si>
  <si>
    <t>LA NUOVA BALDENICH SOCIETA' AGRICOLA A R.L.</t>
  </si>
  <si>
    <t>05730470829</t>
  </si>
  <si>
    <t>Palermo</t>
  </si>
  <si>
    <t>TENUTA LA PONCA S.R.L. - SOCIETA' AGRICOLA</t>
  </si>
  <si>
    <t>01055010316</t>
  </si>
  <si>
    <t>Gorizia</t>
  </si>
  <si>
    <t>Puglia</t>
  </si>
  <si>
    <t>SOCIETA' AGRICOLA DI CAMPO DI BONIS SOC. COOP. A R.L.</t>
  </si>
  <si>
    <t>00505620302</t>
  </si>
  <si>
    <t>014300</t>
  </si>
  <si>
    <t>Udine</t>
  </si>
  <si>
    <t>Friuli-Venezia Giulia</t>
  </si>
  <si>
    <t>Lazio</t>
  </si>
  <si>
    <t>Toscana</t>
  </si>
  <si>
    <t>012100</t>
  </si>
  <si>
    <t>Sicilia</t>
  </si>
  <si>
    <t>AGRITURISMO CAMPOLUNGO S.R.L.S. AGRICOLA</t>
  </si>
  <si>
    <t>02263720563</t>
  </si>
  <si>
    <t>011310</t>
  </si>
  <si>
    <t>Viterbo</t>
  </si>
  <si>
    <t>DIAR SOCIETA' AGRICOLA A RESPONSABILITA' LIMITATA</t>
  </si>
  <si>
    <t>06294651218</t>
  </si>
  <si>
    <t>011320</t>
  </si>
  <si>
    <t>Salerno</t>
  </si>
  <si>
    <t>Campania</t>
  </si>
  <si>
    <t>012600</t>
  </si>
  <si>
    <t>SOCIETA' COOPERATIVA POGGIO ALLE FONTI SOCIETA' AGRICOLA</t>
  </si>
  <si>
    <t>00585830524</t>
  </si>
  <si>
    <t>011300</t>
  </si>
  <si>
    <t>Siena</t>
  </si>
  <si>
    <t>CASCINASSA SOCIETA' AGRICOLA S.R.L.</t>
  </si>
  <si>
    <t>04918970965</t>
  </si>
  <si>
    <t>Milano</t>
  </si>
  <si>
    <t>Lombardia</t>
  </si>
  <si>
    <t>Catania</t>
  </si>
  <si>
    <t>011110</t>
  </si>
  <si>
    <t>ETNA SOCIETA' AGRICOLA S.R.L.</t>
  </si>
  <si>
    <t>04802170870</t>
  </si>
  <si>
    <t>011000</t>
  </si>
  <si>
    <t>AZIENDA AGRICOLA LA TONDA SOCIETA' A RESPONSABILITA' LIMITATA</t>
  </si>
  <si>
    <t>01829030897</t>
  </si>
  <si>
    <t>Siracusa</t>
  </si>
  <si>
    <t>FONTE REGINA SRL SOCIETA' AGRICOLA</t>
  </si>
  <si>
    <t>01132740521</t>
  </si>
  <si>
    <t>DECO SOCIETA' AGRICOLA S.R.L.</t>
  </si>
  <si>
    <t>07140610481</t>
  </si>
  <si>
    <t>Firenze</t>
  </si>
  <si>
    <t>IOLE IMMOBILIARE SOCIETA' AGRICOLA S.R.L.</t>
  </si>
  <si>
    <t>00372960757</t>
  </si>
  <si>
    <t>Lecce</t>
  </si>
  <si>
    <t>TRUFFLELAND SERVICE S.R.L.</t>
  </si>
  <si>
    <t>03769090543</t>
  </si>
  <si>
    <t>016100</t>
  </si>
  <si>
    <t>Perugia</t>
  </si>
  <si>
    <t>Umbria</t>
  </si>
  <si>
    <t>011310</t>
  </si>
  <si>
    <t>Campania</t>
  </si>
  <si>
    <t>AGRICAPITAL SOCIETA' AGRICOLA A R.L.S.</t>
  </si>
  <si>
    <t>05531500659</t>
  </si>
  <si>
    <t>Salerno</t>
  </si>
  <si>
    <t>Lazio</t>
  </si>
  <si>
    <t>011110</t>
  </si>
  <si>
    <t>Toscana</t>
  </si>
  <si>
    <t>SOCIETA' AGRICOLA ANTIQUA SRL</t>
  </si>
  <si>
    <t>05984560655</t>
  </si>
  <si>
    <t>012600</t>
  </si>
  <si>
    <t>CASTELLOSCURO SOCIETA' AGRICOLA S.R.L.</t>
  </si>
  <si>
    <t>02187750563</t>
  </si>
  <si>
    <t>Viterbo</t>
  </si>
  <si>
    <t>IL POETA SOCIETA' COOPERATIVA SOCIALE - O.N.L.U.S.</t>
  </si>
  <si>
    <t>00523710473</t>
  </si>
  <si>
    <t>Pistoia</t>
  </si>
  <si>
    <t>MASSERIA ANTONUCCI SOCIETA' AGRICOLA SRL</t>
  </si>
  <si>
    <t>02589600747</t>
  </si>
  <si>
    <t>Brindisi</t>
  </si>
  <si>
    <t>Puglia</t>
  </si>
  <si>
    <t>COLLE DELLA PACE S.R.L SOCIETA' AGRICOLA</t>
  </si>
  <si>
    <t>03109660542</t>
  </si>
  <si>
    <t>012100</t>
  </si>
  <si>
    <t>Piemonte</t>
  </si>
  <si>
    <t>BIANCOSPINO S.R.L. AGRICOLA</t>
  </si>
  <si>
    <t>01565720917</t>
  </si>
  <si>
    <t>014930</t>
  </si>
  <si>
    <t>Sardegna</t>
  </si>
  <si>
    <t>PONTE VIGNOLA SOCIETA' AGRICOLA S.R.L.</t>
  </si>
  <si>
    <t>02956040600</t>
  </si>
  <si>
    <t>015000</t>
  </si>
  <si>
    <t>Frosinone</t>
  </si>
  <si>
    <t>Lazio</t>
  </si>
  <si>
    <t>REGIO CANTINA S.R.L.</t>
  </si>
  <si>
    <t>01276420625</t>
  </si>
  <si>
    <t>Benevento</t>
  </si>
  <si>
    <t>Campania</t>
  </si>
  <si>
    <t>012600</t>
  </si>
  <si>
    <t>CANTINA PETRANIA SOCIETA' AGRICOLA A R.L.</t>
  </si>
  <si>
    <t>03855760793</t>
  </si>
  <si>
    <t>Catanzaro</t>
  </si>
  <si>
    <t>Calabria</t>
  </si>
  <si>
    <t>FA.CO. SRL SOCIETA' BENEFIT</t>
  </si>
  <si>
    <t>11908890012</t>
  </si>
  <si>
    <t>013000</t>
  </si>
  <si>
    <t>Cuneo</t>
  </si>
  <si>
    <t>OLEIFICIO SOCIALE COOPERATIVO AGRICOLO TUSCANIA SOCIETA' COOPERAT IVA AGRICOLA</t>
  </si>
  <si>
    <t>00611860560</t>
  </si>
  <si>
    <t>Viterbo</t>
  </si>
  <si>
    <t>Sicilia</t>
  </si>
  <si>
    <t>AGRITURISMO I CALANCHI DI CIVITA SRLS</t>
  </si>
  <si>
    <t>02285290561</t>
  </si>
  <si>
    <t>012600</t>
  </si>
  <si>
    <t>Viterbo</t>
  </si>
  <si>
    <t>Lazio</t>
  </si>
  <si>
    <t>012100</t>
  </si>
  <si>
    <t>BIOAGRIFUTURA S.R.L. AGRICOLA</t>
  </si>
  <si>
    <t>03640630830</t>
  </si>
  <si>
    <t>012200</t>
  </si>
  <si>
    <t>Messina</t>
  </si>
  <si>
    <t>TENUTA DI FREDDANO SOCIETA' AGRICOLA S.R.L.</t>
  </si>
  <si>
    <t>01393790553</t>
  </si>
  <si>
    <t>Terni</t>
  </si>
  <si>
    <t>Umbria</t>
  </si>
  <si>
    <t>SOCIETA' AGRICOLA TRA BOSCO E STELLE SOCIETA' A RESPONSABILITA' LIMITATA SEMPLIFICATA</t>
  </si>
  <si>
    <t>01988920474</t>
  </si>
  <si>
    <t>Pistoia</t>
  </si>
  <si>
    <t>Toscana</t>
  </si>
  <si>
    <t>011110</t>
  </si>
  <si>
    <t>Sicilia</t>
  </si>
  <si>
    <t>COOPERATIVA ALLEVATORI SONDRIO - SOCIETA' COOPERATIVA AGRICOLA</t>
  </si>
  <si>
    <t>00084230143</t>
  </si>
  <si>
    <t>016209</t>
  </si>
  <si>
    <t>Sondrio</t>
  </si>
  <si>
    <t>Lombardia</t>
  </si>
  <si>
    <t>AGRIDUE SOCIETA' AGRICOLA A R.L.</t>
  </si>
  <si>
    <t>02428080713</t>
  </si>
  <si>
    <t>Foggia</t>
  </si>
  <si>
    <t>Puglia</t>
  </si>
  <si>
    <t>012100</t>
  </si>
  <si>
    <t>012600</t>
  </si>
  <si>
    <t>SOCIETA' AGRICOLA TENUTE CINQUANTA S.R.L.</t>
  </si>
  <si>
    <t>03007780848</t>
  </si>
  <si>
    <t>Agrigento</t>
  </si>
  <si>
    <t>SOCIETA' AGRICOLA AGER S.R.L.</t>
  </si>
  <si>
    <t>00996670675</t>
  </si>
  <si>
    <t>Teramo</t>
  </si>
  <si>
    <t>Abruzzo</t>
  </si>
  <si>
    <t>012600</t>
  </si>
  <si>
    <t>015000</t>
  </si>
  <si>
    <t>Sardegna</t>
  </si>
  <si>
    <t>Emilia-Romagna</t>
  </si>
  <si>
    <t>PARMABLACK SRL SOCIETA' AGRICOLA</t>
  </si>
  <si>
    <t>02912060346</t>
  </si>
  <si>
    <t>Parma</t>
  </si>
  <si>
    <t>COMUNITA' LA COLLINA COOPERATIVA SOCIALE - ONLUS</t>
  </si>
  <si>
    <t>02430710927</t>
  </si>
  <si>
    <t>Campania</t>
  </si>
  <si>
    <t>TENUTA SANT'AGOSTINO SOCIETA' AGRICOLA A R.L.</t>
  </si>
  <si>
    <t>01580170627</t>
  </si>
  <si>
    <t>012100</t>
  </si>
  <si>
    <t>Benevento</t>
  </si>
  <si>
    <t>Brescia</t>
  </si>
  <si>
    <t>Lombardia</t>
  </si>
  <si>
    <t>SETTEMISURE SOCIETA' AGRICOLA A R.L.</t>
  </si>
  <si>
    <t>01732560626</t>
  </si>
  <si>
    <t>012600</t>
  </si>
  <si>
    <t>EMANUMIELE SOCIETA' A RESPONSABILITA' LIMITATA SEMPLIFICATA</t>
  </si>
  <si>
    <t>03551470838</t>
  </si>
  <si>
    <t>014930</t>
  </si>
  <si>
    <t>Messina</t>
  </si>
  <si>
    <t>Sicilia</t>
  </si>
  <si>
    <t>SELEZIONE CANE CORSO DEI NEGRONI SOCIETA' AGRICOLA S.R.L.</t>
  </si>
  <si>
    <t>03775160983</t>
  </si>
  <si>
    <t>014990</t>
  </si>
  <si>
    <t>Catania</t>
  </si>
  <si>
    <t>TUCCARI ENOTUR S.R.L.</t>
  </si>
  <si>
    <t>04117650871</t>
  </si>
  <si>
    <t>Sicilia</t>
  </si>
  <si>
    <t>012600</t>
  </si>
  <si>
    <t>012100</t>
  </si>
  <si>
    <t>011000</t>
  </si>
  <si>
    <t>Piemonte</t>
  </si>
  <si>
    <t>SOCIETA' AGRICOLA S. BARTOLOMEO S.R.L.</t>
  </si>
  <si>
    <t>01224720050</t>
  </si>
  <si>
    <t>Asti</t>
  </si>
  <si>
    <t>F.G.R. SRL</t>
  </si>
  <si>
    <t>01029901004</t>
  </si>
  <si>
    <t>Roma</t>
  </si>
  <si>
    <t>Lazio</t>
  </si>
  <si>
    <t>Palermo</t>
  </si>
  <si>
    <t>SOCIETA' COOPERATIVA AGRICOLA TERRA E PRODUZIONE</t>
  </si>
  <si>
    <t>06076580825</t>
  </si>
  <si>
    <t>016300</t>
  </si>
  <si>
    <t>Veneto</t>
  </si>
  <si>
    <t>ALMASOLE SOCIETA' AGRICOLA A RESPONSABILITA' LIMITATA IN FORMA ABBREVIATA ALMASOLE SOCIETA' AGRICOLA A R.L.</t>
  </si>
  <si>
    <t>06886900825</t>
  </si>
  <si>
    <t>SPEA FARM SOCIETA' AGRICOLA S.R.L.</t>
  </si>
  <si>
    <t>04245180247</t>
  </si>
  <si>
    <t>012800</t>
  </si>
  <si>
    <t>Vicenza</t>
  </si>
  <si>
    <t>012100</t>
  </si>
  <si>
    <t>Verona</t>
  </si>
  <si>
    <t>Veneto</t>
  </si>
  <si>
    <t>011140</t>
  </si>
  <si>
    <t>SOCIETA' AGRICOLA TENUTA TRIUM SRLS</t>
  </si>
  <si>
    <t>02012750671</t>
  </si>
  <si>
    <t>015000</t>
  </si>
  <si>
    <t>Teramo</t>
  </si>
  <si>
    <t>Abruzzo</t>
  </si>
  <si>
    <t>Lecce</t>
  </si>
  <si>
    <t>Puglia</t>
  </si>
  <si>
    <t>SOCIETA' AGRICOLA VALENTINO S.R.L.</t>
  </si>
  <si>
    <t>03625750793</t>
  </si>
  <si>
    <t>Catanzaro</t>
  </si>
  <si>
    <t>Calabria</t>
  </si>
  <si>
    <t>SOCIETA' AGRICOLA SANTA TERESA IN VALLE S.R.L.</t>
  </si>
  <si>
    <t>04136560234</t>
  </si>
  <si>
    <t>011300</t>
  </si>
  <si>
    <t>TENUTA MONTORSOLO S.R.L. SOCIETA' AGRICOLA</t>
  </si>
  <si>
    <t>03592560548</t>
  </si>
  <si>
    <t>Perugia</t>
  </si>
  <si>
    <t>Umbria</t>
  </si>
  <si>
    <t>SOCIETA' AGRICOLA LA QUINTA S.R.L.</t>
  </si>
  <si>
    <t>01596500551</t>
  </si>
  <si>
    <t>Terni</t>
  </si>
  <si>
    <t>SOCIETA' AGRICOLA ALMA ITALIA S.P.A.</t>
  </si>
  <si>
    <t>12363460010</t>
  </si>
  <si>
    <t>012900</t>
  </si>
  <si>
    <t>Torino</t>
  </si>
  <si>
    <t>Piemonte</t>
  </si>
  <si>
    <t>L'AIERA - SOCIETA' COOPERATIVA AGRICOLA</t>
  </si>
  <si>
    <t>04617510757</t>
  </si>
  <si>
    <t>COOPERATIVA SOCIALE IL SORRISO - SOC.COOP. A R.L.</t>
  </si>
  <si>
    <t>01652130681</t>
  </si>
  <si>
    <t>Pescara</t>
  </si>
  <si>
    <t>011140</t>
  </si>
  <si>
    <t>Emilia-Romagna</t>
  </si>
  <si>
    <t>BUEN VIVIR - SOCIETA' AGRICOLA S.R.L.S.</t>
  </si>
  <si>
    <t>03930050368</t>
  </si>
  <si>
    <t>011310</t>
  </si>
  <si>
    <t>Modena</t>
  </si>
  <si>
    <t>Sicilia</t>
  </si>
  <si>
    <t>SOLEMI SOCIETA' AGRICOLA S.R.L.</t>
  </si>
  <si>
    <t>04604450876</t>
  </si>
  <si>
    <t>012200</t>
  </si>
  <si>
    <t>Catania</t>
  </si>
  <si>
    <t>012100</t>
  </si>
  <si>
    <t>VILLA DOMINICA SOCIETA' AGRICOLA A R.L.</t>
  </si>
  <si>
    <t>04511860969</t>
  </si>
  <si>
    <t>010000</t>
  </si>
  <si>
    <t>Venezia</t>
  </si>
  <si>
    <t>Veneto</t>
  </si>
  <si>
    <t>QUATTRO VENTI SOCIETA' AGRICOLA A RESPONSABILITA' LIMITATA SEMPLIFICATA</t>
  </si>
  <si>
    <t>01979630678</t>
  </si>
  <si>
    <t>012800</t>
  </si>
  <si>
    <t>Teramo</t>
  </si>
  <si>
    <t>Abruzzo</t>
  </si>
  <si>
    <t>Campania</t>
  </si>
  <si>
    <t>SANTACROCE DI RAVELLO S.R.L.</t>
  </si>
  <si>
    <t>03962670653</t>
  </si>
  <si>
    <t>Salerno</t>
  </si>
  <si>
    <t>TERRE DI LUCE S.R.L. - SOCIETA' AGRICOLA</t>
  </si>
  <si>
    <t>02982900546</t>
  </si>
  <si>
    <t>Perugia</t>
  </si>
  <si>
    <t>Umbria</t>
  </si>
  <si>
    <t>ANDREINI PIANTE S.R.L.</t>
  </si>
  <si>
    <t>01762970471</t>
  </si>
  <si>
    <t>013000</t>
  </si>
  <si>
    <t>Pistoia</t>
  </si>
  <si>
    <t>Toscana</t>
  </si>
  <si>
    <t>MEMMIA S.R.L.</t>
  </si>
  <si>
    <t>05007880288</t>
  </si>
  <si>
    <t>014990</t>
  </si>
  <si>
    <t>Padova</t>
  </si>
  <si>
    <t>Veneto</t>
  </si>
  <si>
    <t>Toscana</t>
  </si>
  <si>
    <t>Lombardia</t>
  </si>
  <si>
    <t>010000</t>
  </si>
  <si>
    <t>Brescia</t>
  </si>
  <si>
    <t>FUNGOLOG SOCIETA' AGRICOLA A RESPONSABILITA' LIMITATA SEMPLIFICAT A</t>
  </si>
  <si>
    <t>10347670969</t>
  </si>
  <si>
    <t>013000</t>
  </si>
  <si>
    <t>Monza e della Brianza</t>
  </si>
  <si>
    <t>Firenze</t>
  </si>
  <si>
    <t>AZIENDA AGRICOLA CASCINA CANALE S.R.L.</t>
  </si>
  <si>
    <t>02928850177</t>
  </si>
  <si>
    <t>ALLEVAMENTO DI RIPOLI SOCIETA' AGRICOLA A R.L.</t>
  </si>
  <si>
    <t>07031890481</t>
  </si>
  <si>
    <t>SOCIETA' AGRICOLA BASTIA - S.R.L.</t>
  </si>
  <si>
    <t>01598160131</t>
  </si>
  <si>
    <t>011000</t>
  </si>
  <si>
    <t>Como</t>
  </si>
  <si>
    <t>Lombardia</t>
  </si>
  <si>
    <t>012100</t>
  </si>
  <si>
    <t>Abruzzo</t>
  </si>
  <si>
    <t>SOCIETA' AGRICOLA VITIVINICOLA TORRE ROSANO S.R.L.S. - SOCIETA' A RESPONSABILITA' LIMITATA SEMPLIFICATA SB</t>
  </si>
  <si>
    <t>02128310766</t>
  </si>
  <si>
    <t>Potenza</t>
  </si>
  <si>
    <t>Basilicata</t>
  </si>
  <si>
    <t>011140</t>
  </si>
  <si>
    <t>Firenze</t>
  </si>
  <si>
    <t>Toscana</t>
  </si>
  <si>
    <t>Foggia</t>
  </si>
  <si>
    <t>Puglia</t>
  </si>
  <si>
    <t>CA' MASINO S.R.L. SOCIETA' AGRICOLA OVVERO CA' MASINO DI PALAZZO DI VARIGNANA SOCIETA' AGRICOLA S.R.L. OVVERO CA' MASINO DI PALAZZO DI VARIGNA NA SOC. AGR. S.R.L. OVVERO ANCORA CA' MASINO SOC. AGR. S.R.L.</t>
  </si>
  <si>
    <t>00593951205</t>
  </si>
  <si>
    <t>011110</t>
  </si>
  <si>
    <t>Bologna</t>
  </si>
  <si>
    <t>Emilia-Romagna</t>
  </si>
  <si>
    <t>Milano</t>
  </si>
  <si>
    <t>Lazio</t>
  </si>
  <si>
    <t>SOCIETA' AGRICOLA SABEA S.R.L.</t>
  </si>
  <si>
    <t>00329610562</t>
  </si>
  <si>
    <t>Viterbo</t>
  </si>
  <si>
    <t>SOCIETA' AGRICOLA GAB S.R.L.</t>
  </si>
  <si>
    <t>07018830963</t>
  </si>
  <si>
    <t>011320</t>
  </si>
  <si>
    <t>012600</t>
  </si>
  <si>
    <t>SOCIETA' AGRICOLA FATTORIA IL GHEPPIO S.R.L.</t>
  </si>
  <si>
    <t>05305050485</t>
  </si>
  <si>
    <t>IL PINCIARINO S.R.L. SOCIETA' AGRICOLA</t>
  </si>
  <si>
    <t>04073420715</t>
  </si>
  <si>
    <t>AZIENDA AGRICOLA RAMO DI MANDORLO - SOCIETA' A RESPONSABILIA' LIM ITATA</t>
  </si>
  <si>
    <t>02086670664</t>
  </si>
  <si>
    <t>L'Aquila</t>
  </si>
  <si>
    <t>PAULINE S.R.L. - SOCIETA' AGRICOLA</t>
  </si>
  <si>
    <t>04283580407</t>
  </si>
  <si>
    <t>012800</t>
  </si>
  <si>
    <t>Forlì-Cesena</t>
  </si>
  <si>
    <t>VI' BU SOCIETA' AGRICOLA A RESPONSABILITA' LIMITATA</t>
  </si>
  <si>
    <t>03254440989</t>
  </si>
  <si>
    <t>012100</t>
  </si>
  <si>
    <t>Brescia</t>
  </si>
  <si>
    <t>Lombardia</t>
  </si>
  <si>
    <t>015000</t>
  </si>
  <si>
    <t>Lazio</t>
  </si>
  <si>
    <t>NEWAGRI - SOCIETA' AGRICOLA A RESPONSABILITA' LIMITATA</t>
  </si>
  <si>
    <t>02017580560</t>
  </si>
  <si>
    <t>011110</t>
  </si>
  <si>
    <t>Viterbo</t>
  </si>
  <si>
    <t>Potenza</t>
  </si>
  <si>
    <t>Basilicata</t>
  </si>
  <si>
    <t>SOCIETA' AGRICOLA MASSERIA SERRALTA SOCIETA' A RESPONSABILITA' LI MITATA SEMPLIFICATA</t>
  </si>
  <si>
    <t>01960800769</t>
  </si>
  <si>
    <t>SOCIETA' AGRICOLA MILONIA SOCIETA' A RESPONSABILITA' LIMITATA</t>
  </si>
  <si>
    <t>01933670760</t>
  </si>
  <si>
    <t>SOCIETA' COOPERATIVA AGRICOLA MARGARITO</t>
  </si>
  <si>
    <t>04550540753</t>
  </si>
  <si>
    <t>014930</t>
  </si>
  <si>
    <t>Lecce</t>
  </si>
  <si>
    <t>Puglia</t>
  </si>
  <si>
    <t>Emilia-Romagna</t>
  </si>
  <si>
    <t>BIMMISCA S.R.L. - SOCIETA' AGRICOLA</t>
  </si>
  <si>
    <t>05255150871</t>
  </si>
  <si>
    <t>012600</t>
  </si>
  <si>
    <t>Catania</t>
  </si>
  <si>
    <t>Sicilia</t>
  </si>
  <si>
    <t>012900</t>
  </si>
  <si>
    <t>AZIENDA AGRICOLA MALECTA S.R.L.</t>
  </si>
  <si>
    <t>03612300875</t>
  </si>
  <si>
    <t>012500</t>
  </si>
  <si>
    <t>016100</t>
  </si>
  <si>
    <t>Barletta-Andria-Trani</t>
  </si>
  <si>
    <t>RECYPARK SOCIETA' COOPERATIVA</t>
  </si>
  <si>
    <t>07625430728</t>
  </si>
  <si>
    <t>KIDA S.R.L.</t>
  </si>
  <si>
    <t>02067790382</t>
  </si>
  <si>
    <t>Ferrara</t>
  </si>
  <si>
    <t>Toscana</t>
  </si>
  <si>
    <t>012100</t>
  </si>
  <si>
    <t>011000</t>
  </si>
  <si>
    <t>DE VINOSALVO SOCIETA' AGRICOLA A RESPONSABILITA' LIMITATA</t>
  </si>
  <si>
    <t>06675601006</t>
  </si>
  <si>
    <t>Grosseto</t>
  </si>
  <si>
    <t>CASTELLO VISCOGLIOSI SOCIETA' AGRICOLA A R.L.S.</t>
  </si>
  <si>
    <t>13074931000</t>
  </si>
  <si>
    <t>Roma</t>
  </si>
  <si>
    <t>Lazio</t>
  </si>
  <si>
    <t>CONSORZIO PER LA TUTELA E LA VALORIZZAZIONE DELLA CANAPA SATIVA DELLA TRADIZIONE</t>
  </si>
  <si>
    <t>02439560505</t>
  </si>
  <si>
    <t>011600</t>
  </si>
  <si>
    <t>Pisa</t>
  </si>
  <si>
    <t>Puglia</t>
  </si>
  <si>
    <t>Foggia</t>
  </si>
  <si>
    <t>CALLIOPE S.R.L. - SOCIETA' AGRICOLA</t>
  </si>
  <si>
    <t>04344640711</t>
  </si>
  <si>
    <t>012100</t>
  </si>
  <si>
    <t>POGGIO DELLE BRIGHELLE SOCIETA' AGRICOLA A RESPONSABILITA' LIMITATA</t>
  </si>
  <si>
    <t>12061271008</t>
  </si>
  <si>
    <t>012600</t>
  </si>
  <si>
    <t>Bergamo</t>
  </si>
  <si>
    <t>Lombardia</t>
  </si>
  <si>
    <t>SOCIETA' COOPERATIVA OLIVICOLTORI DI VILLA SAN GIOVANNI IN TUSCIA</t>
  </si>
  <si>
    <t>00296230568</t>
  </si>
  <si>
    <t>016100</t>
  </si>
  <si>
    <t>Viterbo</t>
  </si>
  <si>
    <t>Lazio</t>
  </si>
  <si>
    <t>IL TRAVE SOCIETA' AGRICOLA A RESPONSABILITA' LIMITATA SEMPLIFICAT A</t>
  </si>
  <si>
    <t>02958150647</t>
  </si>
  <si>
    <t>Avellino</t>
  </si>
  <si>
    <t>Campania</t>
  </si>
  <si>
    <t>SOC. AGR. LIL GREEN S.R.L.S.</t>
  </si>
  <si>
    <t>02616920209</t>
  </si>
  <si>
    <t>013000</t>
  </si>
  <si>
    <t>Mantova</t>
  </si>
  <si>
    <t>Toscana</t>
  </si>
  <si>
    <t>BELRIGUARDO S.R.L. SOCIETA' AGRICOLA</t>
  </si>
  <si>
    <t>00726690522</t>
  </si>
  <si>
    <t>Siena</t>
  </si>
  <si>
    <t>Salerno</t>
  </si>
  <si>
    <t>AURORA - S.C.R.L.</t>
  </si>
  <si>
    <t>00687320655</t>
  </si>
  <si>
    <t>011000</t>
  </si>
  <si>
    <t>CASCINA SAN MARCO DI TIDOLO S.R.L. - IMPRESA SOCIALE AGRICOLA</t>
  </si>
  <si>
    <t>01686220193</t>
  </si>
  <si>
    <t>012500</t>
  </si>
  <si>
    <t>Cremona</t>
  </si>
  <si>
    <t>ELEIVA SOCIETA' AGRICOLA A RESPONSABILITA' LIMITATA -IN BREVE ELEIVA S.AGR. R.L. -</t>
  </si>
  <si>
    <t>01335510531</t>
  </si>
  <si>
    <t>012600</t>
  </si>
  <si>
    <t>Grosseto</t>
  </si>
  <si>
    <t>Toscana</t>
  </si>
  <si>
    <t>Sicilia</t>
  </si>
  <si>
    <t>ALLEVAMENTO POINT S.R.L. SOCIETA' AGRICOLA</t>
  </si>
  <si>
    <t>05284770285</t>
  </si>
  <si>
    <t>014300</t>
  </si>
  <si>
    <t>Padova</t>
  </si>
  <si>
    <t>Veneto</t>
  </si>
  <si>
    <t>Palermo</t>
  </si>
  <si>
    <t>MESAROLI AGRICOLA S.R.L.</t>
  </si>
  <si>
    <t>02412760346</t>
  </si>
  <si>
    <t>012100</t>
  </si>
  <si>
    <t>Verona</t>
  </si>
  <si>
    <t>AGRICOLA BEATRICE - S.R.L.</t>
  </si>
  <si>
    <t>06243651004</t>
  </si>
  <si>
    <t>016100</t>
  </si>
  <si>
    <t>Viterbo</t>
  </si>
  <si>
    <t>Lazio</t>
  </si>
  <si>
    <t>SOCIETA' AGRICOLA LA CHIUSA S.R.L.</t>
  </si>
  <si>
    <t>03563820541</t>
  </si>
  <si>
    <t>011140</t>
  </si>
  <si>
    <t>Perugia</t>
  </si>
  <si>
    <t>Umbria</t>
  </si>
  <si>
    <t>Avellino</t>
  </si>
  <si>
    <t>Campania</t>
  </si>
  <si>
    <t>SOCIETA' AGRICOLA ISTITUTO DIOCESANO SOSTENTAMENTO CLERO DI AVELLINO - SRL</t>
  </si>
  <si>
    <t>02957260645</t>
  </si>
  <si>
    <t>012500</t>
  </si>
  <si>
    <t>015000</t>
  </si>
  <si>
    <t>LAND IMPRESA SOCIALE S.R.L.</t>
  </si>
  <si>
    <t>07013520825</t>
  </si>
  <si>
    <t>Lombardia</t>
  </si>
  <si>
    <t>012600</t>
  </si>
  <si>
    <t>LE FABRICHE SOCIETA' AGRICOLA - S.R.L.</t>
  </si>
  <si>
    <t>02350270738</t>
  </si>
  <si>
    <t>012100</t>
  </si>
  <si>
    <t>Taranto</t>
  </si>
  <si>
    <t>Puglia</t>
  </si>
  <si>
    <t>GARZOL S.R.L. SOCIETA' AGRICOLA</t>
  </si>
  <si>
    <t>01031930140</t>
  </si>
  <si>
    <t>Sondrio</t>
  </si>
  <si>
    <t>Toscana</t>
  </si>
  <si>
    <t>Sicilia</t>
  </si>
  <si>
    <t>Calabria</t>
  </si>
  <si>
    <t>SOCIETA' AGRICOLA TERRE APUANE SRL</t>
  </si>
  <si>
    <t>01251790455</t>
  </si>
  <si>
    <t>Massa-Carrara</t>
  </si>
  <si>
    <t>VILLA ATHENA FARM SOCIETA' AGRICOLA S.R.L. UNIPERSONALE</t>
  </si>
  <si>
    <t>02847760846</t>
  </si>
  <si>
    <t>Agrigento</t>
  </si>
  <si>
    <t>COVIDEMI S.R.L. SOCIETA' AGRICOLA</t>
  </si>
  <si>
    <t>03086350786</t>
  </si>
  <si>
    <t>Cosenza</t>
  </si>
  <si>
    <t>IAGO S.R.L. SOCIETA' AGRICOLA</t>
  </si>
  <si>
    <t>01748520168</t>
  </si>
  <si>
    <t>011110</t>
  </si>
  <si>
    <t>Bergamo</t>
  </si>
  <si>
    <t>HORTULI S.R.L. SOCIETA' AGRICOLA</t>
  </si>
  <si>
    <t>01831470933</t>
  </si>
  <si>
    <t>011110</t>
  </si>
  <si>
    <t>Pordenone</t>
  </si>
  <si>
    <t>Friuli-Venezia Giulia</t>
  </si>
  <si>
    <t>Matera</t>
  </si>
  <si>
    <t>Basilicata</t>
  </si>
  <si>
    <t>Lazio</t>
  </si>
  <si>
    <t>011140</t>
  </si>
  <si>
    <t>Viterbo</t>
  </si>
  <si>
    <t>FRATELLI MESSINA SOCIETA' AGRICOLA S.R.L.</t>
  </si>
  <si>
    <t>05455020874</t>
  </si>
  <si>
    <t>011320</t>
  </si>
  <si>
    <t>Catania</t>
  </si>
  <si>
    <t>Sicilia</t>
  </si>
  <si>
    <t>AGRITOUR SOCIETA' AGRICOLA A RESPONSABILITA' LIMITATA</t>
  </si>
  <si>
    <t>01192480778</t>
  </si>
  <si>
    <t>TREEFARM SOCIETA' A RESPONSABILITA' LIMITATA - SOCIETA' AGRICOLA UNIPERSONALE</t>
  </si>
  <si>
    <t>02044370563</t>
  </si>
  <si>
    <t>VINUSCO SOCIETA' AGRICOLA S.R.L.</t>
  </si>
  <si>
    <t>02915090647</t>
  </si>
  <si>
    <t>012100</t>
  </si>
  <si>
    <t>Avellino</t>
  </si>
  <si>
    <t>Campania</t>
  </si>
  <si>
    <t>011310</t>
  </si>
  <si>
    <t>SOCIETA' AGRICOLA CASA MANCA SRL</t>
  </si>
  <si>
    <t>02733520908</t>
  </si>
  <si>
    <t>012600</t>
  </si>
  <si>
    <t>Sassari</t>
  </si>
  <si>
    <t>Sardegna</t>
  </si>
  <si>
    <t>Veneto</t>
  </si>
  <si>
    <t>Lazio</t>
  </si>
  <si>
    <t>Lombardia</t>
  </si>
  <si>
    <t>SOCIETA' AGRICOLA AGRISISTEM - SOCIETA' A RESPONSABILITA' LIMITATA SEMPLIFICATA</t>
  </si>
  <si>
    <t>04342580711</t>
  </si>
  <si>
    <t>Foggia</t>
  </si>
  <si>
    <t>Puglia</t>
  </si>
  <si>
    <t>SAN DOMENICO ABATE - COOPERATIVA SOCIALE</t>
  </si>
  <si>
    <t>03029910605</t>
  </si>
  <si>
    <t>Frosinone</t>
  </si>
  <si>
    <t>SOCIETA' AGRICOLA BAGHINI BUONACARA SOCIETA' A RESPONSABILITA' LIMITATA SEMPLIFICATA</t>
  </si>
  <si>
    <t>04542740230</t>
  </si>
  <si>
    <t>012800</t>
  </si>
  <si>
    <t>Verona</t>
  </si>
  <si>
    <t>SOCIETA' AGRICOLA PIRA S.R.L.</t>
  </si>
  <si>
    <t>12247870152</t>
  </si>
  <si>
    <t>014500</t>
  </si>
  <si>
    <t>Varese</t>
  </si>
  <si>
    <t>SOCIETA' AGRICOLA BIFULCO S.R.L.</t>
  </si>
  <si>
    <t>09616781218</t>
  </si>
  <si>
    <t>011990</t>
  </si>
  <si>
    <t>Avellino</t>
  </si>
  <si>
    <t>Campania</t>
  </si>
  <si>
    <t>ARCENNI SOCIETA' AGRICOLA SRL</t>
  </si>
  <si>
    <t>02201400500</t>
  </si>
  <si>
    <t>014990</t>
  </si>
  <si>
    <t>Pisa</t>
  </si>
  <si>
    <t>Toscana</t>
  </si>
  <si>
    <t>012600</t>
  </si>
  <si>
    <t>Umbria</t>
  </si>
  <si>
    <t>011140</t>
  </si>
  <si>
    <t>SOCIETA' AGRICOLA ANTICA MASSERIA SELINUS SOCIETA' A RESPONSABILITA' LIMITATA IN FORMA ABBREVIATA SOCIETA' AGRICOLA ANTICA MASSERIA SELINUS S.R.L.</t>
  </si>
  <si>
    <t>03000340848</t>
  </si>
  <si>
    <t>Agrigento</t>
  </si>
  <si>
    <t>Sicilia</t>
  </si>
  <si>
    <t>I GELSI DI S. CRISTINA SOCIETA' AGRICOLA A RESPONSABILITA' LIMITATA SEMPLIFICATA</t>
  </si>
  <si>
    <t>03710170543</t>
  </si>
  <si>
    <t>Perugia</t>
  </si>
  <si>
    <t>RS TEAM - BREEDING SOCIETA' A RESPONSABILITA' LIMITATA</t>
  </si>
  <si>
    <t>08394861002</t>
  </si>
  <si>
    <t>014300</t>
  </si>
  <si>
    <t>Roma</t>
  </si>
  <si>
    <t>Lazio</t>
  </si>
  <si>
    <t>Perugia</t>
  </si>
  <si>
    <t>Umbria</t>
  </si>
  <si>
    <t>011310</t>
  </si>
  <si>
    <t>Puglia</t>
  </si>
  <si>
    <t>CERCHI NEL GRANO SOCIETA' AGRICOLA A RESPONSABILITA' LIMITATA</t>
  </si>
  <si>
    <t>03912470980</t>
  </si>
  <si>
    <t>012800</t>
  </si>
  <si>
    <t>Brescia</t>
  </si>
  <si>
    <t>Lombardia</t>
  </si>
  <si>
    <t>MORINGA ITALIA SOCIETA' AGRICOLA S R.L.</t>
  </si>
  <si>
    <t>08553430722</t>
  </si>
  <si>
    <t>Barletta-Andria-Trani</t>
  </si>
  <si>
    <t>FOREST FARM SRL</t>
  </si>
  <si>
    <t>00871760492</t>
  </si>
  <si>
    <t>012600</t>
  </si>
  <si>
    <t>Livorno</t>
  </si>
  <si>
    <t>Toscana</t>
  </si>
  <si>
    <t>CASALE SAN GIORGIO S.R.L.</t>
  </si>
  <si>
    <t>02435200593</t>
  </si>
  <si>
    <t>Latina</t>
  </si>
  <si>
    <t>SOCIETA' AGRICOLA TRAMPOLINI SOCIETA' A RESPONSABILITA' LIMITATA SEMPLIFICATA</t>
  </si>
  <si>
    <t>03550220549</t>
  </si>
  <si>
    <t>LE SORGENTI DEL GROMOLO SOCIETA' AGRICOLA S.R.L.</t>
  </si>
  <si>
    <t>01982430991</t>
  </si>
  <si>
    <t>015000</t>
  </si>
  <si>
    <t>Genova</t>
  </si>
  <si>
    <t>Liguria</t>
  </si>
  <si>
    <t>SOCIETA' AGRICOLA SPIRUFARM SRL</t>
  </si>
  <si>
    <t>01631260195</t>
  </si>
  <si>
    <t>011320</t>
  </si>
  <si>
    <t>Cremona</t>
  </si>
  <si>
    <t>Campobasso</t>
  </si>
  <si>
    <t>Molise</t>
  </si>
  <si>
    <t>015000</t>
  </si>
  <si>
    <t>Roma</t>
  </si>
  <si>
    <t>Lazio</t>
  </si>
  <si>
    <t>V.M.S.R. SOCIETA' AGRICOLA A R.L.</t>
  </si>
  <si>
    <t>05489961002</t>
  </si>
  <si>
    <t>VAL NATURA S.R.L.</t>
  </si>
  <si>
    <t>01469630436</t>
  </si>
  <si>
    <t>011320</t>
  </si>
  <si>
    <t>Lombardia</t>
  </si>
  <si>
    <t>Toscana</t>
  </si>
  <si>
    <t>Sicilia</t>
  </si>
  <si>
    <t>CABRIS (CENTRO ALLEVAMENTO BESTIAME DA REDDITO INTERAZIENDALE SPARACIA) SOCIETA' COOPERATIVA AGRICOLA</t>
  </si>
  <si>
    <t>00113770846</t>
  </si>
  <si>
    <t>016100</t>
  </si>
  <si>
    <t>Agrigento</t>
  </si>
  <si>
    <t>Bergamo</t>
  </si>
  <si>
    <t>COOPERATIVA AGRICOLA PONTI DI BADIA SOCIETA' AGRICOLA COOPERATIVA</t>
  </si>
  <si>
    <t>00252410535</t>
  </si>
  <si>
    <t>011000</t>
  </si>
  <si>
    <t>Grosseto</t>
  </si>
  <si>
    <t>SOCIETA' COOPERATIVA AGRICOLA 8 MARZO</t>
  </si>
  <si>
    <t>00761910231</t>
  </si>
  <si>
    <t>010000</t>
  </si>
  <si>
    <t>Verona</t>
  </si>
  <si>
    <t>Veneto</t>
  </si>
  <si>
    <t>012100</t>
  </si>
  <si>
    <t>Piemonte</t>
  </si>
  <si>
    <t>CASCINA ALLEGRIA SRL AGRICOLA</t>
  </si>
  <si>
    <t>01656590054</t>
  </si>
  <si>
    <t>Asti</t>
  </si>
  <si>
    <t>AL CASELI' SOCIETA' AGRICOLA S.R.L.</t>
  </si>
  <si>
    <t>04525860161</t>
  </si>
  <si>
    <t>012500</t>
  </si>
  <si>
    <t>Sicilia</t>
  </si>
  <si>
    <t>RUAL SOCIETA' AGRICOLA S.R.L.</t>
  </si>
  <si>
    <t>05301220827</t>
  </si>
  <si>
    <t>014200</t>
  </si>
  <si>
    <t>Palermo</t>
  </si>
  <si>
    <t>TENUTE GRASSENIO SOCIETA' AGRICOLA S.R.L.</t>
  </si>
  <si>
    <t>05602900879</t>
  </si>
  <si>
    <t>012200</t>
  </si>
  <si>
    <t>Catania</t>
  </si>
  <si>
    <t>MORIGERATI S.R.L. SOCIETA' AGRICOLA</t>
  </si>
  <si>
    <t>04719210652</t>
  </si>
  <si>
    <t>015000</t>
  </si>
  <si>
    <t>Salerno</t>
  </si>
  <si>
    <t>Campania</t>
  </si>
  <si>
    <t>I LUVERTIN SOCIETA' AGRICOLA A RESPONSABILITA' LIMITATA SEMPLIFICATA A SOCIO UNICO</t>
  </si>
  <si>
    <t>03658270040</t>
  </si>
  <si>
    <t>014500</t>
  </si>
  <si>
    <t>Cuneo</t>
  </si>
  <si>
    <t>Piemonte</t>
  </si>
  <si>
    <t>SYBARIS GREENHOUSE SOCIETA' AGRICOLA A R.L.</t>
  </si>
  <si>
    <t>03110500786</t>
  </si>
  <si>
    <t>010000</t>
  </si>
  <si>
    <t>Cosenza</t>
  </si>
  <si>
    <t>Calabria</t>
  </si>
  <si>
    <t>011000</t>
  </si>
  <si>
    <t>AZIENDA AGRICOLA LE TERRAZZE S.R.L. - SOCIETA' AGRICOLA</t>
  </si>
  <si>
    <t>02182570982</t>
  </si>
  <si>
    <t>012100</t>
  </si>
  <si>
    <t>Brescia</t>
  </si>
  <si>
    <t>Lombardia</t>
  </si>
  <si>
    <t>Sicilia</t>
  </si>
  <si>
    <t>Sassari</t>
  </si>
  <si>
    <t>Sardegna</t>
  </si>
  <si>
    <t>Calabria</t>
  </si>
  <si>
    <t>COLLA BAUZANO SOCIETA' AGRICOLA COOPERATIVA</t>
  </si>
  <si>
    <t>01781330046</t>
  </si>
  <si>
    <t>016209</t>
  </si>
  <si>
    <t>Cuneo</t>
  </si>
  <si>
    <t>Piemonte</t>
  </si>
  <si>
    <t>011110</t>
  </si>
  <si>
    <t>Umbria</t>
  </si>
  <si>
    <t>VITULIA SOCIETA' COOPERATIVA AGRICOLA A RESPONSABILITA' LIMITATA</t>
  </si>
  <si>
    <t>03468740794</t>
  </si>
  <si>
    <t>012300</t>
  </si>
  <si>
    <t>Catanzaro</t>
  </si>
  <si>
    <t>SOCIETA' AGRICOLA SABRESENO' S.R.L.</t>
  </si>
  <si>
    <t>02709810903</t>
  </si>
  <si>
    <t>CASAL DE' CHERUBINI S.R.L.</t>
  </si>
  <si>
    <t>02692820547</t>
  </si>
  <si>
    <t>Perugia</t>
  </si>
  <si>
    <t>AZIENDA AGRICOLA REGALBUONO-S.R.L.</t>
  </si>
  <si>
    <t>01611540848</t>
  </si>
  <si>
    <t>Agrigento</t>
  </si>
  <si>
    <t>Toscana</t>
  </si>
  <si>
    <t>Salerno</t>
  </si>
  <si>
    <t>Campania</t>
  </si>
  <si>
    <t>Lombardia</t>
  </si>
  <si>
    <t>Napoli</t>
  </si>
  <si>
    <t>WROTE S.R.L.</t>
  </si>
  <si>
    <t>11503860964</t>
  </si>
  <si>
    <t>016100</t>
  </si>
  <si>
    <t>Milano</t>
  </si>
  <si>
    <t>SOCIETA' AGRICOLA AMADEUS S.R.L.</t>
  </si>
  <si>
    <t>08855001213</t>
  </si>
  <si>
    <t>012100</t>
  </si>
  <si>
    <t>AZIENDA AGRITURISTICA ANTICA MASSERIA DEL FANO SRL - SOCIETA' AGRICOLA</t>
  </si>
  <si>
    <t>05144810750</t>
  </si>
  <si>
    <t>012600</t>
  </si>
  <si>
    <t>Lecce</t>
  </si>
  <si>
    <t>Puglia</t>
  </si>
  <si>
    <t>AGRIFEEL SOCIETA' AGRICOLA A RESPONSABILITA' LIMITATA</t>
  </si>
  <si>
    <t>06922460487</t>
  </si>
  <si>
    <t>012800</t>
  </si>
  <si>
    <t>Firenze</t>
  </si>
  <si>
    <t>Sicilia</t>
  </si>
  <si>
    <t>SOCIETA' COOPERATIVA SOCIALE TERRA MATER - ONLUS</t>
  </si>
  <si>
    <t>01919920890</t>
  </si>
  <si>
    <t>Siracusa</t>
  </si>
  <si>
    <t>Veneto</t>
  </si>
  <si>
    <t>STAR SOCIETA' AGRICOLA A R.L.</t>
  </si>
  <si>
    <t>04548040239</t>
  </si>
  <si>
    <t>014400</t>
  </si>
  <si>
    <t>Verona</t>
  </si>
  <si>
    <t>TENUTA VALBOSCO - S.R.L.</t>
  </si>
  <si>
    <t>03780370650</t>
  </si>
  <si>
    <t>COMPTURIST SOCIETA' AGRICOLA S.R.L.</t>
  </si>
  <si>
    <t>03485840486</t>
  </si>
  <si>
    <t>COMINIUM BENESSERE SOCIETA' AGRICOLA A R.L.</t>
  </si>
  <si>
    <t>02619270602</t>
  </si>
  <si>
    <t>015000</t>
  </si>
  <si>
    <t>Frosinone</t>
  </si>
  <si>
    <t>Lazio</t>
  </si>
  <si>
    <t>012600</t>
  </si>
  <si>
    <t>Puglia</t>
  </si>
  <si>
    <t>012100</t>
  </si>
  <si>
    <t>Toscana</t>
  </si>
  <si>
    <t>TERRA DI ROVO SOCIETA' AGRICOLA S.R.L.S.</t>
  </si>
  <si>
    <t>03401460542</t>
  </si>
  <si>
    <t>Perugia</t>
  </si>
  <si>
    <t>Umbria</t>
  </si>
  <si>
    <t>ANAND SOCIETA' AGRICOLA A RESPONSABILITA' LIMITATA</t>
  </si>
  <si>
    <t>04847920750</t>
  </si>
  <si>
    <t>Lecce</t>
  </si>
  <si>
    <t>012300</t>
  </si>
  <si>
    <t>Calabria</t>
  </si>
  <si>
    <t>TENUTA LUNGARELLA SOCIETA' AGRICOLA A RESPONSABILITA' LIMITATA</t>
  </si>
  <si>
    <t>11666241002</t>
  </si>
  <si>
    <t>010000</t>
  </si>
  <si>
    <t>Roma</t>
  </si>
  <si>
    <t>IL POGGIALE S.R.L. SOCIETA' AGRICOLA</t>
  </si>
  <si>
    <t>00243770971</t>
  </si>
  <si>
    <t>011910</t>
  </si>
  <si>
    <t>Prato</t>
  </si>
  <si>
    <t>O.P. TREZENE SOCIETA' AGRICOLA COOPERATIVA</t>
  </si>
  <si>
    <t>02585760784</t>
  </si>
  <si>
    <t>Cosenza</t>
  </si>
  <si>
    <t>015000</t>
  </si>
  <si>
    <t>LANGAUER S.R.L. SOCIETA' AGRICOLA</t>
  </si>
  <si>
    <t>01538230051</t>
  </si>
  <si>
    <t>012100</t>
  </si>
  <si>
    <t>Asti</t>
  </si>
  <si>
    <t>Piemonte</t>
  </si>
  <si>
    <t>RAVAGRI S.R.L. SOCIETA' AGRICOLA</t>
  </si>
  <si>
    <t>02688610399</t>
  </si>
  <si>
    <t>Ravenna</t>
  </si>
  <si>
    <t>Emilia-Romagna</t>
  </si>
  <si>
    <t>SOCIETA' AGRICOLA MASSERIA DEL MEZZANO S.R.L.</t>
  </si>
  <si>
    <t>01172630772</t>
  </si>
  <si>
    <t>Matera</t>
  </si>
  <si>
    <t>Basilicata</t>
  </si>
  <si>
    <t>CONSORZIO NAZIONALE PRODUTTORI SAN PASTORE</t>
  </si>
  <si>
    <t>02546950060</t>
  </si>
  <si>
    <t>016300</t>
  </si>
  <si>
    <t>Alessandria</t>
  </si>
  <si>
    <t>Sicilia</t>
  </si>
  <si>
    <t>011140</t>
  </si>
  <si>
    <t>012100</t>
  </si>
  <si>
    <t>Puglia</t>
  </si>
  <si>
    <t>Brindisi</t>
  </si>
  <si>
    <t>TORRE BARTOLI AZ. AGRICOLA SOCIETA' A RESPONSABILITA' LIMITATA SE MPLIFICATA UNIP</t>
  </si>
  <si>
    <t>02666940743</t>
  </si>
  <si>
    <t>012600</t>
  </si>
  <si>
    <t>SOCIETA' AGRICOLA COOPERATIVA SOCIALE SICOMORO</t>
  </si>
  <si>
    <t>02232900510</t>
  </si>
  <si>
    <t>014930</t>
  </si>
  <si>
    <t>Arezzo</t>
  </si>
  <si>
    <t>Toscana</t>
  </si>
  <si>
    <t>015000</t>
  </si>
  <si>
    <t>LA TORRE SULLA VIA FRANCIGENA SOCIETA' AGRICOLA SOCIETA' A RESPONSABILITA' LIMITATA</t>
  </si>
  <si>
    <t>06984370483</t>
  </si>
  <si>
    <t>Firenze</t>
  </si>
  <si>
    <t>COLTIVATORI AGRICOLI DEL PARCO - SOCIETA COOPERATIVA AGRICOLA</t>
  </si>
  <si>
    <t>04423030826</t>
  </si>
  <si>
    <t>Palermo</t>
  </si>
  <si>
    <t>REGGELLO SRL</t>
  </si>
  <si>
    <t>02386420513</t>
  </si>
  <si>
    <t>LA BISCINA S.R.L. SOCIETA' AGRICOLA</t>
  </si>
  <si>
    <t>01480570546</t>
  </si>
  <si>
    <t>Perugia</t>
  </si>
  <si>
    <t>Umbria</t>
  </si>
  <si>
    <t>Lazio</t>
  </si>
  <si>
    <t>012600</t>
  </si>
  <si>
    <t>Sicilia</t>
  </si>
  <si>
    <t>Roma</t>
  </si>
  <si>
    <t>BOSCIA' SOCIETA' AGRICOLA S.R.L.</t>
  </si>
  <si>
    <t>05714670873</t>
  </si>
  <si>
    <t>012500</t>
  </si>
  <si>
    <t>Catania</t>
  </si>
  <si>
    <t>011140</t>
  </si>
  <si>
    <t>Puglia</t>
  </si>
  <si>
    <t>011310</t>
  </si>
  <si>
    <t>MEGACOM S.R.L.</t>
  </si>
  <si>
    <t>05031810483</t>
  </si>
  <si>
    <t>Firenze</t>
  </si>
  <si>
    <t>Toscana</t>
  </si>
  <si>
    <t>CALAVITA - S.R.L. AGRICOLA</t>
  </si>
  <si>
    <t>03979300757</t>
  </si>
  <si>
    <t>Lecce</t>
  </si>
  <si>
    <t>VALTRULLI SOCIETA' AGRICOLA A RESPONSABILITA' LIMITATA</t>
  </si>
  <si>
    <t>02372220745</t>
  </si>
  <si>
    <t>Brindisi</t>
  </si>
  <si>
    <t>012100</t>
  </si>
  <si>
    <t>TENUTE BONIFACIO S.R.L. SOCIETA' AGRICOLA A RESPONSABILITA' LIMITATA SIGLABILE OVE CONSENTITO TENUTE BONIFACIO S.R.L.</t>
  </si>
  <si>
    <t>03617300045</t>
  </si>
  <si>
    <t>Alessandria</t>
  </si>
  <si>
    <t>Piemonte</t>
  </si>
  <si>
    <t>TOGETHER LET'S HELP THE COMMUNITY! - SOCIETA' COOPERATIVA SOCIALE</t>
  </si>
  <si>
    <t>13735091004</t>
  </si>
  <si>
    <t>014990</t>
  </si>
  <si>
    <t>TERRA ETRUSCA SOCIETA' AGRICOLA A RESPONSABILITA' LIMITATA</t>
  </si>
  <si>
    <t>01385280530</t>
  </si>
  <si>
    <t>Grosseto</t>
  </si>
  <si>
    <t>SOCIETA' AGRICOLA BAGLIO AIMONE S.R.L.</t>
  </si>
  <si>
    <t>02505810818</t>
  </si>
  <si>
    <t>012100</t>
  </si>
  <si>
    <t>Trapani</t>
  </si>
  <si>
    <t>Sicilia</t>
  </si>
  <si>
    <t>AZIENDA AGRICOLA BIO ALECI SOCIETA' A RESPONSABILITA' LIMITATA SEMPLIFICATA</t>
  </si>
  <si>
    <t>02805250814</t>
  </si>
  <si>
    <t>016100</t>
  </si>
  <si>
    <t>Lombardia</t>
  </si>
  <si>
    <t>Puglia</t>
  </si>
  <si>
    <t>Veneto</t>
  </si>
  <si>
    <t>CANOVELLA SOCIETA' AGRICOLA SRL</t>
  </si>
  <si>
    <t>00462580069</t>
  </si>
  <si>
    <t>Alessandria</t>
  </si>
  <si>
    <t>Piemonte</t>
  </si>
  <si>
    <t>Verona</t>
  </si>
  <si>
    <t>LA TORRE DI VIATOSTO SOCIETA' AGRICOLA S.R.L</t>
  </si>
  <si>
    <t>01462840057</t>
  </si>
  <si>
    <t>Asti</t>
  </si>
  <si>
    <t>COLAGRICOLA SOCIETA' AGRICOLA S.R.L.</t>
  </si>
  <si>
    <t>04855870236</t>
  </si>
  <si>
    <t>SOCIETA' AGRICOLA FERRAIOLO S.R.L.</t>
  </si>
  <si>
    <t>01295950529</t>
  </si>
  <si>
    <t>Siena</t>
  </si>
  <si>
    <t>Toscana</t>
  </si>
  <si>
    <t>MASSERIA PALOMBARA SOCIETA' AGRICOLA A R.L. - SOCIETA' BENEFIT</t>
  </si>
  <si>
    <t>02806240731</t>
  </si>
  <si>
    <t>012900</t>
  </si>
  <si>
    <t>Taranto</t>
  </si>
  <si>
    <t>GIULIO FERRARIS SOCIETA' AGRICOLA S.R.L.</t>
  </si>
  <si>
    <t>02551980184</t>
  </si>
  <si>
    <t>Pavia</t>
  </si>
  <si>
    <t>AEMME SOCIETA' A RESPONSABILITA' LIMITATA SEMPLIFICATA</t>
  </si>
  <si>
    <t>03635780921</t>
  </si>
  <si>
    <t>Sardegna</t>
  </si>
  <si>
    <t>012100</t>
  </si>
  <si>
    <t>Sicilia</t>
  </si>
  <si>
    <t>CASCINA EUGENIA 1641 S.R.L. - SOCIETA' AGRICOLA</t>
  </si>
  <si>
    <t>01867250035</t>
  </si>
  <si>
    <t>Verbano-Cusio-Ossola</t>
  </si>
  <si>
    <t>Piemonte</t>
  </si>
  <si>
    <t>SOCIETA' AGRICOLA MOCCIARO LI DESTRI S.R.L.</t>
  </si>
  <si>
    <t>07029190829</t>
  </si>
  <si>
    <t>015000</t>
  </si>
  <si>
    <t>Palermo</t>
  </si>
  <si>
    <t>Brescia</t>
  </si>
  <si>
    <t>Lombardia</t>
  </si>
  <si>
    <t>Catania</t>
  </si>
  <si>
    <t>TRENTADUE S.R.L. SOCIETA' AGRICOLA</t>
  </si>
  <si>
    <t>01245770779</t>
  </si>
  <si>
    <t>011140</t>
  </si>
  <si>
    <t>Matera</t>
  </si>
  <si>
    <t>Basilicata</t>
  </si>
  <si>
    <t>POGGIO DELLA LODOLA SOCIETA' AGRICOLA A RESPONSABILITA' LIMITATA</t>
  </si>
  <si>
    <t>01579000538</t>
  </si>
  <si>
    <t>012600</t>
  </si>
  <si>
    <t>Grosseto</t>
  </si>
  <si>
    <t>Toscana</t>
  </si>
  <si>
    <t>SOCIETA' AGRICOLA GIOVANI TRADIZIONI SICILIANE SOCIETA' A RESPONSABILITA' LIMITATA SEMPLIFICATA</t>
  </si>
  <si>
    <t>05461720871</t>
  </si>
  <si>
    <t>014500</t>
  </si>
  <si>
    <t>AZIENDA AGRICOLA CASCINA OSPITALE S.R.L. SOCIETA' AGRICOLA</t>
  </si>
  <si>
    <t>04313980981</t>
  </si>
  <si>
    <t>PODERE LAMBERTO S.R.L. SOCIETA' AGRICOLA</t>
  </si>
  <si>
    <t>01531340527</t>
  </si>
  <si>
    <t>012100</t>
  </si>
  <si>
    <t>Siena</t>
  </si>
  <si>
    <t>Toscana</t>
  </si>
  <si>
    <t>WILD NATURE SOCIETA' AGRICOLA S.R.L.</t>
  </si>
  <si>
    <t>03062280601</t>
  </si>
  <si>
    <t>010000</t>
  </si>
  <si>
    <t>Frosinone</t>
  </si>
  <si>
    <t>Lazio</t>
  </si>
  <si>
    <t>TENUTA DE LISIO SOCIETA' AGRICOLA A R.L.</t>
  </si>
  <si>
    <t>02485280644</t>
  </si>
  <si>
    <t>Avellino</t>
  </si>
  <si>
    <t>Campania</t>
  </si>
  <si>
    <t>012600</t>
  </si>
  <si>
    <t>Potenza</t>
  </si>
  <si>
    <t>Basilicata</t>
  </si>
  <si>
    <t>011000</t>
  </si>
  <si>
    <t>Perugia</t>
  </si>
  <si>
    <t>Umbria</t>
  </si>
  <si>
    <t>VIGNE DEL VULTURE SOCIETA' AGRICOLA A RESPONSABILITA' LIMITATA</t>
  </si>
  <si>
    <t>01739780763</t>
  </si>
  <si>
    <t>SOCIETA' AGRICOLA BLUSERRA S.R.L.</t>
  </si>
  <si>
    <t>02209220686</t>
  </si>
  <si>
    <t>011320</t>
  </si>
  <si>
    <t>Pescara</t>
  </si>
  <si>
    <t>Abruzzo</t>
  </si>
  <si>
    <t>SOCIETA' AGRICOLA VIGNABALDO DI BROCCATELLI &amp; GALLI S.R.L.</t>
  </si>
  <si>
    <t>01481580544</t>
  </si>
  <si>
    <t>SOCIETA' AGRICOLA SILVANA S.R.L.</t>
  </si>
  <si>
    <t>02389330800</t>
  </si>
  <si>
    <t>Reggio di Calabria</t>
  </si>
  <si>
    <t>Calabria</t>
  </si>
  <si>
    <t>TENUTAVERDE SRLS - SOCIETA' AGRICOLA</t>
  </si>
  <si>
    <t>01767050709</t>
  </si>
  <si>
    <t>011140</t>
  </si>
  <si>
    <t>Campobasso</t>
  </si>
  <si>
    <t>Molise</t>
  </si>
  <si>
    <t>AZIENDA AGRICOLA PAPAIANNI RENATO E C. S.R.L. - SOCIETA' AGRICOL A</t>
  </si>
  <si>
    <t>01611800788</t>
  </si>
  <si>
    <t>011920</t>
  </si>
  <si>
    <t>Cosenza</t>
  </si>
  <si>
    <t>SOCIETA' AGRICOLA SCRAFANA S.R.L.</t>
  </si>
  <si>
    <t>00344720511</t>
  </si>
  <si>
    <t>Arezzo</t>
  </si>
  <si>
    <t>Abruzzo</t>
  </si>
  <si>
    <t>015000</t>
  </si>
  <si>
    <t>SOCIETA' AGRICOLA ROSAGNI SOCIETA' A RESPONSABILITA' LIMITATA SEM PLIFICATA</t>
  </si>
  <si>
    <t>02475610990</t>
  </si>
  <si>
    <t>Genova</t>
  </si>
  <si>
    <t>Liguria</t>
  </si>
  <si>
    <t>Puglia</t>
  </si>
  <si>
    <t>FAMIGLIA IANNONE S.R.L. AGRICOLA</t>
  </si>
  <si>
    <t>04117220717</t>
  </si>
  <si>
    <t>012600</t>
  </si>
  <si>
    <t>Foggia</t>
  </si>
  <si>
    <t>012100</t>
  </si>
  <si>
    <t>Piemonte</t>
  </si>
  <si>
    <t>Alessandria</t>
  </si>
  <si>
    <t>016100</t>
  </si>
  <si>
    <t>SOCIETA' AGRICOLA CA' BOSCHETTO S.R.L.</t>
  </si>
  <si>
    <t>02249760063</t>
  </si>
  <si>
    <t>SOCIETA' AGRICOLA CI.EFFE.ERRE - SOCIETA' A RESPONSABILITA' LIMITATA</t>
  </si>
  <si>
    <t>01256510551</t>
  </si>
  <si>
    <t>Terni</t>
  </si>
  <si>
    <t>Umbria</t>
  </si>
  <si>
    <t>COOPERATIVA REGIONALE OLIVICOLTORI - C.RE.O. SOCIETA' COOPERATIVA AGRICOLA</t>
  </si>
  <si>
    <t>02505010690</t>
  </si>
  <si>
    <t>Teramo</t>
  </si>
  <si>
    <t>012600</t>
  </si>
  <si>
    <t>Puglia</t>
  </si>
  <si>
    <t>Sicilia</t>
  </si>
  <si>
    <t>011140</t>
  </si>
  <si>
    <t>Foggia</t>
  </si>
  <si>
    <t>AGRICASALE SOCIETA' COOPERATIVA</t>
  </si>
  <si>
    <t>00512090861</t>
  </si>
  <si>
    <t>012500</t>
  </si>
  <si>
    <t>Enna</t>
  </si>
  <si>
    <t>Lombardia</t>
  </si>
  <si>
    <t>MERIDIO S.R.L.</t>
  </si>
  <si>
    <t>01374310884</t>
  </si>
  <si>
    <t>012000</t>
  </si>
  <si>
    <t>Ragusa</t>
  </si>
  <si>
    <t>Perugia</t>
  </si>
  <si>
    <t>Umbria</t>
  </si>
  <si>
    <t>FATTORIA TRE CERCOLE SOCIETA' AGRICOLA A R.L.</t>
  </si>
  <si>
    <t>03591530716</t>
  </si>
  <si>
    <t>BIETOLA S.R.L. SOCIETA' AGRICOLA</t>
  </si>
  <si>
    <t>10248140963</t>
  </si>
  <si>
    <t>011310</t>
  </si>
  <si>
    <t>Milano</t>
  </si>
  <si>
    <t>BORGO PULCIANO S.R.L. SOCIETA' AGRICOLA</t>
  </si>
  <si>
    <t>01774400541</t>
  </si>
  <si>
    <t>Lombardia</t>
  </si>
  <si>
    <t>016100</t>
  </si>
  <si>
    <t>Catania</t>
  </si>
  <si>
    <t>Sicilia</t>
  </si>
  <si>
    <t>SINCETTE S.R.L. - SOCIETA' AGRICOLA</t>
  </si>
  <si>
    <t>04311130985</t>
  </si>
  <si>
    <t>012100</t>
  </si>
  <si>
    <t>Brescia</t>
  </si>
  <si>
    <t>012300</t>
  </si>
  <si>
    <t>011110</t>
  </si>
  <si>
    <t>BIOGREEN SOCIETA' AGRICOLA S.R.L.S</t>
  </si>
  <si>
    <t>01917290890</t>
  </si>
  <si>
    <t>Siracusa</t>
  </si>
  <si>
    <t>GAIA SOCIETA' AGRICOLA S.R.L.</t>
  </si>
  <si>
    <t>03058440987</t>
  </si>
  <si>
    <t>DUE PINI, BERDIVINO E TENUTE BALLASANTI SOCIETA' AGRICOLA S.R.L. - DENOMINAZIONI ABBREVIATE: DUE PINI SOCIETA' AGRICOLA S.R.L.; BERDIVINO SOCIETA ' AGRICOLA S.R.L.; BALLASANTI SOCIETA' AGRICOLA S.R.L.; TENUTE BALLASANTI SOCIET A' AGRICOLA S.R.L.</t>
  </si>
  <si>
    <t>05130630873</t>
  </si>
  <si>
    <t>POGGIO AL PINO 1872 SOCIETA' AGRICOLA BIOLOGICA S.R.L.S.</t>
  </si>
  <si>
    <t>06973160481</t>
  </si>
  <si>
    <t>012100</t>
  </si>
  <si>
    <t>Firenze</t>
  </si>
  <si>
    <t>Toscana</t>
  </si>
  <si>
    <t>012600</t>
  </si>
  <si>
    <t>Lombardia</t>
  </si>
  <si>
    <t>016100</t>
  </si>
  <si>
    <t>LE TERRE DI VEJANO SOCIETA' AGRICOLA S.R.L.</t>
  </si>
  <si>
    <t>15202781009</t>
  </si>
  <si>
    <t>Roma</t>
  </si>
  <si>
    <t>Lazio</t>
  </si>
  <si>
    <t>HORTUS GYMNASIUM SOCIETA' AGRICOLA ARL</t>
  </si>
  <si>
    <t>01458760830</t>
  </si>
  <si>
    <t>013000</t>
  </si>
  <si>
    <t>LA SORGENTE SOCIETA' AGRICOLA A RESPONSABILITA' LIMITATA IN FORMA ABBREVIATA LA SORGENTE SOCIETA' AGRICOLA A R.L.</t>
  </si>
  <si>
    <t>04416220285</t>
  </si>
  <si>
    <t>Padova</t>
  </si>
  <si>
    <t>Veneto</t>
  </si>
  <si>
    <t>ENERGAIA LIMUS SOCIETA' AGRICOLA S.R.L.</t>
  </si>
  <si>
    <t>03908390168</t>
  </si>
  <si>
    <t>Milano</t>
  </si>
  <si>
    <t>AGR. ESTE SOCIETA' AGRICOLA SOCIETA' A RESPONSABILITA' LIMITATA SEMPLIFICATA</t>
  </si>
  <si>
    <t>02881660423</t>
  </si>
  <si>
    <t>011140</t>
  </si>
  <si>
    <t>Ancona</t>
  </si>
  <si>
    <t>Marche</t>
  </si>
  <si>
    <t>Toscana</t>
  </si>
  <si>
    <t>012100</t>
  </si>
  <si>
    <t>012600</t>
  </si>
  <si>
    <t>Sardegna</t>
  </si>
  <si>
    <t>SOCIETA' AGRICOLA NETTARE ITALIANO S.R.L.</t>
  </si>
  <si>
    <t>02480090022</t>
  </si>
  <si>
    <t>014930</t>
  </si>
  <si>
    <t>Vercelli</t>
  </si>
  <si>
    <t>Piemonte</t>
  </si>
  <si>
    <t>AZIENDA AGRICOLA F.LLI RAU S.R.L.</t>
  </si>
  <si>
    <t>02157500907</t>
  </si>
  <si>
    <t>Sassari</t>
  </si>
  <si>
    <t>014990</t>
  </si>
  <si>
    <t>010000</t>
  </si>
  <si>
    <t>LANGAPONICA S.R.L. SOCIETA' AGRICOLA INNOVATIVA</t>
  </si>
  <si>
    <t>03971780048</t>
  </si>
  <si>
    <t>011321</t>
  </si>
  <si>
    <t>Cuneo</t>
  </si>
  <si>
    <t>www.langaponica.it e www.langaponica.com</t>
  </si>
  <si>
    <t>SOCIETA' AGRICOLA FORTE E GENTILE R.L. IN SIGLA FORTE E GENTILE S.R.L.</t>
  </si>
  <si>
    <t>02113890699</t>
  </si>
  <si>
    <t>Chieti</t>
  </si>
  <si>
    <t>Abruzzo</t>
  </si>
  <si>
    <t>FATTORIA DI GRAGNONE S.R.L.</t>
  </si>
  <si>
    <t>00135760510</t>
  </si>
  <si>
    <t>Arezzo</t>
  </si>
  <si>
    <t>LUMANOVA S.R.L. - SOCIETA' AGRICOLA</t>
  </si>
  <si>
    <t>01456290525</t>
  </si>
  <si>
    <t>Siena</t>
  </si>
  <si>
    <t>Campania</t>
  </si>
  <si>
    <t>SOCIETA' AGRICOLA CASTELGROSSO - S.R.L.</t>
  </si>
  <si>
    <t>00606920544</t>
  </si>
  <si>
    <t>014300</t>
  </si>
  <si>
    <t>Perugia</t>
  </si>
  <si>
    <t>Umbria</t>
  </si>
  <si>
    <t>LA CAFFETTIERA - AZIENDA AGRICOLA ZOOTECNICA ED AGRITURISTICA SOCIETA' A RESPONSABILITA' LIMITATA SEMPLIFICATA</t>
  </si>
  <si>
    <t>04590170611</t>
  </si>
  <si>
    <t>015000</t>
  </si>
  <si>
    <t>Caserta</t>
  </si>
  <si>
    <t>SOCIETA' AGRICOLA CHICCOROSSO S.R.L.</t>
  </si>
  <si>
    <t>09101421007</t>
  </si>
  <si>
    <t>011140</t>
  </si>
  <si>
    <t>Roma</t>
  </si>
  <si>
    <t>Lazio</t>
  </si>
  <si>
    <t>CA' DE BI SOCIETA' AGRICOLA - S.R.L.</t>
  </si>
  <si>
    <t>04141140980</t>
  </si>
  <si>
    <t>014500</t>
  </si>
  <si>
    <t>Brescia</t>
  </si>
  <si>
    <t>Lombardia</t>
  </si>
  <si>
    <t>FRUTTI FELICI SOCIETA' - COOPERATIVA AGRICOLA</t>
  </si>
  <si>
    <t>07628831005</t>
  </si>
  <si>
    <t>016100</t>
  </si>
  <si>
    <t>012100</t>
  </si>
  <si>
    <t>Trapani</t>
  </si>
  <si>
    <t>Sicilia</t>
  </si>
  <si>
    <t>AGRI SOCIAL NETT COOPERATIVA AGRICOLA E SOCIALE</t>
  </si>
  <si>
    <t>02761370812</t>
  </si>
  <si>
    <t>012500</t>
  </si>
  <si>
    <t>012600</t>
  </si>
  <si>
    <t>Toscana</t>
  </si>
  <si>
    <t>Forlì-Cesena</t>
  </si>
  <si>
    <t>Emilia-Romagna</t>
  </si>
  <si>
    <t>AZIENDA AGRICOLA LE VIGNE SRL</t>
  </si>
  <si>
    <t>04333550400</t>
  </si>
  <si>
    <t>Puglia</t>
  </si>
  <si>
    <t>Siena</t>
  </si>
  <si>
    <t>EX TERRA VIRES SOCIETA' AGRICOLA A R.L.</t>
  </si>
  <si>
    <t>00830450128</t>
  </si>
  <si>
    <t>012900</t>
  </si>
  <si>
    <t>FINIS TERRAE S.R.L.</t>
  </si>
  <si>
    <t>03570110753</t>
  </si>
  <si>
    <t>Lecce</t>
  </si>
  <si>
    <t>DISTRETTO RURALE RISO E RANE</t>
  </si>
  <si>
    <t>07488550968</t>
  </si>
  <si>
    <t>016000</t>
  </si>
  <si>
    <t>Milano</t>
  </si>
  <si>
    <t>ITALIA SELVATICA S.R.L. AGRICOLA SEMPLIFICATA</t>
  </si>
  <si>
    <t>02654340427</t>
  </si>
  <si>
    <t>012700</t>
  </si>
  <si>
    <t>Ancona</t>
  </si>
  <si>
    <t>Marche</t>
  </si>
  <si>
    <t>Rimini</t>
  </si>
  <si>
    <t>Emilia-Romagna</t>
  </si>
  <si>
    <t>012600</t>
  </si>
  <si>
    <t>Roma</t>
  </si>
  <si>
    <t>Lazio</t>
  </si>
  <si>
    <t>UNIONE NAZIONALE FRA AZIENDE VINICOLE SOCIETA' COOPERATIVA AGRICOLA</t>
  </si>
  <si>
    <t>07214381001</t>
  </si>
  <si>
    <t>012100</t>
  </si>
  <si>
    <t>011310</t>
  </si>
  <si>
    <t>015000</t>
  </si>
  <si>
    <t>Puglia</t>
  </si>
  <si>
    <t>GREEN HOPES SOCIETA' A RESPONSABILITA' LIMITATA SEMPLIFICATA - SOCIETA' AGRICOLA</t>
  </si>
  <si>
    <t>04224230245</t>
  </si>
  <si>
    <t>013000</t>
  </si>
  <si>
    <t>Vicenza</t>
  </si>
  <si>
    <t>Veneto</t>
  </si>
  <si>
    <t>SOCIETA' AGRICOLA FIONDA RANCH SRLS</t>
  </si>
  <si>
    <t>15238241002</t>
  </si>
  <si>
    <t>SEMILIBERI - COOPERATIVA SOCIALE</t>
  </si>
  <si>
    <t>04905280758</t>
  </si>
  <si>
    <t>Lecce</t>
  </si>
  <si>
    <t>COOPERATIVA SOCIALE AGRICOLA ORTICOLTI</t>
  </si>
  <si>
    <t>03868700406</t>
  </si>
  <si>
    <t>TENUTA DEI SENSI SOCIETA' AGRICOLA SRL</t>
  </si>
  <si>
    <t>02744790698</t>
  </si>
  <si>
    <t>Chieti</t>
  </si>
  <si>
    <t>Abruzzo</t>
  </si>
  <si>
    <t>SOCIETA' AGRICOLA VALENTINO S.R.L.</t>
  </si>
  <si>
    <t>03628630711</t>
  </si>
  <si>
    <t>Foggia</t>
  </si>
  <si>
    <t>012100</t>
  </si>
  <si>
    <t>AZIENDA VINICOLA MANNA - SOCIETA' AGRICOLA S.R.L.</t>
  </si>
  <si>
    <t>03523030785</t>
  </si>
  <si>
    <t>Cosenza</t>
  </si>
  <si>
    <t>Calabria</t>
  </si>
  <si>
    <t>TIGRA SOCIETA' AGRICOLA A RESPONSABILITA' LIMITATA</t>
  </si>
  <si>
    <t>06889300965</t>
  </si>
  <si>
    <t>Asti</t>
  </si>
  <si>
    <t>Piemonte</t>
  </si>
  <si>
    <t>Sicilia</t>
  </si>
  <si>
    <t>PIACENTINI SOCIETA' AGRICOLA S.R.L.</t>
  </si>
  <si>
    <t>03273050785</t>
  </si>
  <si>
    <t>011120</t>
  </si>
  <si>
    <t>SOCIETA' COOPERATIVA AGRICOLA VERDE DI COVO A R.L.</t>
  </si>
  <si>
    <t>04449380163</t>
  </si>
  <si>
    <t>016209</t>
  </si>
  <si>
    <t>Bergamo</t>
  </si>
  <si>
    <t>Lombardia</t>
  </si>
  <si>
    <t>AZIENDA AGRICOLA MINORE S.R.L.</t>
  </si>
  <si>
    <t>02649290810</t>
  </si>
  <si>
    <t>Trapani</t>
  </si>
  <si>
    <t>014300</t>
  </si>
  <si>
    <t>AGRI GOLDEN S.R.L. SOCIETA' AGRICOLA</t>
  </si>
  <si>
    <t>02352600031</t>
  </si>
  <si>
    <t>Novara</t>
  </si>
  <si>
    <t>SOCIETA' AGRICOLA CLA.SO - S.R.L.</t>
  </si>
  <si>
    <t>08254020962</t>
  </si>
  <si>
    <t>014000</t>
  </si>
  <si>
    <t>Milano</t>
  </si>
  <si>
    <t>012600</t>
  </si>
  <si>
    <t>Puglia</t>
  </si>
  <si>
    <t>011300</t>
  </si>
  <si>
    <t>Liguria</t>
  </si>
  <si>
    <t>011110</t>
  </si>
  <si>
    <t>DACHI FARM SOCIETA' AGRICOLA A R.L.</t>
  </si>
  <si>
    <t>01820140091</t>
  </si>
  <si>
    <t>Savona</t>
  </si>
  <si>
    <t>015000</t>
  </si>
  <si>
    <t>AZIENDA AGRARIA SAN PIER D'ISONZO S.R.L. SOCIETA' AGRICOLA</t>
  </si>
  <si>
    <t>00783170533</t>
  </si>
  <si>
    <t>Grosseto</t>
  </si>
  <si>
    <t>Toscana</t>
  </si>
  <si>
    <t>COOPERATIVA SOCIALE ROBERT OWEN COOP. A R.L.</t>
  </si>
  <si>
    <t>00874200736</t>
  </si>
  <si>
    <t>Taranto</t>
  </si>
  <si>
    <t>SOCIETA' AGRICOLA POGGIO AL PINO S.R.L.</t>
  </si>
  <si>
    <t>01885530509</t>
  </si>
  <si>
    <t>Pisa</t>
  </si>
  <si>
    <t>LE TRE TERRE SOCIETA' COOPERATIVA AGRICOLA</t>
  </si>
  <si>
    <t>01157370469</t>
  </si>
  <si>
    <t>012000</t>
  </si>
  <si>
    <t>Lucca</t>
  </si>
  <si>
    <t>015000</t>
  </si>
  <si>
    <t>Frosinone</t>
  </si>
  <si>
    <t>Lazio</t>
  </si>
  <si>
    <t>SUNAWI SOCIETA' AGRICOLA S.R.L.</t>
  </si>
  <si>
    <t>04222060982</t>
  </si>
  <si>
    <t>012100</t>
  </si>
  <si>
    <t>Brescia</t>
  </si>
  <si>
    <t>Lombardia</t>
  </si>
  <si>
    <t>012600</t>
  </si>
  <si>
    <t>Toscana</t>
  </si>
  <si>
    <t>TIPIKA SOCIETA' COOPERATIVA AGRICOLA</t>
  </si>
  <si>
    <t>02973060607</t>
  </si>
  <si>
    <t>WINE &amp; WELLNESS SOCIETA' AGRICOLA A R.L.</t>
  </si>
  <si>
    <t>01488310432</t>
  </si>
  <si>
    <t>Macerata</t>
  </si>
  <si>
    <t>Marche</t>
  </si>
  <si>
    <t>SORA MADRE TERRA SOCIETA' COOPERATIVA AGRICOLA E SOCIALE A R.L. - ONLUS</t>
  </si>
  <si>
    <t>02640120412</t>
  </si>
  <si>
    <t>Pesaro Urbino</t>
  </si>
  <si>
    <t>TENUTA SETTEVENTI SOCIETA' AGRICOLA BIOLOGICA SOCIETA' A RESPONSABILITA' LIMITATA</t>
  </si>
  <si>
    <t>02185470461</t>
  </si>
  <si>
    <t>Lucca</t>
  </si>
  <si>
    <t>011310</t>
  </si>
  <si>
    <t>011140</t>
  </si>
  <si>
    <t>ACQUASOLE SOCIETA' AGRICOLA A R.L.</t>
  </si>
  <si>
    <t>01421810118</t>
  </si>
  <si>
    <t>011320</t>
  </si>
  <si>
    <t>La Spezia</t>
  </si>
  <si>
    <t>Liguria</t>
  </si>
  <si>
    <t>DISTRETTO AGRICOLO ADDA - MARTESANA - SOCIETA' CONSORTILE COOPERATIVA AGRICOLA O IN BREVE DISTRETTO AGRICOLO ADDA MARTESANA - COOPERATIVA</t>
  </si>
  <si>
    <t>10003420964</t>
  </si>
  <si>
    <t>016100</t>
  </si>
  <si>
    <t>Milano</t>
  </si>
  <si>
    <t>Lombardia</t>
  </si>
  <si>
    <t>Foggia</t>
  </si>
  <si>
    <t>Puglia</t>
  </si>
  <si>
    <t>SOCIETA' AGRICOLA DUE PIGNE S.R.L.</t>
  </si>
  <si>
    <t>02955100983</t>
  </si>
  <si>
    <t>Brescia</t>
  </si>
  <si>
    <t>ZUANE S.R.L. SOCIETA' AGRICOLA</t>
  </si>
  <si>
    <t>02869040309</t>
  </si>
  <si>
    <t>012100</t>
  </si>
  <si>
    <t>Udine</t>
  </si>
  <si>
    <t>Friuli-Venezia Giulia</t>
  </si>
  <si>
    <t>I TESORI DELLA DAUNIA SOCIETA' COOPERATIVA</t>
  </si>
  <si>
    <t>04337810719</t>
  </si>
  <si>
    <t>SOCIETA' AGRICOLA LA TARAGNA S.R.L.</t>
  </si>
  <si>
    <t>01314630524</t>
  </si>
  <si>
    <t>012600</t>
  </si>
  <si>
    <t>Siena</t>
  </si>
  <si>
    <t>Toscana</t>
  </si>
  <si>
    <t>Campania</t>
  </si>
  <si>
    <t>AGRI SERVIZI SOCIETA' COOPERATIVA</t>
  </si>
  <si>
    <t>05106440828</t>
  </si>
  <si>
    <t>016100</t>
  </si>
  <si>
    <t>Palermo</t>
  </si>
  <si>
    <t>Sicilia</t>
  </si>
  <si>
    <t>Matera</t>
  </si>
  <si>
    <t>Basilicata</t>
  </si>
  <si>
    <t>012100</t>
  </si>
  <si>
    <t>CONSORZIO DEL MEDITERRANEO</t>
  </si>
  <si>
    <t>01388470773</t>
  </si>
  <si>
    <t>TRE S WINE SOCIETA' AGRICOLA SRL</t>
  </si>
  <si>
    <t>02911580641</t>
  </si>
  <si>
    <t>Avellino</t>
  </si>
  <si>
    <t>F.LLI DEL ZINGARO S.R.L.</t>
  </si>
  <si>
    <t>01749990709</t>
  </si>
  <si>
    <t>014990</t>
  </si>
  <si>
    <t>Campobasso</t>
  </si>
  <si>
    <t>Molise</t>
  </si>
  <si>
    <t>SOCIETA' AGRICOLA PODERE VIGNA DEL SOLE S.R.L.</t>
  </si>
  <si>
    <t>03069470833</t>
  </si>
  <si>
    <t>SOCIETA' AGRICOLA TENUTE FOTI RANDAZZESE S.R.L.S.</t>
  </si>
  <si>
    <t>05829320877</t>
  </si>
  <si>
    <t>012100</t>
  </si>
  <si>
    <t>Catania</t>
  </si>
  <si>
    <t>Sicilia</t>
  </si>
  <si>
    <t>SOCIETA' AGRICOLA ARCA SRL</t>
  </si>
  <si>
    <t>04054500717</t>
  </si>
  <si>
    <t>011110</t>
  </si>
  <si>
    <t>Foggia</t>
  </si>
  <si>
    <t>Puglia</t>
  </si>
  <si>
    <t>Lazio</t>
  </si>
  <si>
    <t>015000</t>
  </si>
  <si>
    <t>012600</t>
  </si>
  <si>
    <t>VIGNA DEI LUPI S.R.L. - SOCIETA' AGRICOLA</t>
  </si>
  <si>
    <t>02197560648</t>
  </si>
  <si>
    <t>Avellino</t>
  </si>
  <si>
    <t>Campania</t>
  </si>
  <si>
    <t>Emilia-Romagna</t>
  </si>
  <si>
    <t>Bergamo</t>
  </si>
  <si>
    <t>Lombardia</t>
  </si>
  <si>
    <t>LE FORMICHELLE - SOCIETA' AGRICOLA A RESPONSABILITA' LIMITATA</t>
  </si>
  <si>
    <t>06081710656</t>
  </si>
  <si>
    <t>Salerno</t>
  </si>
  <si>
    <t>012400</t>
  </si>
  <si>
    <t>AL VECCHIO TIGLIO SOCIETA' AGRICOLA SRL</t>
  </si>
  <si>
    <t>02265010351</t>
  </si>
  <si>
    <t>Reggio nell'Emilia</t>
  </si>
  <si>
    <t>SCHININA' SOCIETA' AGRICOLA A RESPONSABILITA' LIMITATA</t>
  </si>
  <si>
    <t>03025710595</t>
  </si>
  <si>
    <t>Latina</t>
  </si>
  <si>
    <t>ENERGIA VERDE FONTANELLA SOCIETA' AGRICOLA SRL</t>
  </si>
  <si>
    <t>04343310167</t>
  </si>
  <si>
    <t>SOCIETA' AGRICOLA REINE ET ROSE S.R.L.</t>
  </si>
  <si>
    <t>03127300873</t>
  </si>
  <si>
    <t>TENUTE DONNA VITTORIA SOCIETA' AGRICOLA A RESPONSABILITA' LIMITATA SEMPLIFICATA</t>
  </si>
  <si>
    <t>04210770717</t>
  </si>
  <si>
    <t>COOPERATIVA SOCIALE AGRICOLA DELLE VALLI GENOVESI CA' DEI BRICCHI</t>
  </si>
  <si>
    <t>02495670990</t>
  </si>
  <si>
    <t>010000</t>
  </si>
  <si>
    <t>Genova</t>
  </si>
  <si>
    <t>Liguria</t>
  </si>
  <si>
    <t>VERDI FATTORIE SOCIETA' AGRICOLA S.R.L.</t>
  </si>
  <si>
    <t>02203980640</t>
  </si>
  <si>
    <t>CINQUE EFFE SOCIETA' A RESPONSABILITA' LIMITATA AGRICOLA</t>
  </si>
  <si>
    <t>01346230087</t>
  </si>
  <si>
    <t>012600</t>
  </si>
  <si>
    <t>Imperia</t>
  </si>
  <si>
    <t>Liguria</t>
  </si>
  <si>
    <t>011310</t>
  </si>
  <si>
    <t>LETIZIA SOCIETA' AGRICOLA A RESPONSABILITA' LIMITATA</t>
  </si>
  <si>
    <t>04254270616</t>
  </si>
  <si>
    <t>Caserta</t>
  </si>
  <si>
    <t>Campania</t>
  </si>
  <si>
    <t>Verona</t>
  </si>
  <si>
    <t>Veneto</t>
  </si>
  <si>
    <t>CONSORZIO AGROALIMENTARE CALABRESE SOCIETA' COOPERATIVA AGRICOLA</t>
  </si>
  <si>
    <t>01352330789</t>
  </si>
  <si>
    <t>Cosenza</t>
  </si>
  <si>
    <t>Calabria</t>
  </si>
  <si>
    <t>012100</t>
  </si>
  <si>
    <t>SOCIETA' AGRICOLA CHRISTIAN TROGER SRL</t>
  </si>
  <si>
    <t>03073030219</t>
  </si>
  <si>
    <t>Bolzano/Bozen</t>
  </si>
  <si>
    <t>Trentino-Alto Adige</t>
  </si>
  <si>
    <t>Salerno</t>
  </si>
  <si>
    <t>CAPSICUM AGRICOLA S.R.L</t>
  </si>
  <si>
    <t>06078650659</t>
  </si>
  <si>
    <t>MAGNA MATER SRL SOCIETA' AGRICOLA</t>
  </si>
  <si>
    <t>02139620443</t>
  </si>
  <si>
    <t>Ascoli Piceno</t>
  </si>
  <si>
    <t>Marche</t>
  </si>
  <si>
    <t>A.M.A. MEDICAL MUSHROOMS SOCIETA' AGRICOLA S.R.L.</t>
  </si>
  <si>
    <t>04912680230</t>
  </si>
  <si>
    <t>011321</t>
  </si>
  <si>
    <t>Lazio</t>
  </si>
  <si>
    <t>TENUTA AQUADIVINA SOCIETA' AGRICOLA SRL</t>
  </si>
  <si>
    <t>14102761005</t>
  </si>
  <si>
    <t>012600</t>
  </si>
  <si>
    <t>Pisa</t>
  </si>
  <si>
    <t>Toscana</t>
  </si>
  <si>
    <t>CE.SE.VET. S.R.L.</t>
  </si>
  <si>
    <t>04366990820</t>
  </si>
  <si>
    <t>016209</t>
  </si>
  <si>
    <t>Palermo</t>
  </si>
  <si>
    <t>Sicilia</t>
  </si>
  <si>
    <t>011310</t>
  </si>
  <si>
    <t>IMMOBILIARE PICO - SOCIETA' AGRICOLA A R.L.</t>
  </si>
  <si>
    <t>01224690501</t>
  </si>
  <si>
    <t>011990</t>
  </si>
  <si>
    <t>0 830</t>
  </si>
  <si>
    <t>012100</t>
  </si>
  <si>
    <t>ARCONOR SOCIETA' AGRICOLA A RESPONSABILITA' LIMITATA</t>
  </si>
  <si>
    <t>03763960964</t>
  </si>
  <si>
    <t>Milano</t>
  </si>
  <si>
    <t>Lombardia</t>
  </si>
  <si>
    <t>FOREVER BAMBU SOCIETA' AGRICOLA S.R.L. - SOCIETA' BENEFIT</t>
  </si>
  <si>
    <t>12072470961</t>
  </si>
  <si>
    <t>PODERE COPELLARO SOCIETA' AGRICOLA A RESPONSABILITA' LIMITATA</t>
  </si>
  <si>
    <t>02874390590</t>
  </si>
  <si>
    <t>Latina</t>
  </si>
  <si>
    <t>Sicilia</t>
  </si>
  <si>
    <t>COLLI FRIGENTINI - SOCIETA' COOPERATIVA</t>
  </si>
  <si>
    <t>02403880640</t>
  </si>
  <si>
    <t>012100</t>
  </si>
  <si>
    <t>Avellino</t>
  </si>
  <si>
    <t>Campania</t>
  </si>
  <si>
    <t>AGROBIOENERGY S.R.L. SOCIETA' AGRICOLA</t>
  </si>
  <si>
    <t>02398630810</t>
  </si>
  <si>
    <t>011910</t>
  </si>
  <si>
    <t>Trapani</t>
  </si>
  <si>
    <t>MASSERIA DELLA NOCCIOLA - SOCIETA' AGRICOLA - S.R.L.</t>
  </si>
  <si>
    <t>05610480658</t>
  </si>
  <si>
    <t>012500</t>
  </si>
  <si>
    <t>Salerno</t>
  </si>
  <si>
    <t>Sassari</t>
  </si>
  <si>
    <t>Sardegna</t>
  </si>
  <si>
    <t>BAJA DEL CERVO SOCIETA' AGRICOLA A RESPONSABILITA' LIMITATA SEMPLIFICATA</t>
  </si>
  <si>
    <t>02684470905</t>
  </si>
  <si>
    <t>015000</t>
  </si>
  <si>
    <t>Campania</t>
  </si>
  <si>
    <t>Toscana</t>
  </si>
  <si>
    <t>DEMER S.R.L.</t>
  </si>
  <si>
    <t>01444070682</t>
  </si>
  <si>
    <t>010000</t>
  </si>
  <si>
    <t>Pescara</t>
  </si>
  <si>
    <t>Abruzzo</t>
  </si>
  <si>
    <t>012100</t>
  </si>
  <si>
    <t>GREEN THUMB SRL</t>
  </si>
  <si>
    <t>02493740209</t>
  </si>
  <si>
    <t>016100</t>
  </si>
  <si>
    <t>Mantova</t>
  </si>
  <si>
    <t>Lombardia</t>
  </si>
  <si>
    <t>Firenze</t>
  </si>
  <si>
    <t>012600</t>
  </si>
  <si>
    <t>RABEL S.R.L. SOCIETA' AGRICOLA</t>
  </si>
  <si>
    <t>11908030015</t>
  </si>
  <si>
    <t>Torino</t>
  </si>
  <si>
    <t>Piemonte</t>
  </si>
  <si>
    <t>AGRICOLA SANT'ANGELO SOCIETA' COOPERATIVA</t>
  </si>
  <si>
    <t>07064150480</t>
  </si>
  <si>
    <t>TENUTA MADRE S.R.L. SOCIETA' AGRICOLA</t>
  </si>
  <si>
    <t>03136660648</t>
  </si>
  <si>
    <t>Avellino</t>
  </si>
  <si>
    <t>Campania</t>
  </si>
  <si>
    <t>SOCIETA' AGRICOLA ZAMBETTI BENTOGLIO FIGLI S.R.L.</t>
  </si>
  <si>
    <t>04564480160</t>
  </si>
  <si>
    <t>011110</t>
  </si>
  <si>
    <t>Bergamo</t>
  </si>
  <si>
    <t>Lombardia</t>
  </si>
  <si>
    <t>SOCIETA' AGRICOLA ALESSANDRA S.R.L.</t>
  </si>
  <si>
    <t>04187020658</t>
  </si>
  <si>
    <t>012000</t>
  </si>
  <si>
    <t>Salerno</t>
  </si>
  <si>
    <t>AZIENDA AGRICOLA OLIVICOLA CA' DEL MERLO SOCIETA' AGRICOLA A RESP</t>
  </si>
  <si>
    <t>02391990351</t>
  </si>
  <si>
    <t>012600</t>
  </si>
  <si>
    <t>Reggio nell'Emilia</t>
  </si>
  <si>
    <t>Emilia-Romagna</t>
  </si>
  <si>
    <t>012500</t>
  </si>
  <si>
    <t>AMBIENTE ENERGIA E FUTURO S.R.L. START-UP COSTITUITA A NORMA DELL'ART. 4 COMMA 10 BIS DEL DECRETO LEGGE 24 GENNAIO 2015 N. 3 ISCRITTA PROVVISORIAMENTE IN SEZIONE ORDINARIA, IN CORSO DI ISCRIZIONE NELLA SEZIONE SPECIALE</t>
  </si>
  <si>
    <t>08618941218</t>
  </si>
  <si>
    <t>016100</t>
  </si>
  <si>
    <t>Napoli</t>
  </si>
  <si>
    <t>SOCIETA' AGRICOLA SIDICINA S.R.L.</t>
  </si>
  <si>
    <t>04493440616</t>
  </si>
  <si>
    <t>Caserta</t>
  </si>
  <si>
    <t>Roma</t>
  </si>
  <si>
    <t>Lazio</t>
  </si>
  <si>
    <t>COUNTRY EST - SOCIETA A RESPONSABILITA LIMITATA</t>
  </si>
  <si>
    <t>04599711001</t>
  </si>
  <si>
    <t>015000</t>
  </si>
  <si>
    <t>015000</t>
  </si>
  <si>
    <t>012100</t>
  </si>
  <si>
    <t>Sicilia</t>
  </si>
  <si>
    <t>FOODSFACTORY SOCIETA' AGRICOLA S.R.L.</t>
  </si>
  <si>
    <t>04536510169</t>
  </si>
  <si>
    <t>011200</t>
  </si>
  <si>
    <t>Bergamo</t>
  </si>
  <si>
    <t>Lombardia</t>
  </si>
  <si>
    <t>TORRE SALSA - AZIENDA AGRICOLA MORGANTE - SOCIETA' AGRICOLA P.A.</t>
  </si>
  <si>
    <t>02130730845</t>
  </si>
  <si>
    <t>011110</t>
  </si>
  <si>
    <t>Agrigento</t>
  </si>
  <si>
    <t>SOCIETA' AGRICOLA PICCOLE TERRE S.R.L.</t>
  </si>
  <si>
    <t>13699941004</t>
  </si>
  <si>
    <t>Teramo</t>
  </si>
  <si>
    <t>Abruzzo</t>
  </si>
  <si>
    <t>RONCO DELLA FOLA S.R.L. SOCIETA' AGRICOLA</t>
  </si>
  <si>
    <t>03071250165</t>
  </si>
  <si>
    <t>Toscana</t>
  </si>
  <si>
    <t>SOCIETA' AGRICOLA LO SCOIATTOLO S.R.L.</t>
  </si>
  <si>
    <t>01612050672</t>
  </si>
  <si>
    <t>SOCIETA' AGRICOLA A RESPONSABILITA' LIMITATA SEMPLIFICATA MONETA</t>
  </si>
  <si>
    <t>01388420455</t>
  </si>
  <si>
    <t>Massa-Carrara</t>
  </si>
  <si>
    <t>Sicilia</t>
  </si>
  <si>
    <t>Toscana</t>
  </si>
  <si>
    <t>Lazio</t>
  </si>
  <si>
    <t>012600</t>
  </si>
  <si>
    <t>011110</t>
  </si>
  <si>
    <t>VERDESCA SOCIETA' AGRICOLA S.R.L.</t>
  </si>
  <si>
    <t>02065220895</t>
  </si>
  <si>
    <t>Siracusa</t>
  </si>
  <si>
    <t>TRUVO AZIENDA AGRICOLA SOCIETA' A RESPONSABILITA' LIMITATA</t>
  </si>
  <si>
    <t>06713810486</t>
  </si>
  <si>
    <t>014930</t>
  </si>
  <si>
    <t>Firenze</t>
  </si>
  <si>
    <t>SOCIETA' AGRICOLA IL BAGNACCIO S.R.L.</t>
  </si>
  <si>
    <t>02154400564</t>
  </si>
  <si>
    <t>Viterbo</t>
  </si>
  <si>
    <t>012100</t>
  </si>
  <si>
    <t>GRANDUCATO NATURA SOCIETA' AGRICOLA A R.L.</t>
  </si>
  <si>
    <t>02417310519</t>
  </si>
  <si>
    <t>Arezzo</t>
  </si>
  <si>
    <t>Toscana</t>
  </si>
  <si>
    <t>Lombardia</t>
  </si>
  <si>
    <t>TENUTA LE MANDORLAIE SOCIETA' AGRICOLA A RESPONSABILITA' LIMITATA</t>
  </si>
  <si>
    <t>01662740537</t>
  </si>
  <si>
    <t>011120</t>
  </si>
  <si>
    <t>Grosseto</t>
  </si>
  <si>
    <t>COOPERATIVA DELLE ARTI E DELLE CORTI SOCIETA' COOPERATIVA AGRICOLA IMPRESA SOCIALE ED IN FORMA ABBREVIATA ARTI E CORTI SOC. COOP. AGRICOLA IMPRESA SOCIALE</t>
  </si>
  <si>
    <t>13153580157</t>
  </si>
  <si>
    <t>011910</t>
  </si>
  <si>
    <t>Milano</t>
  </si>
  <si>
    <t>PECORANERA SOCIETA' AGRICOLA S.R.L.</t>
  </si>
  <si>
    <t>04031540406</t>
  </si>
  <si>
    <t>Forlì-Cesena</t>
  </si>
  <si>
    <t>Emilia-Romagna</t>
  </si>
  <si>
    <t>SOCIETA' AGRICOLA CONTRADA MAGGIORE S.R.L.</t>
  </si>
  <si>
    <t>03615560129</t>
  </si>
  <si>
    <t>014300</t>
  </si>
  <si>
    <t>Varese</t>
  </si>
  <si>
    <t>011110</t>
  </si>
  <si>
    <t>016100</t>
  </si>
  <si>
    <t>ALTA VALLE ARROSCIA - SOCIETA' COOPERATIVA AGRICOLA</t>
  </si>
  <si>
    <t>01724690084</t>
  </si>
  <si>
    <t>Imperia</t>
  </si>
  <si>
    <t>Liguria</t>
  </si>
  <si>
    <t>SOCIETA' AGRICOLA SAROS S.R.L.</t>
  </si>
  <si>
    <t>01940020223</t>
  </si>
  <si>
    <t>012000</t>
  </si>
  <si>
    <t>Trento</t>
  </si>
  <si>
    <t>Trentino-Alto Adige</t>
  </si>
  <si>
    <t>Emilia-Romagna</t>
  </si>
  <si>
    <t>EVI 1 S.R.L. SOCIETA' AGRICOLA</t>
  </si>
  <si>
    <t>03071831204</t>
  </si>
  <si>
    <t>Bologna</t>
  </si>
  <si>
    <t>012100</t>
  </si>
  <si>
    <t>Roma</t>
  </si>
  <si>
    <t>Lazio</t>
  </si>
  <si>
    <t>Lombardia</t>
  </si>
  <si>
    <t>011110</t>
  </si>
  <si>
    <t>Toscana</t>
  </si>
  <si>
    <t>LA CAPALBIOLA SOCIETA' AGRICOLA A RESPONSABILITA' LIMITATA</t>
  </si>
  <si>
    <t>01385120538</t>
  </si>
  <si>
    <t>011310</t>
  </si>
  <si>
    <t>Grosseto</t>
  </si>
  <si>
    <t>Campania</t>
  </si>
  <si>
    <t>COLLEPASTE SOCIETA' AGRICOLA S.R.L.</t>
  </si>
  <si>
    <t>03822600163</t>
  </si>
  <si>
    <t>Bergamo</t>
  </si>
  <si>
    <t>SANGIOLELE SRL SOCIETA' AGRICOLA</t>
  </si>
  <si>
    <t>01520480524</t>
  </si>
  <si>
    <t>Siena</t>
  </si>
  <si>
    <t>DOMUS VITAE S.R.L. A SOCIO UNICO</t>
  </si>
  <si>
    <t>08540890012</t>
  </si>
  <si>
    <t>SOCIETA' AGRICOLA VALLE TEVERE S.R.L.</t>
  </si>
  <si>
    <t>12142461008</t>
  </si>
  <si>
    <t>SOCIETA' AGRICOLA NOLANA S.R.L.</t>
  </si>
  <si>
    <t>03683121218</t>
  </si>
  <si>
    <t>011300</t>
  </si>
  <si>
    <t>Napoli</t>
  </si>
  <si>
    <t>012600</t>
  </si>
  <si>
    <t>Toscana</t>
  </si>
  <si>
    <t>ELISIR DEL CONERO SRL SOCIETA' AGRICOLA</t>
  </si>
  <si>
    <t>02711640421</t>
  </si>
  <si>
    <t>012800</t>
  </si>
  <si>
    <t>Ancona</t>
  </si>
  <si>
    <t>Marche</t>
  </si>
  <si>
    <t>Piemonte</t>
  </si>
  <si>
    <t>AGRICOLOR FATTORIA SOCIALE SOCIETA' COOPERATIVA SOCIALE -SOCIETA' AGRICOLA - ONLUS SIGLABILE AGRICOLOR FATTORIA SOCIALE - S.C.A.S. ONLUS</t>
  </si>
  <si>
    <t>11448330016</t>
  </si>
  <si>
    <t>011300</t>
  </si>
  <si>
    <t>Torino</t>
  </si>
  <si>
    <t>COOPERATIVA AGRICOLA TERRANOVA SAPPO MINULIO - SOCIETA' COOPERATIVA AGRICOLA A RESPONSABILITA' LIMITATA IN SIGLA COOPERATIVA AGRICOLA TERRANOVA</t>
  </si>
  <si>
    <t>02531660807</t>
  </si>
  <si>
    <t>016300</t>
  </si>
  <si>
    <t>Reggio di Calabria</t>
  </si>
  <si>
    <t>Calabria</t>
  </si>
  <si>
    <t>Lazio</t>
  </si>
  <si>
    <t>SOCIETA' AGRICOLA PIETRA S.R.L.</t>
  </si>
  <si>
    <t>05273570480</t>
  </si>
  <si>
    <t>Firenze</t>
  </si>
  <si>
    <t>012500</t>
  </si>
  <si>
    <t>LITTERINI SOCIETA' AGRICOLA S.R.L.</t>
  </si>
  <si>
    <t>02487600229</t>
  </si>
  <si>
    <t>012100</t>
  </si>
  <si>
    <t>Trento</t>
  </si>
  <si>
    <t>Trentino-Alto Adige</t>
  </si>
  <si>
    <t>TENUTA COLLESALA S.R.L.S. AGRICOLA</t>
  </si>
  <si>
    <t>01206640573</t>
  </si>
  <si>
    <t>Rieti</t>
  </si>
  <si>
    <t>LE TRE ARPIE S.R.L. SOCIETA' AGRICOLA</t>
  </si>
  <si>
    <t>03119350597</t>
  </si>
  <si>
    <t>012200</t>
  </si>
  <si>
    <t>Latina</t>
  </si>
  <si>
    <t>Lazio</t>
  </si>
  <si>
    <t>012100</t>
  </si>
  <si>
    <t>CAPOVALLE AGRO ENERGY FARM SOCIETA' AGRICOLA A R.L.</t>
  </si>
  <si>
    <t>03308920986</t>
  </si>
  <si>
    <t>011990</t>
  </si>
  <si>
    <t>Brescia</t>
  </si>
  <si>
    <t>Lombardia</t>
  </si>
  <si>
    <t>SOCIETA' AGRICOLA MASCARINI S.R.L.</t>
  </si>
  <si>
    <t>03968460984</t>
  </si>
  <si>
    <t>015000</t>
  </si>
  <si>
    <t>011110</t>
  </si>
  <si>
    <t>Marche</t>
  </si>
  <si>
    <t>TERRA DELLE GINESTRE - SOCIETA' COOPERATIVA AGRICOLA</t>
  </si>
  <si>
    <t>01874890591</t>
  </si>
  <si>
    <t>MOLINI E PASTIFICI 1875 SOCIETA' AGRICOLA A R.L.</t>
  </si>
  <si>
    <t>02196210443</t>
  </si>
  <si>
    <t>Ascoli Piceno</t>
  </si>
  <si>
    <t>Emilia-Romagna</t>
  </si>
  <si>
    <t>Latina</t>
  </si>
  <si>
    <t>Lazio</t>
  </si>
  <si>
    <t>Toscana</t>
  </si>
  <si>
    <t>015000</t>
  </si>
  <si>
    <t>ESDRA SOCIETA' AGRICOLA A R.L.</t>
  </si>
  <si>
    <t>02279740597</t>
  </si>
  <si>
    <t>SAO SOCIETA' AGRICOLA OFFICINALI - SRL</t>
  </si>
  <si>
    <t>00905650941</t>
  </si>
  <si>
    <t>012800</t>
  </si>
  <si>
    <t>Isernia</t>
  </si>
  <si>
    <t>Molise</t>
  </si>
  <si>
    <t>NUOVA FRONTIERA AGROALIMENTARE S.R.L.</t>
  </si>
  <si>
    <t>01507190526</t>
  </si>
  <si>
    <t>012600</t>
  </si>
  <si>
    <t>Siena</t>
  </si>
  <si>
    <t>PRABERTO SOCIETA' AGRICOLA S.R.L.</t>
  </si>
  <si>
    <t>02309220347</t>
  </si>
  <si>
    <t>Parma</t>
  </si>
  <si>
    <t>Toscana</t>
  </si>
  <si>
    <t>012100</t>
  </si>
  <si>
    <t>Roma</t>
  </si>
  <si>
    <t>Lazio</t>
  </si>
  <si>
    <t>LA FATTORIA DEI SOGNI SOCIETA' COOPERATIVA SOCIALE AGRICOLA</t>
  </si>
  <si>
    <t>16443411000</t>
  </si>
  <si>
    <t>011310</t>
  </si>
  <si>
    <t>011140</t>
  </si>
  <si>
    <t>015000</t>
  </si>
  <si>
    <t>TENUTA DI VIGNALE - S.R.L.</t>
  </si>
  <si>
    <t>00289900490</t>
  </si>
  <si>
    <t>Livorno</t>
  </si>
  <si>
    <t>Campania</t>
  </si>
  <si>
    <t>Piemonte</t>
  </si>
  <si>
    <t>OLAN SRL SOCIETA' AGRICOLA</t>
  </si>
  <si>
    <t>01375220439</t>
  </si>
  <si>
    <t>Macerata</t>
  </si>
  <si>
    <t>Marche</t>
  </si>
  <si>
    <t>IL CANCELLIERE SOCIETA' AGRICOLA SRL</t>
  </si>
  <si>
    <t>03135290645</t>
  </si>
  <si>
    <t>Avellino</t>
  </si>
  <si>
    <t>ECOVITA SOCIETA' AGRICOLA S.R.L.</t>
  </si>
  <si>
    <t>03897470922</t>
  </si>
  <si>
    <t>Sardegna</t>
  </si>
  <si>
    <t>AGRICOLTURA SOSTENIBILE COOPERATIVA AGRICOLA</t>
  </si>
  <si>
    <t>11422690013</t>
  </si>
  <si>
    <t>016100</t>
  </si>
  <si>
    <t>Torino</t>
  </si>
  <si>
    <t>Roma</t>
  </si>
  <si>
    <t>Lazio</t>
  </si>
  <si>
    <t>011110</t>
  </si>
  <si>
    <t>012600</t>
  </si>
  <si>
    <t>LA CASCINA BLU SOCIETA' AGRICOLA A RESPONSABILITA' LIMITATA</t>
  </si>
  <si>
    <t>03009920368</t>
  </si>
  <si>
    <t>Modena</t>
  </si>
  <si>
    <t>Emilia-Romagna</t>
  </si>
  <si>
    <t>Lombardia</t>
  </si>
  <si>
    <t>ENERGIA VERDE BIO GRADELLA SOCIETA' AGRICOLA SRL</t>
  </si>
  <si>
    <t>01759940198</t>
  </si>
  <si>
    <t>Cremona</t>
  </si>
  <si>
    <t>I DISCEPOLI DI PADRE PIO - SOCIETA' AGRICOLA A RESPONSABILITA' LIMITATA</t>
  </si>
  <si>
    <t>15953501002</t>
  </si>
  <si>
    <t>012900</t>
  </si>
  <si>
    <t>SOCIETA' AGRICOLA FEDERICO GIUDICEANDREA SRL</t>
  </si>
  <si>
    <t>03144250218</t>
  </si>
  <si>
    <t>012600</t>
  </si>
  <si>
    <t>Bolzano/Bozen</t>
  </si>
  <si>
    <t>Trentino-Alto Adige</t>
  </si>
  <si>
    <t>012500</t>
  </si>
  <si>
    <t>SOCIETA' AGRICOLA FLAMAR INVEST S.R.L.</t>
  </si>
  <si>
    <t>01483090765</t>
  </si>
  <si>
    <t>Potenza</t>
  </si>
  <si>
    <t>Basilicata</t>
  </si>
  <si>
    <t>011110</t>
  </si>
  <si>
    <t>Puglia</t>
  </si>
  <si>
    <t>TENUTA REGINA DI SANT'ANGELO SOCIETA' AGRICOLA A R.L.</t>
  </si>
  <si>
    <t>03174620801</t>
  </si>
  <si>
    <t>012100</t>
  </si>
  <si>
    <t>Reggio di Calabria</t>
  </si>
  <si>
    <t>Calabria</t>
  </si>
  <si>
    <t>Campania</t>
  </si>
  <si>
    <t>011140</t>
  </si>
  <si>
    <t>Roma</t>
  </si>
  <si>
    <t>Lazio</t>
  </si>
  <si>
    <t>SOCIETA' AGRICOLA CHIESANUOVA SRL</t>
  </si>
  <si>
    <t>02078090392</t>
  </si>
  <si>
    <t>Forlì-Cesena</t>
  </si>
  <si>
    <t>Emilia-Romagna</t>
  </si>
  <si>
    <t>FRATELLI COCCA SRLS SOCIETA' AGRICOLA</t>
  </si>
  <si>
    <t>01686630623</t>
  </si>
  <si>
    <t>012500</t>
  </si>
  <si>
    <t>Benevento</t>
  </si>
  <si>
    <t>PODERE VALLE CAIA S.R.L.</t>
  </si>
  <si>
    <t>15757211006</t>
  </si>
  <si>
    <t>BLA-PLI SOCIETA' AGRICOLA A RESPONSABILITA' LIMITATA</t>
  </si>
  <si>
    <t>02122871003</t>
  </si>
  <si>
    <t>015000</t>
  </si>
  <si>
    <t>Pordenone</t>
  </si>
  <si>
    <t>Friuli-Venezia Giulia</t>
  </si>
  <si>
    <t>ORTI BIODIVERSI SARDI SOCIETA' AGRICOLA SRL</t>
  </si>
  <si>
    <t>01231570951</t>
  </si>
  <si>
    <t>Oristano</t>
  </si>
  <si>
    <t>Sardegna</t>
  </si>
  <si>
    <t>SOCIETA' AGRICOLA BELENUS S.R.L.</t>
  </si>
  <si>
    <t>01507080339</t>
  </si>
  <si>
    <t>011990</t>
  </si>
  <si>
    <t>Piacenza</t>
  </si>
  <si>
    <t>IL NOCCIOLETO S.R.L. SOCIETA' AGRICOLA</t>
  </si>
  <si>
    <t>01787130937</t>
  </si>
  <si>
    <t>012600</t>
  </si>
  <si>
    <t>Lecce</t>
  </si>
  <si>
    <t>Avellino</t>
  </si>
  <si>
    <t>CANTINE ROMANO SOCIETA' AGRICOLA S.R.L.</t>
  </si>
  <si>
    <t>03058110648</t>
  </si>
  <si>
    <t>LA LIAMA S.R.L.S. AGRICOLA</t>
  </si>
  <si>
    <t>04888650753</t>
  </si>
  <si>
    <t>012100</t>
  </si>
  <si>
    <t>015000</t>
  </si>
  <si>
    <t>SOCIETA' AGRICOLA BELLULIVI SRL</t>
  </si>
  <si>
    <t>01205140252</t>
  </si>
  <si>
    <t>012600</t>
  </si>
  <si>
    <t>Belluno</t>
  </si>
  <si>
    <t>Veneto</t>
  </si>
  <si>
    <t>SOCIETA' AGRICOLA COLLI DEL TABURNO A R. L.</t>
  </si>
  <si>
    <t>01781850621</t>
  </si>
  <si>
    <t>Benevento</t>
  </si>
  <si>
    <t>Campania</t>
  </si>
  <si>
    <t>SOCIETA' AGRICOLA MB SRL</t>
  </si>
  <si>
    <t>03497250245</t>
  </si>
  <si>
    <t>Padova</t>
  </si>
  <si>
    <t>TIMPE BIANCHE SOCIETA' AGRICOLA S.R.L.</t>
  </si>
  <si>
    <t>02418960791</t>
  </si>
  <si>
    <t>Catanzaro</t>
  </si>
  <si>
    <t>Calabria</t>
  </si>
  <si>
    <t>Trentino-Alto Adige</t>
  </si>
  <si>
    <t>MASO SALIM S.R.L. SOCIETA' AGRICOLA</t>
  </si>
  <si>
    <t>02624000226</t>
  </si>
  <si>
    <t>Trento</t>
  </si>
  <si>
    <t>MARI S.R.L.</t>
  </si>
  <si>
    <t>06486660639</t>
  </si>
  <si>
    <t>Napoli</t>
  </si>
  <si>
    <t>SOCIETA' AGRICOLA AI NONNI S.R.L.</t>
  </si>
  <si>
    <t>06130980482</t>
  </si>
  <si>
    <t>011120</t>
  </si>
  <si>
    <t>Firenze</t>
  </si>
  <si>
    <t>Toscana</t>
  </si>
  <si>
    <t>011110</t>
  </si>
  <si>
    <t>011310</t>
  </si>
  <si>
    <t>Salerno</t>
  </si>
  <si>
    <t>Campania</t>
  </si>
  <si>
    <t>SOCIETA' AGRICOLA PODERE SAN DOMENICO SRL</t>
  </si>
  <si>
    <t>01707120679</t>
  </si>
  <si>
    <t>015000</t>
  </si>
  <si>
    <t>Teramo</t>
  </si>
  <si>
    <t>Abruzzo</t>
  </si>
  <si>
    <t>SALUS MONTESANO SOCIETA' AGRICOLA S.R.L.</t>
  </si>
  <si>
    <t>05539600659</t>
  </si>
  <si>
    <t>SOCIETA' AGRICOLA AMOENUS SOCIETA' A RESPONSABILITA' LIMITATA SEMPLIFICATA</t>
  </si>
  <si>
    <t>03699500546</t>
  </si>
  <si>
    <t>Perugia</t>
  </si>
  <si>
    <t>Umbria</t>
  </si>
  <si>
    <t>012500</t>
  </si>
  <si>
    <t>SOCIETA' AGRICOLA LA SCIAREJA S.R.L.</t>
  </si>
  <si>
    <t>02519310037</t>
  </si>
  <si>
    <t>Novara</t>
  </si>
  <si>
    <t>Piemonte</t>
  </si>
  <si>
    <t>012100</t>
  </si>
  <si>
    <t>012600</t>
  </si>
  <si>
    <t>Toscana</t>
  </si>
  <si>
    <t>Caserta</t>
  </si>
  <si>
    <t>Campania</t>
  </si>
  <si>
    <t>AZIENDA AGRICOLA ANTICHE CACIARE S.R.L.</t>
  </si>
  <si>
    <t>02006310672</t>
  </si>
  <si>
    <t>014500</t>
  </si>
  <si>
    <t>Teramo</t>
  </si>
  <si>
    <t>Abruzzo</t>
  </si>
  <si>
    <t>Savona</t>
  </si>
  <si>
    <t>Liguria</t>
  </si>
  <si>
    <t>011140</t>
  </si>
  <si>
    <t>011110</t>
  </si>
  <si>
    <t>AZIENDA AGRICOLA CONSORZIO AVO SOCIETA' A RESPONSABILITA' LIMITATA SEMPLIFICATA</t>
  </si>
  <si>
    <t>03536330545</t>
  </si>
  <si>
    <t>Perugia</t>
  </si>
  <si>
    <t>Umbria</t>
  </si>
  <si>
    <t>SOCIETA' AGRICOLA EMON AGRI S.R.L.</t>
  </si>
  <si>
    <t>03521200166</t>
  </si>
  <si>
    <t>012400</t>
  </si>
  <si>
    <t>Bergamo</t>
  </si>
  <si>
    <t>Lombardia</t>
  </si>
  <si>
    <t>PODERI TRABUCCO AURILIO SOCIETA' AGRICOLA S.R.L.</t>
  </si>
  <si>
    <t>04472940610</t>
  </si>
  <si>
    <t>CERQUETTINO SOCIETA' AGRICOLA S.R.L.</t>
  </si>
  <si>
    <t>02790390427</t>
  </si>
  <si>
    <t>Ancona</t>
  </si>
  <si>
    <t>Marche</t>
  </si>
  <si>
    <t>SOCIETA' AGRICOLA L'ORTO RAMPANTE S.R.L.</t>
  </si>
  <si>
    <t>01768200097</t>
  </si>
  <si>
    <t>TERRAFRANTA SOCIETA' AGRICOLA A R.L.</t>
  </si>
  <si>
    <t>07106240489</t>
  </si>
  <si>
    <t>Firenze</t>
  </si>
  <si>
    <t>FALCONE REALE SOCIETA' AGRICOLA S.R.L.</t>
  </si>
  <si>
    <t>02519260422</t>
  </si>
  <si>
    <t>010000</t>
  </si>
  <si>
    <t>Ancona</t>
  </si>
  <si>
    <t>Marche</t>
  </si>
  <si>
    <t>011110</t>
  </si>
  <si>
    <t>Sicilia</t>
  </si>
  <si>
    <t>Lombardia</t>
  </si>
  <si>
    <t>NATURAL BAMBU' SRL SOCIETA' AGRICOLA</t>
  </si>
  <si>
    <t>04086130988</t>
  </si>
  <si>
    <t>012900</t>
  </si>
  <si>
    <t>Brescia</t>
  </si>
  <si>
    <t>ZUNICA S.R.L.</t>
  </si>
  <si>
    <t>02414160842</t>
  </si>
  <si>
    <t>Agrigento</t>
  </si>
  <si>
    <t>SELVATICA S.R.L. SOCIETA' AGRICOLA</t>
  </si>
  <si>
    <t>01115540575</t>
  </si>
  <si>
    <t>015000</t>
  </si>
  <si>
    <t>Rieti</t>
  </si>
  <si>
    <t>Lazio</t>
  </si>
  <si>
    <t>Emilia-Romagna</t>
  </si>
  <si>
    <t>012100</t>
  </si>
  <si>
    <t>012600</t>
  </si>
  <si>
    <t>ELEMENTS AGRI S.R.L. SOCIETA' AGRICOLA</t>
  </si>
  <si>
    <t>01711160539</t>
  </si>
  <si>
    <t>016100</t>
  </si>
  <si>
    <t>Grosseto</t>
  </si>
  <si>
    <t>Toscana</t>
  </si>
  <si>
    <t>Lombardia</t>
  </si>
  <si>
    <t>SOCIETA' AGRICOLA GAIBOTTI SOCIETA' A RESPONSABILITA' LIMITATA SE MPLIFICATA</t>
  </si>
  <si>
    <t>04460550165</t>
  </si>
  <si>
    <t>014990</t>
  </si>
  <si>
    <t>Bergamo</t>
  </si>
  <si>
    <t>IL FANTONE SOCIETA' AGRICOLA A RESPONSABILITA' LIMITATA</t>
  </si>
  <si>
    <t>01702300490</t>
  </si>
  <si>
    <t>Livorno</t>
  </si>
  <si>
    <t>GENESI ONE S.R.L. SOCIETA' AGRICOLA</t>
  </si>
  <si>
    <t>09513280967</t>
  </si>
  <si>
    <t>012900</t>
  </si>
  <si>
    <t>Milano</t>
  </si>
  <si>
    <t>CIAVOLA NERA SOCIETA' COOPERATIVA</t>
  </si>
  <si>
    <t>03560070785</t>
  </si>
  <si>
    <t>Cosenza</t>
  </si>
  <si>
    <t>Calabria</t>
  </si>
  <si>
    <t>ABBAZIA DEL MONTE SOCIETA' AGRICOLA A RESPONSABILITA' LIMITATA IN SIGLA: ABBAZIA DEL MONTE SOCIETA' AGRICOLA A RL</t>
  </si>
  <si>
    <t>04516810407</t>
  </si>
  <si>
    <t>Forlì-Cesena</t>
  </si>
  <si>
    <t>011300</t>
  </si>
  <si>
    <t>012100</t>
  </si>
  <si>
    <t>Sicilia</t>
  </si>
  <si>
    <t>Roma</t>
  </si>
  <si>
    <t>Lazio</t>
  </si>
  <si>
    <t>GROW UP IMPRESA SOCIALE SOCIETA' AGRICOLA SRL</t>
  </si>
  <si>
    <t>12341630015</t>
  </si>
  <si>
    <t>011321</t>
  </si>
  <si>
    <t>Torino</t>
  </si>
  <si>
    <t>Piemonte</t>
  </si>
  <si>
    <t>TENUTA ABBONDANZA - SOCIETA' AGRICOLA A RESPONSABILITA' LIMITATA</t>
  </si>
  <si>
    <t>02088860677</t>
  </si>
  <si>
    <t>Teramo</t>
  </si>
  <si>
    <t>Abruzzo</t>
  </si>
  <si>
    <t>011110</t>
  </si>
  <si>
    <t>AZIENDA AGRICOLA MONTEVERDE S.R.L. SOCIETA' AGRICOLA</t>
  </si>
  <si>
    <t>12579411005</t>
  </si>
  <si>
    <t>012600</t>
  </si>
  <si>
    <t>Catanzaro</t>
  </si>
  <si>
    <t>Calabria</t>
  </si>
  <si>
    <t>SOCIETA' AGRICOLA AGRIFEGO S.R.L.S.</t>
  </si>
  <si>
    <t>03700520798</t>
  </si>
  <si>
    <t>SOCIETA' AGRICOLA LA VALLE DEL BIVIERE S.R.L.</t>
  </si>
  <si>
    <t>02817990811</t>
  </si>
  <si>
    <t>Trapani</t>
  </si>
  <si>
    <t>SOCIETA' AGRICOLA VIVARIUM S.R.L.</t>
  </si>
  <si>
    <t>14191591008</t>
  </si>
  <si>
    <t>012600</t>
  </si>
  <si>
    <t>Puglia</t>
  </si>
  <si>
    <t>012100</t>
  </si>
  <si>
    <t>AGRI SIELVA STELVIO SOCIETA' A RESPONSABILITA' LIMITATA SEMPLIFICATA - SOCIETA' AGRICOLA</t>
  </si>
  <si>
    <t>02838370217</t>
  </si>
  <si>
    <t>012800</t>
  </si>
  <si>
    <t>Bolzano/Bozen</t>
  </si>
  <si>
    <t>Trentino-Alto Adige</t>
  </si>
  <si>
    <t>015000</t>
  </si>
  <si>
    <t>Campania</t>
  </si>
  <si>
    <t>CELENTANO SOCIETA' AGRICOLA S.R.L.</t>
  </si>
  <si>
    <t>08903591215</t>
  </si>
  <si>
    <t>Napoli</t>
  </si>
  <si>
    <t>SOCIETA' AGRICOLA CASTEL D'ALFIOLO S.R.L.</t>
  </si>
  <si>
    <t>03850780549</t>
  </si>
  <si>
    <t>Perugia</t>
  </si>
  <si>
    <t>Umbria</t>
  </si>
  <si>
    <t>MEDITERRANEA TURISTICA TANCREDE' SOCIETA' AGRICOLA A RESPONSABILITA' LIMITATA</t>
  </si>
  <si>
    <t>06777640720</t>
  </si>
  <si>
    <t>Bari</t>
  </si>
  <si>
    <t>RECENTIBUS SOCIETA' AGRICOLA S.R.L.</t>
  </si>
  <si>
    <t>08403951216</t>
  </si>
  <si>
    <t>011310</t>
  </si>
  <si>
    <t>Caserta</t>
  </si>
  <si>
    <t>Campania</t>
  </si>
  <si>
    <t>TERRE DEL PALADINO SOCIETA' AGRICOLA S.R.L.</t>
  </si>
  <si>
    <t>04277990612</t>
  </si>
  <si>
    <t>012100</t>
  </si>
  <si>
    <t>LOMBRICOLTURA SICILIANA S.R.L. SOCIETA' AGRICOLA</t>
  </si>
  <si>
    <t>01285420863</t>
  </si>
  <si>
    <t>014990</t>
  </si>
  <si>
    <t>Enna</t>
  </si>
  <si>
    <t>Sicilia</t>
  </si>
  <si>
    <t>AZIENDA AGRICOLA ORI. AL. SOLE S.R.L.</t>
  </si>
  <si>
    <t>05501010879</t>
  </si>
  <si>
    <t>012800</t>
  </si>
  <si>
    <t>Catania</t>
  </si>
  <si>
    <t>PAIA DE PASQUA SOCIETA' AGRICOLA A R.L.</t>
  </si>
  <si>
    <t>04382700260</t>
  </si>
  <si>
    <t>Treviso</t>
  </si>
  <si>
    <t>Veneto</t>
  </si>
  <si>
    <t>011000</t>
  </si>
  <si>
    <t>Roma</t>
  </si>
  <si>
    <t>Lazio</t>
  </si>
  <si>
    <t>Puglia</t>
  </si>
  <si>
    <t>ISIDE S.R.L. - SOCIETA' AGRICOLA</t>
  </si>
  <si>
    <t>01577960626</t>
  </si>
  <si>
    <t>011310</t>
  </si>
  <si>
    <t>Benevento</t>
  </si>
  <si>
    <t>Campania</t>
  </si>
  <si>
    <t>SANTA MARIA SOCIETA' COOPERATIVA SOCIALE AGRICOLA</t>
  </si>
  <si>
    <t>03504970926</t>
  </si>
  <si>
    <t>012300</t>
  </si>
  <si>
    <t>Sardegna</t>
  </si>
  <si>
    <t>CONSORZIO COLLINA DI BRINDISI</t>
  </si>
  <si>
    <t>01765050743</t>
  </si>
  <si>
    <t>016300</t>
  </si>
  <si>
    <t>Brindisi</t>
  </si>
  <si>
    <t>A.C.P. S.R.L.</t>
  </si>
  <si>
    <t>05441671004</t>
  </si>
  <si>
    <t>SOCIETA' AGRICOLA VILLA PEPOLI SRL</t>
  </si>
  <si>
    <t>01203480577</t>
  </si>
  <si>
    <t>Rieti</t>
  </si>
  <si>
    <t>SOUL FRUIT S.R.L. SOCIETA' AGRICOLA</t>
  </si>
  <si>
    <t>03968070130</t>
  </si>
  <si>
    <t>Como</t>
  </si>
  <si>
    <t>Lombardia</t>
  </si>
  <si>
    <t>Toscana</t>
  </si>
  <si>
    <t>012100</t>
  </si>
  <si>
    <t>011110</t>
  </si>
  <si>
    <t>Grosseto</t>
  </si>
  <si>
    <t>Lombardia</t>
  </si>
  <si>
    <t>DOMIZIO COUNTRY SOCIETA' AGRICOLA A RESPONSABILITA' LIMITATA</t>
  </si>
  <si>
    <t>09261991005</t>
  </si>
  <si>
    <t>SOCIETA' AGRICOLA BALZE GRIGIE S.R.L.</t>
  </si>
  <si>
    <t>00985350149</t>
  </si>
  <si>
    <t>Sondrio</t>
  </si>
  <si>
    <t>011600</t>
  </si>
  <si>
    <t>Campania</t>
  </si>
  <si>
    <t>012600</t>
  </si>
  <si>
    <t>SOCIETA' AGRICOLA METRE S.R.L.</t>
  </si>
  <si>
    <t>03736731203</t>
  </si>
  <si>
    <t>Firenze</t>
  </si>
  <si>
    <t>Toscana</t>
  </si>
  <si>
    <t>AZIENDA AGRICOLA DELLAVALLE SOCIETA' A RESPONSABILITA' LIMITATA AGRICOLA SIGLABILE AZIENDA AGRICOLA DELLAVALLE S.R.L.</t>
  </si>
  <si>
    <t>01611950054</t>
  </si>
  <si>
    <t>012100</t>
  </si>
  <si>
    <t>Asti</t>
  </si>
  <si>
    <t>Piemonte</t>
  </si>
  <si>
    <t>SOCIETA' AGRICOLA BARONE DI VISCEGLIA S.R.L.</t>
  </si>
  <si>
    <t>05587710657</t>
  </si>
  <si>
    <t>Salerno</t>
  </si>
  <si>
    <t>VIVIANA COOPERATIVA SOCIALE SOCIETA' AGRICOLA ONLUS</t>
  </si>
  <si>
    <t>01280530328</t>
  </si>
  <si>
    <t>011320</t>
  </si>
  <si>
    <t>Trieste</t>
  </si>
  <si>
    <t>Friuli-Venezia Giulia</t>
  </si>
  <si>
    <t>VITALGREEN S.R.L.S. SOCIETA' AGRICOLA</t>
  </si>
  <si>
    <t>01782760936</t>
  </si>
  <si>
    <t>Pordenone</t>
  </si>
  <si>
    <t>SOCIETA' AGRICOLA MONTE CARMELO S.R.L.</t>
  </si>
  <si>
    <t>04343930238</t>
  </si>
  <si>
    <t>012100</t>
  </si>
  <si>
    <t>Verona</t>
  </si>
  <si>
    <t>Veneto</t>
  </si>
  <si>
    <t>Basilicata</t>
  </si>
  <si>
    <t>Sicilia</t>
  </si>
  <si>
    <t>Lombardia</t>
  </si>
  <si>
    <t>CONSORZIO VIVAISTI VITICOLI TRENTINI</t>
  </si>
  <si>
    <t>02251870222</t>
  </si>
  <si>
    <t>013000</t>
  </si>
  <si>
    <t>Trento</t>
  </si>
  <si>
    <t>Trentino-Alto Adige</t>
  </si>
  <si>
    <t>SOCIETA' AGRICOLA IL BORDONE SRL</t>
  </si>
  <si>
    <t>02057760890</t>
  </si>
  <si>
    <t>011120</t>
  </si>
  <si>
    <t>Siracusa</t>
  </si>
  <si>
    <t>AGRISOL S.R.L. SOCIETA' AGRICOLA</t>
  </si>
  <si>
    <t>00917260143</t>
  </si>
  <si>
    <t>011320</t>
  </si>
  <si>
    <t>Sondrio</t>
  </si>
  <si>
    <t>AZIENDA VINICOLA CARBONE - SOC. AGRICOLA A R.L.</t>
  </si>
  <si>
    <t>01613220761</t>
  </si>
  <si>
    <t>Potenza</t>
  </si>
  <si>
    <t>011110</t>
  </si>
  <si>
    <t>011310</t>
  </si>
  <si>
    <t>Piemonte</t>
  </si>
  <si>
    <t>AFELG SOCIETA' AGRICOLA S.R.L.</t>
  </si>
  <si>
    <t>01605370624</t>
  </si>
  <si>
    <t>Benevento</t>
  </si>
  <si>
    <t>Campania</t>
  </si>
  <si>
    <t>COOPERATIVA SOCIALE AGRICOLA BIELLA ONLUS SIGLABILE BI GOOD COOPERATIVA E CSA BIELLA</t>
  </si>
  <si>
    <t>01747470027</t>
  </si>
  <si>
    <t>Biella</t>
  </si>
  <si>
    <t>012600</t>
  </si>
  <si>
    <t>011140</t>
  </si>
  <si>
    <t>TALOS SOCIETA' AGRICOLA SRL - SOCIETA' UNIPERSONALE</t>
  </si>
  <si>
    <t>02547190989</t>
  </si>
  <si>
    <t>Brescia</t>
  </si>
  <si>
    <t>Lombardia</t>
  </si>
  <si>
    <t>SELLATA S.R.L. SOCIETA' AGRICOLA</t>
  </si>
  <si>
    <t>05692410656</t>
  </si>
  <si>
    <t>Salerno</t>
  </si>
  <si>
    <t>Sassari</t>
  </si>
  <si>
    <t>Sardegna</t>
  </si>
  <si>
    <t>012600</t>
  </si>
  <si>
    <t>Calabria</t>
  </si>
  <si>
    <t>Toscana</t>
  </si>
  <si>
    <t>Roma</t>
  </si>
  <si>
    <t>Lazio</t>
  </si>
  <si>
    <t>Campania</t>
  </si>
  <si>
    <t>012100</t>
  </si>
  <si>
    <t>Piemonte</t>
  </si>
  <si>
    <t>SOCIETA' AGRICOLA I DEBBI S.R.L.</t>
  </si>
  <si>
    <t>03373610363</t>
  </si>
  <si>
    <t>011140</t>
  </si>
  <si>
    <t>Livorno</t>
  </si>
  <si>
    <t>SOCIETA' AGRICOLA AGRO NOCCIOLE S.R.L. SIGLABILE OVE DEL CASO E SE DI LEGGE IN AGRO NOCCIOLE S.R.L.</t>
  </si>
  <si>
    <t>02605500061</t>
  </si>
  <si>
    <t>012500</t>
  </si>
  <si>
    <t>Alessandria</t>
  </si>
  <si>
    <t>SOCIETA' AGRICOLA JOSHUA PARK S.R.L.</t>
  </si>
  <si>
    <t>12396911005</t>
  </si>
  <si>
    <t>015000</t>
  </si>
  <si>
    <t>QUATTRO MANI SOCIETA' AGRICOLA S.R.L.</t>
  </si>
  <si>
    <t>01386080913</t>
  </si>
  <si>
    <t>Nuoro</t>
  </si>
  <si>
    <t>SOCIETA' AGRICOLA FIGNA - SOCIETA' A RESPONSABILITA' LIMITATA</t>
  </si>
  <si>
    <t>02923570341</t>
  </si>
  <si>
    <t>011990</t>
  </si>
  <si>
    <t>Parma</t>
  </si>
  <si>
    <t>Emilia-Romagna</t>
  </si>
  <si>
    <t>SOCIETA' AGRICOLA - CONSENSO - SOCIETA' A RESPONSABILITA' LIMITATA SEMPLIFICATA</t>
  </si>
  <si>
    <t>02971190646</t>
  </si>
  <si>
    <t>Avellino</t>
  </si>
  <si>
    <t>VITICOLTORI DI VERBICARO - SOCIETA' COOPERATIVA AGRICOLA A R.L.</t>
  </si>
  <si>
    <t>03522950785</t>
  </si>
  <si>
    <t>Cosenza</t>
  </si>
  <si>
    <t>I PEPERONCINI - SOCIETA' AGRICOLA S.R.L.</t>
  </si>
  <si>
    <t>02790470906</t>
  </si>
  <si>
    <t>012800</t>
  </si>
  <si>
    <t>Lombardia</t>
  </si>
  <si>
    <t>SOCIETA' COOPERATIVA AGRICOLA S.IPPOLITO ISOLA SACRA</t>
  </si>
  <si>
    <t>02139831008</t>
  </si>
  <si>
    <t>011300</t>
  </si>
  <si>
    <t>Roma</t>
  </si>
  <si>
    <t>Lazio</t>
  </si>
  <si>
    <t>011140</t>
  </si>
  <si>
    <t>Milano</t>
  </si>
  <si>
    <t>AZIENDA AGRICOLA VALSOLDA S.R.L.S. - SOCIETA' AGRICOLA</t>
  </si>
  <si>
    <t>11608410962</t>
  </si>
  <si>
    <t>014930</t>
  </si>
  <si>
    <t>012100</t>
  </si>
  <si>
    <t>AZIENDA AGRICOLA COLLE SAN PAOLO S.R.L.</t>
  </si>
  <si>
    <t>02046660540</t>
  </si>
  <si>
    <t>Perugia</t>
  </si>
  <si>
    <t>Umbria</t>
  </si>
  <si>
    <t>Toscana</t>
  </si>
  <si>
    <t>VILLA S.ANDREA S.R.L.</t>
  </si>
  <si>
    <t>02118850482</t>
  </si>
  <si>
    <t>Firenze</t>
  </si>
  <si>
    <t>Lombardia</t>
  </si>
  <si>
    <t>011990</t>
  </si>
  <si>
    <t>MARA FARM SOCIETA' AGRICOLA S.R.L.</t>
  </si>
  <si>
    <t>04335360980</t>
  </si>
  <si>
    <t>Brescia</t>
  </si>
  <si>
    <t>011310</t>
  </si>
  <si>
    <t>Veneto</t>
  </si>
  <si>
    <t>AM 3 SOCIETA' COOPERATIVA</t>
  </si>
  <si>
    <t>04362560247</t>
  </si>
  <si>
    <t>016100</t>
  </si>
  <si>
    <t>Vicenza</t>
  </si>
  <si>
    <t>Emilia-Romagna</t>
  </si>
  <si>
    <t>PLANING SRL SOCIETA' AGRICOLA</t>
  </si>
  <si>
    <t>04402790283</t>
  </si>
  <si>
    <t>Padova</t>
  </si>
  <si>
    <t>LA CONTRADA SOCIETA' AGRICOLA S.R.L.</t>
  </si>
  <si>
    <t>03166060362</t>
  </si>
  <si>
    <t>Modena</t>
  </si>
  <si>
    <t>CASALE SCOLA S.R.L. SOCIETA' AGRICOLA</t>
  </si>
  <si>
    <t>03223990783</t>
  </si>
  <si>
    <t>015000</t>
  </si>
  <si>
    <t>Crotone</t>
  </si>
  <si>
    <t>Calabria</t>
  </si>
  <si>
    <t>015000</t>
  </si>
  <si>
    <t>Lombardia</t>
  </si>
  <si>
    <t>CANTINA VAL DI LUNA S.R.L.</t>
  </si>
  <si>
    <t>04805330158</t>
  </si>
  <si>
    <t>014300</t>
  </si>
  <si>
    <t>Milano</t>
  </si>
  <si>
    <t>MASSERIA ALTI PARETI SOCIETA' AGRICOLA A R.L.</t>
  </si>
  <si>
    <t>04239600754</t>
  </si>
  <si>
    <t>012600</t>
  </si>
  <si>
    <t>Lecce</t>
  </si>
  <si>
    <t>Puglia</t>
  </si>
  <si>
    <t>CONSORZIO PRODUTTORI SOLINA D'ABRUZZO SOCIETA' COOPERATIVA AGRICO LA A RESPONSABI</t>
  </si>
  <si>
    <t>01931960668</t>
  </si>
  <si>
    <t>016300</t>
  </si>
  <si>
    <t>L'Aquila</t>
  </si>
  <si>
    <t>Abruzzo</t>
  </si>
  <si>
    <t>IMPRESA AGRICOLA ALPAGO S.R.L.</t>
  </si>
  <si>
    <t>01233620259</t>
  </si>
  <si>
    <t>Belluno</t>
  </si>
  <si>
    <t>Veneto</t>
  </si>
  <si>
    <t>Lazio</t>
  </si>
  <si>
    <t>TENUTA DON GIOVANNI SOCIETA' A RESPONSABILITA' LIMITATA SEMPLIFICATA AGRICOLA</t>
  </si>
  <si>
    <t>03481410789</t>
  </si>
  <si>
    <t>014930</t>
  </si>
  <si>
    <t>Cosenza</t>
  </si>
  <si>
    <t>Calabria</t>
  </si>
  <si>
    <t>FATTORIA DELL'ORSO S.R.L.S. SOCIETA' AGRICOLA</t>
  </si>
  <si>
    <t>01997580673</t>
  </si>
  <si>
    <t>012100</t>
  </si>
  <si>
    <t>Teramo</t>
  </si>
  <si>
    <t>Abruzzo</t>
  </si>
  <si>
    <t>Roma</t>
  </si>
  <si>
    <t>012600</t>
  </si>
  <si>
    <t>SOCIETA' AGRICOLA ORTI DEL CANOTTIERE - SOCIETA' A RESPONSABILITA LIMITATA</t>
  </si>
  <si>
    <t>11376991003</t>
  </si>
  <si>
    <t>010000</t>
  </si>
  <si>
    <t>014300</t>
  </si>
  <si>
    <t>GAGIR S.R.L. SOCIETA' AGRICOLA</t>
  </si>
  <si>
    <t>02936100847</t>
  </si>
  <si>
    <t>Agrigento</t>
  </si>
  <si>
    <t>Sicilia</t>
  </si>
  <si>
    <t>VOLPIGLIA AGRICOLE SOCIETA' AGRICOLA A RESPONSABILITA' LIMITATA</t>
  </si>
  <si>
    <t>02066440898</t>
  </si>
  <si>
    <t>Siracusa</t>
  </si>
  <si>
    <t>I TERZI SOCIETA' COOPERATIVA AGRICOLA</t>
  </si>
  <si>
    <t>01510351008</t>
  </si>
  <si>
    <t>NEXT FARM SOCIETA' AGRICOLA A RESPONSABILITA' LIMITATA</t>
  </si>
  <si>
    <t>01582200190</t>
  </si>
  <si>
    <t>012800</t>
  </si>
  <si>
    <t>Cremona</t>
  </si>
  <si>
    <t>Lombardia</t>
  </si>
  <si>
    <t>011110</t>
  </si>
  <si>
    <t>Sicilia</t>
  </si>
  <si>
    <t>SERRAMALE - SOCIETA' AGRICOLA A RESPONSABILITA' LIMITATA</t>
  </si>
  <si>
    <t>03456180789</t>
  </si>
  <si>
    <t>012500</t>
  </si>
  <si>
    <t>Cosenza</t>
  </si>
  <si>
    <t>Calabria</t>
  </si>
  <si>
    <t>014930</t>
  </si>
  <si>
    <t>Umbria</t>
  </si>
  <si>
    <t>SAN BARTOLO SOCIETA' AGRICOLA S.R.L.</t>
  </si>
  <si>
    <t>00574930541</t>
  </si>
  <si>
    <t>Perugia</t>
  </si>
  <si>
    <t>SICILY COMMERCE S.R.L.</t>
  </si>
  <si>
    <t>02561760840</t>
  </si>
  <si>
    <t>016300</t>
  </si>
  <si>
    <t>Agrigento</t>
  </si>
  <si>
    <t>AZIENDA AGRICOLA XUTO S.R.L.</t>
  </si>
  <si>
    <t>01786070894</t>
  </si>
  <si>
    <t>Siracusa</t>
  </si>
  <si>
    <t>011310</t>
  </si>
  <si>
    <t>Toscana</t>
  </si>
  <si>
    <t>011110</t>
  </si>
  <si>
    <t>VALLE LITERNO AGRICOLTURA E TURISMO SOCIETA' AGRICOLA SRL</t>
  </si>
  <si>
    <t>01902200490</t>
  </si>
  <si>
    <t>Livorno</t>
  </si>
  <si>
    <t>AGRIPONOS SRL SOCIETA' AGRICOLA</t>
  </si>
  <si>
    <t>04382960161</t>
  </si>
  <si>
    <t>Bergamo</t>
  </si>
  <si>
    <t>Lombardia</t>
  </si>
  <si>
    <t>DECUMANO SOCIETA' AGRICOLA A R.L.</t>
  </si>
  <si>
    <t>04592820403</t>
  </si>
  <si>
    <t>Forlì-Cesena</t>
  </si>
  <si>
    <t>Emilia-Romagna</t>
  </si>
  <si>
    <t>012600</t>
  </si>
  <si>
    <t>Toscana</t>
  </si>
  <si>
    <t>Umbria</t>
  </si>
  <si>
    <t>016100</t>
  </si>
  <si>
    <t>TERRE DI FULVIO S.R.L. SOCIETA' AGRICOLA</t>
  </si>
  <si>
    <t>01571780558</t>
  </si>
  <si>
    <t>Terni</t>
  </si>
  <si>
    <t>RISORGE S.R.L.</t>
  </si>
  <si>
    <t>00326980976</t>
  </si>
  <si>
    <t>Prato</t>
  </si>
  <si>
    <t>SOCIETA' COOPERATIVA CONDIFESA DELLE PRODUZIONI AGRICOLE BASILICA TA</t>
  </si>
  <si>
    <t>00349220772</t>
  </si>
  <si>
    <t>016000</t>
  </si>
  <si>
    <t>Matera</t>
  </si>
  <si>
    <t>Basilicata</t>
  </si>
  <si>
    <t>NATURAL FARM S.R.L.</t>
  </si>
  <si>
    <t>05771771218</t>
  </si>
  <si>
    <t>014990</t>
  </si>
  <si>
    <t>Napoli</t>
  </si>
  <si>
    <t>Campania</t>
  </si>
  <si>
    <t>Sicilia</t>
  </si>
  <si>
    <t>012600</t>
  </si>
  <si>
    <t>011310</t>
  </si>
  <si>
    <t>VAGO FELICE SOCIETA' AGRICOLA BENEFIT A RESPONSABILITA' LIMITATA O IN BREVE VAGO FELICE SB SOCIETA' AGRICOLA A R.L.</t>
  </si>
  <si>
    <t>04822870236</t>
  </si>
  <si>
    <t>Verona</t>
  </si>
  <si>
    <t>Veneto</t>
  </si>
  <si>
    <t>SOCIETA' AGRICOLA ARMERINA S.R.L.</t>
  </si>
  <si>
    <t>06418430820</t>
  </si>
  <si>
    <t>Palermo</t>
  </si>
  <si>
    <t>Roma</t>
  </si>
  <si>
    <t>Lazio</t>
  </si>
  <si>
    <t>COOPERATIVA AGRICOLA D'AMATO AGROALIMENTARE</t>
  </si>
  <si>
    <t>05018300755</t>
  </si>
  <si>
    <t>012600</t>
  </si>
  <si>
    <t>Lecce</t>
  </si>
  <si>
    <t>Puglia</t>
  </si>
  <si>
    <t>Salerno</t>
  </si>
  <si>
    <t>Campania</t>
  </si>
  <si>
    <t>LA VALLE DELLE ECCELLENZE SOCIETA' COOPERATIVA AGRICOLA DI PRODUTTORI AGRICOLI</t>
  </si>
  <si>
    <t>05796640653</t>
  </si>
  <si>
    <t>016300</t>
  </si>
  <si>
    <t>VERDE CABA SRL</t>
  </si>
  <si>
    <t>08270431003</t>
  </si>
  <si>
    <t>012000</t>
  </si>
  <si>
    <t>FEUDO DI BARENGO S.R.L. SOCIETA' AGRICOLA</t>
  </si>
  <si>
    <t>04379970967</t>
  </si>
  <si>
    <t>012100</t>
  </si>
  <si>
    <t>Novara</t>
  </si>
  <si>
    <t>Piemonte</t>
  </si>
  <si>
    <t>ESPERIA - COOPERATIVA SOCIALE ONLUS A R. L.</t>
  </si>
  <si>
    <t>02516300809</t>
  </si>
  <si>
    <t>Reggio di Calabria</t>
  </si>
  <si>
    <t>Calabria</t>
  </si>
  <si>
    <t>011110</t>
  </si>
  <si>
    <t>A.S.G. F.LLI SOCIETA' AGRICOLA A R.L.</t>
  </si>
  <si>
    <t>03797510710</t>
  </si>
  <si>
    <t>Foggia</t>
  </si>
  <si>
    <t>BAMBARONE SOCIETA' AGRICOLA A RESPONSABILITA' LIMITATA</t>
  </si>
  <si>
    <t>02652140746</t>
  </si>
  <si>
    <t>Brindisi</t>
  </si>
  <si>
    <t>PETRABRAIA SOCIETA' AGRICOLA A R.L.</t>
  </si>
  <si>
    <t>02964500645</t>
  </si>
  <si>
    <t>Avellino</t>
  </si>
  <si>
    <t>Toscana</t>
  </si>
  <si>
    <t>Veneto</t>
  </si>
  <si>
    <t>012100</t>
  </si>
  <si>
    <t>BECCARELLO SRL</t>
  </si>
  <si>
    <t>02539390274</t>
  </si>
  <si>
    <t>Venezia</t>
  </si>
  <si>
    <t>SOCIETA' AGRICOLA CELESTE S.R.L.</t>
  </si>
  <si>
    <t>01511680934</t>
  </si>
  <si>
    <t>011990</t>
  </si>
  <si>
    <t>Pordenone</t>
  </si>
  <si>
    <t>Friuli-Venezia Giulia</t>
  </si>
  <si>
    <t>012600</t>
  </si>
  <si>
    <t>IMMOBILIARE POGGIO PIANO S.R.L.</t>
  </si>
  <si>
    <t>04153470481</t>
  </si>
  <si>
    <t>Firenze</t>
  </si>
  <si>
    <t>012600</t>
  </si>
  <si>
    <t>Grosseto</t>
  </si>
  <si>
    <t>Toscana</t>
  </si>
  <si>
    <t>015000</t>
  </si>
  <si>
    <t>Lazio</t>
  </si>
  <si>
    <t>011110</t>
  </si>
  <si>
    <t>SOCIETA' AGRICOLA BESTANJOMA SOCIETA' A RESPONSABILITA' LIMITATA</t>
  </si>
  <si>
    <t>01701340539</t>
  </si>
  <si>
    <t>AGRIDIMUGNO SOCIETA' AGRICOLA A RESPONSABILITA' LIMITATA SEMPLIFICATA</t>
  </si>
  <si>
    <t>03104990605</t>
  </si>
  <si>
    <t>Frosinone</t>
  </si>
  <si>
    <t>SOCIETA' AGRICOLA LA COMPAGNIA DEGLI OLIVI SRL</t>
  </si>
  <si>
    <t>01340160538</t>
  </si>
  <si>
    <t>012600</t>
  </si>
  <si>
    <t>Toscana</t>
  </si>
  <si>
    <t>SOC. AGRICOLA FATTORIA DI CAMPOROMANO S.R.L.</t>
  </si>
  <si>
    <t>02444780460</t>
  </si>
  <si>
    <t>Lucca</t>
  </si>
  <si>
    <t>011110</t>
  </si>
  <si>
    <t>EN.AL. SOCIETA' COOPERATIVA AGRICOLA A R.L.</t>
  </si>
  <si>
    <t>01743200766</t>
  </si>
  <si>
    <t>Potenza</t>
  </si>
  <si>
    <t>Basilicata</t>
  </si>
  <si>
    <t>Lombardia</t>
  </si>
  <si>
    <t>012400</t>
  </si>
  <si>
    <t>ZAMBROS - SOCIETA' AGRICOLA S.R.L.</t>
  </si>
  <si>
    <t>12025080966</t>
  </si>
  <si>
    <t>011600</t>
  </si>
  <si>
    <t>Monza e della Brianza</t>
  </si>
  <si>
    <t>012600</t>
  </si>
  <si>
    <t>ORBANT S.R.L. SOCIETA' AGRICOLA</t>
  </si>
  <si>
    <t>01945450441</t>
  </si>
  <si>
    <t>011110</t>
  </si>
  <si>
    <t>Fermo</t>
  </si>
  <si>
    <t>Marche</t>
  </si>
  <si>
    <t>SOCIETA' AGRICOLA GALLETTI A R.L.</t>
  </si>
  <si>
    <t>02362240513</t>
  </si>
  <si>
    <t>Arezzo</t>
  </si>
  <si>
    <t>Toscana</t>
  </si>
  <si>
    <t>RASENNA S.R.L. SOCIETA' AGRICOLA</t>
  </si>
  <si>
    <t>01443910524</t>
  </si>
  <si>
    <t>Siena</t>
  </si>
  <si>
    <t>FATTORIA SANTA MARIA SRL SOCIETA' AGRICOLA</t>
  </si>
  <si>
    <t>07181720488</t>
  </si>
  <si>
    <t>012000</t>
  </si>
  <si>
    <t>Firenze</t>
  </si>
  <si>
    <t>ECCELLENZE SIBARITE SOCIETA' A RESPONSABILITA' LIMITATA SEMPLIFICATA</t>
  </si>
  <si>
    <t>03490240789</t>
  </si>
  <si>
    <t>012800</t>
  </si>
  <si>
    <t>Cosenza</t>
  </si>
  <si>
    <t>Calabria</t>
  </si>
  <si>
    <t>011310</t>
  </si>
  <si>
    <t>GREENHEART SOCIETA' AGRICOLA BIO INNOVATIVA SRL</t>
  </si>
  <si>
    <t>02375190564</t>
  </si>
  <si>
    <t>Viterbo</t>
  </si>
  <si>
    <t>Lazio</t>
  </si>
  <si>
    <t>011110</t>
  </si>
  <si>
    <t>Piemonte</t>
  </si>
  <si>
    <t>SOCIETA' AGRICOLA PIZZONE S.R.L.</t>
  </si>
  <si>
    <t>02177090681</t>
  </si>
  <si>
    <t>Pescara</t>
  </si>
  <si>
    <t>Abruzzo</t>
  </si>
  <si>
    <t>Sicilia</t>
  </si>
  <si>
    <t>COOPERATIVA AGRICOLA AZIENDA MICOLOGICA ROSSI</t>
  </si>
  <si>
    <t>01176480869</t>
  </si>
  <si>
    <t>011320</t>
  </si>
  <si>
    <t>Enna</t>
  </si>
  <si>
    <t>Bolzano/Bozen</t>
  </si>
  <si>
    <t>Trentino-Alto Adige</t>
  </si>
  <si>
    <t>V-TECH FARM SRL</t>
  </si>
  <si>
    <t>03129640219</t>
  </si>
  <si>
    <t>011321</t>
  </si>
  <si>
    <t>SOCIETA' AGRICOLA EGREEN S.R.L.</t>
  </si>
  <si>
    <t>02653700068</t>
  </si>
  <si>
    <t>Alessandria</t>
  </si>
  <si>
    <t>EMPORISTERIA S.R.L.</t>
  </si>
  <si>
    <t>03615520545</t>
  </si>
  <si>
    <t>011600</t>
  </si>
  <si>
    <t>Perugia</t>
  </si>
  <si>
    <t>Umbria</t>
  </si>
  <si>
    <t>Lombardia</t>
  </si>
  <si>
    <t>CENTRALE VERTICAL FARM S.R.L.</t>
  </si>
  <si>
    <t>12351990960</t>
  </si>
  <si>
    <t>011321</t>
  </si>
  <si>
    <t>Milano</t>
  </si>
  <si>
    <t>012600</t>
  </si>
  <si>
    <t>Puglia</t>
  </si>
  <si>
    <t>Brindisi</t>
  </si>
  <si>
    <t>E-GROUND S.R.L. SOCIETA' AGRICOLA</t>
  </si>
  <si>
    <t>05053770755</t>
  </si>
  <si>
    <t>011310</t>
  </si>
  <si>
    <t>012100</t>
  </si>
  <si>
    <t>POGGIO AL CALORE SOCIETA' AGRICOLA S.R.L.</t>
  </si>
  <si>
    <t>03090370648</t>
  </si>
  <si>
    <t>Avellino</t>
  </si>
  <si>
    <t>Campania</t>
  </si>
  <si>
    <t>Veneto</t>
  </si>
  <si>
    <t>HORTILUS GARDEN S.R.L. - SOCIETA' AGRICOLA</t>
  </si>
  <si>
    <t>12584620012</t>
  </si>
  <si>
    <t>011900</t>
  </si>
  <si>
    <t>Torino</t>
  </si>
  <si>
    <t>Piemonte</t>
  </si>
  <si>
    <t>TRECOOP SOCIETA' COOPERATIVA AGRICOLA</t>
  </si>
  <si>
    <t>01196880957</t>
  </si>
  <si>
    <t>Oristano</t>
  </si>
  <si>
    <t>Sardegna</t>
  </si>
  <si>
    <t>Sicilia</t>
  </si>
  <si>
    <t>SOCIETA' AGRICOLA C.D.M. S.R.L.</t>
  </si>
  <si>
    <t>05281420876</t>
  </si>
  <si>
    <t>Catania</t>
  </si>
  <si>
    <t>ER.EM. SOCIETA' AGRICOLA SOCIETA' A RESPONSABILITA' LIMITATA SEM PLIFICATA</t>
  </si>
  <si>
    <t>04529030167</t>
  </si>
  <si>
    <t>014990</t>
  </si>
  <si>
    <t>Bergamo</t>
  </si>
  <si>
    <t>Lombardia</t>
  </si>
  <si>
    <t>IL CAMPO S.R.L. SOCIETA' AGRICOLA</t>
  </si>
  <si>
    <t>04562060238</t>
  </si>
  <si>
    <t>Verona</t>
  </si>
  <si>
    <t>SOCIETA' AGRICOLA HOBBY S.R.L.</t>
  </si>
  <si>
    <t>10881240013</t>
  </si>
  <si>
    <t>011300</t>
  </si>
  <si>
    <t>012100</t>
  </si>
  <si>
    <t>Toscana</t>
  </si>
  <si>
    <t>Emilia-Romagna</t>
  </si>
  <si>
    <t>SOCIETA' COOPERATIVA EX COMBATTENTI DI PRODUZIONE E CONSUMO</t>
  </si>
  <si>
    <t>00386790505</t>
  </si>
  <si>
    <t>011000</t>
  </si>
  <si>
    <t>Pisa</t>
  </si>
  <si>
    <t>Puglia</t>
  </si>
  <si>
    <t>COLLE BREZZA SOCIETA' AGRICOLA - S.R.L.</t>
  </si>
  <si>
    <t>06928800488</t>
  </si>
  <si>
    <t>Siena</t>
  </si>
  <si>
    <t>SOCIETA' AGRICOLA DIOCESANA DI FORLI' BERTINORO SRL</t>
  </si>
  <si>
    <t>03653790406</t>
  </si>
  <si>
    <t>012000</t>
  </si>
  <si>
    <t>Forlì-Cesena</t>
  </si>
  <si>
    <t>IL VOLANO - SOCIETA' COOPERATIVA SOCIALE</t>
  </si>
  <si>
    <t>03418000711</t>
  </si>
  <si>
    <t>Foggia</t>
  </si>
  <si>
    <t>012100</t>
  </si>
  <si>
    <t>012400</t>
  </si>
  <si>
    <t>Lazio</t>
  </si>
  <si>
    <t>Viterbo</t>
  </si>
  <si>
    <t>NOSTOS SOCIETA' AGRICOLA S.R.L.S.</t>
  </si>
  <si>
    <t>02801470812</t>
  </si>
  <si>
    <t>011310</t>
  </si>
  <si>
    <t>Trapani</t>
  </si>
  <si>
    <t>Sicilia</t>
  </si>
  <si>
    <t>012600</t>
  </si>
  <si>
    <t>Vibo Valentia</t>
  </si>
  <si>
    <t>Calabria</t>
  </si>
  <si>
    <t>SOCIETA' AGRICOLA CUIULI S.R.L.</t>
  </si>
  <si>
    <t>03811960792</t>
  </si>
  <si>
    <t>SOCIETA' AGRICOLA TORRE PIANCASTAGNO S.R.L.</t>
  </si>
  <si>
    <t>02418340564</t>
  </si>
  <si>
    <t>GREEN DEAL SOCIETA' AGRICOLA S.R.L.</t>
  </si>
  <si>
    <t>02361160563</t>
  </si>
  <si>
    <t>OLIVONE SOCIETA' AGRICOLA A R.L.</t>
  </si>
  <si>
    <t>02347570562</t>
  </si>
  <si>
    <t>Viterbo</t>
  </si>
  <si>
    <t>Lazio</t>
  </si>
  <si>
    <t>LE GRAZIE S.R.L.S. AGRICOLA</t>
  </si>
  <si>
    <t>02292740566</t>
  </si>
  <si>
    <t>011310</t>
  </si>
  <si>
    <t>AZIENDA AGRICOLA F.LLI MERLANI S.R.L.</t>
  </si>
  <si>
    <t>02033440567</t>
  </si>
  <si>
    <t>014700</t>
  </si>
  <si>
    <t>CAMPO MADRE S.R.L. SOCIETA' AGRICOLA</t>
  </si>
  <si>
    <t>04678370232</t>
  </si>
  <si>
    <t>Verona</t>
  </si>
  <si>
    <t>Veneto</t>
  </si>
  <si>
    <t>012100</t>
  </si>
  <si>
    <t>SOCIETA' AGRICOLA AL BOR S.R.L.</t>
  </si>
  <si>
    <t>04879270231</t>
  </si>
  <si>
    <t>Verona</t>
  </si>
  <si>
    <t>Veneto</t>
  </si>
  <si>
    <t>012100</t>
  </si>
  <si>
    <t>AVE SOCIETA' AGRICOLA A RESPONSABILITA' LIMITATA</t>
  </si>
  <si>
    <t>04695740235</t>
  </si>
  <si>
    <t>A.O.P. AGRIFORM - SOCIETA' CONSORTILE A RESPONSABILITA' LIMITATA</t>
  </si>
  <si>
    <t>04618630232</t>
  </si>
  <si>
    <t>016209</t>
  </si>
  <si>
    <t>SOCIETA'AGRICOLA VILLA FONTANA SRL</t>
  </si>
  <si>
    <t>04218540237</t>
  </si>
  <si>
    <t>LE BISSE - SOCIETA' AGRICOLA S.R.L.</t>
  </si>
  <si>
    <t>03855930230</t>
  </si>
  <si>
    <t>SUNNYJO SOCIETA' AGRICOLA S.R.L.</t>
  </si>
  <si>
    <t>03959200969</t>
  </si>
  <si>
    <t>011321</t>
  </si>
  <si>
    <t>Verona</t>
  </si>
  <si>
    <t>Veneto</t>
  </si>
  <si>
    <t>012100</t>
  </si>
  <si>
    <t>SOCIETA' COOPERATIVA AGRICOLA SERVIZI LA PILA PER BREVITA' LA PILA SOC. AGR. COOP.</t>
  </si>
  <si>
    <t>01973700238</t>
  </si>
  <si>
    <t>016100</t>
  </si>
  <si>
    <t>COLLE ARZAN S.R.L.</t>
  </si>
  <si>
    <t>01673530232</t>
  </si>
  <si>
    <t>012600</t>
  </si>
  <si>
    <t>VIVAI FONTANA EMILIO SRL IN LIQUIDAZIONE</t>
  </si>
  <si>
    <t>00855850236</t>
  </si>
  <si>
    <t>011910</t>
  </si>
  <si>
    <t>011500</t>
  </si>
  <si>
    <t>COOPERATIVA TABACCHI VERONA SOCIETA' AGRICOLA - IN SIGLA C.T.V. IN LIQUIDAZIONE</t>
  </si>
  <si>
    <t>00232290239</t>
  </si>
  <si>
    <t>C.A.S. SPA IN LIQUIDAZIONE</t>
  </si>
  <si>
    <t>00230860231</t>
  </si>
  <si>
    <t>PEDEMONTANA ENERGIA VERDE SOCIETA' AGRICOLA SRL</t>
  </si>
  <si>
    <t>04538770167</t>
  </si>
  <si>
    <t>Vicenza</t>
  </si>
  <si>
    <t>TERRE DI CONFINE SRL - SOCIETA' AGRICOLA</t>
  </si>
  <si>
    <t>04426470243</t>
  </si>
  <si>
    <t>SOCIETA' AGRICOLA CA' DEI VOLTI SRL</t>
  </si>
  <si>
    <t>04371040249</t>
  </si>
  <si>
    <t>014100</t>
  </si>
  <si>
    <t>VOLCANALIA SOCIETA' AGRICOLA S.R.L.</t>
  </si>
  <si>
    <t>04347550248</t>
  </si>
  <si>
    <t>IL GUFETTO SOCIETA' AGRICOLA SRL</t>
  </si>
  <si>
    <t>04086980242</t>
  </si>
  <si>
    <t>015000</t>
  </si>
  <si>
    <t>NKK FARMLAND AZIENDA AGRICOLA S.R.L.</t>
  </si>
  <si>
    <t>03859380242</t>
  </si>
  <si>
    <t>Vicenza</t>
  </si>
  <si>
    <t>Veneto</t>
  </si>
  <si>
    <t>015000</t>
  </si>
  <si>
    <t>P.A.I.- S.R.L. - IN LIQUIDAZIONE - IN CONCORDATO PREVENTIVO</t>
  </si>
  <si>
    <t>00489540245</t>
  </si>
  <si>
    <t>014700</t>
  </si>
  <si>
    <t>Venezia</t>
  </si>
  <si>
    <t>012100</t>
  </si>
  <si>
    <t>SOCIETA' AGRICOLA BIOLENTA SOCIETA' A RESPONSABILITA' LIMITATA SEMPLIFICATA</t>
  </si>
  <si>
    <t>04556250274</t>
  </si>
  <si>
    <t>SMART FARM S.R.L. SOCIETA' AGRICOLA</t>
  </si>
  <si>
    <t>04514880279</t>
  </si>
  <si>
    <t>012800</t>
  </si>
  <si>
    <t>SANTA CATERINA DI MAZZORBO SOCIETA' AGRICOLA S.R.L.</t>
  </si>
  <si>
    <t>04371210271</t>
  </si>
  <si>
    <t>Varese</t>
  </si>
  <si>
    <t>Lombardia</t>
  </si>
  <si>
    <t>011000</t>
  </si>
  <si>
    <t>COOPERATIVA SOCIALE C.O.R.F. - ONLUS</t>
  </si>
  <si>
    <t>02087040818</t>
  </si>
  <si>
    <t>011300</t>
  </si>
  <si>
    <t>Trapani</t>
  </si>
  <si>
    <t>Sicilia</t>
  </si>
  <si>
    <t>GABRIO S.R.L.</t>
  </si>
  <si>
    <t>02036070122</t>
  </si>
  <si>
    <t>016100</t>
  </si>
  <si>
    <t>Udine</t>
  </si>
  <si>
    <t>Friuli-Venezia Giulia</t>
  </si>
  <si>
    <t>012100</t>
  </si>
  <si>
    <t>AGRILAVORI S.R.L.</t>
  </si>
  <si>
    <t>01079130306</t>
  </si>
  <si>
    <t>Treviso</t>
  </si>
  <si>
    <t>Veneto</t>
  </si>
  <si>
    <t>AGER PATRIS SOCIETA' AGRICOLA S.R.L.</t>
  </si>
  <si>
    <t>05323540269</t>
  </si>
  <si>
    <t>SOCIETA' AGRICOLA CA' VITTORIA SRL</t>
  </si>
  <si>
    <t>05320850265</t>
  </si>
  <si>
    <t>LE RIVE SRL</t>
  </si>
  <si>
    <t>04880140266</t>
  </si>
  <si>
    <t>016100</t>
  </si>
  <si>
    <t>Treviso</t>
  </si>
  <si>
    <t>Veneto</t>
  </si>
  <si>
    <t>CONSORZIO ITALI' SOCIETA' CONSORTILE A RESPONSABILITA' LIMITATA</t>
  </si>
  <si>
    <t>04864550266</t>
  </si>
  <si>
    <t>016300</t>
  </si>
  <si>
    <t>012500</t>
  </si>
  <si>
    <t>Trieste</t>
  </si>
  <si>
    <t>Friuli-Venezia Giulia</t>
  </si>
  <si>
    <t>BIANCO E NAVARRA S.R.L. - SOCIETA' AGRICOLA</t>
  </si>
  <si>
    <t>01335530323</t>
  </si>
  <si>
    <t>WEDOG - SOCIETA' COOPERATIVA AGRICOLA</t>
  </si>
  <si>
    <t>01294970320</t>
  </si>
  <si>
    <t>014990</t>
  </si>
  <si>
    <t>015000</t>
  </si>
  <si>
    <t>Terni</t>
  </si>
  <si>
    <t>Umbria</t>
  </si>
  <si>
    <t>VIDA NUEVA S.R.L.</t>
  </si>
  <si>
    <t>01289570556</t>
  </si>
  <si>
    <t>012600</t>
  </si>
  <si>
    <t>Trapani</t>
  </si>
  <si>
    <t>Sicilia</t>
  </si>
  <si>
    <t>MALIBA S.R.L.</t>
  </si>
  <si>
    <t>02760960811</t>
  </si>
  <si>
    <t>011310</t>
  </si>
  <si>
    <t>PENAMCO ITALIA S.R.L. AGRICOLA</t>
  </si>
  <si>
    <t>02685730810</t>
  </si>
  <si>
    <t>AZIENDE AGRICOLE RIUNITE ASARO S.R.L.</t>
  </si>
  <si>
    <t>02240930814</t>
  </si>
  <si>
    <t>012100</t>
  </si>
  <si>
    <t>SOCIETA' AGRICOLA LA MADONNINA S.R.L.</t>
  </si>
  <si>
    <t>12757200014</t>
  </si>
  <si>
    <t>011990</t>
  </si>
  <si>
    <t>Torino</t>
  </si>
  <si>
    <t>Piemonte</t>
  </si>
  <si>
    <t>016100</t>
  </si>
  <si>
    <t>REVERSA - SOCIETA' A RESPONSABILITA' LIMITATA O IN BREVE REVERSA S.R.L.</t>
  </si>
  <si>
    <t>12543800010</t>
  </si>
  <si>
    <t>011110</t>
  </si>
  <si>
    <t>016300</t>
  </si>
  <si>
    <t>012500</t>
  </si>
  <si>
    <t>AGRISANFI SOCIETA' AGRICOLA A R.L.</t>
  </si>
  <si>
    <t>11740530016</t>
  </si>
  <si>
    <t>NATURA E ALIMENTA SOCIETA' COOPERATIVA AGRICOLA</t>
  </si>
  <si>
    <t>10989260012</t>
  </si>
  <si>
    <t>SOCIETA' AGRICOLA RIVALTESE SRL</t>
  </si>
  <si>
    <t>10035010015</t>
  </si>
  <si>
    <t>CONSORZIO PER LA QUALIFICAZIONE, LA PROMOZIONE, LA VALORIZZAZIONE E LA TUTELA DELLE CARNI BOVINE PRODOTTE IN PIEMONTE ALTRIMENTI DETTO IN BREVE CARNI QUALITA' PIEMONTE</t>
  </si>
  <si>
    <t>08221420014</t>
  </si>
  <si>
    <t>016209</t>
  </si>
  <si>
    <t>Trento</t>
  </si>
  <si>
    <t>Trentino-Alto Adige</t>
  </si>
  <si>
    <t>ELEUSI SOC. AGR. A R. L.</t>
  </si>
  <si>
    <t>02931300350</t>
  </si>
  <si>
    <t>BAOLFLY S.R.L. - SOCIETA' AGRICOLA - SOCIETA' BENEFIT</t>
  </si>
  <si>
    <t>02665200222</t>
  </si>
  <si>
    <t>014990</t>
  </si>
  <si>
    <t>Trento</t>
  </si>
  <si>
    <t>Trentino-Alto Adige</t>
  </si>
  <si>
    <t>TENUTE ENDRIZZI S.R.L. AGRICOLA</t>
  </si>
  <si>
    <t>02660610227</t>
  </si>
  <si>
    <t>012100</t>
  </si>
  <si>
    <t>COLLE SAN BIAGIO LEVICO TERME SOCIETA' AGRICOLA A RESPONSABILITA' LIMITATA</t>
  </si>
  <si>
    <t>02408610224</t>
  </si>
  <si>
    <t>011310</t>
  </si>
  <si>
    <t>Taranto</t>
  </si>
  <si>
    <t>Puglia</t>
  </si>
  <si>
    <t>012600</t>
  </si>
  <si>
    <t>PRODUTTORI LATERZA - SOCIETA' AGRICOLA CONSORTILE S.R.L. IN SIGLA PRODLAT - SOCIETA' AGRICOLA CONSORTILE S.R.L.</t>
  </si>
  <si>
    <t>03135570731</t>
  </si>
  <si>
    <t>016209</t>
  </si>
  <si>
    <t>BOOMERANG VILLAGE SOCIETA' A RESPONSABILITA' LIMITATA</t>
  </si>
  <si>
    <t>02866830736</t>
  </si>
  <si>
    <t>010000</t>
  </si>
  <si>
    <t>R.D. INVEST S.R.L.</t>
  </si>
  <si>
    <t>02096050733</t>
  </si>
  <si>
    <t>AGROGEST SUD S.R.L.</t>
  </si>
  <si>
    <t>02394640730</t>
  </si>
  <si>
    <t>015000</t>
  </si>
  <si>
    <t>Sassari</t>
  </si>
  <si>
    <t>Sardegna</t>
  </si>
  <si>
    <t>SOCIETA' AGRICOLA APE E MIELE S.R.L.</t>
  </si>
  <si>
    <t>11826690965</t>
  </si>
  <si>
    <t>014930</t>
  </si>
  <si>
    <t>012600</t>
  </si>
  <si>
    <t>015000</t>
  </si>
  <si>
    <t>SOCIETA' AGRICOLA LA FATTORIA DI MARILENA S.R.L.</t>
  </si>
  <si>
    <t>02907820902</t>
  </si>
  <si>
    <t>L'ALI SOCIETA' AGRICOLA S.R.L.</t>
  </si>
  <si>
    <t>02881300905</t>
  </si>
  <si>
    <t>Sassari</t>
  </si>
  <si>
    <t>Sardegna</t>
  </si>
  <si>
    <t>012600</t>
  </si>
  <si>
    <t>GIALIDA SOCIETA' AGRICOLA S.R.L.</t>
  </si>
  <si>
    <t>02461370906</t>
  </si>
  <si>
    <t>014100</t>
  </si>
  <si>
    <t>AGRARIA SERRAINA S.R.L. - SOCIETA' AGRICOLA</t>
  </si>
  <si>
    <t>02205990902</t>
  </si>
  <si>
    <t>Siracusa</t>
  </si>
  <si>
    <t>Sicilia</t>
  </si>
  <si>
    <t>SIRALOE- SOCIETA' AGRICOLA SRL</t>
  </si>
  <si>
    <t>01969150893</t>
  </si>
  <si>
    <t>012800</t>
  </si>
  <si>
    <t>Siena</t>
  </si>
  <si>
    <t>Toscana</t>
  </si>
  <si>
    <t>012600</t>
  </si>
  <si>
    <t>BORGO SANTO PIETRO SOCIETA' AGRICOLA SRL</t>
  </si>
  <si>
    <t>01556660528</t>
  </si>
  <si>
    <t>011310</t>
  </si>
  <si>
    <t>SOCIETA' AGRICOLA LA DOLCE VITA S.R.L.</t>
  </si>
  <si>
    <t>01525250526</t>
  </si>
  <si>
    <t>Siena</t>
  </si>
  <si>
    <t>Toscana</t>
  </si>
  <si>
    <t>TAMIGNANO - S.R.L.</t>
  </si>
  <si>
    <t>00816020523</t>
  </si>
  <si>
    <t>017000</t>
  </si>
  <si>
    <t>MARIVINI SOCIETA' AGRICOLA S.R.L.</t>
  </si>
  <si>
    <t>00739810521</t>
  </si>
  <si>
    <t>011000</t>
  </si>
  <si>
    <t>AZIENDA AGRARIA PANZANO SRL</t>
  </si>
  <si>
    <t>00694850520</t>
  </si>
  <si>
    <t>012100</t>
  </si>
  <si>
    <t>Siena</t>
  </si>
  <si>
    <t>Toscana</t>
  </si>
  <si>
    <t>AGRICOLTORI DEL CHIANTI GEOGRAFICO SOCIETA' COOPERATIVA AGRICOLA OD ANCHE IN FORMA ABBREVIATA AGRICOLTORI DEL CHIANTI GEOGRAFICO SOC. COOP. AGR. OVVERO AGRICOLT</t>
  </si>
  <si>
    <t>00110500527</t>
  </si>
  <si>
    <t>Salerno</t>
  </si>
  <si>
    <t>Campania</t>
  </si>
  <si>
    <t>011110</t>
  </si>
  <si>
    <t>011310</t>
  </si>
  <si>
    <t>A.O.P. EUROPAE SOCIETA' CONSORTILE A RESPONSABILITA' LIMITATA IN BREVE A.O.P. EUROPAE S.C A R.L.</t>
  </si>
  <si>
    <t>06133440658</t>
  </si>
  <si>
    <t>016300</t>
  </si>
  <si>
    <t>LA BELVEDERE SOCIETA' AGRICOLA SRL</t>
  </si>
  <si>
    <t>06118870655</t>
  </si>
  <si>
    <t>012300</t>
  </si>
  <si>
    <t>VIGNANOVA SOCIETA' AGRICOLA S.R.L.S.</t>
  </si>
  <si>
    <t>06107450659</t>
  </si>
  <si>
    <t>FRIDA SERVIZI - SOCIETA' COOPERATIVA SOCIALE - ETS</t>
  </si>
  <si>
    <t>06105840653</t>
  </si>
  <si>
    <t>TERRACOLTA SOCIETA' AGRICOLA S.R.L.</t>
  </si>
  <si>
    <t>06092050654</t>
  </si>
  <si>
    <t>Salerno</t>
  </si>
  <si>
    <t>Campania</t>
  </si>
  <si>
    <t>TENUTE CARRANO SOCIETA' AGRICOLA SRL</t>
  </si>
  <si>
    <t>05899820657</t>
  </si>
  <si>
    <t>012600</t>
  </si>
  <si>
    <t>011310</t>
  </si>
  <si>
    <t>SOCIETA' AGRICOLA CASALINO MICHELE S.R.L.</t>
  </si>
  <si>
    <t>05725030653</t>
  </si>
  <si>
    <t>TENUTA LA RONDINAIA SOCIETA' AGRICOLA S.R.L.</t>
  </si>
  <si>
    <t>05681870654</t>
  </si>
  <si>
    <t>SOCIETA' AGRICOLA DI MAIR &amp; CASALINO S.R.L.</t>
  </si>
  <si>
    <t>05252240659</t>
  </si>
  <si>
    <t>Salerno</t>
  </si>
  <si>
    <t>Campania</t>
  </si>
  <si>
    <t>SOCIETA' AGRICOLA MODERNA S.R.L.</t>
  </si>
  <si>
    <t>04704230657</t>
  </si>
  <si>
    <t>011110</t>
  </si>
  <si>
    <t>011000</t>
  </si>
  <si>
    <t>CASALETTO SPARTANO SOCIETA' COOPERATIVA</t>
  </si>
  <si>
    <t>00340190651</t>
  </si>
  <si>
    <t>MASTERPLANT BIO S.R.L. SOCIETA' AGRICOLA</t>
  </si>
  <si>
    <t>01620870293</t>
  </si>
  <si>
    <t>013000</t>
  </si>
  <si>
    <t>Rovigo</t>
  </si>
  <si>
    <t>Veneto</t>
  </si>
  <si>
    <t>011140</t>
  </si>
  <si>
    <t>SGR BIO BONDENO S.R.L. - SOCIETA' AGRICOLA</t>
  </si>
  <si>
    <t>01953850383</t>
  </si>
  <si>
    <t>016300</t>
  </si>
  <si>
    <t>Rimini</t>
  </si>
  <si>
    <t>Emilia-Romagna</t>
  </si>
  <si>
    <t>SGR BIO OSIMO SOCIETA' AGRICOLA S.R.L.</t>
  </si>
  <si>
    <t>04611040405</t>
  </si>
  <si>
    <t>Roma</t>
  </si>
  <si>
    <t>Lazio</t>
  </si>
  <si>
    <t>SOCIETA' AGRICOLA EX TERRA - SOCIETA' A RESPONSABILITA' LIMITATA</t>
  </si>
  <si>
    <t>16785901006</t>
  </si>
  <si>
    <t>012500</t>
  </si>
  <si>
    <t>012100</t>
  </si>
  <si>
    <t>ALBA SOCIETA' AGRICOLA S.R.L.</t>
  </si>
  <si>
    <t>10217990968</t>
  </si>
  <si>
    <t>AGRITECH FUTURA SRL</t>
  </si>
  <si>
    <t>16325171003</t>
  </si>
  <si>
    <t>016100</t>
  </si>
  <si>
    <t>CASA DE CAMPO SOCIETA' AGRICOLA A RESPONSABILITA' LIMITATA</t>
  </si>
  <si>
    <t>16224941001</t>
  </si>
  <si>
    <t>014300</t>
  </si>
  <si>
    <t>Roma</t>
  </si>
  <si>
    <t>Lazio</t>
  </si>
  <si>
    <t>011310</t>
  </si>
  <si>
    <t>AGRIRED SOCIETA' AGRICOLA INNOVATIVA A RESPONSABILITA' LIMITATA</t>
  </si>
  <si>
    <t>16213551001</t>
  </si>
  <si>
    <t>SOCIETA' AGRICOLA SURUR S.R.L.</t>
  </si>
  <si>
    <t>16190641007</t>
  </si>
  <si>
    <t>HAPPY GARDEN SOCIETA' AGRICOLA S.R.L.</t>
  </si>
  <si>
    <t>15359791009</t>
  </si>
  <si>
    <t>013000</t>
  </si>
  <si>
    <t>011310</t>
  </si>
  <si>
    <t>Roma</t>
  </si>
  <si>
    <t>Lazio</t>
  </si>
  <si>
    <t>PANTANELLI SOCIETA' AGRICOLA S.R.L.</t>
  </si>
  <si>
    <t>15120771009</t>
  </si>
  <si>
    <t>011110</t>
  </si>
  <si>
    <t>CSA SEMI DI COMUNITA' SOCIETA' COOPERATIVA</t>
  </si>
  <si>
    <t>15106131004</t>
  </si>
  <si>
    <t>015000</t>
  </si>
  <si>
    <t>012500</t>
  </si>
  <si>
    <t>CDE S.R.L. SOCIETA' AGRICOLA</t>
  </si>
  <si>
    <t>14826951007</t>
  </si>
  <si>
    <t>EMBI SOCIETA' AGRICOLA S.R.L.</t>
  </si>
  <si>
    <t>14706121002</t>
  </si>
  <si>
    <t>016100</t>
  </si>
  <si>
    <t>AZIENDA AGRICOLA NONNA AGENESE SOCIETA' AGRICOLA A RESPONSABILITA' LIMITATA SEMPLIFICATA</t>
  </si>
  <si>
    <t>14487701006</t>
  </si>
  <si>
    <t>Roma</t>
  </si>
  <si>
    <t>Lazio</t>
  </si>
  <si>
    <t>015000</t>
  </si>
  <si>
    <t>ORGANIZZAZIONE DI PRODUTTORI OLIVICOLI LAZIALI SOCIETA' COOPERATI VA AGRICOLA IN</t>
  </si>
  <si>
    <t>13148591004</t>
  </si>
  <si>
    <t>016300</t>
  </si>
  <si>
    <t>AGRIVALLESANTA S.R.L. SOCIETA' AGRICOLA</t>
  </si>
  <si>
    <t>13147231008</t>
  </si>
  <si>
    <t>011110</t>
  </si>
  <si>
    <t>SOCIETA' AGRICOLA LA CAMILLA S.R.L.</t>
  </si>
  <si>
    <t>11498261004</t>
  </si>
  <si>
    <t>Roma</t>
  </si>
  <si>
    <t>Lazio</t>
  </si>
  <si>
    <t>COLLE DELLE QUERCE SOCIETA' COOPERATIVA AGRICOLA IN LIQUIDAZIONE</t>
  </si>
  <si>
    <t>11299991007</t>
  </si>
  <si>
    <t>012000</t>
  </si>
  <si>
    <t>011110</t>
  </si>
  <si>
    <t>A.R.C. - SOCIETA' AGRICOLA A R.L.</t>
  </si>
  <si>
    <t>09909911001</t>
  </si>
  <si>
    <t>AZIENDA AGRICOLA TORRE GIULIA S.R.L.</t>
  </si>
  <si>
    <t>09035021006</t>
  </si>
  <si>
    <t>011110</t>
  </si>
  <si>
    <t>Roma</t>
  </si>
  <si>
    <t>Lazio</t>
  </si>
  <si>
    <t>Roma</t>
  </si>
  <si>
    <t>Lazio</t>
  </si>
  <si>
    <t>PRIORI'S CO. SOCIETA A RESPONSABILITA LIMITATA</t>
  </si>
  <si>
    <t>04361111000</t>
  </si>
  <si>
    <t>012600</t>
  </si>
  <si>
    <t>011000</t>
  </si>
  <si>
    <t>CHI.DA. S.R.L.</t>
  </si>
  <si>
    <t>03980661007</t>
  </si>
  <si>
    <t>GALERIA VELKA S.R.L. - SOCIETA' AGRICOLA BIOLOGICA</t>
  </si>
  <si>
    <t>03863491001</t>
  </si>
  <si>
    <t>011300</t>
  </si>
  <si>
    <t>PODERE MIMMOLO SOCIETA A RESPONSABILITA LIMITATA</t>
  </si>
  <si>
    <t>01561671007</t>
  </si>
  <si>
    <t>Roma</t>
  </si>
  <si>
    <t>Lazio</t>
  </si>
  <si>
    <t>L'ULIVETO S.R.L.</t>
  </si>
  <si>
    <t>01046171003</t>
  </si>
  <si>
    <t>012000</t>
  </si>
  <si>
    <t>VALLEVERDE SOCIETA' A RESPONSABILITA' LIMITATA</t>
  </si>
  <si>
    <t>01103021000</t>
  </si>
  <si>
    <t>011300</t>
  </si>
  <si>
    <t>SOCIETA' AGRICOLA VALLI D'ARGENTO S.R.L.</t>
  </si>
  <si>
    <t>00896501004</t>
  </si>
  <si>
    <t>014200</t>
  </si>
  <si>
    <t>Ragusa</t>
  </si>
  <si>
    <t>Sicilia</t>
  </si>
  <si>
    <t>011320</t>
  </si>
  <si>
    <t>GIPAT SOCIETA' AGRICOLA S.R.L.S.</t>
  </si>
  <si>
    <t>01687870889</t>
  </si>
  <si>
    <t>016100</t>
  </si>
  <si>
    <t>Reggio nell'Emilia</t>
  </si>
  <si>
    <t>Emilia-Romagna</t>
  </si>
  <si>
    <t>CONSORZIO DI TUTELA DELL'ANGURIA REGGIANA IGP</t>
  </si>
  <si>
    <t>91148720351</t>
  </si>
  <si>
    <t>015000</t>
  </si>
  <si>
    <t>VIOLA S.R.L.</t>
  </si>
  <si>
    <t>02495450351</t>
  </si>
  <si>
    <t>Potenza</t>
  </si>
  <si>
    <t>Basilicata</t>
  </si>
  <si>
    <t>TAMPIERI AGRITECH SRL SOCIETA' AGRICOLA</t>
  </si>
  <si>
    <t>02721000392</t>
  </si>
  <si>
    <t>012400</t>
  </si>
  <si>
    <t>Ravenna</t>
  </si>
  <si>
    <t>Emilia-Romagna</t>
  </si>
  <si>
    <t>CA' SASSO SOCIETA' AGRICOLA S.R.L.</t>
  </si>
  <si>
    <t>02645970399</t>
  </si>
  <si>
    <t>012100</t>
  </si>
  <si>
    <t>ENERVITABIO SOCIETA' AGRICOLA S.R.L.</t>
  </si>
  <si>
    <t>02343570392</t>
  </si>
  <si>
    <t>011320</t>
  </si>
  <si>
    <t>016100</t>
  </si>
  <si>
    <t>GRE FAMILY SRL SOCIETA' AGRICOLA A SOCIO UNICO</t>
  </si>
  <si>
    <t>02144840762</t>
  </si>
  <si>
    <t>012900</t>
  </si>
  <si>
    <t>FRATELLI TELESCA S.R.L.</t>
  </si>
  <si>
    <t>02106210764</t>
  </si>
  <si>
    <t>XFLIES S.R.L.</t>
  </si>
  <si>
    <t>02052840762</t>
  </si>
  <si>
    <t>014990</t>
  </si>
  <si>
    <t>011310</t>
  </si>
  <si>
    <t>Potenza</t>
  </si>
  <si>
    <t>Basilicata</t>
  </si>
  <si>
    <t>015000</t>
  </si>
  <si>
    <t>GAIA VEG SOCIETA' AGRICOLA A R.L.</t>
  </si>
  <si>
    <t>02008620763</t>
  </si>
  <si>
    <t>AGRIFA SRL</t>
  </si>
  <si>
    <t>01998330763</t>
  </si>
  <si>
    <t>013000</t>
  </si>
  <si>
    <t>SOCIETA' AGRICOLA MADEA S.R.L.</t>
  </si>
  <si>
    <t>01970340764</t>
  </si>
  <si>
    <t>012500</t>
  </si>
  <si>
    <t>011140</t>
  </si>
  <si>
    <t>CONSORZIO RICERCHE MICOLOGICHE - SOCIETA' CONSORTILE A R.L. IN BREVE CO.RI.MI. - SOCIETA' CONSORTILE A R.L.</t>
  </si>
  <si>
    <t>01576230765</t>
  </si>
  <si>
    <t>AZIENDA AGRICOLA SANT'AGATA S.R.L. - SOCIETA' AGRICOLA</t>
  </si>
  <si>
    <t>01363220763</t>
  </si>
  <si>
    <t>Pavia</t>
  </si>
  <si>
    <t>Lombardia</t>
  </si>
  <si>
    <t>FALCONERIA PROFESSIONALE SRLS</t>
  </si>
  <si>
    <t>02891890184</t>
  </si>
  <si>
    <t>016100</t>
  </si>
  <si>
    <t>AZIENDA AGRICOLA IL BORGO DEL MONTE ANTICO - SOCIETA' AGRICOLA A RESPONSABILITA' LIMITATA</t>
  </si>
  <si>
    <t>12280140018</t>
  </si>
  <si>
    <t>013000</t>
  </si>
  <si>
    <t>Pistoia</t>
  </si>
  <si>
    <t>Toscana</t>
  </si>
  <si>
    <t>Pavia</t>
  </si>
  <si>
    <t>Lombardia</t>
  </si>
  <si>
    <t>PRIMAVERA - S.R.L.</t>
  </si>
  <si>
    <t>01112680184</t>
  </si>
  <si>
    <t>011140</t>
  </si>
  <si>
    <t>012600</t>
  </si>
  <si>
    <t>CONSORZIO COOPERATIVO VIVAISMO PESCIATINO SOCIETA' COOPERATIVA AGRICOLA</t>
  </si>
  <si>
    <t>01974700476</t>
  </si>
  <si>
    <t>LA FATTORIA DI PINOCCHIO - SOCIETA' AGRICOLA A R.L.</t>
  </si>
  <si>
    <t>01882200478</t>
  </si>
  <si>
    <t>Pesaro Urbino</t>
  </si>
  <si>
    <t>Marche</t>
  </si>
  <si>
    <t>LA VIGNA - SOCIETA' AGRICOLA A RESPONSABILITA' LIMITATA</t>
  </si>
  <si>
    <t>02308960414</t>
  </si>
  <si>
    <t>MA.PAR. SOCIETA' AGRICOLA S.R.L.</t>
  </si>
  <si>
    <t>03021900349</t>
  </si>
  <si>
    <t>Parma</t>
  </si>
  <si>
    <t>Emilia-Romagna</t>
  </si>
  <si>
    <t>Parma</t>
  </si>
  <si>
    <t>Emilia-Romagna</t>
  </si>
  <si>
    <t>011140</t>
  </si>
  <si>
    <t>SOCIETA' AGRICOLA CORTE GLAM SOCIETA' A RESPONSABILITA' LIMITATA SEMPLIFICATA</t>
  </si>
  <si>
    <t>02744850344</t>
  </si>
  <si>
    <t>AZIENDA AGRICOLA PODERE PRADAROLO SRL</t>
  </si>
  <si>
    <t>02581440340</t>
  </si>
  <si>
    <t>012100</t>
  </si>
  <si>
    <t>SOLAR VIVAI - PLUS ENERGY HOUSE S.R.L. ENUNCIABILE IN FORMA ABBREVIATA COME SOLAR HOUSE S.R.L.</t>
  </si>
  <si>
    <t>02496290343</t>
  </si>
  <si>
    <t>011320</t>
  </si>
  <si>
    <t>011110</t>
  </si>
  <si>
    <t>012100</t>
  </si>
  <si>
    <t>Pisa</t>
  </si>
  <si>
    <t>Toscana</t>
  </si>
  <si>
    <t>CIPRESSA SOCIETA' AGRICOLA S.R.L.</t>
  </si>
  <si>
    <t>02449890504</t>
  </si>
  <si>
    <t>012600</t>
  </si>
  <si>
    <t>AGREE FARM - SOCIETA' AGRICOLA A RESPONSABILITA' LIMITATA</t>
  </si>
  <si>
    <t>02413030509</t>
  </si>
  <si>
    <t>ARCGEST S.R.L.</t>
  </si>
  <si>
    <t>01635280504</t>
  </si>
  <si>
    <t>MONTEVECCHIO S.R.L.</t>
  </si>
  <si>
    <t>01371310507</t>
  </si>
  <si>
    <t>Perugia</t>
  </si>
  <si>
    <t>Umbria</t>
  </si>
  <si>
    <t>013000</t>
  </si>
  <si>
    <t>DI LEVA GARDEN SRL SOCIETA' AGRICOLA</t>
  </si>
  <si>
    <t>03857360543</t>
  </si>
  <si>
    <t>WANNABIS S.R.L.</t>
  </si>
  <si>
    <t>03705220543</t>
  </si>
  <si>
    <t>011910</t>
  </si>
  <si>
    <t>Perugia</t>
  </si>
  <si>
    <t>Umbria</t>
  </si>
  <si>
    <t>GOODLIFE LAB S.R.L.</t>
  </si>
  <si>
    <t>03654710544</t>
  </si>
  <si>
    <t>012100</t>
  </si>
  <si>
    <t>011110</t>
  </si>
  <si>
    <t>010000</t>
  </si>
  <si>
    <t>TENUTA DI FIORE-LUCCIOLA S.R.L. SOCIETA' AGRICOLA</t>
  </si>
  <si>
    <t>01462100544</t>
  </si>
  <si>
    <t>Pescara</t>
  </si>
  <si>
    <t>Abruzzo</t>
  </si>
  <si>
    <t>FORNAI ESPLORATORI SOCIETA' AGRICOLA A RESPONSABILITA' LIMITATA SIGLA: FORNAI ESPLORATORI SOC. AGRICOLA A R.L.</t>
  </si>
  <si>
    <t>02355260684</t>
  </si>
  <si>
    <t>Padova</t>
  </si>
  <si>
    <t>Veneto</t>
  </si>
  <si>
    <t>KALITECH LAB SOCIETA' AGRICOLA S.R.L.</t>
  </si>
  <si>
    <t>04348140247</t>
  </si>
  <si>
    <t>012800</t>
  </si>
  <si>
    <t>BIOS HYDROGEL S.R.L.</t>
  </si>
  <si>
    <t>05213620288</t>
  </si>
  <si>
    <t>016100</t>
  </si>
  <si>
    <t>MANDRANOVA SOCIETA' AGRICOLA A R. L.</t>
  </si>
  <si>
    <t>07082060828</t>
  </si>
  <si>
    <t>012600</t>
  </si>
  <si>
    <t>Palermo</t>
  </si>
  <si>
    <t>Sicilia</t>
  </si>
  <si>
    <t>011110</t>
  </si>
  <si>
    <t>SCIMECA SOCIETA' AGRICOLA SRL</t>
  </si>
  <si>
    <t>06983170827</t>
  </si>
  <si>
    <t>012900</t>
  </si>
  <si>
    <t>FEUDO TUDIA S.R.L.</t>
  </si>
  <si>
    <t>06190160827</t>
  </si>
  <si>
    <t>TENUTA DI GANGIVECCHIO S.R.L.</t>
  </si>
  <si>
    <t>05863160825</t>
  </si>
  <si>
    <t>011110</t>
  </si>
  <si>
    <t>Palermo</t>
  </si>
  <si>
    <t>Sicilia</t>
  </si>
  <si>
    <t>ENERGIE RINNOVABILI AGRICOLE SOCIETA' AGRICOLA A RESPONSABILITA'L IMITATA</t>
  </si>
  <si>
    <t>04274340985</t>
  </si>
  <si>
    <t>Oristano</t>
  </si>
  <si>
    <t>Sardegna</t>
  </si>
  <si>
    <t>AGRICOLA BIO ARBOREA SOCIETA' AGRICOLA SRL</t>
  </si>
  <si>
    <t>01248740951</t>
  </si>
  <si>
    <t>016100</t>
  </si>
  <si>
    <t>RADICISARDE BIO SOCIETA' AGRICOLA SRL</t>
  </si>
  <si>
    <t>01231560952</t>
  </si>
  <si>
    <t>Nuoro</t>
  </si>
  <si>
    <t>SARDOLIA SOCIETA' COOPERATIVA AGRICOLA</t>
  </si>
  <si>
    <t>01615770912</t>
  </si>
  <si>
    <t>Nuoro</t>
  </si>
  <si>
    <t>Sardegna</t>
  </si>
  <si>
    <t>I.C. SUINICOLA SOCIETA' AGRICOLA S.R.L.S. SOCIETA' AGRICOLA</t>
  </si>
  <si>
    <t>01585160912</t>
  </si>
  <si>
    <t>014600</t>
  </si>
  <si>
    <t>Novara</t>
  </si>
  <si>
    <t>Piemonte</t>
  </si>
  <si>
    <t>PIDRIN SOCIETA' AGRICOLA S.R.L.</t>
  </si>
  <si>
    <t>02561510039</t>
  </si>
  <si>
    <t>012100</t>
  </si>
  <si>
    <t>TORRACCIA DEL PIANTAVIGNA S.R.L. SIGLABILE IN TOR DEL PIAN S.R.L. O ANCHE IN T.D.P. S.R.L.</t>
  </si>
  <si>
    <t>01329960031</t>
  </si>
  <si>
    <t>Napoli</t>
  </si>
  <si>
    <t>Campania</t>
  </si>
  <si>
    <t>VERTICALIA S.R.L.S.</t>
  </si>
  <si>
    <t>10105881212</t>
  </si>
  <si>
    <t>011321</t>
  </si>
  <si>
    <t>012800</t>
  </si>
  <si>
    <t>Napoli</t>
  </si>
  <si>
    <t>Campania</t>
  </si>
  <si>
    <t>ALLEVAMENTO SANT'ANTONIO S.R.L.</t>
  </si>
  <si>
    <t>09471521212</t>
  </si>
  <si>
    <t>014300</t>
  </si>
  <si>
    <t>LA VIOLETTA SOCIETA' AGRICOLA S.R.L.</t>
  </si>
  <si>
    <t>08800771217</t>
  </si>
  <si>
    <t>Napoli</t>
  </si>
  <si>
    <t>Campania</t>
  </si>
  <si>
    <t>TENUTA DORIA SOCIETA' AGRICOLA A R.L.</t>
  </si>
  <si>
    <t>07912171217</t>
  </si>
  <si>
    <t>015000</t>
  </si>
  <si>
    <t>AGRISOLARE S.R.L.</t>
  </si>
  <si>
    <t>07409681215</t>
  </si>
  <si>
    <t>FRATELLI COZZOLINO S.R.L.</t>
  </si>
  <si>
    <t>06338921213</t>
  </si>
  <si>
    <t>016300</t>
  </si>
  <si>
    <t>012800</t>
  </si>
  <si>
    <t>011110</t>
  </si>
  <si>
    <t>SOCIETA' COOPERATIVA SOCIALE AGRICOLA EZEN</t>
  </si>
  <si>
    <t>05018390756</t>
  </si>
  <si>
    <t>Lecce</t>
  </si>
  <si>
    <t>Puglia</t>
  </si>
  <si>
    <t>EUROFLORA SOCIETA' A RESPONSABILITA' LIMITATA SEMPLIFICATA</t>
  </si>
  <si>
    <t>04057380364</t>
  </si>
  <si>
    <t>011910</t>
  </si>
  <si>
    <t>Modena</t>
  </si>
  <si>
    <t>Emilia-Romagna</t>
  </si>
  <si>
    <t>ALGAE SOCIETA' AGRICOLA S.R.L.</t>
  </si>
  <si>
    <t>03843900360</t>
  </si>
  <si>
    <t>011990</t>
  </si>
  <si>
    <t>SOCIETA' AGRICOLA L. &amp; F. SOCIETA' A RESPONSABILITA' LIMITATA SEMPLIFICATA</t>
  </si>
  <si>
    <t>03660410360</t>
  </si>
  <si>
    <t>Mantova</t>
  </si>
  <si>
    <t>Lombardia</t>
  </si>
  <si>
    <t>011110</t>
  </si>
  <si>
    <t>012800</t>
  </si>
  <si>
    <t>SOCIETA' AGRICOLA ELETTROCELO SRL</t>
  </si>
  <si>
    <t>02477260208</t>
  </si>
  <si>
    <t>015000</t>
  </si>
  <si>
    <t>012900</t>
  </si>
  <si>
    <t>Milano</t>
  </si>
  <si>
    <t>BBH SOCIETA' AGRICOLA SRL</t>
  </si>
  <si>
    <t>12567770966</t>
  </si>
  <si>
    <t>BIOMETHAN GREEN 1 - SOCIETA' AGRICOLA S.R.L.</t>
  </si>
  <si>
    <t>04612970238</t>
  </si>
  <si>
    <t>VIVI BAMBU' EMPOWERED S.R.L.</t>
  </si>
  <si>
    <t>05378230287</t>
  </si>
  <si>
    <t>ITALIAN AGRO-INDUSTRY S.R.L.</t>
  </si>
  <si>
    <t>01591140718</t>
  </si>
  <si>
    <t>OLTREMONTE SOCIETA' AGRICOLA A RESPONSABILITA' LIMITATA</t>
  </si>
  <si>
    <t>12366260961</t>
  </si>
  <si>
    <t>012500</t>
  </si>
  <si>
    <t>BIOVERDISSIMO S.R.L.</t>
  </si>
  <si>
    <t>12273680962</t>
  </si>
  <si>
    <t>011321</t>
  </si>
  <si>
    <t>Milano</t>
  </si>
  <si>
    <t>Lombardia</t>
  </si>
  <si>
    <t>ECOENERGIA S.R.L. - SOCIETA' AGRICOLA</t>
  </si>
  <si>
    <t>12185450967</t>
  </si>
  <si>
    <t>011140</t>
  </si>
  <si>
    <t>AGRICOLA MODERNA S.R.L. SOCIETA' AGRICOLA</t>
  </si>
  <si>
    <t>12079210964</t>
  </si>
  <si>
    <t>PERSEA USSANA SOCIETA' AGRICOLA S.R.L.</t>
  </si>
  <si>
    <t>12002930969</t>
  </si>
  <si>
    <t>012200</t>
  </si>
  <si>
    <t>VITALYTI S.R.L.</t>
  </si>
  <si>
    <t>11981880963</t>
  </si>
  <si>
    <t>AGMA ROTA SOCIETA' AGRICOLA S.R.L.</t>
  </si>
  <si>
    <t>11832480963</t>
  </si>
  <si>
    <t>011910</t>
  </si>
  <si>
    <t>ALIA INSECT FARM SOCIETA' AGRICOLA S.R.L.</t>
  </si>
  <si>
    <t>11326510960</t>
  </si>
  <si>
    <t>014990</t>
  </si>
  <si>
    <t>GENESI ANDROMEDA S.R.L. SOCIETA' AGRICOLA</t>
  </si>
  <si>
    <t>10696260966</t>
  </si>
  <si>
    <t>012900</t>
  </si>
  <si>
    <t>GENESI DOS TERZA S.R.L. SOCIETA' AGRICOLA</t>
  </si>
  <si>
    <t>10172740960</t>
  </si>
  <si>
    <t>GENESI DOS II S.R.L. SOCIETA' AGRICOLA</t>
  </si>
  <si>
    <t>09825480966</t>
  </si>
  <si>
    <t>GENESI LIFE S.R.L.</t>
  </si>
  <si>
    <t>09543920962</t>
  </si>
  <si>
    <t>016100</t>
  </si>
  <si>
    <t>Milano</t>
  </si>
  <si>
    <t>Lombardia</t>
  </si>
  <si>
    <t>CASCINET SOCIETA' AGRICOLA IMPRESA SOCIALE S.R.L.</t>
  </si>
  <si>
    <t>09242440965</t>
  </si>
  <si>
    <t>015000</t>
  </si>
  <si>
    <t>AGRIFIL ITALIA S.R.L.</t>
  </si>
  <si>
    <t>06315930963</t>
  </si>
  <si>
    <t>012100</t>
  </si>
  <si>
    <t>Messina</t>
  </si>
  <si>
    <t>Sicilia</t>
  </si>
  <si>
    <t>CASALE SOCIETA' COOPERATIVA</t>
  </si>
  <si>
    <t>03589640832</t>
  </si>
  <si>
    <t>012500</t>
  </si>
  <si>
    <t>Messina</t>
  </si>
  <si>
    <t>Sicilia</t>
  </si>
  <si>
    <t>SOCIETA' AGRICOLA VALLE D'AGRO' S.R.L.</t>
  </si>
  <si>
    <t>02967980836</t>
  </si>
  <si>
    <t>012300</t>
  </si>
  <si>
    <t>016100</t>
  </si>
  <si>
    <t>AZIENDA AGRICOLA VILLA PRIALE S.R.L.</t>
  </si>
  <si>
    <t>02803610837</t>
  </si>
  <si>
    <t>011000</t>
  </si>
  <si>
    <t>ANTONINO BRANCA SPA</t>
  </si>
  <si>
    <t>01642510836</t>
  </si>
  <si>
    <t>Latina</t>
  </si>
  <si>
    <t>Lazio</t>
  </si>
  <si>
    <t>SOCIETA' AGRICOLA FORCINA ANTONIO S.R.L.</t>
  </si>
  <si>
    <t>03094730599</t>
  </si>
  <si>
    <t>011329</t>
  </si>
  <si>
    <t>011310</t>
  </si>
  <si>
    <t>Latina</t>
  </si>
  <si>
    <t>Lazio</t>
  </si>
  <si>
    <t>COOPERATIVA SOCIALE PRINCIPE MASSIMO CARD. CARLO CAMILLO II</t>
  </si>
  <si>
    <t>02777460599</t>
  </si>
  <si>
    <t>VIVAI DIONIGI S.R.L.</t>
  </si>
  <si>
    <t>02633850595</t>
  </si>
  <si>
    <t>011910</t>
  </si>
  <si>
    <t>TENUTA LA BATISTINA SOCIETA' AGRICOLA SRLS</t>
  </si>
  <si>
    <t>02011600497</t>
  </si>
  <si>
    <t>012100</t>
  </si>
  <si>
    <t>Livorno</t>
  </si>
  <si>
    <t>Toscana</t>
  </si>
  <si>
    <t>ACQUABONA SOCIETA' AGRICOLA A R.L.</t>
  </si>
  <si>
    <t>02005470493</t>
  </si>
  <si>
    <t>012600</t>
  </si>
  <si>
    <t>Lecce</t>
  </si>
  <si>
    <t>Puglia</t>
  </si>
  <si>
    <t>SOCIETA' AGRICOLA SAN BARTOLO SRL</t>
  </si>
  <si>
    <t>01651130492</t>
  </si>
  <si>
    <t>I CARDINALI SOCIETA' AGRICOLA A RESPONSABILITA' LIMITATA SEMPLIFICATA</t>
  </si>
  <si>
    <t>04839180751</t>
  </si>
  <si>
    <t>011140</t>
  </si>
  <si>
    <t>Lecce</t>
  </si>
  <si>
    <t>Puglia</t>
  </si>
  <si>
    <t>DON VITO SOCIETA' AGRICOLA A RESPONSABILITA' LIMITATA SEMPLIFICATA</t>
  </si>
  <si>
    <t>04855230753</t>
  </si>
  <si>
    <t>012600</t>
  </si>
  <si>
    <t>SOCIETA' AGRICOLA MASSERIA GIOVANNI S.R.L.</t>
  </si>
  <si>
    <t>02855070757</t>
  </si>
  <si>
    <t>011110</t>
  </si>
  <si>
    <t>Grosseto</t>
  </si>
  <si>
    <t>Toscana</t>
  </si>
  <si>
    <t>LA MONTIONESE SOCIETA' AGRICOLA A RESPONSABILITA' LIMITATA</t>
  </si>
  <si>
    <t>01700390535</t>
  </si>
  <si>
    <t>Grosseto</t>
  </si>
  <si>
    <t>Toscana</t>
  </si>
  <si>
    <t>015000</t>
  </si>
  <si>
    <t>012600</t>
  </si>
  <si>
    <t>ARTEOLIO SOCIETA' AGRICOLA S.R.L. - SOCIETA' BENEFIT</t>
  </si>
  <si>
    <t>01658980535</t>
  </si>
  <si>
    <t>ANSE SRL SOCIETA' AGRICOLA</t>
  </si>
  <si>
    <t>01613910536</t>
  </si>
  <si>
    <t>TIRLI SVILUPPO N.4 SOCIETA' AGRICOLA A RESPONSABILITA' LIMITATA</t>
  </si>
  <si>
    <t>01445360538</t>
  </si>
  <si>
    <t>Grosseto</t>
  </si>
  <si>
    <t>Toscana</t>
  </si>
  <si>
    <t>NUOVA CASTELSPINETO SOCIETA' AGRICOLA A RESPONSABILITA' LIMITATA</t>
  </si>
  <si>
    <t>00625740535</t>
  </si>
  <si>
    <t>010000</t>
  </si>
  <si>
    <t>012100</t>
  </si>
  <si>
    <t>Frosinone</t>
  </si>
  <si>
    <t>Lazio</t>
  </si>
  <si>
    <t>SOCIETA' AGRICOLA VITTORI S.R.L.</t>
  </si>
  <si>
    <t>03134020605</t>
  </si>
  <si>
    <t>015000</t>
  </si>
  <si>
    <t>Frosinone</t>
  </si>
  <si>
    <t>Lazio</t>
  </si>
  <si>
    <t>011140</t>
  </si>
  <si>
    <t>AZIENDA AGRICOLA CARCATERRA SOCIETA' A RESPONSABILITA' LIMITATA</t>
  </si>
  <si>
    <t>02924690601</t>
  </si>
  <si>
    <t>COSTA GRAIA SOCIETA' AGRICOLA A RESPONSABILITA' LIMITATA A CAPITALE RIDOTTO</t>
  </si>
  <si>
    <t>02770160600</t>
  </si>
  <si>
    <t>012100</t>
  </si>
  <si>
    <t>WORLD INVESTMENT S.R.L.</t>
  </si>
  <si>
    <t>02450890609</t>
  </si>
  <si>
    <t>Forlì-Cesena</t>
  </si>
  <si>
    <t>Emilia-Romagna</t>
  </si>
  <si>
    <t>EMERALD FARMS SOCIETA' A RESPONSABILITA' LIMITATA SEMPLIFICATA</t>
  </si>
  <si>
    <t>04537350409</t>
  </si>
  <si>
    <t>011600</t>
  </si>
  <si>
    <t>SOCIETA' AGRICOLA AGRIEUROPA - S.R.L. - IN LIQUIDAZIONE</t>
  </si>
  <si>
    <t>02573720402</t>
  </si>
  <si>
    <t>011990</t>
  </si>
  <si>
    <t>Forlì-Cesena</t>
  </si>
  <si>
    <t>Emilia-Romagna</t>
  </si>
  <si>
    <t>PAZZI SOCIETA' AGRICOLA A RESPONSABILITA' LIMITATA</t>
  </si>
  <si>
    <t>00851500405</t>
  </si>
  <si>
    <t>Firenze</t>
  </si>
  <si>
    <t>Toscana</t>
  </si>
  <si>
    <t>SOCIETA' AGRICOLA CRISVAL S.R.L.</t>
  </si>
  <si>
    <t>02088370974</t>
  </si>
  <si>
    <t>012100</t>
  </si>
  <si>
    <t>SOCIETA' AGRICOLA FUMANELLI TUSCANY S.R.L.</t>
  </si>
  <si>
    <t>07192880487</t>
  </si>
  <si>
    <t>TERRAMARIS SOCIETA' AGRICOLA SRL</t>
  </si>
  <si>
    <t>07156520483</t>
  </si>
  <si>
    <t>012100</t>
  </si>
  <si>
    <t>Firenze</t>
  </si>
  <si>
    <t>Toscana</t>
  </si>
  <si>
    <t>IL CENTAURO SOCIETA' AGRICOLA A RESPONSABILITA' LIMITATA</t>
  </si>
  <si>
    <t>07134610489</t>
  </si>
  <si>
    <t>012600</t>
  </si>
  <si>
    <t>CASTIGLIONCHIO SOCIETA' AGRICOLA S.R.L.</t>
  </si>
  <si>
    <t>07131320488</t>
  </si>
  <si>
    <t>BASILICO.TECH SOCIETA' AGRICOLA A RESPONSABILITA' LIMITATA IN BRE VE BASILICO.TECH S.R.L. AGR.</t>
  </si>
  <si>
    <t>07083170485</t>
  </si>
  <si>
    <t>011321</t>
  </si>
  <si>
    <t>POGGIOAROMI S.R.L. SOCIETA' AGRICOLA</t>
  </si>
  <si>
    <t>06862400485</t>
  </si>
  <si>
    <t>012800</t>
  </si>
  <si>
    <t>FS SOCIETA' AGRICOLA A RESPONSABILITA' LIMITATA</t>
  </si>
  <si>
    <t>06807250482</t>
  </si>
  <si>
    <t>Firenze</t>
  </si>
  <si>
    <t>Toscana</t>
  </si>
  <si>
    <t>Foggia</t>
  </si>
  <si>
    <t>Puglia</t>
  </si>
  <si>
    <t>AZIENDA AGRICOLA CASTELLO DI MONTEFIORALLE S.R.L.</t>
  </si>
  <si>
    <t>03515310484</t>
  </si>
  <si>
    <t>012100</t>
  </si>
  <si>
    <t>NONNO VITTORIO - SOCIETA' COOPERATIVA AGRICOLA</t>
  </si>
  <si>
    <t>04431510710</t>
  </si>
  <si>
    <t>012600</t>
  </si>
  <si>
    <t>011110</t>
  </si>
  <si>
    <t>Foggia</t>
  </si>
  <si>
    <t>Puglia</t>
  </si>
  <si>
    <t>011140</t>
  </si>
  <si>
    <t>BIO CAPITANATA SOCIETA' COOPERATIVA AGRICOLA</t>
  </si>
  <si>
    <t>04159660713</t>
  </si>
  <si>
    <t>016300</t>
  </si>
  <si>
    <t>ORGANIZZAZIONE DI PRODUTTORI CEREALICOLA LA PINETA SOCIETA' COOPERATIVA SIGLA DENOM: O.P. CEREALICOLA LA PINETA SOC. COOP.</t>
  </si>
  <si>
    <t>04109280711</t>
  </si>
  <si>
    <t>EAGLE AGRICOLA S.R.L.</t>
  </si>
  <si>
    <t>04092620717</t>
  </si>
  <si>
    <t>SOCIETA' AGRICOLA NOI COLTIVATORI DELLA DAUNIA - SOCIETA' A RESPONSABILITA' LIMITATA SEMPLIFICATA</t>
  </si>
  <si>
    <t>04077520718</t>
  </si>
  <si>
    <t>SOCIETA' AGRICOLA LE FATE DELL'ARGENTARIO - SOCIETA' A RESPONSABI LITA' LIMITATA O IN FORMA ABBREVIATA SOCIETA' AGRICOLA LE FATE DELL'ARGENTARIO - SRL</t>
  </si>
  <si>
    <t>10803931004</t>
  </si>
  <si>
    <t>011110</t>
  </si>
  <si>
    <t>Foggia</t>
  </si>
  <si>
    <t>Puglia</t>
  </si>
  <si>
    <t>011310</t>
  </si>
  <si>
    <t>ORTOLEVANTE S. R. L. SOCIETA' AGRICOLA</t>
  </si>
  <si>
    <t>02030090712</t>
  </si>
  <si>
    <t>GREENTIME - S.R.L.</t>
  </si>
  <si>
    <t>01602970715</t>
  </si>
  <si>
    <t>016000</t>
  </si>
  <si>
    <t>COGAR - COOPERATIVA TRA PRODUTTORI AGRICOLI GARGANO SOCIETA' COOP ERATIVA AGRICOLA A MUTUALITA' PREVALENTE</t>
  </si>
  <si>
    <t>00371040718</t>
  </si>
  <si>
    <t>Ferrara</t>
  </si>
  <si>
    <t>Emilia-Romagna</t>
  </si>
  <si>
    <t>SOCIETA' AGRICOLA BOARINI ORTOFLORA SRL</t>
  </si>
  <si>
    <t>02107540383</t>
  </si>
  <si>
    <t>011921</t>
  </si>
  <si>
    <t>SOCIETA' AGRICOLA LOGONOVO S.R.L.</t>
  </si>
  <si>
    <t>02037130388</t>
  </si>
  <si>
    <t>SOCIETA' AGRICOLA GOBBINO S.R.L.</t>
  </si>
  <si>
    <t>02037140387</t>
  </si>
  <si>
    <t>012600</t>
  </si>
  <si>
    <t>Catanzaro</t>
  </si>
  <si>
    <t>Calabria</t>
  </si>
  <si>
    <t>FUNDACO SOCIETA' AGRICOLA S.R.L.</t>
  </si>
  <si>
    <t>03664150798</t>
  </si>
  <si>
    <t>012500</t>
  </si>
  <si>
    <t>PROGESIST S.R.L.</t>
  </si>
  <si>
    <t>03246790798</t>
  </si>
  <si>
    <t>Catania</t>
  </si>
  <si>
    <t>Sicilia</t>
  </si>
  <si>
    <t>012100</t>
  </si>
  <si>
    <t>012300</t>
  </si>
  <si>
    <t>CASTEL MAURIGI SOCIETA' AGRICOLA A RESPONSABILITA' LIMITATA</t>
  </si>
  <si>
    <t>05787310878</t>
  </si>
  <si>
    <t>PRISMA SOCIETA' AGRICOLA SRL</t>
  </si>
  <si>
    <t>05738000875</t>
  </si>
  <si>
    <t>Catania</t>
  </si>
  <si>
    <t>Sicilia</t>
  </si>
  <si>
    <t>016100</t>
  </si>
  <si>
    <t>SOCIETA' AGRICOLA ETNA ALCANTARA TOURIST S.R.L.</t>
  </si>
  <si>
    <t>05409150876</t>
  </si>
  <si>
    <t>012300</t>
  </si>
  <si>
    <t>CONSORZIO PER LA TUTELA DELLA CILIEGIA DELL'ETNA DOP</t>
  </si>
  <si>
    <t>04150260877</t>
  </si>
  <si>
    <t>AGRIPARK - GOLE DELL'ALCANTARA SOCIETA' AGRICOLA A R.L.</t>
  </si>
  <si>
    <t>03253160877</t>
  </si>
  <si>
    <t>012300</t>
  </si>
  <si>
    <t>Catania</t>
  </si>
  <si>
    <t>Sicilia</t>
  </si>
  <si>
    <t>SICILMIELE SOCIETA' COOPERATIVA AGRICOLA A R.L.</t>
  </si>
  <si>
    <t>02293450876</t>
  </si>
  <si>
    <t>016300</t>
  </si>
  <si>
    <t>AZIENDA AGRICOLA MASCALI S.R.L.</t>
  </si>
  <si>
    <t>01414670875</t>
  </si>
  <si>
    <t>012000</t>
  </si>
  <si>
    <t>STORNELLO S.R.L. AGRICOLA</t>
  </si>
  <si>
    <t>00497550871</t>
  </si>
  <si>
    <t>012400</t>
  </si>
  <si>
    <t>Cosenza</t>
  </si>
  <si>
    <t>Calabria</t>
  </si>
  <si>
    <t>AGRI FRAVEL SOCIETA' AGRICOLA S.R.L.</t>
  </si>
  <si>
    <t>03808220788</t>
  </si>
  <si>
    <t>Cosenza</t>
  </si>
  <si>
    <t>Calabria</t>
  </si>
  <si>
    <t>012600</t>
  </si>
  <si>
    <t>CANTINE OLIVETO SOCIETA' AGRICOLA A RESPONSABILITA' LIMITATA SEMP LIFICATA</t>
  </si>
  <si>
    <t>03464710783</t>
  </si>
  <si>
    <t>POSSIDENTE FRUIT - SOCIETA' COOPERATIVA AGRICOLA</t>
  </si>
  <si>
    <t>03274120785</t>
  </si>
  <si>
    <t>016100</t>
  </si>
  <si>
    <t>CONSORZIO PER LA VALORIZZAZIONE PESCHE E NETTARINE DI CALABRIA</t>
  </si>
  <si>
    <t>03255920781</t>
  </si>
  <si>
    <t>Cosenza</t>
  </si>
  <si>
    <t>Calabria</t>
  </si>
  <si>
    <t>ITAGAL SRL</t>
  </si>
  <si>
    <t>01284850789</t>
  </si>
  <si>
    <t>010000</t>
  </si>
  <si>
    <t>Cremona</t>
  </si>
  <si>
    <t>Lombardia</t>
  </si>
  <si>
    <t>AROMATICUS SOCIETA' AGRICOLA SRL</t>
  </si>
  <si>
    <t>12012720012</t>
  </si>
  <si>
    <t>016100</t>
  </si>
  <si>
    <t>015000</t>
  </si>
  <si>
    <t>Como</t>
  </si>
  <si>
    <t>SOCIETA' AGRICOLA MEDICINALE ITALIANA CANNABINOIDI S.R.L.</t>
  </si>
  <si>
    <t>03928620131</t>
  </si>
  <si>
    <t>012800</t>
  </si>
  <si>
    <t>VARENNA S.R.L. - SOCIETA' AGRICOLA</t>
  </si>
  <si>
    <t>03920150137</t>
  </si>
  <si>
    <t>TENUTA STARZA SOCIETA' AGRICOLA S.R.L.</t>
  </si>
  <si>
    <t>04629400617</t>
  </si>
  <si>
    <t>012100</t>
  </si>
  <si>
    <t>Caserta</t>
  </si>
  <si>
    <t>Campania</t>
  </si>
  <si>
    <t>016300</t>
  </si>
  <si>
    <t>Cuneo</t>
  </si>
  <si>
    <t>Piemonte</t>
  </si>
  <si>
    <t>012100</t>
  </si>
  <si>
    <t>VALLE PO SOCIETA' COOPERATIVA AGRICOLA</t>
  </si>
  <si>
    <t>03343580043</t>
  </si>
  <si>
    <t>SOCIETA' AGRICOLA TENUTA CASTELROSSO S.R.L.</t>
  </si>
  <si>
    <t>03037310046</t>
  </si>
  <si>
    <t>011990</t>
  </si>
  <si>
    <t>Caltanissetta</t>
  </si>
  <si>
    <t>Sicilia</t>
  </si>
  <si>
    <t>TERRE DI FEUDO NOBILE SOCIETA' AGRICOLA S.R.L.</t>
  </si>
  <si>
    <t>01995980859</t>
  </si>
  <si>
    <t>Chieti</t>
  </si>
  <si>
    <t>Abruzzo</t>
  </si>
  <si>
    <t>TENUTE DI LEGONZIANO -SOCIETA' AGRICOLA S.R.L., ENUNCIABILE ANCHE LEGONZIANO SOCIETA' AGRICOLA O CANTINA TEDILE SOCIETA' AGRICOLA O LEGO</t>
  </si>
  <si>
    <t>02768610699</t>
  </si>
  <si>
    <t>BIOVIVAIORTONA - SOCIETA' A RESPONSABILITA' LIMITATA SEMPLIFICATA</t>
  </si>
  <si>
    <t>02703170692</t>
  </si>
  <si>
    <t>011910</t>
  </si>
  <si>
    <t>Chieti</t>
  </si>
  <si>
    <t>Abruzzo</t>
  </si>
  <si>
    <t>Caserta</t>
  </si>
  <si>
    <t>Campania</t>
  </si>
  <si>
    <t>012500</t>
  </si>
  <si>
    <t>CMG SRL</t>
  </si>
  <si>
    <t>04588650616</t>
  </si>
  <si>
    <t>GEA SOCIETA' AGRICOLA A RESPONSABILITA' LIMITATA SEMPLIFICATA</t>
  </si>
  <si>
    <t>04624320612</t>
  </si>
  <si>
    <t>012600</t>
  </si>
  <si>
    <t>Caserta</t>
  </si>
  <si>
    <t>Campania</t>
  </si>
  <si>
    <t>012100</t>
  </si>
  <si>
    <t>CASTELLO DUCALE S.R.L.</t>
  </si>
  <si>
    <t>02394310615</t>
  </si>
  <si>
    <t>AGRICOLA S. GERMANO S.R.L.</t>
  </si>
  <si>
    <t>01756680615</t>
  </si>
  <si>
    <t>011300</t>
  </si>
  <si>
    <t>Caserta</t>
  </si>
  <si>
    <t>Campania</t>
  </si>
  <si>
    <t>012500</t>
  </si>
  <si>
    <t>Campobasso</t>
  </si>
  <si>
    <t>Molise</t>
  </si>
  <si>
    <t>OIL.ECO.MOLISE SRL</t>
  </si>
  <si>
    <t>01885850709</t>
  </si>
  <si>
    <t>012600</t>
  </si>
  <si>
    <t>011140</t>
  </si>
  <si>
    <t>TENUTE DI VITO SOCIETA' A RESPONSABILITA' LIMITATA SEMPLIFICATA AGRICOLA</t>
  </si>
  <si>
    <t>01830490700</t>
  </si>
  <si>
    <t>DEGNOVIVO API-CULTURA SOCIETA' AGRICOLA S.R.L.S.</t>
  </si>
  <si>
    <t>01787570702</t>
  </si>
  <si>
    <t>014930</t>
  </si>
  <si>
    <t>015000</t>
  </si>
  <si>
    <t>LA SELVA SOCIETA' COOPERATIVA</t>
  </si>
  <si>
    <t>00051940708</t>
  </si>
  <si>
    <t>011000</t>
  </si>
  <si>
    <t>Cagliari</t>
  </si>
  <si>
    <t>Sardegna</t>
  </si>
  <si>
    <t>HORREUM SOCIETA' AGRICOLA A RESPONSABILITA' LIMITATA SEMPLIFICATA</t>
  </si>
  <si>
    <t>03703550925</t>
  </si>
  <si>
    <t>SOCIETA' AGRICOLA CRABILI A R.L.</t>
  </si>
  <si>
    <t>03514670920</t>
  </si>
  <si>
    <t>Cagliari</t>
  </si>
  <si>
    <t>Sardegna</t>
  </si>
  <si>
    <t>AZIENDA AGRICOLA SGARAVATTI MEDITERRANEA S.R.L. SGARAVATTI MEDITERRANEA S.R.L.</t>
  </si>
  <si>
    <t>01362890921</t>
  </si>
  <si>
    <t>011910</t>
  </si>
  <si>
    <t>011110</t>
  </si>
  <si>
    <t>Bolzano/Bozen</t>
  </si>
  <si>
    <t>Trentino-Alto Adige</t>
  </si>
  <si>
    <t>012500</t>
  </si>
  <si>
    <t>TERRA DEL SOLE, SOCIETA' AGRICOLA S.R.L.</t>
  </si>
  <si>
    <t>04605090879</t>
  </si>
  <si>
    <t>FRI-EL BIOGAS23 S.R.L. SOCIETA' AGRICOLA</t>
  </si>
  <si>
    <t>02966560217</t>
  </si>
  <si>
    <t>PLATTHOF SRL - SOCIETA' AGRICOLA</t>
  </si>
  <si>
    <t>02918700218</t>
  </si>
  <si>
    <t>012100</t>
  </si>
  <si>
    <t>Brescia</t>
  </si>
  <si>
    <t>Lombardia</t>
  </si>
  <si>
    <t>011110</t>
  </si>
  <si>
    <t>011310</t>
  </si>
  <si>
    <t>TENUTA CARZEGN SOCIETA' AGRICOLA SRL</t>
  </si>
  <si>
    <t>04391030980</t>
  </si>
  <si>
    <t>SOCIETA' AGRICOLA LOCATELLI S.R.L.</t>
  </si>
  <si>
    <t>04389060981</t>
  </si>
  <si>
    <t>015000</t>
  </si>
  <si>
    <t>SOCIETA' AGRICOLA HERVE' S.R.L.</t>
  </si>
  <si>
    <t>04326130988</t>
  </si>
  <si>
    <t>ORTO VERTICALE CAPRIOLO SOCIETA' AGRICOLA SRL</t>
  </si>
  <si>
    <t>04310230984</t>
  </si>
  <si>
    <t>011321</t>
  </si>
  <si>
    <t>SOCIETA' AGRICOLA CHIARI 4 AGROENERGIA SRL</t>
  </si>
  <si>
    <t>04220260980</t>
  </si>
  <si>
    <t>012100</t>
  </si>
  <si>
    <t>Brescia</t>
  </si>
  <si>
    <t>Lombardia</t>
  </si>
  <si>
    <t>SOCIETA' AGRICOLA CHIARI 3 AGROENERGIA S.R.L.</t>
  </si>
  <si>
    <t>03851720981</t>
  </si>
  <si>
    <t>011110</t>
  </si>
  <si>
    <t>SOCIETA' AGRICOLA GHEDI AGROENERGIA SRL</t>
  </si>
  <si>
    <t>03851730980</t>
  </si>
  <si>
    <t>SOCIETA' AGRICOLA CASTREZZATO AGROENERGIA SRL</t>
  </si>
  <si>
    <t>03852040983</t>
  </si>
  <si>
    <t>SOCIETA' AGRICOLA CASTELCOVATI AGROENERGIA SRL</t>
  </si>
  <si>
    <t>03852070980</t>
  </si>
  <si>
    <t>SOCIETA' AGRICOLA CASTELCOVUS AGROENERGIA SRL</t>
  </si>
  <si>
    <t>03851750988</t>
  </si>
  <si>
    <t>SOCIETA' AGRICOLA TRENZANO AGROENERGIA SRL</t>
  </si>
  <si>
    <t>03851680987</t>
  </si>
  <si>
    <t>SOCIETA' AGRICOLA ROVATO AGROENERGIA SRL</t>
  </si>
  <si>
    <t>03851780985</t>
  </si>
  <si>
    <t>COLOMBARINO SOCIETA' AGRICOLA S.R.L.</t>
  </si>
  <si>
    <t>03095900985</t>
  </si>
  <si>
    <t>ROMANGELO S.R.L. SOCIETA' AGRICOLA</t>
  </si>
  <si>
    <t>03075860985</t>
  </si>
  <si>
    <t>014500</t>
  </si>
  <si>
    <t>COMILAT - COOPERATIVA MIGLIORAMENTO LATTE - SOCIETA' COOPERATIVA AGRICOLA</t>
  </si>
  <si>
    <t>01981670985</t>
  </si>
  <si>
    <t>016000</t>
  </si>
  <si>
    <t>SOCIETA' AGRICOLA MACINA SRL</t>
  </si>
  <si>
    <t>00641010178</t>
  </si>
  <si>
    <t>012600</t>
  </si>
  <si>
    <t>Brindisi</t>
  </si>
  <si>
    <t>Puglia</t>
  </si>
  <si>
    <t>SOCIETA' AGRICOLA BIO MIN SOCIETA' A RESPONSABILITA' LIMITATA</t>
  </si>
  <si>
    <t>02681450744</t>
  </si>
  <si>
    <t>011310</t>
  </si>
  <si>
    <t>SOCIETA' AGRICOLA NEW EARTH S.R.L.</t>
  </si>
  <si>
    <t>02627260744</t>
  </si>
  <si>
    <t>012800</t>
  </si>
  <si>
    <t>BRIO AGRI S.R.L. AGRICOLA</t>
  </si>
  <si>
    <t>02350240749</t>
  </si>
  <si>
    <t>CRISTALDO S.R.L.</t>
  </si>
  <si>
    <t>02286410747</t>
  </si>
  <si>
    <t>MASSERIA SAN NICOLA S.R.L. SOCIETA' AGRICOLA</t>
  </si>
  <si>
    <t>02080410026</t>
  </si>
  <si>
    <t>015000</t>
  </si>
  <si>
    <t>011110</t>
  </si>
  <si>
    <t>Bologna</t>
  </si>
  <si>
    <t>Emilia-Romagna</t>
  </si>
  <si>
    <t>SOCIETA' AGRICOLA TRAIANA S.R.L.S.</t>
  </si>
  <si>
    <t>03868741202</t>
  </si>
  <si>
    <t>ESG EKO AGRO GROUP S.R.L.</t>
  </si>
  <si>
    <t>03810071203</t>
  </si>
  <si>
    <t>016100</t>
  </si>
  <si>
    <t>SOCIETA' AGRICOLA VITA E TERRA A R.L.S.</t>
  </si>
  <si>
    <t>01824490625</t>
  </si>
  <si>
    <t>015000</t>
  </si>
  <si>
    <t>Benevento</t>
  </si>
  <si>
    <t>Campania</t>
  </si>
  <si>
    <t>Benevento</t>
  </si>
  <si>
    <t>Campania</t>
  </si>
  <si>
    <t>012500</t>
  </si>
  <si>
    <t>011140</t>
  </si>
  <si>
    <t>SOCIETA' AGRICOLA FATTORIA MUCCIO SRL</t>
  </si>
  <si>
    <t>01734970625</t>
  </si>
  <si>
    <t>TENUTA CARETTI SOCIETA' AGRICOLA A RESPONSABILITA' LIMITATA SEMPL IFICATA</t>
  </si>
  <si>
    <t>01730600622</t>
  </si>
  <si>
    <t>012500</t>
  </si>
  <si>
    <t>Bergamo</t>
  </si>
  <si>
    <t>Lombardia</t>
  </si>
  <si>
    <t>016209</t>
  </si>
  <si>
    <t>016100</t>
  </si>
  <si>
    <t>011110</t>
  </si>
  <si>
    <t>BI.FARM SOCIETA' AGRICOLA S.R.L.</t>
  </si>
  <si>
    <t>04542810165</t>
  </si>
  <si>
    <t>SOCIETA' COOPERATIVA AGRICOLA VERDE VENETA A R.L.</t>
  </si>
  <si>
    <t>04538790165</t>
  </si>
  <si>
    <t>ENERGIA VERDE BIO BERGAMASCA SOCIETA' AGRICOLA SRL</t>
  </si>
  <si>
    <t>04485620167</t>
  </si>
  <si>
    <t>SOCIETA' COOPERATIVA AGRICOLA VERDE DI FONTANELLA A R.L.</t>
  </si>
  <si>
    <t>04449390162</t>
  </si>
  <si>
    <t>AGROLUX ENERGETICA SOCIETA' AGRICOLA S.R.L.</t>
  </si>
  <si>
    <t>04392260164</t>
  </si>
  <si>
    <t>011320</t>
  </si>
  <si>
    <t>VERDE DI COVO SOCIETA' AGRICOLA SRL</t>
  </si>
  <si>
    <t>04372380164</t>
  </si>
  <si>
    <t>ALI S.R.L. - SOCIETA' AGRICOLA</t>
  </si>
  <si>
    <t>04237880168</t>
  </si>
  <si>
    <t>Bergamo</t>
  </si>
  <si>
    <t>Lombardia</t>
  </si>
  <si>
    <t>SCARPELLINI INCAFLOR S.R.L. - SOCIETA' AGRICOLA</t>
  </si>
  <si>
    <t>02817880160</t>
  </si>
  <si>
    <t>011910</t>
  </si>
  <si>
    <t>PEZZOLI SOCIETA' AGRICOLA S.R.L.</t>
  </si>
  <si>
    <t>00211640164</t>
  </si>
  <si>
    <t>011321</t>
  </si>
  <si>
    <t>Puglia</t>
  </si>
  <si>
    <t>Barletta-Andria-Trani</t>
  </si>
  <si>
    <t>011310</t>
  </si>
  <si>
    <t>DI TRIA SOCIETA' AGRICOLA A R.L.</t>
  </si>
  <si>
    <t>08694840722</t>
  </si>
  <si>
    <t>Bari</t>
  </si>
  <si>
    <t>Puglia</t>
  </si>
  <si>
    <t>014700</t>
  </si>
  <si>
    <t>AZIENDA AGRICOLA VOLPE SOCIETA' A RESPONSABILITA' LIMITATA SEMPLI FICATA AGRICOLA</t>
  </si>
  <si>
    <t>08196700721</t>
  </si>
  <si>
    <t>Bari</t>
  </si>
  <si>
    <t>Puglia</t>
  </si>
  <si>
    <t>PRODUTTORI AGRICOLI NOCI SOCIETA' AGRICOLA CONSORTILE A R.L.</t>
  </si>
  <si>
    <t>08064520722</t>
  </si>
  <si>
    <t>016209</t>
  </si>
  <si>
    <t>PRODUTTORI DELLE MURGE PUGLIESI SOCIETA' AGRICOLA CONSORTILE A R. L. SIGLA: P.M.P. SOCIETA' AGRICOLA CONSORTILE A R.L.</t>
  </si>
  <si>
    <t>07628590726</t>
  </si>
  <si>
    <t>Bari</t>
  </si>
  <si>
    <t>Puglia</t>
  </si>
  <si>
    <t>CANTINA CIAO MONDO SRL SOCIETA' AGRICOLA</t>
  </si>
  <si>
    <t>01720440054</t>
  </si>
  <si>
    <t>012100</t>
  </si>
  <si>
    <t>Asti</t>
  </si>
  <si>
    <t>Piemonte</t>
  </si>
  <si>
    <t>012600</t>
  </si>
  <si>
    <t>BUONO &amp; BIO SRL</t>
  </si>
  <si>
    <t>05738690725</t>
  </si>
  <si>
    <t>ESSEGI S.R.L.</t>
  </si>
  <si>
    <t>05670960722</t>
  </si>
  <si>
    <t>012000</t>
  </si>
  <si>
    <t>016000</t>
  </si>
  <si>
    <t>CONSORZIO VOLONTARIO PER LA TUTELA E LA VALORIZZAZIONE DEL VINO D OC GRAVINA</t>
  </si>
  <si>
    <t>05268310728</t>
  </si>
  <si>
    <t>012100</t>
  </si>
  <si>
    <t>SOCIETA' AGRICOLA LE PIAZZE SRLS</t>
  </si>
  <si>
    <t>03143120644</t>
  </si>
  <si>
    <t>011110</t>
  </si>
  <si>
    <t>Avellino</t>
  </si>
  <si>
    <t>Campania</t>
  </si>
  <si>
    <t>STEFANIA BARBOT SOCIETA' AGRICOLA ARL</t>
  </si>
  <si>
    <t>02782850644</t>
  </si>
  <si>
    <t>012100</t>
  </si>
  <si>
    <t>Asti</t>
  </si>
  <si>
    <t>Piemonte</t>
  </si>
  <si>
    <t>TENUTA MAGRINI SRL SOCIETA' AGRICOLA</t>
  </si>
  <si>
    <t>01715660054</t>
  </si>
  <si>
    <t>011140</t>
  </si>
  <si>
    <t>Arezzo</t>
  </si>
  <si>
    <t>Toscana</t>
  </si>
  <si>
    <t>SAN BARTOLOMEO S.R.L.</t>
  </si>
  <si>
    <t>01309100517</t>
  </si>
  <si>
    <t>012400</t>
  </si>
  <si>
    <t>PI.MO AGRI SOCIETA' AGRICOLA S.R.L.</t>
  </si>
  <si>
    <t>02676140060</t>
  </si>
  <si>
    <t>Alessandria</t>
  </si>
  <si>
    <t>Piemonte</t>
  </si>
  <si>
    <t>AZIENDA VINICOLA CONTE SALADINO SALADINI PILASTRI S.R.L.</t>
  </si>
  <si>
    <t>01340480449</t>
  </si>
  <si>
    <t>011110</t>
  </si>
  <si>
    <t>Ascoli Piceno</t>
  </si>
  <si>
    <t>Marche</t>
  </si>
  <si>
    <t>SOCIETA' AGRICOLA MONTE AQUILINO S.R.L.</t>
  </si>
  <si>
    <t>01026780443</t>
  </si>
  <si>
    <t>012100</t>
  </si>
  <si>
    <t>Ancona</t>
  </si>
  <si>
    <t>011140</t>
  </si>
  <si>
    <t>VALLESINA BIO S.B. AGRICOLA SRL</t>
  </si>
  <si>
    <t>02872400425</t>
  </si>
  <si>
    <t>Alessandria</t>
  </si>
  <si>
    <t>Piemonte</t>
  </si>
  <si>
    <t>VILLA CERRUTI SOCIETA' AGRICOLA S.R.L.</t>
  </si>
  <si>
    <t>02689240063</t>
  </si>
  <si>
    <t>AGRIDEA SRL SOCIETA' AGRICOLA A RESPONSABILITA' LIMITATA</t>
  </si>
  <si>
    <t>02648990063</t>
  </si>
  <si>
    <t>Piemonte</t>
  </si>
  <si>
    <t>Agrigento</t>
  </si>
  <si>
    <t>Sicilia</t>
  </si>
  <si>
    <t>012100</t>
  </si>
  <si>
    <t>SOCIETA' AGRICOLA BIO FRUIT SICILIA S.R.L.</t>
  </si>
  <si>
    <t>03003330846</t>
  </si>
  <si>
    <t>COOPERATIVA PRODUTTORI SUINI PRO SUS SOCIETA' COOPERATIVA AGRICOLA</t>
  </si>
  <si>
    <t>00828880195</t>
  </si>
  <si>
    <t>014600</t>
  </si>
  <si>
    <t>Cremona</t>
  </si>
  <si>
    <t>Lombardia</t>
  </si>
  <si>
    <t>014700</t>
  </si>
  <si>
    <t>COOPERATIVA PRODUTTORI ARBOREA - SOCIETA' AGRICOLA</t>
  </si>
  <si>
    <t>00042360958</t>
  </si>
  <si>
    <t>016300</t>
  </si>
  <si>
    <t>Oristano</t>
  </si>
  <si>
    <t>Sardegna</t>
  </si>
  <si>
    <t>CONSORZIO EURO 2000 SOC. COOP.</t>
  </si>
  <si>
    <t>12468420158</t>
  </si>
  <si>
    <t>016000</t>
  </si>
  <si>
    <t>Milano</t>
  </si>
  <si>
    <t>EXPERGREEN S.R.L.</t>
  </si>
  <si>
    <t>03457340044</t>
  </si>
  <si>
    <t>012500</t>
  </si>
  <si>
    <t>Cuneo</t>
  </si>
  <si>
    <t>016100</t>
  </si>
  <si>
    <t>PROGETTO NATURA SOCIETA' COOPERATIVA AGRICOLA</t>
  </si>
  <si>
    <t>00829610880</t>
  </si>
  <si>
    <t>014100</t>
  </si>
  <si>
    <t>Ragusa</t>
  </si>
  <si>
    <t>O.P. VIVA DI NATURA SOCIETA' COOPERATIVA AGRICOLA</t>
  </si>
  <si>
    <t>03407800873</t>
  </si>
  <si>
    <t>Catania</t>
  </si>
  <si>
    <t>SOCIETA' ITALIANA STERILIZZAZIONI SPA CON SIGLA SIS SPA</t>
  </si>
  <si>
    <t>00216590885</t>
  </si>
  <si>
    <t>SOCIETA' AGRICOLA MGM S.R.L.</t>
  </si>
  <si>
    <t>00541820403</t>
  </si>
  <si>
    <t>Forlì-Cesena</t>
  </si>
  <si>
    <t>Emilia-Romagna</t>
  </si>
  <si>
    <t>SOCIETA' COOPERATIVA VAL D'ORCIA SOCIETA' AGRICOLA</t>
  </si>
  <si>
    <t>00054490529</t>
  </si>
  <si>
    <t>Siena</t>
  </si>
  <si>
    <t>Toscana</t>
  </si>
  <si>
    <t>COOPERATIVA LAVORATORI AGRICOLO FORESTALE CESENATE- SOCIETA' COOP ERATIVA IN SIGLA: C.L.A.F.C. SOC. COOP</t>
  </si>
  <si>
    <t>00722570405</t>
  </si>
  <si>
    <t>016100</t>
  </si>
  <si>
    <t>Forlì-Cesena</t>
  </si>
  <si>
    <t>Emilia-Romagna</t>
  </si>
  <si>
    <t>COOPERATIVE MONTALBANO OLIO &amp; VINO SOCIETA' COOPERATIVA AGRICOLA</t>
  </si>
  <si>
    <t>01869110476</t>
  </si>
  <si>
    <t>016300</t>
  </si>
  <si>
    <t>Pistoia</t>
  </si>
  <si>
    <t>Toscana</t>
  </si>
  <si>
    <t>FABERCROPS SOCIETA' AGRICOLA CONSORTILE A R.L.</t>
  </si>
  <si>
    <t>01204380883</t>
  </si>
  <si>
    <t>011300</t>
  </si>
  <si>
    <t>Ragusa</t>
  </si>
  <si>
    <t>Sicilia</t>
  </si>
  <si>
    <t>Pavia</t>
  </si>
  <si>
    <t>Lombardia</t>
  </si>
  <si>
    <t>SOCIETA' COOPERATIVA AGRICOLA ZEOLI FRUIT</t>
  </si>
  <si>
    <t>02166700597</t>
  </si>
  <si>
    <t>Latina</t>
  </si>
  <si>
    <t>Lazio</t>
  </si>
  <si>
    <t>CONSORZIO NATURA E ALIMENTA</t>
  </si>
  <si>
    <t>08689830019</t>
  </si>
  <si>
    <t>016209</t>
  </si>
  <si>
    <t>Torino</t>
  </si>
  <si>
    <t>Piemonte</t>
  </si>
  <si>
    <t>SOCIETA' COOPERATIVA AGRICOLA LA CISTERNA IN LIQUIDAZIONE</t>
  </si>
  <si>
    <t>00412370439</t>
  </si>
  <si>
    <t>016000</t>
  </si>
  <si>
    <t>Macerata</t>
  </si>
  <si>
    <t>Marche</t>
  </si>
  <si>
    <t>LAGO D'ORO - SOCIETA' CONSORTILE AGRICOLA A R.L.</t>
  </si>
  <si>
    <t>01952120663</t>
  </si>
  <si>
    <t>011310</t>
  </si>
  <si>
    <t>L'Aquila</t>
  </si>
  <si>
    <t>Abruzzo</t>
  </si>
  <si>
    <t>SOCIETA' COOPERATIVA AGRICOLA T.M. NATURALMENTE</t>
  </si>
  <si>
    <t>04024630719</t>
  </si>
  <si>
    <t>Foggia</t>
  </si>
  <si>
    <t>Puglia</t>
  </si>
  <si>
    <t>CASTELLI DEL GREVEPESA SOCIETA' COOPERATIVA AGRICOLA OVVERO CASTELLI DEL GREVEPESA S.C. AGRICOLA</t>
  </si>
  <si>
    <t>00428390488</t>
  </si>
  <si>
    <t>012100</t>
  </si>
  <si>
    <t>Firenze</t>
  </si>
  <si>
    <t>014100</t>
  </si>
  <si>
    <t>Veneto</t>
  </si>
  <si>
    <t>AZIENDA VINICOLA ATTILIO CONTINI S.P.A. OPPURE CONTINI S.P.A. OPPURE A.V.A.C. S.P.A.</t>
  </si>
  <si>
    <t>00115530958</t>
  </si>
  <si>
    <t>Oristano</t>
  </si>
  <si>
    <t>Sardegna</t>
  </si>
  <si>
    <t>ATD SOCIETA' AGRICOLA TENUTE DAUNIA S.R.L.</t>
  </si>
  <si>
    <t>05730560728</t>
  </si>
  <si>
    <t>011910</t>
  </si>
  <si>
    <t>SOCIETA' AGRICOLA ILLUMINATI G.M.M. - S.P.A. CONSORTILE</t>
  </si>
  <si>
    <t>02431000518</t>
  </si>
  <si>
    <t>Arezzo</t>
  </si>
  <si>
    <t>CANTINA DI CANNETO PAVESE SOCIETA' COOPERATIVA AGRICOLA PER AZIONI IN SIGLA CANTINA CANNETO , CANTINA CANNETO PAVESE , CANTINA CANNETO PAVESE S.C.A. , CANNETO O C.C.P.</t>
  </si>
  <si>
    <t>00181570185</t>
  </si>
  <si>
    <t>SOCIETA' AGRICOLA AL.BE.RO. SOCIETA' A RESPONSABILITA' LIMITATA, O PIU' BREVEMENTE SOCIETA' AGRICOLA AL.BE.RO. S.R.L.</t>
  </si>
  <si>
    <t>01498780335</t>
  </si>
  <si>
    <t>Piacenza</t>
  </si>
  <si>
    <t>PUNTO VERDE DI DALLE RIVE F.LLI - S.R.L.</t>
  </si>
  <si>
    <t>01296280249</t>
  </si>
  <si>
    <t>Vicenza</t>
  </si>
  <si>
    <t>VIVAIO DEL LAGO SOCIETA' AGRICOLA S.R.L.</t>
  </si>
  <si>
    <t>01548340429</t>
  </si>
  <si>
    <t>013000</t>
  </si>
  <si>
    <t>SIRIO SOCIETA' COOPERATIVA AGRICOLA</t>
  </si>
  <si>
    <t>04814640878</t>
  </si>
  <si>
    <t>Catania</t>
  </si>
  <si>
    <t>IORI SOCIETA' AGRICOLA BENEFIT S.R.L.</t>
  </si>
  <si>
    <t>01316130663</t>
  </si>
  <si>
    <t>OLIVETI D'ITALIA SOCIETA' CONSORTILE PER AZIONI IN BREVE OLIVETI D'ITALIA S.C.P.A.</t>
  </si>
  <si>
    <t>05092600724</t>
  </si>
  <si>
    <t>Barletta-Andria-Trani</t>
  </si>
  <si>
    <t>Ragusa</t>
  </si>
  <si>
    <t>Sicilia</t>
  </si>
  <si>
    <t>Puglia</t>
  </si>
  <si>
    <t>L'Aquila</t>
  </si>
  <si>
    <t>Abruzzo</t>
  </si>
  <si>
    <t>016300</t>
  </si>
  <si>
    <t>Foggia</t>
  </si>
  <si>
    <t>LADY NATURE SOCIETA' CONSORTILE AGRICOLA S.R.L.</t>
  </si>
  <si>
    <t>03792210712</t>
  </si>
  <si>
    <t>Emilia-Romagna</t>
  </si>
  <si>
    <t>BIRRIFICIO ANTONIANO S.R.L. SOCIETA' AGRICOLA</t>
  </si>
  <si>
    <t>04621990284</t>
  </si>
  <si>
    <t>011110</t>
  </si>
  <si>
    <t>Padova</t>
  </si>
  <si>
    <t>Veneto</t>
  </si>
  <si>
    <t>NATUR CITRUS - SOCIETA' COOPERATIVA AGRICOLA</t>
  </si>
  <si>
    <t>04636900872</t>
  </si>
  <si>
    <t>010000</t>
  </si>
  <si>
    <t>Catania</t>
  </si>
  <si>
    <t>ORTOSESTU - SOCIETA' COOPERATIVA AGRICOLA</t>
  </si>
  <si>
    <t>01587190925</t>
  </si>
  <si>
    <t>016000</t>
  </si>
  <si>
    <t>Cagliari</t>
  </si>
  <si>
    <t>Sardegna</t>
  </si>
  <si>
    <t>A.P.O. CONTEA SOCIETA' COOPERATIVA AGRICOLA</t>
  </si>
  <si>
    <t>01263140772</t>
  </si>
  <si>
    <t>012500</t>
  </si>
  <si>
    <t>Matera</t>
  </si>
  <si>
    <t>Basilicata</t>
  </si>
  <si>
    <t>2924 S.R.L. SOCIETA' AGRICOLA</t>
  </si>
  <si>
    <t>01295570368</t>
  </si>
  <si>
    <t>015000</t>
  </si>
  <si>
    <t>Modena</t>
  </si>
  <si>
    <t>BIOFUCINO SOCIETA' COOPERATIVA AGRICOLA</t>
  </si>
  <si>
    <t>01665610661</t>
  </si>
  <si>
    <t>016100</t>
  </si>
  <si>
    <t>FORTUNATO S.R.L. AGRICOLA</t>
  </si>
  <si>
    <t>01284090899</t>
  </si>
  <si>
    <t>011320</t>
  </si>
  <si>
    <t>CASEIFICIO CASTALDO SOCIETA' AGRICOLA SOCIETA' A RESPONSABILITA' LIMITATA SEMPLIFICATA</t>
  </si>
  <si>
    <t>07908621217</t>
  </si>
  <si>
    <t>014100</t>
  </si>
  <si>
    <t>Napoli</t>
  </si>
  <si>
    <t>Campania</t>
  </si>
  <si>
    <t>016100</t>
  </si>
  <si>
    <t>Emilia-Romagna</t>
  </si>
  <si>
    <t>SOCIETA' AGRICOLA VILLA AIOLA S.P.A.</t>
  </si>
  <si>
    <t>04293530152</t>
  </si>
  <si>
    <t>Reggio nell'Emilia</t>
  </si>
  <si>
    <t>Lombardia</t>
  </si>
  <si>
    <t>Sicilia</t>
  </si>
  <si>
    <t>011300</t>
  </si>
  <si>
    <t>SOCIETA' AGRICOLA BIO AGNELLO S.R.L.</t>
  </si>
  <si>
    <t>01399150885</t>
  </si>
  <si>
    <t>Ragusa</t>
  </si>
  <si>
    <t>SOCIETA' AGRICOLA BERSI SERLINI SRL</t>
  </si>
  <si>
    <t>02927460176</t>
  </si>
  <si>
    <t>012100</t>
  </si>
  <si>
    <t>Brescia</t>
  </si>
  <si>
    <t>IL FALDO SOCIETA' COOPERATIVA AGRICOLA</t>
  </si>
  <si>
    <t>02050350061</t>
  </si>
  <si>
    <t>Alessandria</t>
  </si>
  <si>
    <t>Piemonte</t>
  </si>
  <si>
    <t>OP A.C.L.I. RACALE - SOCIETA' AGRICOLA COOPERATIVA</t>
  </si>
  <si>
    <t>00231210758</t>
  </si>
  <si>
    <t>012600</t>
  </si>
  <si>
    <t>Lecce</t>
  </si>
  <si>
    <t>Puglia</t>
  </si>
  <si>
    <t>011310</t>
  </si>
  <si>
    <t>MAGNA GRECIA SOCIETA' COOPERATIVA AGRICOLA</t>
  </si>
  <si>
    <t>01349840775</t>
  </si>
  <si>
    <t>Matera</t>
  </si>
  <si>
    <t>Basilicata</t>
  </si>
  <si>
    <t>011000</t>
  </si>
  <si>
    <t>Latina</t>
  </si>
  <si>
    <t>Lazio</t>
  </si>
  <si>
    <t>ERVIN SOCIETA' A RESPONSABILITA' LIMITATA</t>
  </si>
  <si>
    <t>01506170297</t>
  </si>
  <si>
    <t>012000</t>
  </si>
  <si>
    <t>Rovigo</t>
  </si>
  <si>
    <t>Veneto</t>
  </si>
  <si>
    <t>016100</t>
  </si>
  <si>
    <t>Campania</t>
  </si>
  <si>
    <t>COOPERATIVA AGRICOLA COMETA</t>
  </si>
  <si>
    <t>03996000612</t>
  </si>
  <si>
    <t>012400</t>
  </si>
  <si>
    <t>Caserta</t>
  </si>
  <si>
    <t>016300</t>
  </si>
  <si>
    <t>CANTINA BAZZANO SOCIETA' AGRICOLA COOPERATIVA ABBREVIABILE IN C.B . SOC. AGR. COOP.</t>
  </si>
  <si>
    <t>00498791201</t>
  </si>
  <si>
    <t>012100</t>
  </si>
  <si>
    <t>Bologna</t>
  </si>
  <si>
    <t>Emilia-Romagna</t>
  </si>
  <si>
    <t>BIOMONVISO FRUIT SOCIETA' AGRICOLA COOPERATIVA</t>
  </si>
  <si>
    <t>03989340041</t>
  </si>
  <si>
    <t>Cuneo</t>
  </si>
  <si>
    <t>Piemonte</t>
  </si>
  <si>
    <t>SOCIETA' AGRICOLA NATURA IBLEA S.R.L.</t>
  </si>
  <si>
    <t>01315740892</t>
  </si>
  <si>
    <t>Siracusa</t>
  </si>
  <si>
    <t>Sicilia</t>
  </si>
  <si>
    <t>TOMATOS DI PORTOPALO S.R.L.</t>
  </si>
  <si>
    <t>01327410898</t>
  </si>
  <si>
    <t>011310</t>
  </si>
  <si>
    <t>F.LLI GIORDANI S.R.L.</t>
  </si>
  <si>
    <t>00506711209</t>
  </si>
  <si>
    <t>PAGHERA GREEN SERVICE SOCIETA' AGRICOLA S.R.L.</t>
  </si>
  <si>
    <t>03157060983</t>
  </si>
  <si>
    <t>Milano</t>
  </si>
  <si>
    <t>Lombardia</t>
  </si>
  <si>
    <t>ORO CARTIER S.P.A.</t>
  </si>
  <si>
    <t>01921530596</t>
  </si>
  <si>
    <t>011910</t>
  </si>
  <si>
    <t>JOSEF BRIGL S.R.L.</t>
  </si>
  <si>
    <t>01756300214</t>
  </si>
  <si>
    <t>Bolzano/Bozen</t>
  </si>
  <si>
    <t>Trentino-Alto Adige</t>
  </si>
  <si>
    <t>SOCIETA' COOPERATIVA AGRICOLA 27 FEBBRAIO</t>
  </si>
  <si>
    <t>01277590921</t>
  </si>
  <si>
    <t>011110</t>
  </si>
  <si>
    <t>Sardegna</t>
  </si>
  <si>
    <t>SANTO SOCIETA' COOPERATIVA AGRICOLA</t>
  </si>
  <si>
    <t>03644580783</t>
  </si>
  <si>
    <t>012300</t>
  </si>
  <si>
    <t>Cosenza</t>
  </si>
  <si>
    <t>Calabria</t>
  </si>
  <si>
    <t>AGROBON SOCIETA' AGRICOLA S.R.L.</t>
  </si>
  <si>
    <t>02246690206</t>
  </si>
  <si>
    <t>011300</t>
  </si>
  <si>
    <t>Mantova</t>
  </si>
  <si>
    <t>Lombardia</t>
  </si>
  <si>
    <t>016100</t>
  </si>
  <si>
    <t>Reggio di Calabria</t>
  </si>
  <si>
    <t>Puglia</t>
  </si>
  <si>
    <t>OLIVOLIO - SOCIETA' COOPERATIVA AGRICOLA</t>
  </si>
  <si>
    <t>02354860807</t>
  </si>
  <si>
    <t>012600</t>
  </si>
  <si>
    <t>AGRICOLA LISCIO S.R.L.</t>
  </si>
  <si>
    <t>03741410710</t>
  </si>
  <si>
    <t>Foggia</t>
  </si>
  <si>
    <t>RIO MILK SOCIETA' COOPERATIVA AGRICOLA</t>
  </si>
  <si>
    <t>01671330767</t>
  </si>
  <si>
    <t>014000</t>
  </si>
  <si>
    <t>Potenza</t>
  </si>
  <si>
    <t>Basilicata</t>
  </si>
  <si>
    <t>AGRISERVIZI SRL</t>
  </si>
  <si>
    <t>01985090388</t>
  </si>
  <si>
    <t>Ferrara</t>
  </si>
  <si>
    <t>Emilia-Romagna</t>
  </si>
  <si>
    <t>016300</t>
  </si>
  <si>
    <t>Sicilia</t>
  </si>
  <si>
    <t>MILELLA GROUP S.R.L. SOCIETA' AGRICOLA</t>
  </si>
  <si>
    <t>06837240727</t>
  </si>
  <si>
    <t>011300</t>
  </si>
  <si>
    <t>Bari</t>
  </si>
  <si>
    <t>Puglia</t>
  </si>
  <si>
    <t>IL SOLE DELLA CAPITANATA - SOCIETA' COOPERATIVA</t>
  </si>
  <si>
    <t>03650240710</t>
  </si>
  <si>
    <t>016000</t>
  </si>
  <si>
    <t>Foggia</t>
  </si>
  <si>
    <t>016100</t>
  </si>
  <si>
    <t>CORIFRUT SOCIETA' AGRICOLA COOPERATIVA</t>
  </si>
  <si>
    <t>04010520049</t>
  </si>
  <si>
    <t>Cuneo</t>
  </si>
  <si>
    <t>Piemonte</t>
  </si>
  <si>
    <t>INFINITYBIO SOCIETA' CONSORTILE AGRICOLA A R.L.</t>
  </si>
  <si>
    <t>02496720398</t>
  </si>
  <si>
    <t>Ravenna</t>
  </si>
  <si>
    <t>Emilia-Romagna</t>
  </si>
  <si>
    <t>ANHEA SOCIETA' A RESPONSABILITA' LIMITATA ( IN FORMA ABBREVIATA ANHEA S.R.L.)</t>
  </si>
  <si>
    <t>02406200341</t>
  </si>
  <si>
    <t>016209</t>
  </si>
  <si>
    <t>Parma</t>
  </si>
  <si>
    <t>SALAMITA SOCIETA' COOPERATIVA</t>
  </si>
  <si>
    <t>00082500836</t>
  </si>
  <si>
    <t>Messina</t>
  </si>
  <si>
    <t>FLORSYSTEM S.R.L. SOCIETA' AGRICOLA</t>
  </si>
  <si>
    <t>01084110293</t>
  </si>
  <si>
    <t>011910</t>
  </si>
  <si>
    <t>Rovigo</t>
  </si>
  <si>
    <t>Veneto</t>
  </si>
  <si>
    <t>AGRICOLA SALENTINA 95 S.R.L.</t>
  </si>
  <si>
    <t>03917450755</t>
  </si>
  <si>
    <t>012600</t>
  </si>
  <si>
    <t>Lecce</t>
  </si>
  <si>
    <t>MPS TENIMENTI POGGIO BONELLI E CHIGI SARACINI - SOCIETA' AGRICOL A - S.P.A. FORME ABBREVIATE MPS TENIMENTI S.P.A. , POGGIO BONELLI S.P.A. , CHIGI SARACINI S.P.A. , CSPB S.P.A. , TENUTE POGGIO BONELLI S.P.A.</t>
  </si>
  <si>
    <t>00049100522</t>
  </si>
  <si>
    <t>012100</t>
  </si>
  <si>
    <t>Siena</t>
  </si>
  <si>
    <t>Toscana</t>
  </si>
  <si>
    <t>MAIDICOLA SOVICILLE SOCIETA' COOPERATIVA AGRICOLA</t>
  </si>
  <si>
    <t>00052510526</t>
  </si>
  <si>
    <t>016100</t>
  </si>
  <si>
    <t>SOCIETA' AGRICOLA RANIERI S.R.L.</t>
  </si>
  <si>
    <t>02805680341</t>
  </si>
  <si>
    <t>011310</t>
  </si>
  <si>
    <t>Parma</t>
  </si>
  <si>
    <t>Emilia-Romagna</t>
  </si>
  <si>
    <t>CONSORZIO VOLONTARIO OLIVICOLTORI SOCIETA' COOPERATIVA AGRICOLA</t>
  </si>
  <si>
    <t>00424090793</t>
  </si>
  <si>
    <t>Catanzaro</t>
  </si>
  <si>
    <t>Calabria</t>
  </si>
  <si>
    <t>016300</t>
  </si>
  <si>
    <t>SOCIETA' COOPERATIVA AGRICOLA CENTRO LAZIO</t>
  </si>
  <si>
    <t>01645581008</t>
  </si>
  <si>
    <t>Roma</t>
  </si>
  <si>
    <t>Lazio</t>
  </si>
  <si>
    <t>Puglia</t>
  </si>
  <si>
    <t>Campania</t>
  </si>
  <si>
    <t>PRATO ERBOSO SOCIETA' AGRICOLA - SRL</t>
  </si>
  <si>
    <t>04074960719</t>
  </si>
  <si>
    <t>013000</t>
  </si>
  <si>
    <t>Foggia</t>
  </si>
  <si>
    <t>Sardegna</t>
  </si>
  <si>
    <t>016300</t>
  </si>
  <si>
    <t>NATURVENETA - SOCIETA' COOPERATIVA AGRICOLA</t>
  </si>
  <si>
    <t>03692530235</t>
  </si>
  <si>
    <t>Verona</t>
  </si>
  <si>
    <t>Veneto</t>
  </si>
  <si>
    <t>Salerno</t>
  </si>
  <si>
    <t>014100</t>
  </si>
  <si>
    <t>Lombardia</t>
  </si>
  <si>
    <t>CANTINA SOCIALE DI CALASETTA -SOCIETA' COOPERATIVA AGRICOLA IN SI GLA CANTINA DI CALASETTA -SOC.COOP.AGRICOLA</t>
  </si>
  <si>
    <t>00145240925</t>
  </si>
  <si>
    <t>012100</t>
  </si>
  <si>
    <t>Milano</t>
  </si>
  <si>
    <t>SOCIETA' AGRICOLA LA ROCCHETTA S.R.L.</t>
  </si>
  <si>
    <t>03443820968</t>
  </si>
  <si>
    <t>TENUTA CHIRICO SRL SOCIETA' AGRICOLA</t>
  </si>
  <si>
    <t>05841790651</t>
  </si>
  <si>
    <t>012100</t>
  </si>
  <si>
    <t>Campania</t>
  </si>
  <si>
    <t>Foggia</t>
  </si>
  <si>
    <t>Puglia</t>
  </si>
  <si>
    <t>016100</t>
  </si>
  <si>
    <t>Sicilia</t>
  </si>
  <si>
    <t>FRUDESOL SOCIETA' AGRICOLA A R.L.</t>
  </si>
  <si>
    <t>04734690870</t>
  </si>
  <si>
    <t>Ragusa</t>
  </si>
  <si>
    <t>AZIENDA AGRICOLA NIGRO S.R.L.</t>
  </si>
  <si>
    <t>00481840882</t>
  </si>
  <si>
    <t>014700</t>
  </si>
  <si>
    <t>Siena</t>
  </si>
  <si>
    <t>Toscana</t>
  </si>
  <si>
    <t>VIVAI VITICOLI TRENTINI SOCIETA' AGRICOLA R.L.</t>
  </si>
  <si>
    <t>01942630227</t>
  </si>
  <si>
    <t>013000</t>
  </si>
  <si>
    <t>Trento</t>
  </si>
  <si>
    <t>Trentino-Alto Adige</t>
  </si>
  <si>
    <t>PADAGRI AGRICOLA PADOVANA SOCIETA' COOPERATIVA AGRICOLA IN LIQUIDAZIONE</t>
  </si>
  <si>
    <t>01326250287</t>
  </si>
  <si>
    <t>011140</t>
  </si>
  <si>
    <t>Padova</t>
  </si>
  <si>
    <t>Veneto</t>
  </si>
  <si>
    <t>TRE F SOCIETA' COOPERATIVA AGRICOLA</t>
  </si>
  <si>
    <t>03501210714</t>
  </si>
  <si>
    <t>014000</t>
  </si>
  <si>
    <t>Salerno</t>
  </si>
  <si>
    <t>BENESSERE - SOCIETA' COOPERATIVA AGRICOLA</t>
  </si>
  <si>
    <t>04222180657</t>
  </si>
  <si>
    <t>FATTORIA CASABIANCA S.R.L. SOCIETA' AGRICOLA</t>
  </si>
  <si>
    <t>00683470520</t>
  </si>
  <si>
    <t>BERGAMIA SOCIETA' COOPERATIVA AGRICOLA</t>
  </si>
  <si>
    <t>03102380809</t>
  </si>
  <si>
    <t>012300</t>
  </si>
  <si>
    <t>Reggio di Calabria</t>
  </si>
  <si>
    <t>Calabria</t>
  </si>
  <si>
    <t>Lombardia</t>
  </si>
  <si>
    <t>016100</t>
  </si>
  <si>
    <t>SOCIETA' AGRICOLA CASCINA PIROLA S.R.L.</t>
  </si>
  <si>
    <t>08529310156</t>
  </si>
  <si>
    <t>012500</t>
  </si>
  <si>
    <t>Milano</t>
  </si>
  <si>
    <t>TECNICA IMPIANTI FEMIA S.R.L.</t>
  </si>
  <si>
    <t>03127550808</t>
  </si>
  <si>
    <t>016100</t>
  </si>
  <si>
    <t>OLEIFICIO CERICOLA EMILIA SOCIETA' AGRICOLA S.R.L.</t>
  </si>
  <si>
    <t>03958250718</t>
  </si>
  <si>
    <t>012600</t>
  </si>
  <si>
    <t>Foggia</t>
  </si>
  <si>
    <t>Puglia</t>
  </si>
  <si>
    <t>NATURA E GIARDINI - SOCIETA' COOPERATIVA AGRICOLA IN LIQUIDAZIONE</t>
  </si>
  <si>
    <t>02035080684</t>
  </si>
  <si>
    <t>011910</t>
  </si>
  <si>
    <t>Pescara</t>
  </si>
  <si>
    <t>Abruzzo</t>
  </si>
  <si>
    <t>FIGLI RISTOVSKI - SOCIETA' COOPERATIVA</t>
  </si>
  <si>
    <t>03162530046</t>
  </si>
  <si>
    <t>Asti</t>
  </si>
  <si>
    <t>Piemonte</t>
  </si>
  <si>
    <t>Ragusa</t>
  </si>
  <si>
    <t>Sicilia</t>
  </si>
  <si>
    <t>Lombardia</t>
  </si>
  <si>
    <t>Caserta</t>
  </si>
  <si>
    <t>Campania</t>
  </si>
  <si>
    <t>VIVAI GIUSEPPE E FRANCESCO ZANELLA S.R.L.</t>
  </si>
  <si>
    <t>03818720249</t>
  </si>
  <si>
    <t>011929</t>
  </si>
  <si>
    <t>Vicenza</t>
  </si>
  <si>
    <t>Veneto</t>
  </si>
  <si>
    <t>SOCIETA' AGRICOLA CORNALETO S.R.L.</t>
  </si>
  <si>
    <t>02203520982</t>
  </si>
  <si>
    <t>012100</t>
  </si>
  <si>
    <t>Brescia</t>
  </si>
  <si>
    <t>CHUPA CHUPA LIDO SRL</t>
  </si>
  <si>
    <t>01034180883</t>
  </si>
  <si>
    <t>011110</t>
  </si>
  <si>
    <t>BIOVITIS S.R.L.</t>
  </si>
  <si>
    <t>01853040663</t>
  </si>
  <si>
    <t>016100</t>
  </si>
  <si>
    <t>L'Aquila</t>
  </si>
  <si>
    <t>Abruzzo</t>
  </si>
  <si>
    <t>FATTORIA CARPINETO S.R.L. SOCIETA' AGRICOLA</t>
  </si>
  <si>
    <t>03380370613</t>
  </si>
  <si>
    <t>015000</t>
  </si>
  <si>
    <t>SOCIETA' AGRICOLA MONTESPADA SRL</t>
  </si>
  <si>
    <t>01882020207</t>
  </si>
  <si>
    <t>Sassari</t>
  </si>
  <si>
    <t>Sardegna</t>
  </si>
  <si>
    <t>IL POLLENZA SOCIETA' AGRICOLA S.R.L.</t>
  </si>
  <si>
    <t>01429670431</t>
  </si>
  <si>
    <t>Macerata</t>
  </si>
  <si>
    <t>Marche</t>
  </si>
  <si>
    <t>Emilia-Romagna</t>
  </si>
  <si>
    <t>Campania</t>
  </si>
  <si>
    <t>016100</t>
  </si>
  <si>
    <t>Reggio di Calabria</t>
  </si>
  <si>
    <t>Calabria</t>
  </si>
  <si>
    <t>TENUTE DELOGU S.R.L. AGRICOLA</t>
  </si>
  <si>
    <t>02537560902</t>
  </si>
  <si>
    <t>012100</t>
  </si>
  <si>
    <t>Sassari</t>
  </si>
  <si>
    <t>Sardegna</t>
  </si>
  <si>
    <t>Caserta</t>
  </si>
  <si>
    <t>I CASALI DEL PINO SOCIETA' AGRICOLA S.R.L.</t>
  </si>
  <si>
    <t>07948491001</t>
  </si>
  <si>
    <t>011110</t>
  </si>
  <si>
    <t>Roma</t>
  </si>
  <si>
    <t>Lazio</t>
  </si>
  <si>
    <t>SOCIETA' AGRICOLA NAVA S.R.L. DI NAVA GIUSEPPE E SANVITTORI CRISTIAN</t>
  </si>
  <si>
    <t>09172200967</t>
  </si>
  <si>
    <t>014200</t>
  </si>
  <si>
    <t>Monza e della Brianza</t>
  </si>
  <si>
    <t>Lombardia</t>
  </si>
  <si>
    <t>SORRENTINO VINI S.R.L. SOCIETA' AGRICOLA</t>
  </si>
  <si>
    <t>07920321218</t>
  </si>
  <si>
    <t>Napoli</t>
  </si>
  <si>
    <t>Sicilia</t>
  </si>
  <si>
    <t>APICOLTURA MESSIDORO SOCIETA' COOPERATIVA AGRICOLA</t>
  </si>
  <si>
    <t>01609430614</t>
  </si>
  <si>
    <t>014930</t>
  </si>
  <si>
    <t>BIOSICULA' SOCIETA' A RESPONSABILITA' LIMITATA SEMPLIFICATA</t>
  </si>
  <si>
    <t>01894730892</t>
  </si>
  <si>
    <t>012300</t>
  </si>
  <si>
    <t>Siracusa</t>
  </si>
  <si>
    <t>014100</t>
  </si>
  <si>
    <t>PICCOLA SOCIETA' COOPERATIVA P.S.C. TIRRENIA SUD A R.L.</t>
  </si>
  <si>
    <t>02096840802</t>
  </si>
  <si>
    <t>HAPPY DOG DI FAVA FRANCESCO S.R.L.</t>
  </si>
  <si>
    <t>02049210806</t>
  </si>
  <si>
    <t>014990</t>
  </si>
  <si>
    <t>SOCIETA' AGRICOLA COZZANO S.R.L.</t>
  </si>
  <si>
    <t>02687250346</t>
  </si>
  <si>
    <t>Parma</t>
  </si>
  <si>
    <t>IL BOSCHETTO SOCIETA' AGRICOLA S.R.L.</t>
  </si>
  <si>
    <t>05222840968</t>
  </si>
  <si>
    <t>Bergamo</t>
  </si>
  <si>
    <t>Puglia</t>
  </si>
  <si>
    <t>COMUNITA' CRISALIDE SOCIETA' COOPERATIVA AGRICOLA E SOCIALE</t>
  </si>
  <si>
    <t>01928900859</t>
  </si>
  <si>
    <t>011110</t>
  </si>
  <si>
    <t>Caltanissetta</t>
  </si>
  <si>
    <t>Sicilia</t>
  </si>
  <si>
    <t>Foggia</t>
  </si>
  <si>
    <t>015000</t>
  </si>
  <si>
    <t>IL CASOLARE - SOC. COOPERATIVA SOCIALE A R.L.</t>
  </si>
  <si>
    <t>00977260041</t>
  </si>
  <si>
    <t>Cuneo</t>
  </si>
  <si>
    <t>Piemonte</t>
  </si>
  <si>
    <t>COOPERATIVA AGRICOLA VAIRA SOC COOP A MUTUALITA' PREVALENTE ARL</t>
  </si>
  <si>
    <t>03510230711</t>
  </si>
  <si>
    <t>012600</t>
  </si>
  <si>
    <t>011320</t>
  </si>
  <si>
    <t>Ragusa</t>
  </si>
  <si>
    <t>Sicilia</t>
  </si>
  <si>
    <t>ORTITALIA SOCIETA' AGRICOLA S.R.L. IN LIQUIDAZIONE</t>
  </si>
  <si>
    <t>01366530887</t>
  </si>
  <si>
    <t>LUCCIOLA S.R.L. SOCIETA' AGRICOLA</t>
  </si>
  <si>
    <t>03029270240</t>
  </si>
  <si>
    <t>011140</t>
  </si>
  <si>
    <t>Vicenza</t>
  </si>
  <si>
    <t>Veneto</t>
  </si>
  <si>
    <t>AGRICOLA LOMBARDA S.R.L. SOCIETA' AGRICOLA</t>
  </si>
  <si>
    <t>02912980980</t>
  </si>
  <si>
    <t>011000</t>
  </si>
  <si>
    <t>Brescia</t>
  </si>
  <si>
    <t>Lombardia</t>
  </si>
  <si>
    <t>SOCIETA' AGRICOLA FATTORIA LE FONTI S.R.L.</t>
  </si>
  <si>
    <t>00748490166</t>
  </si>
  <si>
    <t>012100</t>
  </si>
  <si>
    <t>Bergamo</t>
  </si>
  <si>
    <t>LA BONTA' DEL SELE SOCIETA' COOPERATIVA AGRICOLA</t>
  </si>
  <si>
    <t>05679120658</t>
  </si>
  <si>
    <t>016209</t>
  </si>
  <si>
    <t>Salerno</t>
  </si>
  <si>
    <t>Campania</t>
  </si>
  <si>
    <t>YAK SOCIETA' AGRICOLA A RESPONSABILITA' LIMITATA</t>
  </si>
  <si>
    <t>01665730675</t>
  </si>
  <si>
    <t>015000</t>
  </si>
  <si>
    <t>Teramo</t>
  </si>
  <si>
    <t>Abruzzo</t>
  </si>
  <si>
    <t>012500</t>
  </si>
  <si>
    <t>016300</t>
  </si>
  <si>
    <t>Catania</t>
  </si>
  <si>
    <t>Sicilia</t>
  </si>
  <si>
    <t>SOLO SOLE SOCIETA' COOPERATIVA AGRICOLA</t>
  </si>
  <si>
    <t>01612310894</t>
  </si>
  <si>
    <t>Siracusa</t>
  </si>
  <si>
    <t>Puglia</t>
  </si>
  <si>
    <t>Roma</t>
  </si>
  <si>
    <t>Lazio</t>
  </si>
  <si>
    <t>COLLINE DEL GIGLIO SOCIETA' AGRICOLA A R.L.</t>
  </si>
  <si>
    <t>02903940597</t>
  </si>
  <si>
    <t>Latina</t>
  </si>
  <si>
    <t>FORTUNATO SOCIETA' AGRICOLA A R.L.</t>
  </si>
  <si>
    <t>07196011006</t>
  </si>
  <si>
    <t>011320</t>
  </si>
  <si>
    <t>011300</t>
  </si>
  <si>
    <t>SOCIETA' AGRICOLA FLORIAMO SRL</t>
  </si>
  <si>
    <t>02921460214</t>
  </si>
  <si>
    <t>011920</t>
  </si>
  <si>
    <t>Bolzano/Bozen</t>
  </si>
  <si>
    <t>Trentino-Alto Adige</t>
  </si>
  <si>
    <t>ORTO MILELLA S.R.L. SOCIETA' AGRICOLA</t>
  </si>
  <si>
    <t>04623300722</t>
  </si>
  <si>
    <t>010000</t>
  </si>
  <si>
    <t>Barletta-Andria-Trani</t>
  </si>
  <si>
    <t>IL CIGNO D'ORO SOCIETA' COOPERATIVA AGRICOLA</t>
  </si>
  <si>
    <t>04048750873</t>
  </si>
  <si>
    <t>012100</t>
  </si>
  <si>
    <t>011300</t>
  </si>
  <si>
    <t>Sicilia</t>
  </si>
  <si>
    <t>TENUTA DI PETRIOLO S.R.L. SOCIETA' AGRICOLA</t>
  </si>
  <si>
    <t>02985710983</t>
  </si>
  <si>
    <t>Brescia</t>
  </si>
  <si>
    <t>Lombardia</t>
  </si>
  <si>
    <t>LA CERRA - SOCIETA' AGRICOLA A RESPONSABILITA' LIMITATA</t>
  </si>
  <si>
    <t>09885151002</t>
  </si>
  <si>
    <t>012000</t>
  </si>
  <si>
    <t>Roma</t>
  </si>
  <si>
    <t>Lazio</t>
  </si>
  <si>
    <t>A.P.S. S.R.L. SOCIETA' AGRICOLA</t>
  </si>
  <si>
    <t>01269730881</t>
  </si>
  <si>
    <t>Ragusa</t>
  </si>
  <si>
    <t>Cuneo</t>
  </si>
  <si>
    <t>Piemonte</t>
  </si>
  <si>
    <t>LA BIOCA S.R.L. AGRICOLA</t>
  </si>
  <si>
    <t>03447080049</t>
  </si>
  <si>
    <t>RELLICH APPLE S.R.L. AGRICOLA</t>
  </si>
  <si>
    <t>04446240238</t>
  </si>
  <si>
    <t>012400</t>
  </si>
  <si>
    <t>Verona</t>
  </si>
  <si>
    <t>Veneto</t>
  </si>
  <si>
    <t>Varese</t>
  </si>
  <si>
    <t>CAVE MONT BLANC DE MORGEX ET LA SALLE SOC.COOP.</t>
  </si>
  <si>
    <t>00177390077</t>
  </si>
  <si>
    <t>Valle d'Aosta/Vallée d'Aoste</t>
  </si>
  <si>
    <t>MINIZOO S.R.L.</t>
  </si>
  <si>
    <t>02519260125</t>
  </si>
  <si>
    <t>014000</t>
  </si>
  <si>
    <t>RES VIVA S.R.L.</t>
  </si>
  <si>
    <t>04314790652</t>
  </si>
  <si>
    <t>011310</t>
  </si>
  <si>
    <t>Salerno</t>
  </si>
  <si>
    <t>Campania</t>
  </si>
  <si>
    <t>016100</t>
  </si>
  <si>
    <t>Lombardia</t>
  </si>
  <si>
    <t>CIANI GAETANO AZIENDA AGRICOLA S.R.L.</t>
  </si>
  <si>
    <t>11946101000</t>
  </si>
  <si>
    <t>014000</t>
  </si>
  <si>
    <t>Roma</t>
  </si>
  <si>
    <t>Lazio</t>
  </si>
  <si>
    <t>CANTINA LANGELINA SOCIETA' AGRICOLA S.R.L.</t>
  </si>
  <si>
    <t>02422520425</t>
  </si>
  <si>
    <t>012100</t>
  </si>
  <si>
    <t>Ancona</t>
  </si>
  <si>
    <t>Marche</t>
  </si>
  <si>
    <t>SOCIETA' AGRICOLA ERNESTO MOJOLI &amp; C. SRL</t>
  </si>
  <si>
    <t>00875241002</t>
  </si>
  <si>
    <t>011110</t>
  </si>
  <si>
    <t>MADRE TERRA SRL SOCIETA' AGRICOLA</t>
  </si>
  <si>
    <t>04175410168</t>
  </si>
  <si>
    <t>Bergamo</t>
  </si>
  <si>
    <t>Puglia</t>
  </si>
  <si>
    <t>011000</t>
  </si>
  <si>
    <t>Emilia-Romagna</t>
  </si>
  <si>
    <t>011310</t>
  </si>
  <si>
    <t>Toscana</t>
  </si>
  <si>
    <t>Sicilia</t>
  </si>
  <si>
    <t>GARDEN MATTARANA SOCIETA' AGRICOLA COOPERATIVA</t>
  </si>
  <si>
    <t>04270210232</t>
  </si>
  <si>
    <t>011920</t>
  </si>
  <si>
    <t>Verona</t>
  </si>
  <si>
    <t>Veneto</t>
  </si>
  <si>
    <t>ESECUZIONE VERDE SOCIETA' AGRICOLA A R.L.</t>
  </si>
  <si>
    <t>03664220724</t>
  </si>
  <si>
    <t>016100</t>
  </si>
  <si>
    <t>Bari</t>
  </si>
  <si>
    <t>Lazio</t>
  </si>
  <si>
    <t>SOCIETA' AGRICOLA BERTINGA S.R.L.</t>
  </si>
  <si>
    <t>01387140526</t>
  </si>
  <si>
    <t>012100</t>
  </si>
  <si>
    <t>Siena</t>
  </si>
  <si>
    <t>Calabria</t>
  </si>
  <si>
    <t>SOCIETA' AGRICOLA SANT'ILARIO S.R.L.</t>
  </si>
  <si>
    <t>01019330529</t>
  </si>
  <si>
    <t>Catania</t>
  </si>
  <si>
    <t>AGRITEC - SOCIETA' COOPERATIVA</t>
  </si>
  <si>
    <t>01159960770</t>
  </si>
  <si>
    <t>Matera</t>
  </si>
  <si>
    <t>Basilicata</t>
  </si>
  <si>
    <t>PRIVITERA SOCIETA' COOPERATIVA AGRICOLA</t>
  </si>
  <si>
    <t>04799740875</t>
  </si>
  <si>
    <t>014930</t>
  </si>
  <si>
    <t>CALAFOMA S.R.L. SOCIETA' AGRICOLA</t>
  </si>
  <si>
    <t>04396610406</t>
  </si>
  <si>
    <t>Forlì-Cesena</t>
  </si>
  <si>
    <t>ARMANIA AZIENDA AGRICOLA SRL</t>
  </si>
  <si>
    <t>02145470783</t>
  </si>
  <si>
    <t>Cosenza</t>
  </si>
  <si>
    <t>NOVAPLANT SOCIETA' A RESPONSABILITA' LIMITATA IN FORMA ABBREVIATA NOVAPLANT S.R.L.</t>
  </si>
  <si>
    <t>02276410590</t>
  </si>
  <si>
    <t>011910</t>
  </si>
  <si>
    <t>Latina</t>
  </si>
  <si>
    <t>Caserta</t>
  </si>
  <si>
    <t>Campania</t>
  </si>
  <si>
    <t>Toscana</t>
  </si>
  <si>
    <t>SOCIETA' COOPERATIVA AGRICOLA BELFRUTTA</t>
  </si>
  <si>
    <t>03474000613</t>
  </si>
  <si>
    <t>011300</t>
  </si>
  <si>
    <t>PODERE CHINO SOCIETA' AGRICOLA SRL</t>
  </si>
  <si>
    <t>03574440248</t>
  </si>
  <si>
    <t>012600</t>
  </si>
  <si>
    <t>Grosseto</t>
  </si>
  <si>
    <t>AZIENDA AGRICOLA ORTORANCIA SOCIETA' COOPERATIVA</t>
  </si>
  <si>
    <t>01670330438</t>
  </si>
  <si>
    <t>011140</t>
  </si>
  <si>
    <t>Macerata</t>
  </si>
  <si>
    <t>Marche</t>
  </si>
  <si>
    <t>012100</t>
  </si>
  <si>
    <t>SOCIETA' AGRICOLA IL CASTAGNO - S.R.L.</t>
  </si>
  <si>
    <t>00708870522</t>
  </si>
  <si>
    <t>Siena</t>
  </si>
  <si>
    <t>GIACCHINI SOCIETA' AGRICOLA A R.L.</t>
  </si>
  <si>
    <t>02328670415</t>
  </si>
  <si>
    <t>011990</t>
  </si>
  <si>
    <t>Pesaro Urbino</t>
  </si>
  <si>
    <t>SI PUO' FARE SOCIETA' COOPERATIVA SOCIALE - ONLUS</t>
  </si>
  <si>
    <t>01797190897</t>
  </si>
  <si>
    <t>012500</t>
  </si>
  <si>
    <t>Siracusa</t>
  </si>
  <si>
    <t>Sicilia</t>
  </si>
  <si>
    <t>Foggia</t>
  </si>
  <si>
    <t>Puglia</t>
  </si>
  <si>
    <t>Calabria</t>
  </si>
  <si>
    <t>SALENTO VERDE S.R.L. - SOCIETA' AGRICOLA</t>
  </si>
  <si>
    <t>04596340754</t>
  </si>
  <si>
    <t>016100</t>
  </si>
  <si>
    <t>Lecce</t>
  </si>
  <si>
    <t>AGRIWATT SOCIETA A RESPONSABILITA' LIMITATA</t>
  </si>
  <si>
    <t>03357540925</t>
  </si>
  <si>
    <t>012900</t>
  </si>
  <si>
    <t>Milano</t>
  </si>
  <si>
    <t>Lombardia</t>
  </si>
  <si>
    <t>CANTINE LENTO SOCIETA' COOPERATIVA</t>
  </si>
  <si>
    <t>00727320798</t>
  </si>
  <si>
    <t>012100</t>
  </si>
  <si>
    <t>Catanzaro</t>
  </si>
  <si>
    <t>Lazio</t>
  </si>
  <si>
    <t>VELINIA PER L'INCREMENTO E LA VALORIZZAZIONE DEI PRODOTTI BOSCHIVI SOCIETA' COOPERATIVA A RESPONSABILITA' LIMITATA</t>
  </si>
  <si>
    <t>00122330574</t>
  </si>
  <si>
    <t>Rieti</t>
  </si>
  <si>
    <t>SOCIETA' COOPERATIVA AGRICOLA CASTIGLIONE</t>
  </si>
  <si>
    <t>02233420716</t>
  </si>
  <si>
    <t>016000</t>
  </si>
  <si>
    <t>AGRICOLTORI CONSAPEVOLI SOCIETA' AGRICOLA COOPERATIVA</t>
  </si>
  <si>
    <t>10537770017</t>
  </si>
  <si>
    <t>016300</t>
  </si>
  <si>
    <t>Torino</t>
  </si>
  <si>
    <t>Piemonte</t>
  </si>
  <si>
    <t>011310</t>
  </si>
  <si>
    <t>Foggia</t>
  </si>
  <si>
    <t>Puglia</t>
  </si>
  <si>
    <t>Roma</t>
  </si>
  <si>
    <t>Lazio</t>
  </si>
  <si>
    <t>011300</t>
  </si>
  <si>
    <t>Salerno</t>
  </si>
  <si>
    <t>Campania</t>
  </si>
  <si>
    <t>CASTELLO DI PETROIA S.R.L. - SOCIETA' AGRICOLA</t>
  </si>
  <si>
    <t>03519450542</t>
  </si>
  <si>
    <t>015000</t>
  </si>
  <si>
    <t>Perugia</t>
  </si>
  <si>
    <t>Umbria</t>
  </si>
  <si>
    <t>LUNA VERDE COOPERATIVA AGRICOLA</t>
  </si>
  <si>
    <t>03586270716</t>
  </si>
  <si>
    <t>TENUTA FORNACE SOCIETA' AGRICOLA A R.L.</t>
  </si>
  <si>
    <t>02362790186</t>
  </si>
  <si>
    <t>012100</t>
  </si>
  <si>
    <t>Pavia</t>
  </si>
  <si>
    <t>Lombardia</t>
  </si>
  <si>
    <t>COOPERATIVA ALLEVATORI BESTIAME C.A.B.</t>
  </si>
  <si>
    <t>00317000099</t>
  </si>
  <si>
    <t>016200</t>
  </si>
  <si>
    <t>Savona</t>
  </si>
  <si>
    <t>Liguria</t>
  </si>
  <si>
    <t>ACAM S.R.L. SOCIETA' AGRICOLA</t>
  </si>
  <si>
    <t>05722620654</t>
  </si>
  <si>
    <t>SOCIETA' COOPERATIVA AGRICOLA NUOVA CANTINA SOCIALE DI GENAZZANO</t>
  </si>
  <si>
    <t>02300361009</t>
  </si>
  <si>
    <t>SOCIETA' AGRICOLA VIVAI MARINO S.R.L.</t>
  </si>
  <si>
    <t>05551170656</t>
  </si>
  <si>
    <t>013000</t>
  </si>
  <si>
    <t>SCOPONE SOCIETA' AGRICOLA - S.R.L.</t>
  </si>
  <si>
    <t>00715240529</t>
  </si>
  <si>
    <t>Siena</t>
  </si>
  <si>
    <t>Toscana</t>
  </si>
  <si>
    <t>016300</t>
  </si>
  <si>
    <t>Puglia</t>
  </si>
  <si>
    <t>011310</t>
  </si>
  <si>
    <t>Foggia</t>
  </si>
  <si>
    <t>Piemonte</t>
  </si>
  <si>
    <t>CANTINE DEI COLLI NOVARESI - SOCIETA' COOPERATIVA AGRICOLA</t>
  </si>
  <si>
    <t>00121110035</t>
  </si>
  <si>
    <t>012100</t>
  </si>
  <si>
    <t>Novara</t>
  </si>
  <si>
    <t>Lazio</t>
  </si>
  <si>
    <t>Sicilia</t>
  </si>
  <si>
    <t>Catania</t>
  </si>
  <si>
    <t>Roma</t>
  </si>
  <si>
    <t>COSTA SERVICE SOCIETA'AGRICOLA S.R.L.</t>
  </si>
  <si>
    <t>04003280718</t>
  </si>
  <si>
    <t>012000</t>
  </si>
  <si>
    <t>FRUTTI DI SICILIA SOCIETA' COOPERATIVA</t>
  </si>
  <si>
    <t>01640940894</t>
  </si>
  <si>
    <t>015000</t>
  </si>
  <si>
    <t>Siracusa</t>
  </si>
  <si>
    <t>Verona</t>
  </si>
  <si>
    <t>Veneto</t>
  </si>
  <si>
    <t>GEA SOCIETA' COOPERATIVA AGRICOLA</t>
  </si>
  <si>
    <t>05381110872</t>
  </si>
  <si>
    <t>MAVER S.R.L.</t>
  </si>
  <si>
    <t>02093080238</t>
  </si>
  <si>
    <t>CANTINA SOCIALE DI MONTEPORZIO CATONE SOCIETA' COOPERATIVA IN LIQUIDAZIONE</t>
  </si>
  <si>
    <t>00907211007</t>
  </si>
  <si>
    <t>DELIZIE DELL'ETNA - SOCIETA' COOPERATIVA</t>
  </si>
  <si>
    <t>03866690872</t>
  </si>
  <si>
    <t>016000</t>
  </si>
  <si>
    <t>Catania</t>
  </si>
  <si>
    <t>Sicilia</t>
  </si>
  <si>
    <t>016100</t>
  </si>
  <si>
    <t>011300</t>
  </si>
  <si>
    <t>Ragusa</t>
  </si>
  <si>
    <t>Campania</t>
  </si>
  <si>
    <t>Napoli</t>
  </si>
  <si>
    <t>SANT'ANTONIO-PICCOLA SOCIETA' COOPERATIVA AGRICOLA-BIOLOGICA</t>
  </si>
  <si>
    <t>00988300703</t>
  </si>
  <si>
    <t>Campobasso</t>
  </si>
  <si>
    <t>Molise</t>
  </si>
  <si>
    <t>PINETTI IRRIGATION SYSTEM SRL</t>
  </si>
  <si>
    <t>01520360882</t>
  </si>
  <si>
    <t>COOPERATIVA FLORICULTORI CAMPANI A R.L.</t>
  </si>
  <si>
    <t>04030321212</t>
  </si>
  <si>
    <t>011900</t>
  </si>
  <si>
    <t>ROSAN FRUIT S.R.L.</t>
  </si>
  <si>
    <t>04399970872</t>
  </si>
  <si>
    <t>011110</t>
  </si>
  <si>
    <t>C.T.R. - SOCIETA' COOPERATIVA AGRICOLA</t>
  </si>
  <si>
    <t>00141730408</t>
  </si>
  <si>
    <t>Forlì-Cesena</t>
  </si>
  <si>
    <t>Emilia-Romagna</t>
  </si>
  <si>
    <t>Foggia</t>
  </si>
  <si>
    <t>Puglia</t>
  </si>
  <si>
    <t>EUROINVEST ITALIA S.R.L.</t>
  </si>
  <si>
    <t>02035340716</t>
  </si>
  <si>
    <t>011910</t>
  </si>
  <si>
    <t>Puglia</t>
  </si>
  <si>
    <t>016100</t>
  </si>
  <si>
    <t>Piemonte</t>
  </si>
  <si>
    <t>Roma</t>
  </si>
  <si>
    <t>Lazio</t>
  </si>
  <si>
    <t>VALLE DEL MARRO - LIBERA TERRA - SOCIETA' COOPERATIVA SOCIALE</t>
  </si>
  <si>
    <t>02310840802</t>
  </si>
  <si>
    <t>012600</t>
  </si>
  <si>
    <t>Reggio di Calabria</t>
  </si>
  <si>
    <t>Calabria</t>
  </si>
  <si>
    <t>Catania</t>
  </si>
  <si>
    <t>Sicilia</t>
  </si>
  <si>
    <t>Cosenza</t>
  </si>
  <si>
    <t>ZAFFERANO E SPEZIE DI SARDEGNA SOCIETA' AGRICOLA A RESPONSABILITA' LIMITATA O CON DENOMINAZIONE ABBREVIATA ZAFFERANO E SPEZIE DI SARDEGNA S.R.L. AGRICOLA</t>
  </si>
  <si>
    <t>03548420920</t>
  </si>
  <si>
    <t>012800</t>
  </si>
  <si>
    <t>Sardegna</t>
  </si>
  <si>
    <t>CANTINA COOPERATIVA VILLA DI TIRANO E BIANZONE SOCIETA' COOPERATI VA AGRICOLA</t>
  </si>
  <si>
    <t>00050190149</t>
  </si>
  <si>
    <t>012100</t>
  </si>
  <si>
    <t>Sondrio</t>
  </si>
  <si>
    <t>Lombardia</t>
  </si>
  <si>
    <t>012500</t>
  </si>
  <si>
    <t>BLANCO S.R.L.</t>
  </si>
  <si>
    <t>01892900851</t>
  </si>
  <si>
    <t>011310</t>
  </si>
  <si>
    <t>Caltanissetta</t>
  </si>
  <si>
    <t>SOCIETA' AGRICOLA TORREGROSSA A R.L.</t>
  </si>
  <si>
    <t>01270590894</t>
  </si>
  <si>
    <t>011110</t>
  </si>
  <si>
    <t>CANTINA VALBIFERNO SOCIETA' COOPERATIVA AGRICOLA</t>
  </si>
  <si>
    <t>00101690709</t>
  </si>
  <si>
    <t>Campobasso</t>
  </si>
  <si>
    <t>Molise</t>
  </si>
  <si>
    <t>014600</t>
  </si>
  <si>
    <t>NATURAMICA SOCIETA' COOPERATIVA SOCIALE</t>
  </si>
  <si>
    <t>02584060830</t>
  </si>
  <si>
    <t>Messina</t>
  </si>
  <si>
    <t>SOCIETA' AGRICOLA PIEMONTESE S.R.L.</t>
  </si>
  <si>
    <t>10768500018</t>
  </si>
  <si>
    <t>Torino</t>
  </si>
  <si>
    <t>SOCIETA' COOPERATIVA AGRICOLA IL TAVOLIERE IN LIQUIDAZIONE</t>
  </si>
  <si>
    <t>03613610710</t>
  </si>
  <si>
    <t>ORTI DEI MONTI SOCIETA' COOPERATIVA</t>
  </si>
  <si>
    <t>02743710788</t>
  </si>
  <si>
    <t>015000</t>
  </si>
  <si>
    <t>I FRUTTI DELL'ETNA SOCIETA' AGRICOLA A R.L.</t>
  </si>
  <si>
    <t>05192400876</t>
  </si>
  <si>
    <t>Calabria</t>
  </si>
  <si>
    <t>Messina</t>
  </si>
  <si>
    <t>Sicilia</t>
  </si>
  <si>
    <t>MARLAT S.R.L.</t>
  </si>
  <si>
    <t>03286030832</t>
  </si>
  <si>
    <t>014200</t>
  </si>
  <si>
    <t>012100</t>
  </si>
  <si>
    <t>016300</t>
  </si>
  <si>
    <t>012600</t>
  </si>
  <si>
    <t>011000</t>
  </si>
  <si>
    <t>AROMI VERDOLIVA S.R.L.</t>
  </si>
  <si>
    <t>12240360011</t>
  </si>
  <si>
    <t>Torino</t>
  </si>
  <si>
    <t>Piemonte</t>
  </si>
  <si>
    <t>TENUTA MATTEI S.R.L.</t>
  </si>
  <si>
    <t>02676320423</t>
  </si>
  <si>
    <t>Ancona</t>
  </si>
  <si>
    <t>Marche</t>
  </si>
  <si>
    <t>OLIO VERDE S.R.L.</t>
  </si>
  <si>
    <t>01587740810</t>
  </si>
  <si>
    <t>Trapani</t>
  </si>
  <si>
    <t>LINEAVERDE S.R.L.</t>
  </si>
  <si>
    <t>02541430928</t>
  </si>
  <si>
    <t>Cagliari</t>
  </si>
  <si>
    <t>Sardegna</t>
  </si>
  <si>
    <t>SOCIETA' AGRICOLA KROTONESE - SOCIETA' A RESPONSABILITA' LIMITATA (IN SIGLA SAK S.R.L.)</t>
  </si>
  <si>
    <t>02408700793</t>
  </si>
  <si>
    <t>Crotone</t>
  </si>
  <si>
    <t>016100</t>
  </si>
  <si>
    <t>Toscana</t>
  </si>
  <si>
    <t>IMMOBILIARE AGRICOLA S. GEMIGNANELLO - S.P.A.</t>
  </si>
  <si>
    <t>01152880488</t>
  </si>
  <si>
    <t>014100</t>
  </si>
  <si>
    <t>Firenze</t>
  </si>
  <si>
    <t>AZIENDA AGRICOLA GRIFALCO - SOCIETA' AGRICOLA A RESPONSABILITA' LIMITATA</t>
  </si>
  <si>
    <t>01803950763</t>
  </si>
  <si>
    <t>012100</t>
  </si>
  <si>
    <t>Potenza</t>
  </si>
  <si>
    <t>Basilicata</t>
  </si>
  <si>
    <t>GELSO S.R.L. - SOCIETA' AGRICOLA</t>
  </si>
  <si>
    <t>03546700125</t>
  </si>
  <si>
    <t>011910</t>
  </si>
  <si>
    <t>Varese</t>
  </si>
  <si>
    <t>Lombardia</t>
  </si>
  <si>
    <t>012600</t>
  </si>
  <si>
    <t>PODERE CASTELLARE - SOCIETA' AGRICOLA A RESPONSABILITA' LIMITATA</t>
  </si>
  <si>
    <t>05242880481</t>
  </si>
  <si>
    <t>TRESOCI SOCIETA' COOPERATIVA</t>
  </si>
  <si>
    <t>03782770980</t>
  </si>
  <si>
    <t>Brescia</t>
  </si>
  <si>
    <t>CANTINA SOCIALE PERUSIA SOCIETA' COOPERATIVA AGRICOLA</t>
  </si>
  <si>
    <t>00197960545</t>
  </si>
  <si>
    <t>Perugia</t>
  </si>
  <si>
    <t>Umbria</t>
  </si>
  <si>
    <t>Avellino</t>
  </si>
  <si>
    <t>Campania</t>
  </si>
  <si>
    <t>Salerno</t>
  </si>
  <si>
    <t>Lazio</t>
  </si>
  <si>
    <t>EUROGREEN - SOCIETA' AGRICOLA S.R.L.</t>
  </si>
  <si>
    <t>03511991212</t>
  </si>
  <si>
    <t>013000</t>
  </si>
  <si>
    <t>Latina</t>
  </si>
  <si>
    <t>PATRONE S.R.L. - SOCIETA' AGRICOLA</t>
  </si>
  <si>
    <t>02678620648</t>
  </si>
  <si>
    <t>012000</t>
  </si>
  <si>
    <t>AGRICOLA MAZZEO SOCIETA' COOPERATIVA</t>
  </si>
  <si>
    <t>05388460650</t>
  </si>
  <si>
    <t>011910</t>
  </si>
  <si>
    <t>PECORINO BAGNOLESE SOCIETA' COOPERATIVA AGRICOLA A R.L.</t>
  </si>
  <si>
    <t>02613650643</t>
  </si>
  <si>
    <t>014500</t>
  </si>
  <si>
    <t>SOCIETA' AGRICOLA VIVAISTICA TIPALDI PIANTE S.R.L.</t>
  </si>
  <si>
    <t>04538170657</t>
  </si>
  <si>
    <t>011310</t>
  </si>
  <si>
    <t>Salerno</t>
  </si>
  <si>
    <t>Campania</t>
  </si>
  <si>
    <t>SOCIETA' AGRICOLA LATTE MARINI SRL</t>
  </si>
  <si>
    <t>02062420563</t>
  </si>
  <si>
    <t>014100</t>
  </si>
  <si>
    <t>Viterbo</t>
  </si>
  <si>
    <t>Lazio</t>
  </si>
  <si>
    <t>F.LLI PLUCHINO S.R.L.</t>
  </si>
  <si>
    <t>01495930883</t>
  </si>
  <si>
    <t>011320</t>
  </si>
  <si>
    <t>Ragusa</t>
  </si>
  <si>
    <t>Sicilia</t>
  </si>
  <si>
    <t>Lombardia</t>
  </si>
  <si>
    <t>EKSTRA SOCIETA' AGRICOLA SRL</t>
  </si>
  <si>
    <t>04067880163</t>
  </si>
  <si>
    <t>Bergamo</t>
  </si>
  <si>
    <t>012000</t>
  </si>
  <si>
    <t>SOCIETA' AGRICOLA TORRE RIVERA - SOCIETA' A RESPONSABILITA' LIMITATA</t>
  </si>
  <si>
    <t>07021880724</t>
  </si>
  <si>
    <t>Bari</t>
  </si>
  <si>
    <t>Puglia</t>
  </si>
  <si>
    <t>012100</t>
  </si>
  <si>
    <t>VILLA PAPIANO SOCIETA' AGRICOLA SRL</t>
  </si>
  <si>
    <t>02062350398</t>
  </si>
  <si>
    <t>Forlì-Cesena</t>
  </si>
  <si>
    <t>Emilia-Romagna</t>
  </si>
  <si>
    <t>016100</t>
  </si>
  <si>
    <t>Palermo</t>
  </si>
  <si>
    <t>Sicilia</t>
  </si>
  <si>
    <t>Sardegna</t>
  </si>
  <si>
    <t>APOLLO - SOCIETA' COOPERATIVA AGRICOLA-ZOOTECNICA</t>
  </si>
  <si>
    <t>01841330895</t>
  </si>
  <si>
    <t>Siracusa</t>
  </si>
  <si>
    <t>Lazio</t>
  </si>
  <si>
    <t>AGRIBENE S.R.L. - SOCIETA' AGRICOLA</t>
  </si>
  <si>
    <t>01410400939</t>
  </si>
  <si>
    <t>012100</t>
  </si>
  <si>
    <t>Treviso</t>
  </si>
  <si>
    <t>Veneto</t>
  </si>
  <si>
    <t>AZ. AGRICOLA NUOVA PASSOLATO S.R.L.S.</t>
  </si>
  <si>
    <t>01695330884</t>
  </si>
  <si>
    <t>015000</t>
  </si>
  <si>
    <t>Ragusa</t>
  </si>
  <si>
    <t>LA RASENNA SOCIETA' AGRICOLA A R. L.</t>
  </si>
  <si>
    <t>11658901001</t>
  </si>
  <si>
    <t>Roma</t>
  </si>
  <si>
    <t>011140</t>
  </si>
  <si>
    <t>ARGEI LE FATTORIE RENOLIA S.R.L. SOCIETA' AGRICOLA</t>
  </si>
  <si>
    <t>01214240911</t>
  </si>
  <si>
    <t>BOSCO FICUZZA - AZIENDA AGRICOLA BIOLOGICA SOCIETA' COOPERATIVA</t>
  </si>
  <si>
    <t>04621740820</t>
  </si>
  <si>
    <t>012600</t>
  </si>
  <si>
    <t>VIFRA SOCIETA' AGRICOLA S.R.L.</t>
  </si>
  <si>
    <t>14108221004</t>
  </si>
  <si>
    <t>011920</t>
  </si>
  <si>
    <t>COOPERATIVA AGRICOLA LA CONTADINA SOCIETA' COOPERATIVA ABBREVIABILE IN COOPERATIVA AGRICOLA LA CONTADINA SOC.COOP.</t>
  </si>
  <si>
    <t>03680380361</t>
  </si>
  <si>
    <t>011140</t>
  </si>
  <si>
    <t>Modena</t>
  </si>
  <si>
    <t>Emilia-Romagna</t>
  </si>
  <si>
    <t>RESIDENCE LAURITO SRL</t>
  </si>
  <si>
    <t>01842140749</t>
  </si>
  <si>
    <t>011000</t>
  </si>
  <si>
    <t>Brindisi</t>
  </si>
  <si>
    <t>Puglia</t>
  </si>
  <si>
    <t>Veneto</t>
  </si>
  <si>
    <t>BIOELIX S.R.L.</t>
  </si>
  <si>
    <t>05078240289</t>
  </si>
  <si>
    <t>011600</t>
  </si>
  <si>
    <t>Padova</t>
  </si>
  <si>
    <t>SOCIETA' AGRICOLA LA FACCENDA SRL</t>
  </si>
  <si>
    <t>01367670492</t>
  </si>
  <si>
    <t>012900</t>
  </si>
  <si>
    <t>Milano</t>
  </si>
  <si>
    <t>Lombardia</t>
  </si>
  <si>
    <t>Campania</t>
  </si>
  <si>
    <t>Calabria</t>
  </si>
  <si>
    <t>SOCIETA' AGRICOLA CA' DEI FAGGI S.R.L.</t>
  </si>
  <si>
    <t>02824620302</t>
  </si>
  <si>
    <t>012100</t>
  </si>
  <si>
    <t>Udine</t>
  </si>
  <si>
    <t>Friuli-Venezia Giulia</t>
  </si>
  <si>
    <t>Emilia-Romagna</t>
  </si>
  <si>
    <t>SOCIETA' AGRICOLA MORREALE AGNELLO S.R.L.</t>
  </si>
  <si>
    <t>05833170821</t>
  </si>
  <si>
    <t>Agrigento</t>
  </si>
  <si>
    <t>Sicilia</t>
  </si>
  <si>
    <t>AGRITUR FASSI SOCIETA' COOPERATIVA AGRICOLA A.R.L.</t>
  </si>
  <si>
    <t>00864100797</t>
  </si>
  <si>
    <t>010000</t>
  </si>
  <si>
    <t>Catanzaro</t>
  </si>
  <si>
    <t>Puglia</t>
  </si>
  <si>
    <t>JFLOWER S.R.L. SOCIETA' AGRICOLA</t>
  </si>
  <si>
    <t>04454260276</t>
  </si>
  <si>
    <t>012900</t>
  </si>
  <si>
    <t>Barletta-Andria-Trani</t>
  </si>
  <si>
    <t>MI.SA.GI. SOCIETA' AGRICOLA S.R.L.</t>
  </si>
  <si>
    <t>05535101215</t>
  </si>
  <si>
    <t>012500</t>
  </si>
  <si>
    <t>Napoli</t>
  </si>
  <si>
    <t>ABIO SAPORI MURGIA - SOCIETA' COOPERATIVA AGRICOLA</t>
  </si>
  <si>
    <t>05348130724</t>
  </si>
  <si>
    <t>011300</t>
  </si>
  <si>
    <t>SOCIETA' AGRICOLA SANT'EGIDIO S.R.L.</t>
  </si>
  <si>
    <t>00698201209</t>
  </si>
  <si>
    <t>013000</t>
  </si>
  <si>
    <t>Bologna</t>
  </si>
  <si>
    <t>TENUTA COSTE GHIRLANDA - SOC. AGRICOLA A RESPONSABILITA' LIMITATA</t>
  </si>
  <si>
    <t>02417060817</t>
  </si>
  <si>
    <t>012100</t>
  </si>
  <si>
    <t>Trapani</t>
  </si>
  <si>
    <t>Sicilia</t>
  </si>
  <si>
    <t>AGRICOLA OTTOVENTI S.R.L.</t>
  </si>
  <si>
    <t>01900050814</t>
  </si>
  <si>
    <t>012000</t>
  </si>
  <si>
    <t>016100</t>
  </si>
  <si>
    <t>Matera</t>
  </si>
  <si>
    <t>Basilicata</t>
  </si>
  <si>
    <t>IL QUARTO MIGLIO S.R.L.</t>
  </si>
  <si>
    <t>04918251218</t>
  </si>
  <si>
    <t>012100</t>
  </si>
  <si>
    <t>Napoli</t>
  </si>
  <si>
    <t>Campania</t>
  </si>
  <si>
    <t>RINNOVAMENTO AGRICOLO DEL SANGRO - RI.A.S. - SOCIETA' COOPERATI- VA AGRICOLA A RESPONSABILITA' LIMITATA</t>
  </si>
  <si>
    <t>00122990690</t>
  </si>
  <si>
    <t>012000</t>
  </si>
  <si>
    <t>Chieti</t>
  </si>
  <si>
    <t>Abruzzo</t>
  </si>
  <si>
    <t>VILLA BAGNOLO SOCIETA' AGRICOLA A RESPONSABILITA' LIMITATA</t>
  </si>
  <si>
    <t>04090030406</t>
  </si>
  <si>
    <t>Forlì-Cesena</t>
  </si>
  <si>
    <t>Emilia-Romagna</t>
  </si>
  <si>
    <t>MASSERIA ZOOTECNICA VIVIANO SOCIETA' AGRICOLA A RESPONSABILITA' LIMITATA SEMPLIFICATA</t>
  </si>
  <si>
    <t>01338320771</t>
  </si>
  <si>
    <t>015000</t>
  </si>
  <si>
    <t>SAN GIOVENALE AGRICOLA S.R.L.</t>
  </si>
  <si>
    <t>09125151002</t>
  </si>
  <si>
    <t>011120</t>
  </si>
  <si>
    <t>Roma</t>
  </si>
  <si>
    <t>Lazio</t>
  </si>
  <si>
    <t>TENIMENTI BORGIA S.R.L. SOCIETA' AGRICOLA</t>
  </si>
  <si>
    <t>02137100984</t>
  </si>
  <si>
    <t>Rieti</t>
  </si>
  <si>
    <t>COOP. VERDE VIGLIANTI</t>
  </si>
  <si>
    <t>02483300600</t>
  </si>
  <si>
    <t>Frosinone</t>
  </si>
  <si>
    <t>AGRIDAUNIA SOCIETA' COOPERATIVA</t>
  </si>
  <si>
    <t>03914100718</t>
  </si>
  <si>
    <t>016100</t>
  </si>
  <si>
    <t>Foggia</t>
  </si>
  <si>
    <t>Puglia</t>
  </si>
  <si>
    <t>Lazio</t>
  </si>
  <si>
    <t>ERI S.R.L. SOCIETA' AGRICOLA</t>
  </si>
  <si>
    <t>00964010524</t>
  </si>
  <si>
    <t>012100</t>
  </si>
  <si>
    <t>Siena</t>
  </si>
  <si>
    <t>Toscana</t>
  </si>
  <si>
    <t>Terni</t>
  </si>
  <si>
    <t>Umbria</t>
  </si>
  <si>
    <t>AZIENDA AGRICOLA MONTALBANO S.P.A.</t>
  </si>
  <si>
    <t>01243720552</t>
  </si>
  <si>
    <t>011310</t>
  </si>
  <si>
    <t>CESARE VERGARI S.R.L. - SOCIETA' AGRICOLA</t>
  </si>
  <si>
    <t>04219010750</t>
  </si>
  <si>
    <t>012600</t>
  </si>
  <si>
    <t>Lecce</t>
  </si>
  <si>
    <t>Brindisi</t>
  </si>
  <si>
    <t>M.M. FRUTTA SOCIETA' A RESPONSABILITA' LIMITATA SEMPLIFICATA</t>
  </si>
  <si>
    <t>02590350746</t>
  </si>
  <si>
    <t>011300</t>
  </si>
  <si>
    <t>CASA LUCA S.R.L.S.</t>
  </si>
  <si>
    <t>14347561004</t>
  </si>
  <si>
    <t>014990</t>
  </si>
  <si>
    <t>Roma</t>
  </si>
  <si>
    <t>L'INCORONATA SOCIETA' COOPERATIVA AGRICOLA</t>
  </si>
  <si>
    <t>03047620715</t>
  </si>
  <si>
    <t>010000</t>
  </si>
  <si>
    <t>ACQUA &amp; TERRA S.R.L.</t>
  </si>
  <si>
    <t>09288441000</t>
  </si>
  <si>
    <t>Puglia</t>
  </si>
  <si>
    <t>012100</t>
  </si>
  <si>
    <t>Emilia-Romagna</t>
  </si>
  <si>
    <t>Campania</t>
  </si>
  <si>
    <t>COOPERATIVA AGRICOLA MONTEMERCOLE - SOCIETA' AGRICOLA COOPERATIVA</t>
  </si>
  <si>
    <t>01294190515</t>
  </si>
  <si>
    <t>011990</t>
  </si>
  <si>
    <t>Arezzo</t>
  </si>
  <si>
    <t>Toscana</t>
  </si>
  <si>
    <t>SOCIETA' AGRICOLA TENUTA DEL VARCO SOCIETA' A RESPONSABILITA' LIMITATA</t>
  </si>
  <si>
    <t>01028540571</t>
  </si>
  <si>
    <t>010000</t>
  </si>
  <si>
    <t>Rieti</t>
  </si>
  <si>
    <t>Lazio</t>
  </si>
  <si>
    <t>SOCIETA' AGRICOLA AGRI BUFALA S.R.L.</t>
  </si>
  <si>
    <t>01570130706</t>
  </si>
  <si>
    <t>014100</t>
  </si>
  <si>
    <t>Grosseto</t>
  </si>
  <si>
    <t>I CAPITANI SOCIETA' AGRICOLA S.R.L. IN SIGLA : SOC. AGR. I CAPITANI S.R.L; AGRICOLA I CAPITANI S.R.L.; I CAPITANI S.R.L.; ICSA S.R.L.; AGR. I CAPITANI S.R.L.; I CAPITANI S.A.R.L.</t>
  </si>
  <si>
    <t>02165560646</t>
  </si>
  <si>
    <t>Avellino</t>
  </si>
  <si>
    <t>SOCIETA' AGRICOLA MASSARIANOVA SOCIETA' A RESPONSABILITA' LIMITATA SEMPLIFICATA</t>
  </si>
  <si>
    <t>02522020748</t>
  </si>
  <si>
    <t>Brindisi</t>
  </si>
  <si>
    <t>CA' DI FERRA S.R.L. SOCIETA' AGRICOLA</t>
  </si>
  <si>
    <t>02369500356</t>
  </si>
  <si>
    <t>Reggio nell'Emilia</t>
  </si>
  <si>
    <t>012300</t>
  </si>
  <si>
    <t>Sicilia</t>
  </si>
  <si>
    <t>E.COS ECOLOGIA E COSMESI SOCIETA' COOPERATIVA</t>
  </si>
  <si>
    <t>00587241209</t>
  </si>
  <si>
    <t>011910</t>
  </si>
  <si>
    <t>Bologna</t>
  </si>
  <si>
    <t>Emilia-Romagna</t>
  </si>
  <si>
    <t>ECOTURISTICA S.R.L.</t>
  </si>
  <si>
    <t>02134470836</t>
  </si>
  <si>
    <t>Messina</t>
  </si>
  <si>
    <t>011300</t>
  </si>
  <si>
    <t>Caserta</t>
  </si>
  <si>
    <t>Campania</t>
  </si>
  <si>
    <t>BIRRIFICIO FORUM IULII SOCIETA' AGRICOLA SRL</t>
  </si>
  <si>
    <t>02876450301</t>
  </si>
  <si>
    <t>012700</t>
  </si>
  <si>
    <t>Udine</t>
  </si>
  <si>
    <t>Friuli-Venezia Giulia</t>
  </si>
  <si>
    <t>COOPERATIVA SOCIALE ALMATERRA SOCIETA' COOPERATIVA</t>
  </si>
  <si>
    <t>04847020288</t>
  </si>
  <si>
    <t>Padova</t>
  </si>
  <si>
    <t>Veneto</t>
  </si>
  <si>
    <t>ERBA DEL CHIANTI SRL SOCIETA' AGRICOLA</t>
  </si>
  <si>
    <t>06841950485</t>
  </si>
  <si>
    <t>011600</t>
  </si>
  <si>
    <t>Firenze</t>
  </si>
  <si>
    <t>Toscana</t>
  </si>
  <si>
    <t>S.I.G. ITALIA SOCIETA' COOPERATIVA SOCIALE</t>
  </si>
  <si>
    <t>03549230617</t>
  </si>
  <si>
    <t>016209</t>
  </si>
  <si>
    <t>016100</t>
  </si>
  <si>
    <t>MOLTENI GARDEN SOCIETA' AGRICOLA S.R.L.</t>
  </si>
  <si>
    <t>03917570131</t>
  </si>
  <si>
    <t>013000</t>
  </si>
  <si>
    <t>Como</t>
  </si>
  <si>
    <t>Lombardia</t>
  </si>
  <si>
    <t>EUROCANAPA S.R.L.S.</t>
  </si>
  <si>
    <t>01544950916</t>
  </si>
  <si>
    <t>015000</t>
  </si>
  <si>
    <t>Nuoro</t>
  </si>
  <si>
    <t>Sardegna</t>
  </si>
  <si>
    <t>Puglia</t>
  </si>
  <si>
    <t>Foggia</t>
  </si>
  <si>
    <t>ROYAL BIO - SOCIETA' AGRICOLA - S.R.L.</t>
  </si>
  <si>
    <t>05265270651</t>
  </si>
  <si>
    <t>011320</t>
  </si>
  <si>
    <t>Salerno</t>
  </si>
  <si>
    <t>Campania</t>
  </si>
  <si>
    <t>Calabria</t>
  </si>
  <si>
    <t>AGRICOLA DEL MONTE S.R.L. IN SIGLA A.D.M. S.R.L.</t>
  </si>
  <si>
    <t>00918900622</t>
  </si>
  <si>
    <t>012100</t>
  </si>
  <si>
    <t>Benevento</t>
  </si>
  <si>
    <t>016000</t>
  </si>
  <si>
    <t>BORGO MONTICELLI SOCIETA' AGRICOLA A RESPONSABILITA' LIMITATA IN BREVE BORGO MONTICELLI SOCIETA' AGRICOLA A. R.L.</t>
  </si>
  <si>
    <t>03403840543</t>
  </si>
  <si>
    <t>011310</t>
  </si>
  <si>
    <t>Perugia</t>
  </si>
  <si>
    <t>Umbria</t>
  </si>
  <si>
    <t>CONSORZIO MOTTA S.G.</t>
  </si>
  <si>
    <t>02241390802</t>
  </si>
  <si>
    <t>016300</t>
  </si>
  <si>
    <t>Reggio di Calabria</t>
  </si>
  <si>
    <t>AGRI. FEDEL SOCIETA' COOPERATIVA AGRICOLA</t>
  </si>
  <si>
    <t>03594320719</t>
  </si>
  <si>
    <t>LATTE PIU' SOCIETA' AGRICOLA S.R.L.</t>
  </si>
  <si>
    <t>01694450931</t>
  </si>
  <si>
    <t>014100</t>
  </si>
  <si>
    <t>Pordenone</t>
  </si>
  <si>
    <t>Friuli-Venezia Giulia</t>
  </si>
  <si>
    <t>COOPERATIVA AGRICOLA LE COLLINE DI SORRENTO</t>
  </si>
  <si>
    <t>03824411213</t>
  </si>
  <si>
    <t>Napoli</t>
  </si>
  <si>
    <t>012100</t>
  </si>
  <si>
    <t>Puglia</t>
  </si>
  <si>
    <t>SOCIETA' AGRICOLA LA FONTANA SRL</t>
  </si>
  <si>
    <t>02025940202</t>
  </si>
  <si>
    <t>012000</t>
  </si>
  <si>
    <t>Mantova</t>
  </si>
  <si>
    <t>Lombardia</t>
  </si>
  <si>
    <t>TERRA - SOCIETA' COOPERATIVA AGRICOLA</t>
  </si>
  <si>
    <t>03026860803</t>
  </si>
  <si>
    <t>016300</t>
  </si>
  <si>
    <t>Reggio di Calabria</t>
  </si>
  <si>
    <t>Calabria</t>
  </si>
  <si>
    <t>012600</t>
  </si>
  <si>
    <t>VILLA SANTO STEFANO SOCIETA' AGRICOLA S.R.L.</t>
  </si>
  <si>
    <t>02446590461</t>
  </si>
  <si>
    <t>Lucca</t>
  </si>
  <si>
    <t>Toscana</t>
  </si>
  <si>
    <t>011300</t>
  </si>
  <si>
    <t>Foggia</t>
  </si>
  <si>
    <t>Ragusa</t>
  </si>
  <si>
    <t>Sicilia</t>
  </si>
  <si>
    <t>SOCIETA' AGRICOLA PERAZZETA S.R.L.</t>
  </si>
  <si>
    <t>01592800534</t>
  </si>
  <si>
    <t>Grosseto</t>
  </si>
  <si>
    <t>CANOSO SOCIETA' AGRICOLA S.R.L.</t>
  </si>
  <si>
    <t>04444460234</t>
  </si>
  <si>
    <t>Verona</t>
  </si>
  <si>
    <t>Veneto</t>
  </si>
  <si>
    <t>Pisa</t>
  </si>
  <si>
    <t>MASSERIA FAUGNO S.R.L. SOCIETA' AGRICOLA</t>
  </si>
  <si>
    <t>03475510719</t>
  </si>
  <si>
    <t>AVIDE SOCIETA' AGRICOLA A RESPONSABILITA' LIMITATA</t>
  </si>
  <si>
    <t>00569130883</t>
  </si>
  <si>
    <t>STELLA VERDE SOCIETA' COOPERATIVA</t>
  </si>
  <si>
    <t>03222940870</t>
  </si>
  <si>
    <t>012300</t>
  </si>
  <si>
    <t>Catania</t>
  </si>
  <si>
    <t>OLEIFICIO SOCIALE DI BUTI SOCIETA' COOPERATIVA AGRICOLA</t>
  </si>
  <si>
    <t>00323670505</t>
  </si>
  <si>
    <t>Sicilia</t>
  </si>
  <si>
    <t>AGROENERGIA SOCIETA' AGRICOLA - S.R.L.</t>
  </si>
  <si>
    <t>05169600656</t>
  </si>
  <si>
    <t>011310</t>
  </si>
  <si>
    <t>Salerno</t>
  </si>
  <si>
    <t>Campania</t>
  </si>
  <si>
    <t>Napoli</t>
  </si>
  <si>
    <t>Lazio</t>
  </si>
  <si>
    <t>011000</t>
  </si>
  <si>
    <t>AZIENDA AGRICOLA LA FATTORIA DI PAOLA S.R.L.</t>
  </si>
  <si>
    <t>05585851214</t>
  </si>
  <si>
    <t>SOCIETA' AGRICOLA - VIVAI VALLE DEL TEVERE DI MASSIMILIANO CICINELLI S.R.L.</t>
  </si>
  <si>
    <t>09531701002</t>
  </si>
  <si>
    <t>011900</t>
  </si>
  <si>
    <t>Roma</t>
  </si>
  <si>
    <t>IL GIARDINO DEL BORGO DI SAN FRUTTUOSO-SOCIETA' COOPERATIVA AGRIC OLA</t>
  </si>
  <si>
    <t>03846210106</t>
  </si>
  <si>
    <t>012600</t>
  </si>
  <si>
    <t>Genova</t>
  </si>
  <si>
    <t>Liguria</t>
  </si>
  <si>
    <t>012100</t>
  </si>
  <si>
    <t>PUNTOVERDE SRL A SOCIO UNICO</t>
  </si>
  <si>
    <t>02540730815</t>
  </si>
  <si>
    <t>013000</t>
  </si>
  <si>
    <t>Trapani</t>
  </si>
  <si>
    <t>TENUTA I GELSI SOCIETA' AGRICOLA A RESPONSABILITA' LIMITATA SEMPL IFICATA</t>
  </si>
  <si>
    <t>01998720765</t>
  </si>
  <si>
    <t>Potenza</t>
  </si>
  <si>
    <t>Basilicata</t>
  </si>
  <si>
    <t>PIN NEBROS S.R.L.</t>
  </si>
  <si>
    <t>03012020834</t>
  </si>
  <si>
    <t>Messina</t>
  </si>
  <si>
    <t>AZIENDA AGRICOLA VOLTA DI SACCO - SOCIETA' AGRICOLA A RESPONSABIL TA' LIMITATA</t>
  </si>
  <si>
    <t>04221471008</t>
  </si>
  <si>
    <t>Lombardia</t>
  </si>
  <si>
    <t>Campania</t>
  </si>
  <si>
    <t>PODERE MATTEI SOCIETA' AGRICOLA A RESPONSABILITA' LIMITATA</t>
  </si>
  <si>
    <t>02880810425</t>
  </si>
  <si>
    <t>012100</t>
  </si>
  <si>
    <t>Ancona</t>
  </si>
  <si>
    <t>Marche</t>
  </si>
  <si>
    <t>016100</t>
  </si>
  <si>
    <t>Cosenza</t>
  </si>
  <si>
    <t>Calabria</t>
  </si>
  <si>
    <t>AGRITURISMO BARONE FORTUNATO - SOCIETA' AGRICOLA A RESPONSABILITA LIMITATA</t>
  </si>
  <si>
    <t>04773670650</t>
  </si>
  <si>
    <t>012400</t>
  </si>
  <si>
    <t>Salerno</t>
  </si>
  <si>
    <t>F.Z.F. S.R.L.</t>
  </si>
  <si>
    <t>02510090786</t>
  </si>
  <si>
    <t>014000</t>
  </si>
  <si>
    <t>COOPERATIVA AGRICOLA VALLE VIGEZZO - SOCIETA' AGRICOLA COOPERATIVA</t>
  </si>
  <si>
    <t>01815390032</t>
  </si>
  <si>
    <t>Verbano-Cusio-Ossola</t>
  </si>
  <si>
    <t>Piemonte</t>
  </si>
  <si>
    <t>Campobasso</t>
  </si>
  <si>
    <t>Molise</t>
  </si>
  <si>
    <t>SOCIETA' AGRICOLA F.LLI PADOVANI SRL</t>
  </si>
  <si>
    <t>01555200292</t>
  </si>
  <si>
    <t>010000</t>
  </si>
  <si>
    <t>Milano</t>
  </si>
  <si>
    <t>SOCIETA' AGRICOLA LE MASCIARE S.R.L.</t>
  </si>
  <si>
    <t>02625920646</t>
  </si>
  <si>
    <t>Avellino</t>
  </si>
  <si>
    <t>SOCIETA' AGRICOLA SANNITU S.R.L.S.</t>
  </si>
  <si>
    <t>02675770909</t>
  </si>
  <si>
    <t>Sassari</t>
  </si>
  <si>
    <t>Sardegna</t>
  </si>
  <si>
    <t>VI.NI.CA. S.R.L. - SOCIETA' AGRICOLA</t>
  </si>
  <si>
    <t>01585220708</t>
  </si>
  <si>
    <t>Sicilia</t>
  </si>
  <si>
    <t>Campania</t>
  </si>
  <si>
    <t>Calabria</t>
  </si>
  <si>
    <t>JOAQUIN SOCIETA' AGRICOLA A RESPONSABILITA' LIMITATA</t>
  </si>
  <si>
    <t>02361960640</t>
  </si>
  <si>
    <t>012100</t>
  </si>
  <si>
    <t>Avellino</t>
  </si>
  <si>
    <t>011000</t>
  </si>
  <si>
    <t>SOCIETA' COOPERATIVA AGRICOLA A R.L. VALLE LAO</t>
  </si>
  <si>
    <t>03220880789</t>
  </si>
  <si>
    <t>011320</t>
  </si>
  <si>
    <t>Cosenza</t>
  </si>
  <si>
    <t>FATTORIE AZZOLINO S.R.L. SOCIETA' AGRICOLA</t>
  </si>
  <si>
    <t>04780500825</t>
  </si>
  <si>
    <t>Palermo</t>
  </si>
  <si>
    <t>Lombardia</t>
  </si>
  <si>
    <t>011300</t>
  </si>
  <si>
    <t>012100</t>
  </si>
  <si>
    <t>GARDA 2020 SOCIETA' A RESPONSABILITA' LIMITATA SEMPLIFICATA</t>
  </si>
  <si>
    <t>04696620238</t>
  </si>
  <si>
    <t>016100</t>
  </si>
  <si>
    <t>Verona</t>
  </si>
  <si>
    <t>Veneto</t>
  </si>
  <si>
    <t>TENUTA RONCI DI NEPI S.R.L. AGRICOLA</t>
  </si>
  <si>
    <t>01929960563</t>
  </si>
  <si>
    <t>Viterbo</t>
  </si>
  <si>
    <t>Lazio</t>
  </si>
  <si>
    <t>SOCIETA' AGRICOLA LA SIEGIA' S.R.L.</t>
  </si>
  <si>
    <t>01395040536</t>
  </si>
  <si>
    <t>Grosseto</t>
  </si>
  <si>
    <t>Toscana</t>
  </si>
  <si>
    <t>LA SAPORUTA SOCIETA' COOPERATIVA AGRICOLA</t>
  </si>
  <si>
    <t>03101560922</t>
  </si>
  <si>
    <t>Cagliari</t>
  </si>
  <si>
    <t>Sardegna</t>
  </si>
  <si>
    <t>ITALIAN WINE SOCIETA' AGRICOLA S.R.L.</t>
  </si>
  <si>
    <t>02906370545</t>
  </si>
  <si>
    <t>Perugia</t>
  </si>
  <si>
    <t>Umbria</t>
  </si>
  <si>
    <t>011320</t>
  </si>
  <si>
    <t>ENERGIA BIVONA SOCIETA' AGRICOLA S.R.L.</t>
  </si>
  <si>
    <t>06636380963</t>
  </si>
  <si>
    <t>Milano</t>
  </si>
  <si>
    <t>CAVALIERE DEL GARDA SOCIETA' A RESPONSABILITA' LIMITATA</t>
  </si>
  <si>
    <t>04069950980</t>
  </si>
  <si>
    <t>Brescia</t>
  </si>
  <si>
    <t>016100</t>
  </si>
  <si>
    <t>Campania</t>
  </si>
  <si>
    <t>012100</t>
  </si>
  <si>
    <t>016300</t>
  </si>
  <si>
    <t>Napoli</t>
  </si>
  <si>
    <t>PIETRATORCIA SOCIETA' AGRICOLA A R.L.</t>
  </si>
  <si>
    <t>07012401217</t>
  </si>
  <si>
    <t>ORGANIZZAZIONE DI PRODUTTORI SARDEGNA ISOLA BIOLOGICA SOCIETA' CONSORTILE A RESPONSABILITA' LIMITATA</t>
  </si>
  <si>
    <t>01266640919</t>
  </si>
  <si>
    <t>Nuoro</t>
  </si>
  <si>
    <t>Sardegna</t>
  </si>
  <si>
    <t>Toscana</t>
  </si>
  <si>
    <t>AGRICOOP ISOLA D'ELBA SOC COOP ARL</t>
  </si>
  <si>
    <t>01108020494</t>
  </si>
  <si>
    <t>Livorno</t>
  </si>
  <si>
    <t>MAIS CORVINO S.R.L. SOCIETA' AGRICOLA</t>
  </si>
  <si>
    <t>01642620197</t>
  </si>
  <si>
    <t>011110</t>
  </si>
  <si>
    <t>Cremona</t>
  </si>
  <si>
    <t>Lombardia</t>
  </si>
  <si>
    <t>SOCIETA' COOPERATIVA SOCIALE CASALE TANCIA</t>
  </si>
  <si>
    <t>00954540571</t>
  </si>
  <si>
    <t>012500</t>
  </si>
  <si>
    <t>Rieti</t>
  </si>
  <si>
    <t>Lazio</t>
  </si>
  <si>
    <t>012100</t>
  </si>
  <si>
    <t>011320</t>
  </si>
  <si>
    <t>MASTERPLANT S.R.L. SOCIETA' AGRICOLA</t>
  </si>
  <si>
    <t>01544160292</t>
  </si>
  <si>
    <t>Rovigo</t>
  </si>
  <si>
    <t>Veneto</t>
  </si>
  <si>
    <t>AZIENDA VINICOLA CASALE CENTO CORVI - MENADI SOCIETA' AGRICOLA S.R.L.</t>
  </si>
  <si>
    <t>07089491000</t>
  </si>
  <si>
    <t>Roma</t>
  </si>
  <si>
    <t>011310</t>
  </si>
  <si>
    <t>HANAMI S.R.L. SOCIETA' AGRICOLA</t>
  </si>
  <si>
    <t>01741690620</t>
  </si>
  <si>
    <t>Benevento</t>
  </si>
  <si>
    <t>Campania</t>
  </si>
  <si>
    <t>Caserta</t>
  </si>
  <si>
    <t>VIGNETI VALLE RONCATI SOCIETA' AGRICOLA A RESPONSABILITA' LIMITATA</t>
  </si>
  <si>
    <t>11760510013</t>
  </si>
  <si>
    <t>Torino</t>
  </si>
  <si>
    <t>Piemonte</t>
  </si>
  <si>
    <t>TERRE DEL SOLE - SOCIETA' COOPERATIVA AGRICOLA</t>
  </si>
  <si>
    <t>03832740611</t>
  </si>
  <si>
    <t>016100</t>
  </si>
  <si>
    <t>SOCIETA' AGRICOLA TE.MA S.R.L.</t>
  </si>
  <si>
    <t>01089830952</t>
  </si>
  <si>
    <t>012100</t>
  </si>
  <si>
    <t>Oristano</t>
  </si>
  <si>
    <t>Sardegna</t>
  </si>
  <si>
    <t>Salerno</t>
  </si>
  <si>
    <t>Campania</t>
  </si>
  <si>
    <t>TERRE DI BACCIO S.R.L. SOCIETA' AGRICOLA</t>
  </si>
  <si>
    <t>06978420484</t>
  </si>
  <si>
    <t>Firenze</t>
  </si>
  <si>
    <t>Toscana</t>
  </si>
  <si>
    <t>SOCIETA' AGRICOLA NUOVA AGRICOLTURA S.R.L.</t>
  </si>
  <si>
    <t>02159900519</t>
  </si>
  <si>
    <t>Arezzo</t>
  </si>
  <si>
    <t>Lazio</t>
  </si>
  <si>
    <t>ORTOPONTINO SOCIETA' COOPERATIVA AGRICOLA</t>
  </si>
  <si>
    <t>01942120591</t>
  </si>
  <si>
    <t>016000</t>
  </si>
  <si>
    <t>Latina</t>
  </si>
  <si>
    <t>PODERI MORINI SOCIETA' AGRICOLA S.R.L.</t>
  </si>
  <si>
    <t>04468330404</t>
  </si>
  <si>
    <t>Forlì-Cesena</t>
  </si>
  <si>
    <t>Emilia-Romagna</t>
  </si>
  <si>
    <t>CONSORZIO AGRICOLO ORTO DEC</t>
  </si>
  <si>
    <t>04640100659</t>
  </si>
  <si>
    <t>012600</t>
  </si>
  <si>
    <t>LA SCALERA - SOCIETA' AGRICOLA A RESPONSABILITA' LIMITATA</t>
  </si>
  <si>
    <t>03490030982</t>
  </si>
  <si>
    <t>Brescia</t>
  </si>
  <si>
    <t>Lombardia</t>
  </si>
  <si>
    <t>AZIENDAGRICOLA PONTINA SOCIETA' AGRICOLA S.R.L.</t>
  </si>
  <si>
    <t>02997830597</t>
  </si>
  <si>
    <t>011310</t>
  </si>
  <si>
    <t>Latina</t>
  </si>
  <si>
    <t>Lazio</t>
  </si>
  <si>
    <t>Basilicata</t>
  </si>
  <si>
    <t>SOCIETA' AGRICOLA DITARANTO S.R.L.</t>
  </si>
  <si>
    <t>01098950775</t>
  </si>
  <si>
    <t>012000</t>
  </si>
  <si>
    <t>Matera</t>
  </si>
  <si>
    <t>SOCIETA' AGRICOLA ARUNDO ITALIA S.R.L.</t>
  </si>
  <si>
    <t>02024980688</t>
  </si>
  <si>
    <t>013000</t>
  </si>
  <si>
    <t>Pescara</t>
  </si>
  <si>
    <t>Abruzzo</t>
  </si>
  <si>
    <t>AGROLAB - SOCIETA' COOPERATIVA A RESPONSABILITA' LIMITATA</t>
  </si>
  <si>
    <t>04121630729</t>
  </si>
  <si>
    <t>016000</t>
  </si>
  <si>
    <t>Bari</t>
  </si>
  <si>
    <t>Puglia</t>
  </si>
  <si>
    <t>Roma</t>
  </si>
  <si>
    <t>SOCIETA' AGRICOLA LA PETROSA S.R.L.</t>
  </si>
  <si>
    <t>05487910654</t>
  </si>
  <si>
    <t>011110</t>
  </si>
  <si>
    <t>Salerno</t>
  </si>
  <si>
    <t>Campania</t>
  </si>
  <si>
    <t>SOCIETA' AGRICOLA CHERUBINI SOCIETA' A RESPONSABILITA' LIMITATA</t>
  </si>
  <si>
    <t>14570111006</t>
  </si>
  <si>
    <t>012500</t>
  </si>
  <si>
    <t>CO.PR.A.S. - SOCIETA' COOPERATIVA AGRICOLA</t>
  </si>
  <si>
    <t>03292900879</t>
  </si>
  <si>
    <t>016100</t>
  </si>
  <si>
    <t>Catania</t>
  </si>
  <si>
    <t>Sicilia</t>
  </si>
  <si>
    <t>Firenze</t>
  </si>
  <si>
    <t>Toscana</t>
  </si>
  <si>
    <t>Salerno</t>
  </si>
  <si>
    <t>Campania</t>
  </si>
  <si>
    <t>014700</t>
  </si>
  <si>
    <t>AGRICOLA DELLE ALPI SOCIETA' COOPERATIVA</t>
  </si>
  <si>
    <t>06416170014</t>
  </si>
  <si>
    <t>016300</t>
  </si>
  <si>
    <t>Torino</t>
  </si>
  <si>
    <t>Piemonte</t>
  </si>
  <si>
    <t>FOLLIE DI CIACCO SOCIETA' AGRICOLA S.R.L.</t>
  </si>
  <si>
    <t>05651560483</t>
  </si>
  <si>
    <t>015000</t>
  </si>
  <si>
    <t>SOCIETA' AGRICOLA 4 PRINCIPIA RERUM S.R.L., IN BREVE SOCIETA' AGRICOLA 4 P.R. S.R.L.</t>
  </si>
  <si>
    <t>01156880310</t>
  </si>
  <si>
    <t>011140</t>
  </si>
  <si>
    <t>Gorizia</t>
  </si>
  <si>
    <t>Friuli-Venezia Giulia</t>
  </si>
  <si>
    <t>AZIENDA AGRICOLA ANTICO CILENTO SOCIETA' COOPERATIVA</t>
  </si>
  <si>
    <t>04514040650</t>
  </si>
  <si>
    <t>011320</t>
  </si>
  <si>
    <t>Lazio</t>
  </si>
  <si>
    <t>Lombardia</t>
  </si>
  <si>
    <t>AZIENDA AGRICOLA DE GERONIMO S.R.L.</t>
  </si>
  <si>
    <t>05590290879</t>
  </si>
  <si>
    <t>012300</t>
  </si>
  <si>
    <t>MER.AG. - MERIDIONALE AGRICOLA - S.R.L.</t>
  </si>
  <si>
    <t>00102340882</t>
  </si>
  <si>
    <t>Ragusa</t>
  </si>
  <si>
    <t>SOCIETA' AGRICOLA LA TERESINA S.R.L SIGLABILE AZIENDA AGRICOLA LA TERESINA S.R.L.</t>
  </si>
  <si>
    <t>11447250017</t>
  </si>
  <si>
    <t>012500</t>
  </si>
  <si>
    <t>SCUDERIA ANDY CAPP S.R.L.</t>
  </si>
  <si>
    <t>04875850150</t>
  </si>
  <si>
    <t>014300</t>
  </si>
  <si>
    <t>Milano</t>
  </si>
  <si>
    <t>AGROBIOTEC SOCIETA' COOPERATIVA AGRICOLA</t>
  </si>
  <si>
    <t>13139311008</t>
  </si>
  <si>
    <t>Roma</t>
  </si>
  <si>
    <t>SOCIETA' AGRICOLA PARCO CAPO MURRODIPORCO S.R.L.</t>
  </si>
  <si>
    <t>01489650893</t>
  </si>
  <si>
    <t>012300</t>
  </si>
  <si>
    <t>Siracusa</t>
  </si>
  <si>
    <t>Sicilia</t>
  </si>
  <si>
    <t>OROFRUIT S.R.L.</t>
  </si>
  <si>
    <t>02692950732</t>
  </si>
  <si>
    <t>012100</t>
  </si>
  <si>
    <t>Taranto</t>
  </si>
  <si>
    <t>Puglia</t>
  </si>
  <si>
    <t>011310</t>
  </si>
  <si>
    <t>Brindisi</t>
  </si>
  <si>
    <t>Puglia</t>
  </si>
  <si>
    <t>POGGIO FOCO SOCIETA' AGRICOLA S.R.L.</t>
  </si>
  <si>
    <t>00145540530</t>
  </si>
  <si>
    <t>012100</t>
  </si>
  <si>
    <t>Grosseto</t>
  </si>
  <si>
    <t>Toscana</t>
  </si>
  <si>
    <t>LA CUCCHETTA SOCIETA' AGRICOLA S.R.L.</t>
  </si>
  <si>
    <t>02657340127</t>
  </si>
  <si>
    <t>014300</t>
  </si>
  <si>
    <t>Novara</t>
  </si>
  <si>
    <t>Piemonte</t>
  </si>
  <si>
    <t>Siracusa</t>
  </si>
  <si>
    <t>Sicilia</t>
  </si>
  <si>
    <t>Latina</t>
  </si>
  <si>
    <t>Lazio</t>
  </si>
  <si>
    <t>SI PUO' FARE - SOCIETA' AGRICOLA COOPERATIVA SOCIALE - ONLUS</t>
  </si>
  <si>
    <t>01921320899</t>
  </si>
  <si>
    <t>012300</t>
  </si>
  <si>
    <t>PRANU MUTTEDU S.R.L.</t>
  </si>
  <si>
    <t>02181230927</t>
  </si>
  <si>
    <t>016000</t>
  </si>
  <si>
    <t>Sardegna</t>
  </si>
  <si>
    <t>SOCIETA' AGRICOLA ANTICA MASSERIA LE LAMIE S.R.L.</t>
  </si>
  <si>
    <t>02267220743</t>
  </si>
  <si>
    <t>012600</t>
  </si>
  <si>
    <t>SOCIETA' AGRICOLA CASE CORDOVANI S.R.L.</t>
  </si>
  <si>
    <t>01207570530</t>
  </si>
  <si>
    <t>011110</t>
  </si>
  <si>
    <t>TOUCH SOCIETA' A RESPONSABILITA' LIMITATA AGRICOLA</t>
  </si>
  <si>
    <t>03040450599</t>
  </si>
  <si>
    <t>SOCIETA' AGRICOLA BELLAVISTA S.R.L.</t>
  </si>
  <si>
    <t>02038890501</t>
  </si>
  <si>
    <t>Pisa</t>
  </si>
  <si>
    <t>Puglia</t>
  </si>
  <si>
    <t>011300</t>
  </si>
  <si>
    <t>016100</t>
  </si>
  <si>
    <t>012100</t>
  </si>
  <si>
    <t>BLACK GOLD SOCIETA' AGRICOLA S.R.L.</t>
  </si>
  <si>
    <t>03328820547</t>
  </si>
  <si>
    <t>Perugia</t>
  </si>
  <si>
    <t>Umbria</t>
  </si>
  <si>
    <t>SOCIETA' AGRICOLA CANTINA OLEIFICIO SOCIALE DI GRADOLI SOCIETA' COOPERATIVA</t>
  </si>
  <si>
    <t>00057960569</t>
  </si>
  <si>
    <t>Viterbo</t>
  </si>
  <si>
    <t>Lazio</t>
  </si>
  <si>
    <t>SOCIETA' AGRICOLA ELEGANTICA - SOCIETA' A RESPONSABILITA' LIMITATA SEMPLIFICATA</t>
  </si>
  <si>
    <t>04495220404</t>
  </si>
  <si>
    <t>015000</t>
  </si>
  <si>
    <t>Forlì-Cesena</t>
  </si>
  <si>
    <t>Emilia-Romagna</t>
  </si>
  <si>
    <t>SOCIETA' AGRICOLA B&amp;B S.R.L.</t>
  </si>
  <si>
    <t>03092590730</t>
  </si>
  <si>
    <t>Taranto</t>
  </si>
  <si>
    <t>IL CASALE DEL VARCO SOCIETA' AGRICOLA A RESPONSABILITA' LIMITATA</t>
  </si>
  <si>
    <t>14769121006</t>
  </si>
  <si>
    <t>015000</t>
  </si>
  <si>
    <t>Roma</t>
  </si>
  <si>
    <t>Lazio</t>
  </si>
  <si>
    <t>011320</t>
  </si>
  <si>
    <t>AZIENDA AGRICOLA TORRI COSTANZI SRL</t>
  </si>
  <si>
    <t>02256690567</t>
  </si>
  <si>
    <t>Viterbo</t>
  </si>
  <si>
    <t>AGRIBOLLA AZIENDA AGRICOLA SOCIETA' A RESPONSABILITA' LIMITATA SEMPLIFICATA</t>
  </si>
  <si>
    <t>13429461000</t>
  </si>
  <si>
    <t>AGRIMARKET VERDE IMPRESA SOCIETA' AGRICOLA SRL - SOCIETA' A RESPONSABILITA' LIMITATA SEMPLIFICATA</t>
  </si>
  <si>
    <t>04449950403</t>
  </si>
  <si>
    <t>011910</t>
  </si>
  <si>
    <t>Forlì-Cesena</t>
  </si>
  <si>
    <t>Emilia-Romagna</t>
  </si>
  <si>
    <t>MAGNADORSA SOCIETA' AGRICOLA FORESTALE A R.L.</t>
  </si>
  <si>
    <t>02330640422</t>
  </si>
  <si>
    <t>011110</t>
  </si>
  <si>
    <t>Ancona</t>
  </si>
  <si>
    <t>Marche</t>
  </si>
  <si>
    <t>SACCHEGGIANA S.R.L.</t>
  </si>
  <si>
    <t>01481140356</t>
  </si>
  <si>
    <t>015000</t>
  </si>
  <si>
    <t>Reggio nell'Emilia</t>
  </si>
  <si>
    <t>Emilia-Romagna</t>
  </si>
  <si>
    <t>LAVORO E NON SOLO COOPERATIVA SOCIALE A RESPONSABILITA LIMITATA</t>
  </si>
  <si>
    <t>02059070843</t>
  </si>
  <si>
    <t>011110</t>
  </si>
  <si>
    <t>Palermo</t>
  </si>
  <si>
    <t>Sicilia</t>
  </si>
  <si>
    <t>TENUTE CERFEDA SOCIETA' AGRICOLA S.R.L.</t>
  </si>
  <si>
    <t>02894720735</t>
  </si>
  <si>
    <t>012100</t>
  </si>
  <si>
    <t>Taranto</t>
  </si>
  <si>
    <t>Puglia</t>
  </si>
  <si>
    <t>Calabria</t>
  </si>
  <si>
    <t>ESSENNE SOCIETA' COOPERATIVA SOCIALE</t>
  </si>
  <si>
    <t>01697770095</t>
  </si>
  <si>
    <t>016100</t>
  </si>
  <si>
    <t>Savona</t>
  </si>
  <si>
    <t>Liguria</t>
  </si>
  <si>
    <t>CASER PORO SOCIETA' COOPERATIVA AGRICOLA</t>
  </si>
  <si>
    <t>03487450797</t>
  </si>
  <si>
    <t>016300</t>
  </si>
  <si>
    <t>Vibo Valentia</t>
  </si>
  <si>
    <t>METABIRRIFICIO SOCIETA' COOPERATIVA AGRICOLA A R.L.</t>
  </si>
  <si>
    <t>02782860841</t>
  </si>
  <si>
    <t>Agrigento</t>
  </si>
  <si>
    <t>SANTILLI VIVAI SRL</t>
  </si>
  <si>
    <t>01539890663</t>
  </si>
  <si>
    <t>013000</t>
  </si>
  <si>
    <t>L'Aquila</t>
  </si>
  <si>
    <t>Abruzzo</t>
  </si>
  <si>
    <t>AZIENDA AGRICOLA RONCSORELI S.R.L.</t>
  </si>
  <si>
    <t>01716950306</t>
  </si>
  <si>
    <t>012100</t>
  </si>
  <si>
    <t>Udine</t>
  </si>
  <si>
    <t>Friuli-Venezia Giulia</t>
  </si>
  <si>
    <t>SOCIETA' AGRICOLA DONNA OLERIA S.R.L.</t>
  </si>
  <si>
    <t>04511470751</t>
  </si>
  <si>
    <t>012600</t>
  </si>
  <si>
    <t>Lecce</t>
  </si>
  <si>
    <t>Puglia</t>
  </si>
  <si>
    <t>Lazio</t>
  </si>
  <si>
    <t>011310</t>
  </si>
  <si>
    <t>PISANI GROUP S.R.L.</t>
  </si>
  <si>
    <t>01415720885</t>
  </si>
  <si>
    <t>011329</t>
  </si>
  <si>
    <t>Ragusa</t>
  </si>
  <si>
    <t>Sicilia</t>
  </si>
  <si>
    <t>AZIENDA AGRICOLA DI CANDILO - S.R.L.</t>
  </si>
  <si>
    <t>02486330695</t>
  </si>
  <si>
    <t>Chieti</t>
  </si>
  <si>
    <t>Abruzzo</t>
  </si>
  <si>
    <t>SOCIETA' AGRICOLA AGRITURISMO MARGHERITA - S.R.L.</t>
  </si>
  <si>
    <t>02934301207</t>
  </si>
  <si>
    <t>Bologna</t>
  </si>
  <si>
    <t>Emilia-Romagna</t>
  </si>
  <si>
    <t>SAS TERRAS NOSTRAS SOCIETA' COOPERATIVA SOCIALE AGRICOLA</t>
  </si>
  <si>
    <t>02790900902</t>
  </si>
  <si>
    <t>011110</t>
  </si>
  <si>
    <t>Sassari</t>
  </si>
  <si>
    <t>Sardegna</t>
  </si>
  <si>
    <t>S.A.P. - SOCIETA' AGRICOLA PIETRAFITTA - SOCIETA' A RESPONSABILITA' LIMITATA</t>
  </si>
  <si>
    <t>00434120101</t>
  </si>
  <si>
    <t>Roma</t>
  </si>
  <si>
    <t>SOCIETA' COOPERATIVA AGRICOLA ORITANA SIGLABILE C.A.O. SOCIETA' COOPERATIVA AGRICOLA</t>
  </si>
  <si>
    <t>02165780749</t>
  </si>
  <si>
    <t>011000</t>
  </si>
  <si>
    <t>Brindisi</t>
  </si>
  <si>
    <t>011920</t>
  </si>
  <si>
    <t>Catania</t>
  </si>
  <si>
    <t>Sicilia</t>
  </si>
  <si>
    <t>A CASA NOSTRA SOCIETA' AGRICOLA A RESPONSABILITA' LIMITATA</t>
  </si>
  <si>
    <t>01824860470</t>
  </si>
  <si>
    <t>011310</t>
  </si>
  <si>
    <t>Pistoia</t>
  </si>
  <si>
    <t>Toscana</t>
  </si>
  <si>
    <t>CASCINA DOLOMITI SOCIETA' AGRICOLA A R.L.</t>
  </si>
  <si>
    <t>01139960254</t>
  </si>
  <si>
    <t>014200</t>
  </si>
  <si>
    <t>Belluno</t>
  </si>
  <si>
    <t>Veneto</t>
  </si>
  <si>
    <t>012100</t>
  </si>
  <si>
    <t>Puglia</t>
  </si>
  <si>
    <t>SOCIETA' AGRICOLA BIORIMA S.R.L.</t>
  </si>
  <si>
    <t>02462170735</t>
  </si>
  <si>
    <t>Taranto</t>
  </si>
  <si>
    <t>PIANTE CUBEDA SOCIETA' COOPERATIVA AGRICOLA</t>
  </si>
  <si>
    <t>05281300870</t>
  </si>
  <si>
    <t>LABORATORIO CASCINA LANGA SRL</t>
  </si>
  <si>
    <t>03637800040</t>
  </si>
  <si>
    <t>012500</t>
  </si>
  <si>
    <t>Cuneo</t>
  </si>
  <si>
    <t>Piemonte</t>
  </si>
  <si>
    <t>CANALE FARM S.R.L. SOCIETA' AGRICOLA</t>
  </si>
  <si>
    <t>02289700565</t>
  </si>
  <si>
    <t>012100</t>
  </si>
  <si>
    <t>Viterbo</t>
  </si>
  <si>
    <t>Lazio</t>
  </si>
  <si>
    <t>Sicilia</t>
  </si>
  <si>
    <t>RIBER NAVEL SOCIETA' COOPERATIVA</t>
  </si>
  <si>
    <t>02078740848</t>
  </si>
  <si>
    <t>012300</t>
  </si>
  <si>
    <t>Agrigento</t>
  </si>
  <si>
    <t>SILATTARI S.R.L. - SOCIETA' AGRICOLA</t>
  </si>
  <si>
    <t>01267830915</t>
  </si>
  <si>
    <t>Oristano</t>
  </si>
  <si>
    <t>Sardegna</t>
  </si>
  <si>
    <t>Cosenza</t>
  </si>
  <si>
    <t>Calabria</t>
  </si>
  <si>
    <t>FRESCO DI SILA - SOCIETA' COOPERATIVA</t>
  </si>
  <si>
    <t>03251060780</t>
  </si>
  <si>
    <t>016300</t>
  </si>
  <si>
    <t>AZIENDA AGRICOLA IANNOTTA TOMMASO S.R.L.</t>
  </si>
  <si>
    <t>02544420595</t>
  </si>
  <si>
    <t>011140</t>
  </si>
  <si>
    <t>Latina</t>
  </si>
  <si>
    <t>OLIVARUM SOCIETA' AGRICOLA S.R.L.</t>
  </si>
  <si>
    <t>01796930673</t>
  </si>
  <si>
    <t>012600</t>
  </si>
  <si>
    <t>Teramo</t>
  </si>
  <si>
    <t>Abruzzo</t>
  </si>
  <si>
    <t>Brindisi</t>
  </si>
  <si>
    <t>Puglia</t>
  </si>
  <si>
    <t>011310</t>
  </si>
  <si>
    <t>TRUFFLE LAND SOCIETA' AGRICOLA SRL</t>
  </si>
  <si>
    <t>00905550943</t>
  </si>
  <si>
    <t>Isernia</t>
  </si>
  <si>
    <t>Molise</t>
  </si>
  <si>
    <t>OLEIFICIO COOPERATIVO DI TORCHIAROLO SOCIETA' COOPERATIVA AGRICOLA</t>
  </si>
  <si>
    <t>00060980745</t>
  </si>
  <si>
    <t>Ferrara</t>
  </si>
  <si>
    <t>Emilia-Romagna</t>
  </si>
  <si>
    <t>LA FENICE SOCIETA' AGRICOLA A RESPONSABILITA' LIMITATA</t>
  </si>
  <si>
    <t>01933260380</t>
  </si>
  <si>
    <t>012400</t>
  </si>
  <si>
    <t>012600</t>
  </si>
  <si>
    <t>IL VERDE DEL SALENTO S.R.L. UNIPERSONALE</t>
  </si>
  <si>
    <t>02409720741</t>
  </si>
  <si>
    <t>Brindisi</t>
  </si>
  <si>
    <t>Puglia</t>
  </si>
  <si>
    <t>Lombardia</t>
  </si>
  <si>
    <t>G.M. HORSES S.R.L.</t>
  </si>
  <si>
    <t>06408360961</t>
  </si>
  <si>
    <t>014300</t>
  </si>
  <si>
    <t>Milano</t>
  </si>
  <si>
    <t>OROVERDE SOCIETA' AGRICOLA SRL</t>
  </si>
  <si>
    <t>09839930964</t>
  </si>
  <si>
    <t>016100</t>
  </si>
  <si>
    <t>Bergamo</t>
  </si>
  <si>
    <t>ALLEVAMENTO SCUDERIA LEONARDO SOCIETA' AGRICOLA A RESPONSABILITA' LIMITATA</t>
  </si>
  <si>
    <t>10071540966</t>
  </si>
  <si>
    <t>014300</t>
  </si>
  <si>
    <t>Milano</t>
  </si>
  <si>
    <t>Lombardia</t>
  </si>
  <si>
    <t>Puglia</t>
  </si>
  <si>
    <t>Sardegna</t>
  </si>
  <si>
    <t>AGRICOLA SPARTIVENTO S.R.L. IN FORMA ABBREVIATA - ASPA S.R.L.</t>
  </si>
  <si>
    <t>02712830922</t>
  </si>
  <si>
    <t>011910</t>
  </si>
  <si>
    <t>Cagliari</t>
  </si>
  <si>
    <t>ALLEVAMENTO LA NUOVA SBARRA S.R.L.</t>
  </si>
  <si>
    <t>04175851007</t>
  </si>
  <si>
    <t>Roma</t>
  </si>
  <si>
    <t>Lazio</t>
  </si>
  <si>
    <t>Lecce</t>
  </si>
  <si>
    <t>012100</t>
  </si>
  <si>
    <t>LA FENICE SOCIETA' AGRICOLA A RESPONSABILITA' LIMITATA</t>
  </si>
  <si>
    <t>04736090756</t>
  </si>
  <si>
    <t>MONTE S. ANTONIO - SOCIETA' COOPERATIVA AGRICOLA</t>
  </si>
  <si>
    <t>01962620348</t>
  </si>
  <si>
    <t>017000</t>
  </si>
  <si>
    <t>Parma</t>
  </si>
  <si>
    <t>Emilia-Romagna</t>
  </si>
  <si>
    <t>012100</t>
  </si>
  <si>
    <t>Toscana</t>
  </si>
  <si>
    <t>Sicilia</t>
  </si>
  <si>
    <t>Abruzzo</t>
  </si>
  <si>
    <t>MAGGESE S.R.L. SOCIETA' AGRICOLA</t>
  </si>
  <si>
    <t>01841210501</t>
  </si>
  <si>
    <t>011110</t>
  </si>
  <si>
    <t>Pisa</t>
  </si>
  <si>
    <t>SOCIETA' AGRICOLA ASTER FLOWER S.R.L.S.</t>
  </si>
  <si>
    <t>02622140818</t>
  </si>
  <si>
    <t>011910</t>
  </si>
  <si>
    <t>Trapani</t>
  </si>
  <si>
    <t>TENUTA DELL'ARBIOLA S.R.L. - SOCIETA' AGRICOLA SIGLABILE ARBIOLA S.R.L. - SOCIETA' AGRICOLA</t>
  </si>
  <si>
    <t>01279010050</t>
  </si>
  <si>
    <t>Asti</t>
  </si>
  <si>
    <t>Piemonte</t>
  </si>
  <si>
    <t>VERDE LIDO SOCIETA' AGRICOLA S.R.L.</t>
  </si>
  <si>
    <t>01583810385</t>
  </si>
  <si>
    <t>Teramo</t>
  </si>
  <si>
    <t>SOCIETA' AGRICOLA GIUNCOLA A RESPONSABILITA' LIMITATA</t>
  </si>
  <si>
    <t>01592750531</t>
  </si>
  <si>
    <t>011110</t>
  </si>
  <si>
    <t>Grosseto</t>
  </si>
  <si>
    <t>Toscana</t>
  </si>
  <si>
    <t>Calabria</t>
  </si>
  <si>
    <t>016100</t>
  </si>
  <si>
    <t>012100</t>
  </si>
  <si>
    <t>AZIENDA AGRICOLA RIO CERONDA - SOCIETA' AGRICOLA A RESPONSABILITA' LIMITATA</t>
  </si>
  <si>
    <t>09253470018</t>
  </si>
  <si>
    <t>012600</t>
  </si>
  <si>
    <t>Torino</t>
  </si>
  <si>
    <t>Piemonte</t>
  </si>
  <si>
    <t>CO.BR.AG.OR.COOPERATIVA BRACCIANTI AGRICOLI ORGANIZZATI SOC.CO OP .R.L.</t>
  </si>
  <si>
    <t>01116561000</t>
  </si>
  <si>
    <t>011000</t>
  </si>
  <si>
    <t>Roma</t>
  </si>
  <si>
    <t>Lazio</t>
  </si>
  <si>
    <t>TENUTA DEL CASTELLO SOCIETA' AGRICOLA S.R.L.</t>
  </si>
  <si>
    <t>03613280787</t>
  </si>
  <si>
    <t>Cosenza</t>
  </si>
  <si>
    <t>CANAPAROMA SRL</t>
  </si>
  <si>
    <t>13528001004</t>
  </si>
  <si>
    <t>TENUTE DEL BORGO S.R.L. SOCIETA' AGRICOLA</t>
  </si>
  <si>
    <t>01738680444</t>
  </si>
  <si>
    <t>Ascoli Piceno</t>
  </si>
  <si>
    <t>Marche</t>
  </si>
  <si>
    <t>Puglia</t>
  </si>
  <si>
    <t>012100</t>
  </si>
  <si>
    <t>HD SOCIETA' AGRICOLA A R.L.</t>
  </si>
  <si>
    <t>03550910040</t>
  </si>
  <si>
    <t>Cuneo</t>
  </si>
  <si>
    <t>Piemonte</t>
  </si>
  <si>
    <t>Toscana</t>
  </si>
  <si>
    <t>SOCIETA' AGRICOLA MARCHESI PANCRAZI S.R.L.</t>
  </si>
  <si>
    <t>02412990976</t>
  </si>
  <si>
    <t>Prato</t>
  </si>
  <si>
    <t>Bari</t>
  </si>
  <si>
    <t>LAFORTEZZA VIVAI - S.R.L.</t>
  </si>
  <si>
    <t>00428080725</t>
  </si>
  <si>
    <t>011910</t>
  </si>
  <si>
    <t>Toscana</t>
  </si>
  <si>
    <t>BOSCO GRANDE SOCIETA' COOPERATIVA AGRICOLA</t>
  </si>
  <si>
    <t>03793050612</t>
  </si>
  <si>
    <t>010000</t>
  </si>
  <si>
    <t>Caserta</t>
  </si>
  <si>
    <t>Campania</t>
  </si>
  <si>
    <t>AZIENDA AGRICOLA IL MOLINO S.R.L.</t>
  </si>
  <si>
    <t>02674870023</t>
  </si>
  <si>
    <t>015000</t>
  </si>
  <si>
    <t>Biella</t>
  </si>
  <si>
    <t>Piemonte</t>
  </si>
  <si>
    <t>PARCO VERDE SOCIETA' COOPERATIVA AGRICOLA</t>
  </si>
  <si>
    <t>01565160767</t>
  </si>
  <si>
    <t>011140</t>
  </si>
  <si>
    <t>Potenza</t>
  </si>
  <si>
    <t>Basilicata</t>
  </si>
  <si>
    <t>LA SCAPIGLIATA SOCIETA' AGRICOLA S.R.L.</t>
  </si>
  <si>
    <t>02451131201</t>
  </si>
  <si>
    <t>014600</t>
  </si>
  <si>
    <t>Grosseto</t>
  </si>
  <si>
    <t>011310</t>
  </si>
  <si>
    <t>SOCIETA' AGRICOLA CASA BIANCA S. AGATA S.R.L.</t>
  </si>
  <si>
    <t>00872280482</t>
  </si>
  <si>
    <t>014100</t>
  </si>
  <si>
    <t>Milano</t>
  </si>
  <si>
    <t>Lombardia</t>
  </si>
  <si>
    <t>Sicilia</t>
  </si>
  <si>
    <t>Toscana</t>
  </si>
  <si>
    <t>PRODUTTORI CANAPA ITALIANA - SOCIETA' COOPERATIVA AGRICOLA</t>
  </si>
  <si>
    <t>11959820017</t>
  </si>
  <si>
    <t>016300</t>
  </si>
  <si>
    <t>Torino</t>
  </si>
  <si>
    <t>Piemonte</t>
  </si>
  <si>
    <t>TERRA MIA S.R.L.</t>
  </si>
  <si>
    <t>01847050810</t>
  </si>
  <si>
    <t>016000</t>
  </si>
  <si>
    <t>Trapani</t>
  </si>
  <si>
    <t>SOCIETA' AGRICOLA EL DOSSON S.R.L.</t>
  </si>
  <si>
    <t>04466360262</t>
  </si>
  <si>
    <t>Treviso</t>
  </si>
  <si>
    <t>Veneto</t>
  </si>
  <si>
    <t>SOCIETA' COOPERATIVA AGRICOLA LA FATTORIA DONZELLI</t>
  </si>
  <si>
    <t>02508650427</t>
  </si>
  <si>
    <t>015000</t>
  </si>
  <si>
    <t>Ancona</t>
  </si>
  <si>
    <t>Marche</t>
  </si>
  <si>
    <t>PODERNOVO DI MONTICIANO S.R.L. SOCIETA' AGRICOLA</t>
  </si>
  <si>
    <t>00383470523</t>
  </si>
  <si>
    <t>011000</t>
  </si>
  <si>
    <t>Siena</t>
  </si>
  <si>
    <t>Puglia</t>
  </si>
  <si>
    <t>LA SORGENTE SOCIETA' AGRICOLA SOCIETA' A RESPONSABILITA' LIMITATA SEMPLIFICATA</t>
  </si>
  <si>
    <t>00922520945</t>
  </si>
  <si>
    <t>015000</t>
  </si>
  <si>
    <t>Isernia</t>
  </si>
  <si>
    <t>Molise</t>
  </si>
  <si>
    <t>Campania</t>
  </si>
  <si>
    <t>MOSTICCHIO S.R.L.S. AGRICOLA - SOCIETA' A RESPONSABILITA' LIMITATA SEMPLIFICATA</t>
  </si>
  <si>
    <t>04899760757</t>
  </si>
  <si>
    <t>011910</t>
  </si>
  <si>
    <t>Lecce</t>
  </si>
  <si>
    <t>CANTINA LILLIU - SOCIETA' A RESPONSABILITA' LIMITATA AGRICOLA</t>
  </si>
  <si>
    <t>03591440924</t>
  </si>
  <si>
    <t>012100</t>
  </si>
  <si>
    <t>Sardegna</t>
  </si>
  <si>
    <t>012600</t>
  </si>
  <si>
    <t>G.B. SERVIZI SOCIETA' AGRICOLA A R.L.</t>
  </si>
  <si>
    <t>01494710997</t>
  </si>
  <si>
    <t>014990</t>
  </si>
  <si>
    <t>Grosseto</t>
  </si>
  <si>
    <t>Toscana</t>
  </si>
  <si>
    <t>LA TORRE ANTICA SOCIETA' AGRICOLA A RESPONSABILITA' LIMITATA</t>
  </si>
  <si>
    <t>05431080489</t>
  </si>
  <si>
    <t>Firenze</t>
  </si>
  <si>
    <t>TENUTE CASOLI SOCIETA' AGRICOLA S.R.L.</t>
  </si>
  <si>
    <t>03024820643</t>
  </si>
  <si>
    <t>Avellino</t>
  </si>
  <si>
    <t>Sicilia</t>
  </si>
  <si>
    <t>CUPITUR SOCIETA' AGRICOLA S.R.L.</t>
  </si>
  <si>
    <t>04890120829</t>
  </si>
  <si>
    <t>012100</t>
  </si>
  <si>
    <t>Palermo</t>
  </si>
  <si>
    <t>Toscana</t>
  </si>
  <si>
    <t>016300</t>
  </si>
  <si>
    <t>VERDE AGRICOLO SOCIETA' COOPERATIVA</t>
  </si>
  <si>
    <t>03615990870</t>
  </si>
  <si>
    <t>012400</t>
  </si>
  <si>
    <t>Catania</t>
  </si>
  <si>
    <t>Campania</t>
  </si>
  <si>
    <t>Puglia</t>
  </si>
  <si>
    <t>011000</t>
  </si>
  <si>
    <t>TREPERIODICO SOCIETA' A RESPONSABILITA' LIMITATA SOCIETA' AGRICOLA SEMPLIFICATA</t>
  </si>
  <si>
    <t>01488160522</t>
  </si>
  <si>
    <t>Siena</t>
  </si>
  <si>
    <t>Foggia</t>
  </si>
  <si>
    <t>MIGLIOSI COSTANZA IMPRESA AGRICOLA SOCIETA' A RESPONSABILITA'LIM ITATA SEMPLIFICATA PER BREVITA' INDICATA ANCHE CON LA SIGLA MIGLIOSI COSTANZA IMPRESA AGRICOLA S.R.L.S.</t>
  </si>
  <si>
    <t>03494380540</t>
  </si>
  <si>
    <t>Perugia</t>
  </si>
  <si>
    <t>Umbria</t>
  </si>
  <si>
    <t>COOPERATIVA VITICOLTORI SANNITI SOCIETA' COOPERATIVA AGRICOLA</t>
  </si>
  <si>
    <t>01344160625</t>
  </si>
  <si>
    <t>Benevento</t>
  </si>
  <si>
    <t>S.A.F. - SOCIETA' AGRICOLA FALCIGLIA - S.R.L.</t>
  </si>
  <si>
    <t>01554070712</t>
  </si>
  <si>
    <t>Perugia</t>
  </si>
  <si>
    <t>Umbria</t>
  </si>
  <si>
    <t>IL MANIERO S.R.L.</t>
  </si>
  <si>
    <t>01985800547</t>
  </si>
  <si>
    <t>011140</t>
  </si>
  <si>
    <t>Puglia</t>
  </si>
  <si>
    <t>SIG - SOCIETA' AGRICOLA S.R.L.</t>
  </si>
  <si>
    <t>02813990732</t>
  </si>
  <si>
    <t>012100</t>
  </si>
  <si>
    <t>Taranto</t>
  </si>
  <si>
    <t>016000</t>
  </si>
  <si>
    <t>Foggia</t>
  </si>
  <si>
    <t>SOCIETA' AGRICOLA TENUTA ROCA NUOVA S.R.L.</t>
  </si>
  <si>
    <t>04546450752</t>
  </si>
  <si>
    <t>012600</t>
  </si>
  <si>
    <t>Lecce</t>
  </si>
  <si>
    <t>TANCREDI SOCIETA' AGRICOLA A RESPONSABILITA' LIMITATA SEMPLIFICATA S.R.L.S.</t>
  </si>
  <si>
    <t>04273110710</t>
  </si>
  <si>
    <t>SOCIETA' COOPERATIVA AGRICOLA CENTRO DI RACCOLTA SAN ZENO</t>
  </si>
  <si>
    <t>01236870240</t>
  </si>
  <si>
    <t>Vicenza</t>
  </si>
  <si>
    <t>Veneto</t>
  </si>
  <si>
    <t>G.M. S.R.L.</t>
  </si>
  <si>
    <t>00467720736</t>
  </si>
  <si>
    <t>SOCIETA' AGRICOLA TENUTA LE QUERCE S.R.L.</t>
  </si>
  <si>
    <t>02925790640</t>
  </si>
  <si>
    <t>012100</t>
  </si>
  <si>
    <t>Potenza</t>
  </si>
  <si>
    <t>Basilicata</t>
  </si>
  <si>
    <t>011310</t>
  </si>
  <si>
    <t>SOCIETA' AGRICOLA LA FORNACE S.R.L.</t>
  </si>
  <si>
    <t>09253791215</t>
  </si>
  <si>
    <t>Napoli</t>
  </si>
  <si>
    <t>Campania</t>
  </si>
  <si>
    <t>Lombardia</t>
  </si>
  <si>
    <t>SOCIETA' AGRICOLA ER.MA.DA.F.P. S.R.L.</t>
  </si>
  <si>
    <t>04481260281</t>
  </si>
  <si>
    <t>Treviso</t>
  </si>
  <si>
    <t>Veneto</t>
  </si>
  <si>
    <t>012600</t>
  </si>
  <si>
    <t>AEROPONICA F.LLI PERROTTA SOCIETA' AGRICOLA S.R.L.</t>
  </si>
  <si>
    <t>07557371213</t>
  </si>
  <si>
    <t>011320</t>
  </si>
  <si>
    <t>ASSOCIAZIONE PRODUTTORI D'OLIO DI OLIVA ACLITERRA A.P.O.O.A.T. SOCIETA' COOPERATIVA</t>
  </si>
  <si>
    <t>00283480648</t>
  </si>
  <si>
    <t>Avellino</t>
  </si>
  <si>
    <t>TALLARINI SOCIETA' AGRICOLA S.R.L.</t>
  </si>
  <si>
    <t>04183930165</t>
  </si>
  <si>
    <t>Bergamo</t>
  </si>
  <si>
    <t>Sicilia</t>
  </si>
  <si>
    <t>012100</t>
  </si>
  <si>
    <t>Trapani</t>
  </si>
  <si>
    <t>COOPERATIVA AGRICOLA CUTUSIO SOC.COOP.ARL</t>
  </si>
  <si>
    <t>00079570818</t>
  </si>
  <si>
    <t>016000</t>
  </si>
  <si>
    <t>CANTINA VALLE BELICE - SOCIETA' COOPERATIVA AGRICOLA ED IN SIGLA CANTINA VALLE BELICE S.C.A.</t>
  </si>
  <si>
    <t>00068550813</t>
  </si>
  <si>
    <t>016100</t>
  </si>
  <si>
    <t>Veneto</t>
  </si>
  <si>
    <t>Sicilia</t>
  </si>
  <si>
    <t>FRATELLI GARIBALDI SOCIETA' COOPERATIVA A R.L.</t>
  </si>
  <si>
    <t>04454050651</t>
  </si>
  <si>
    <t>011000</t>
  </si>
  <si>
    <t>Salerno</t>
  </si>
  <si>
    <t>Campania</t>
  </si>
  <si>
    <t>FONDEVINA SRL SOCIETA' AGRICOLA</t>
  </si>
  <si>
    <t>04883550263</t>
  </si>
  <si>
    <t>012100</t>
  </si>
  <si>
    <t>Treviso</t>
  </si>
  <si>
    <t>LIDOVET S.R.L.</t>
  </si>
  <si>
    <t>07283971005</t>
  </si>
  <si>
    <t>014300</t>
  </si>
  <si>
    <t>Roma</t>
  </si>
  <si>
    <t>Lazio</t>
  </si>
  <si>
    <t>COOPERATIVA IL SOLE</t>
  </si>
  <si>
    <t>02345740464</t>
  </si>
  <si>
    <t>Lucca</t>
  </si>
  <si>
    <t>Toscana</t>
  </si>
  <si>
    <t>014000</t>
  </si>
  <si>
    <t>BIOINAGRO S.R.L.</t>
  </si>
  <si>
    <t>02864930843</t>
  </si>
  <si>
    <t>012800</t>
  </si>
  <si>
    <t>Agrigento</t>
  </si>
  <si>
    <t>RINASCITA 78 SOCIETA' AGRICOLA-ZOOTECNICA COOPERATIVA</t>
  </si>
  <si>
    <t>00130470578</t>
  </si>
  <si>
    <t>Rieti</t>
  </si>
  <si>
    <t>Sicilia</t>
  </si>
  <si>
    <t>Campania</t>
  </si>
  <si>
    <t>011110</t>
  </si>
  <si>
    <t>Agrigento</t>
  </si>
  <si>
    <t>015000</t>
  </si>
  <si>
    <t>AZIENDA AGRICOLA LA LECCETELLA SOCIETA' AGRICOLA A RESPONSABILITA LIMITATA</t>
  </si>
  <si>
    <t>01835030972</t>
  </si>
  <si>
    <t>012100</t>
  </si>
  <si>
    <t>Siena</t>
  </si>
  <si>
    <t>Toscana</t>
  </si>
  <si>
    <t>SOCIETA' AGRICOLA BORGO CANNAMELI S.R.L.</t>
  </si>
  <si>
    <t>02597330840</t>
  </si>
  <si>
    <t>012600</t>
  </si>
  <si>
    <t>Oristano</t>
  </si>
  <si>
    <t>Sardegna</t>
  </si>
  <si>
    <t>TENUTA BOCELLI SOCIETA' AGRICOLA S.R.L.</t>
  </si>
  <si>
    <t>01740490501</t>
  </si>
  <si>
    <t>Pisa</t>
  </si>
  <si>
    <t>SOCIETA' AGRICOLA SPENNAGALLI 2014 S.R.L.</t>
  </si>
  <si>
    <t>05215890657</t>
  </si>
  <si>
    <t>Salerno</t>
  </si>
  <si>
    <t>CANTINA DEIDDA - SOCIETA' AGRICOLA S.R.L.</t>
  </si>
  <si>
    <t>01153060957</t>
  </si>
  <si>
    <t>011110</t>
  </si>
  <si>
    <t>API BRESCIA SOCIETA' COOPERATIVA</t>
  </si>
  <si>
    <t>01034690170</t>
  </si>
  <si>
    <t>016000</t>
  </si>
  <si>
    <t>Brescia</t>
  </si>
  <si>
    <t>Lombardia</t>
  </si>
  <si>
    <t>016100</t>
  </si>
  <si>
    <t>Campania</t>
  </si>
  <si>
    <t>BAGLIO DELLE FATE S.R.L. - SOCIETA' AGRICOLA</t>
  </si>
  <si>
    <t>05018850874</t>
  </si>
  <si>
    <t>012100</t>
  </si>
  <si>
    <t>Catania</t>
  </si>
  <si>
    <t>Sicilia</t>
  </si>
  <si>
    <t>Latina</t>
  </si>
  <si>
    <t>Lazio</t>
  </si>
  <si>
    <t>SOCIETA' AGRICOLA VITTORIA S.R.L.</t>
  </si>
  <si>
    <t>02083760062</t>
  </si>
  <si>
    <t>Milano</t>
  </si>
  <si>
    <t>IMPIANTI AGRICOLI - SOCIETA' A RESPONSABILITA' LIMITATA SEMPLIFIC ATA</t>
  </si>
  <si>
    <t>02919520599</t>
  </si>
  <si>
    <t>SOCIETA' AGRICOLA LA CRI S.R.L.</t>
  </si>
  <si>
    <t>05771291217</t>
  </si>
  <si>
    <t>011990</t>
  </si>
  <si>
    <t>Napoli</t>
  </si>
  <si>
    <t>Calabria</t>
  </si>
  <si>
    <t>012100</t>
  </si>
  <si>
    <t>Lazio</t>
  </si>
  <si>
    <t>EDEN SOCIETA' COOPERATIVA DI PRODUZIONE E LAVORO</t>
  </si>
  <si>
    <t>02387280841</t>
  </si>
  <si>
    <t>011920</t>
  </si>
  <si>
    <t>Agrigento</t>
  </si>
  <si>
    <t>Sicilia</t>
  </si>
  <si>
    <t>AZIENDA AGRICOLA AGRITURISTICA LA FORESTELLA S.R.L. - SOCIETA' AG RICOLA</t>
  </si>
  <si>
    <t>02911350789</t>
  </si>
  <si>
    <t>015000</t>
  </si>
  <si>
    <t>Cosenza</t>
  </si>
  <si>
    <t>Roma</t>
  </si>
  <si>
    <t>Catania</t>
  </si>
  <si>
    <t>CANTINE DI NESSUNO S.R.L. - SOCIETA' AGRICOLA</t>
  </si>
  <si>
    <t>05373550879</t>
  </si>
  <si>
    <t>EREDI DI MARZIANTONIO SOC. AGRICOLA A R.L.</t>
  </si>
  <si>
    <t>10698331005</t>
  </si>
  <si>
    <t>014100</t>
  </si>
  <si>
    <t>Calabria</t>
  </si>
  <si>
    <t>Reggio di Calabria</t>
  </si>
  <si>
    <t>012000</t>
  </si>
  <si>
    <t>SAN GIUSEPPE SOCIETA' COOPERATIVA AGRICOLA</t>
  </si>
  <si>
    <t>02677840809</t>
  </si>
  <si>
    <t>012300</t>
  </si>
  <si>
    <t>Agrigento</t>
  </si>
  <si>
    <t>Sicilia</t>
  </si>
  <si>
    <t>RINASCITA S.R.L.</t>
  </si>
  <si>
    <t>01423260858</t>
  </si>
  <si>
    <t>016100</t>
  </si>
  <si>
    <t>Caltanissetta</t>
  </si>
  <si>
    <t>010000</t>
  </si>
  <si>
    <t>Firenze</t>
  </si>
  <si>
    <t>Toscana</t>
  </si>
  <si>
    <t>011310</t>
  </si>
  <si>
    <t>VIVAIO BELVERDE S.R.L.</t>
  </si>
  <si>
    <t>04225040874</t>
  </si>
  <si>
    <t>013000</t>
  </si>
  <si>
    <t>Catania</t>
  </si>
  <si>
    <t>011110</t>
  </si>
  <si>
    <t>COOPERATIVA AGRICOLA SOCIALE SAN FRANCESCO- COOPERATIVA AGRICOLA</t>
  </si>
  <si>
    <t>01424210522</t>
  </si>
  <si>
    <t>Siena</t>
  </si>
  <si>
    <t>Lombardia</t>
  </si>
  <si>
    <t>AZIENDA AGRARIA MISITA S.R.L.</t>
  </si>
  <si>
    <t>02595070844</t>
  </si>
  <si>
    <t>AGRUMHE' - SOCIETA' A RESPONSABILITA' LIMITATA SEMPLIFICATA</t>
  </si>
  <si>
    <t>05620900877</t>
  </si>
  <si>
    <t>AGRICOLA VENTURINI VALTER S.R.L.</t>
  </si>
  <si>
    <t>04349130486</t>
  </si>
  <si>
    <t>SOCIETA' AGRICOLA TENUTA VALDORSO S.R.L.</t>
  </si>
  <si>
    <t>02260770066</t>
  </si>
  <si>
    <t>Milano</t>
  </si>
  <si>
    <t>012100</t>
  </si>
  <si>
    <t>012600</t>
  </si>
  <si>
    <t>Toscana</t>
  </si>
  <si>
    <t>011310</t>
  </si>
  <si>
    <t>Lecce</t>
  </si>
  <si>
    <t>Puglia</t>
  </si>
  <si>
    <t>SOCIETA' AGRICOLA ELPAM S.R.L.</t>
  </si>
  <si>
    <t>02397880028</t>
  </si>
  <si>
    <t>Piacenza</t>
  </si>
  <si>
    <t>Emilia-Romagna</t>
  </si>
  <si>
    <t>NATURADIX AGRICOLE SOCIETA' AGRICOLA S.R.L.S.</t>
  </si>
  <si>
    <t>01491260525</t>
  </si>
  <si>
    <t>Siena</t>
  </si>
  <si>
    <t>SOCIETA' COOPERATIVA AMRITA A R.L.</t>
  </si>
  <si>
    <t>02559720756</t>
  </si>
  <si>
    <t>SOCIETA' AGRICOLA DONNA LIVIA S.R.L.</t>
  </si>
  <si>
    <t>02521560397</t>
  </si>
  <si>
    <t>Ravenna</t>
  </si>
  <si>
    <t>Sardegna</t>
  </si>
  <si>
    <t>015000</t>
  </si>
  <si>
    <t>Sicilia</t>
  </si>
  <si>
    <t>016000</t>
  </si>
  <si>
    <t>016100</t>
  </si>
  <si>
    <t>Calabria</t>
  </si>
  <si>
    <t>TECNICA IMPIANTI S.R.L.</t>
  </si>
  <si>
    <t>02859090801</t>
  </si>
  <si>
    <t>Reggio di Calabria</t>
  </si>
  <si>
    <t>SOCIETA' AGRICOLA NEBROS ZOOTECNICA S.R.L.</t>
  </si>
  <si>
    <t>02806470833</t>
  </si>
  <si>
    <t>Messina</t>
  </si>
  <si>
    <t>SOCIETA' AGRICOLA ORANGE MOON S.R.L.</t>
  </si>
  <si>
    <t>02472860929</t>
  </si>
  <si>
    <t>Puglia</t>
  </si>
  <si>
    <t>ROBERTO CREA SOCIETA' AGRICOLA A RESPONSABILITA' LIMITATA</t>
  </si>
  <si>
    <t>06274471009</t>
  </si>
  <si>
    <t>012100</t>
  </si>
  <si>
    <t>Grosseto</t>
  </si>
  <si>
    <t>Toscana</t>
  </si>
  <si>
    <t>BAGNACCI - SOCIETA' AGRICOLA - S.R.L.</t>
  </si>
  <si>
    <t>01168370524</t>
  </si>
  <si>
    <t>015000</t>
  </si>
  <si>
    <t>Siena</t>
  </si>
  <si>
    <t>A.P.O. - ASSOCIAZIONE PRODUTTORI OLIVICOLI - SOCIETA' COOPERATIVA AGRICOLA</t>
  </si>
  <si>
    <t>01082620772</t>
  </si>
  <si>
    <t>016100</t>
  </si>
  <si>
    <t>Matera</t>
  </si>
  <si>
    <t>Basilicata</t>
  </si>
  <si>
    <t>SOCIETA' AGRICOLA DELL'ARNEO S.R.L.</t>
  </si>
  <si>
    <t>03571590755</t>
  </si>
  <si>
    <t>Lecce</t>
  </si>
  <si>
    <t>011000</t>
  </si>
  <si>
    <t>012100</t>
  </si>
  <si>
    <t>Trapani</t>
  </si>
  <si>
    <t>Sicilia</t>
  </si>
  <si>
    <t>SOCIETA' AGRICOLA MAREMMALTA SOCIETA' A RESPONSABILITA' LIMITATAS EMPLIFICATA</t>
  </si>
  <si>
    <t>01603330539</t>
  </si>
  <si>
    <t>Grosseto</t>
  </si>
  <si>
    <t>Toscana</t>
  </si>
  <si>
    <t>GIOIELLI DI FRUTTA, SOCIETA' AGRICOLA S.R.L.</t>
  </si>
  <si>
    <t>02665440844</t>
  </si>
  <si>
    <t>012300</t>
  </si>
  <si>
    <t>Agrigento</t>
  </si>
  <si>
    <t>015000</t>
  </si>
  <si>
    <t>SERTURA SOCIETA' AGRICOLA S.R.L.</t>
  </si>
  <si>
    <t>02796850648</t>
  </si>
  <si>
    <t>Avellino</t>
  </si>
  <si>
    <t>Campania</t>
  </si>
  <si>
    <t>I ROVI SOCIETA' AGRICOLA S.R.L.</t>
  </si>
  <si>
    <t>05548520658</t>
  </si>
  <si>
    <t>Salerno</t>
  </si>
  <si>
    <t>S.I.P.O. S.R.L.</t>
  </si>
  <si>
    <t>01394530818</t>
  </si>
  <si>
    <t>LIBERARMONIA SOCIETA' COOPERATIVA SOCIALE - O.N.L.U.S. O IN SIGLA LIBERARMONIA SOC. COOP. SOC. - ONLUS</t>
  </si>
  <si>
    <t>02087460818</t>
  </si>
  <si>
    <t>011110</t>
  </si>
  <si>
    <t>Trapani</t>
  </si>
  <si>
    <t>Sicilia</t>
  </si>
  <si>
    <t>AGRISICULA SOCIETA' COOPERATIVA</t>
  </si>
  <si>
    <t>01473810859</t>
  </si>
  <si>
    <t>011920</t>
  </si>
  <si>
    <t>Caltanissetta</t>
  </si>
  <si>
    <t>L'ANTELLINO S.R.L.</t>
  </si>
  <si>
    <t>06744730489</t>
  </si>
  <si>
    <t>016100</t>
  </si>
  <si>
    <t>Firenze</t>
  </si>
  <si>
    <t>Toscana</t>
  </si>
  <si>
    <t>AGRITURISMO PIAN D'ANGELO AZIENDA AGRICOLA S.R.L. SOCIETA' AGRICOLA</t>
  </si>
  <si>
    <t>04194990406</t>
  </si>
  <si>
    <t>011140</t>
  </si>
  <si>
    <t>Forlì-Cesena</t>
  </si>
  <si>
    <t>Emilia-Romagna</t>
  </si>
  <si>
    <t>Taranto</t>
  </si>
  <si>
    <t>Puglia</t>
  </si>
  <si>
    <t>F.LLI GENTILE - SOCIETA' COOPERATIVA AGRICOLA</t>
  </si>
  <si>
    <t>02852940739</t>
  </si>
  <si>
    <t>013000</t>
  </si>
  <si>
    <t>POGGIOLO SOCIETA' AGRICOLA S.R.L.</t>
  </si>
  <si>
    <t>00316810548</t>
  </si>
  <si>
    <t>014100</t>
  </si>
  <si>
    <t>Perugia</t>
  </si>
  <si>
    <t>Umbria</t>
  </si>
  <si>
    <t>011300</t>
  </si>
  <si>
    <t>FONTAN DI NOCE S.R.L. SOCIETA' AGRICOLA</t>
  </si>
  <si>
    <t>01369050776</t>
  </si>
  <si>
    <t>012600</t>
  </si>
  <si>
    <t>Matera</t>
  </si>
  <si>
    <t>Basilicata</t>
  </si>
  <si>
    <t>Campania</t>
  </si>
  <si>
    <t>MASSERIA RENDITA S.R.L. UNIPERSONALE SOCIETA' AGRICOLA</t>
  </si>
  <si>
    <t>06093311212</t>
  </si>
  <si>
    <t>Napoli</t>
  </si>
  <si>
    <t>SOCIETA' AGRICOLA BONSAI - DO - S.R.L.</t>
  </si>
  <si>
    <t>02749860645</t>
  </si>
  <si>
    <t>012900</t>
  </si>
  <si>
    <t>Avellino</t>
  </si>
  <si>
    <t>Campania</t>
  </si>
  <si>
    <t>IMAKARA SOCIETA' AGRICOLA S.R.L.</t>
  </si>
  <si>
    <t>05343580873</t>
  </si>
  <si>
    <t>012100</t>
  </si>
  <si>
    <t>Catania</t>
  </si>
  <si>
    <t>Sicilia</t>
  </si>
  <si>
    <t>Puglia</t>
  </si>
  <si>
    <t>012600</t>
  </si>
  <si>
    <t>015000</t>
  </si>
  <si>
    <t>SAN MAURIZIO SOCIETA' AGRICOLA S.R.L.</t>
  </si>
  <si>
    <t>02619170604</t>
  </si>
  <si>
    <t>Frosinone</t>
  </si>
  <si>
    <t>Lazio</t>
  </si>
  <si>
    <t>Brindisi</t>
  </si>
  <si>
    <t>SOCIETA' AGRICOLA PRODUZIONI BIOBELLEZZE SRLS</t>
  </si>
  <si>
    <t>02561520749</t>
  </si>
  <si>
    <t>LA FENICE 2017 SOCIETA' COOPERATIVA AGRICOLA</t>
  </si>
  <si>
    <t>05442160874</t>
  </si>
  <si>
    <t>014700</t>
  </si>
  <si>
    <t>Sicilia</t>
  </si>
  <si>
    <t>Campania</t>
  </si>
  <si>
    <t>FATTORIA LO PORTO SOCIETA' AGRICOLA A RESPONSABILITA' LIMITATA SE MPLIFICATA</t>
  </si>
  <si>
    <t>05115920653</t>
  </si>
  <si>
    <t>014700</t>
  </si>
  <si>
    <t>Salerno</t>
  </si>
  <si>
    <t>COMUNITA' COOPERATIVA LAUDATO SI' - SOCIETA' AGRICOLA COOPERATIVA IN FORMA ABBREVIATA LAUDATO SI' SOCIETA AGRICOLA COOPERATIVA</t>
  </si>
  <si>
    <t>01614490538</t>
  </si>
  <si>
    <t>016100</t>
  </si>
  <si>
    <t>Grosseto</t>
  </si>
  <si>
    <t>Toscana</t>
  </si>
  <si>
    <t>SOCIETA' COOPERATIVA SOCIALE PROGETTO VERDE</t>
  </si>
  <si>
    <t>00670090950</t>
  </si>
  <si>
    <t>011300</t>
  </si>
  <si>
    <t>Oristano</t>
  </si>
  <si>
    <t>Sardegna</t>
  </si>
  <si>
    <t>Sassari</t>
  </si>
  <si>
    <t>015000</t>
  </si>
  <si>
    <t>BRAND NEBRODI SOCIETA' COOPERATIVA AGRICOLA</t>
  </si>
  <si>
    <t>03298950837</t>
  </si>
  <si>
    <t>Messina</t>
  </si>
  <si>
    <t>COMPAGNIA SARDA PER L'ENERGIA VERDE SOCIETA' AGRICOLA S.R.L.</t>
  </si>
  <si>
    <t>02572390900</t>
  </si>
  <si>
    <t>SOCIETA' AGRICOLA SCUDERIA GROANE S.R.L.</t>
  </si>
  <si>
    <t>06595740967</t>
  </si>
  <si>
    <t>014300</t>
  </si>
  <si>
    <t>Monza e della Brianza</t>
  </si>
  <si>
    <t>Lombardia</t>
  </si>
  <si>
    <t>VALLI S.R.L.</t>
  </si>
  <si>
    <t>02454280799</t>
  </si>
  <si>
    <t>014600</t>
  </si>
  <si>
    <t>Catanzaro</t>
  </si>
  <si>
    <t>Calabria</t>
  </si>
  <si>
    <t>012600</t>
  </si>
  <si>
    <t>Sicilia</t>
  </si>
  <si>
    <t>SOCIETA' AGRICOLA GEO SER.RA-SOCIETA' A RESPONSABILITA' LIMITATA</t>
  </si>
  <si>
    <t>01332570520</t>
  </si>
  <si>
    <t>012000</t>
  </si>
  <si>
    <t>Siena</t>
  </si>
  <si>
    <t>Toscana</t>
  </si>
  <si>
    <t>012100</t>
  </si>
  <si>
    <t>ZOTTOPERA SOCIETA' AGRICOLA S.R.L.</t>
  </si>
  <si>
    <t>01709930885</t>
  </si>
  <si>
    <t>Ragusa</t>
  </si>
  <si>
    <t>VINITA' AGRICOLA S.R.L. - SOCIETA' AGRICOLA</t>
  </si>
  <si>
    <t>01630930533</t>
  </si>
  <si>
    <t>Grosseto</t>
  </si>
  <si>
    <t>Sicilia</t>
  </si>
  <si>
    <t>SOCIETA' AGRICOLA FATTORIA CA' NOVA S.R.L.</t>
  </si>
  <si>
    <t>03027150360</t>
  </si>
  <si>
    <t>014100</t>
  </si>
  <si>
    <t>Modena</t>
  </si>
  <si>
    <t>Emilia-Romagna</t>
  </si>
  <si>
    <t>MONTE VERDE SOCIETA' COOPERATIVA</t>
  </si>
  <si>
    <t>02850480837</t>
  </si>
  <si>
    <t>Messina</t>
  </si>
  <si>
    <t>CER INVEST S.R.L.</t>
  </si>
  <si>
    <t>02686470838</t>
  </si>
  <si>
    <t>012300</t>
  </si>
  <si>
    <t>SOCIETA' AGRICOLA TRE VIAE S.R.L.</t>
  </si>
  <si>
    <t>03575270545</t>
  </si>
  <si>
    <t>012600</t>
  </si>
  <si>
    <t>Perugia</t>
  </si>
  <si>
    <t>Umbria</t>
  </si>
  <si>
    <t>015000</t>
  </si>
  <si>
    <t>D'ASCENZO EMILIO AZIENDA AGRICOLA SOCIETA'COOPERATIVA</t>
  </si>
  <si>
    <t>01032280578</t>
  </si>
  <si>
    <t>Rieti</t>
  </si>
  <si>
    <t>Lazio</t>
  </si>
  <si>
    <t>SOCIETA' AGRICOLA LE ERBE DI BRILLOR S.R.L.</t>
  </si>
  <si>
    <t>10846610011</t>
  </si>
  <si>
    <t>012800</t>
  </si>
  <si>
    <t>Torino</t>
  </si>
  <si>
    <t>Piemonte</t>
  </si>
  <si>
    <t>011110</t>
  </si>
  <si>
    <t>MADONNA DELLA GUADALUPE SRL SOCIETA' AGRICOLA</t>
  </si>
  <si>
    <t>02223980356</t>
  </si>
  <si>
    <t>011140</t>
  </si>
  <si>
    <t>Reggio nell'Emilia</t>
  </si>
  <si>
    <t>Emilia-Romagna</t>
  </si>
  <si>
    <t>RED S.R.L. SOCIETA' AGRICOLA</t>
  </si>
  <si>
    <t>02926570306</t>
  </si>
  <si>
    <t>Udine</t>
  </si>
  <si>
    <t>Friuli-Venezia Giulia</t>
  </si>
  <si>
    <t>FLORASTA SANREMO SOCIETA' AGRICOLA CONSORTILE A RESPONSABILITA' L IMITATA</t>
  </si>
  <si>
    <t>01389960087</t>
  </si>
  <si>
    <t>016000</t>
  </si>
  <si>
    <t>Imperia</t>
  </si>
  <si>
    <t>Liguria</t>
  </si>
  <si>
    <t>011300</t>
  </si>
  <si>
    <t>Puglia</t>
  </si>
  <si>
    <t>012100</t>
  </si>
  <si>
    <t>Liguria</t>
  </si>
  <si>
    <t>Piemonte</t>
  </si>
  <si>
    <t>SOLEQUO - SOCIETA' COOPERATIVA A RESPONSABILITA' LIMITATA</t>
  </si>
  <si>
    <t>01987310743</t>
  </si>
  <si>
    <t>Brindisi</t>
  </si>
  <si>
    <t>VITIVINICOLA CAIRE E ANGELINO SOCIETA' AGRICOLA A RESPONSABILITA' LIMITATA</t>
  </si>
  <si>
    <t>02364800066</t>
  </si>
  <si>
    <t>Alessandria</t>
  </si>
  <si>
    <t>ALTAVIA SOCIETA' AGRICOLA A RESPONSABILITA' LIMITATA</t>
  </si>
  <si>
    <t>01317440087</t>
  </si>
  <si>
    <t>Imperia</t>
  </si>
  <si>
    <t>Roma</t>
  </si>
  <si>
    <t>Lazio</t>
  </si>
  <si>
    <t>011000</t>
  </si>
  <si>
    <t>Piemonte</t>
  </si>
  <si>
    <t>AZIENDA AGRITURISTICA SAN GIOVANNI SOCIETA' A RESPONSABILITA' LI MITATA</t>
  </si>
  <si>
    <t>06706181002</t>
  </si>
  <si>
    <t>011140</t>
  </si>
  <si>
    <t>SOCIETA' AGRICOLA COOPERATIVA MIGLIORETTI</t>
  </si>
  <si>
    <t>12002220015</t>
  </si>
  <si>
    <t>016300</t>
  </si>
  <si>
    <t>Torino</t>
  </si>
  <si>
    <t>CENTRO ATTIVITA CINOFILE - LA VALLETTA - SOCIETA' COOPERATIVA A RESPONSABILITA' LIMITATA - IN LIQUIDAZIONE</t>
  </si>
  <si>
    <t>01179441009</t>
  </si>
  <si>
    <t>014920</t>
  </si>
  <si>
    <t>3SOLI SOCIETA' AGRICOLA S.R.L.</t>
  </si>
  <si>
    <t>10588791003</t>
  </si>
  <si>
    <t>SAN ROMUALDO COOPERATIVA AGRICOLA A RESPONSABILITA' LIMITATA</t>
  </si>
  <si>
    <t>01081420422</t>
  </si>
  <si>
    <t>014500</t>
  </si>
  <si>
    <t>Ancona</t>
  </si>
  <si>
    <t>Marche</t>
  </si>
  <si>
    <t>Puglia</t>
  </si>
  <si>
    <t>LA LETIZIA S.R.L. SOCIETA' AGRICOLA</t>
  </si>
  <si>
    <t>02957370642</t>
  </si>
  <si>
    <t>012500</t>
  </si>
  <si>
    <t>Avellino</t>
  </si>
  <si>
    <t>Campania</t>
  </si>
  <si>
    <t>Lazio</t>
  </si>
  <si>
    <t>Sicilia</t>
  </si>
  <si>
    <t>PODERE AI VALLONI S.R.L. SOCIETA' AGRICOLA E VITIVINICOLA</t>
  </si>
  <si>
    <t>04527960019</t>
  </si>
  <si>
    <t>012100</t>
  </si>
  <si>
    <t>Novara</t>
  </si>
  <si>
    <t>Piemonte</t>
  </si>
  <si>
    <t>016100</t>
  </si>
  <si>
    <t>Rieti</t>
  </si>
  <si>
    <t>CONSORZIO PRODUTTORI OLIVICOLI DEL LAZIO (C.P.O.L.) SOCIETA'COOPE RATIVA</t>
  </si>
  <si>
    <t>01077010575</t>
  </si>
  <si>
    <t>Foggia</t>
  </si>
  <si>
    <t>AGRIPUGLIESE SOCIETA' AGRICOLA S.R.L.</t>
  </si>
  <si>
    <t>04203300712</t>
  </si>
  <si>
    <t>011110</t>
  </si>
  <si>
    <t>SOCIETA' AGRICOLA TERRE DI FIUME S.R.L.</t>
  </si>
  <si>
    <t>03171510401</t>
  </si>
  <si>
    <t>Rimini</t>
  </si>
  <si>
    <t>Emilia-Romagna</t>
  </si>
  <si>
    <t>Agrigento</t>
  </si>
  <si>
    <t>ISOLA VERDE SOCIETA' AGRICOLA A RESPONSABILITA' LIMITATA</t>
  </si>
  <si>
    <t>03771080714</t>
  </si>
  <si>
    <t>011140</t>
  </si>
  <si>
    <t>MASSERIA CHIANETTA S.R.L. SEMPLIFICATA AGRICOLA</t>
  </si>
  <si>
    <t>02941670842</t>
  </si>
  <si>
    <t>Puglia</t>
  </si>
  <si>
    <t>IL FOSSATO S.R.L. SOCIETA' AGRICOLA</t>
  </si>
  <si>
    <t>05995510483</t>
  </si>
  <si>
    <t>011140</t>
  </si>
  <si>
    <t>Firenze</t>
  </si>
  <si>
    <t>Toscana</t>
  </si>
  <si>
    <t>GEOPONICA S.R.L.</t>
  </si>
  <si>
    <t>10394430010</t>
  </si>
  <si>
    <t>016100</t>
  </si>
  <si>
    <t>Torino</t>
  </si>
  <si>
    <t>Piemonte</t>
  </si>
  <si>
    <t>012100</t>
  </si>
  <si>
    <t>SOCIETA' COOPERATIVA IL LECCETO SOCIETA' AGRICOLA</t>
  </si>
  <si>
    <t>00601540529</t>
  </si>
  <si>
    <t>012600</t>
  </si>
  <si>
    <t>Siena</t>
  </si>
  <si>
    <t>Sicilia</t>
  </si>
  <si>
    <t>SAN GIOVANNI BATTISTA SOCIETA' COOPERATIVA SOCIALE</t>
  </si>
  <si>
    <t>00954790887</t>
  </si>
  <si>
    <t>Ragusa</t>
  </si>
  <si>
    <t>Brindisi</t>
  </si>
  <si>
    <t>PRODUTTORI AGRICOLI ITALIANI SOCIETA' COOPERATIVA AGRICOLA</t>
  </si>
  <si>
    <t>02734270735</t>
  </si>
  <si>
    <t>012000</t>
  </si>
  <si>
    <t>Taranto</t>
  </si>
  <si>
    <t>SOCIETA' AGRICOLA TAMBORRINO S.R.L.</t>
  </si>
  <si>
    <t>02520230745</t>
  </si>
  <si>
    <t>Siracusa</t>
  </si>
  <si>
    <t>SOCIETA' AGRICOLA RENACCINO S.R.L.</t>
  </si>
  <si>
    <t>01411460528</t>
  </si>
  <si>
    <t>014300</t>
  </si>
  <si>
    <t>OTTIMO CITRUS SOCIETA' A RESPONSABILITA' LIMITATA SEMPLIFICATA</t>
  </si>
  <si>
    <t>01965900895</t>
  </si>
  <si>
    <t>012300</t>
  </si>
  <si>
    <t>VINI APUANI SOCIETA' AGRICOLA VINICOLA SOCIETA' A RESPONSABILITA' LIMITATA SEMPLIFICATA</t>
  </si>
  <si>
    <t>01301520456</t>
  </si>
  <si>
    <t>Massa-Carrara</t>
  </si>
  <si>
    <t>016100</t>
  </si>
  <si>
    <t>LO SCOIATTOLO S.R.L.</t>
  </si>
  <si>
    <t>01717540668</t>
  </si>
  <si>
    <t>012000</t>
  </si>
  <si>
    <t>L'Aquila</t>
  </si>
  <si>
    <t>Abruzzo</t>
  </si>
  <si>
    <t>Calabria</t>
  </si>
  <si>
    <t>MALENA GROUP S.R.L.</t>
  </si>
  <si>
    <t>03063840791</t>
  </si>
  <si>
    <t>012100</t>
  </si>
  <si>
    <t>Crotone</t>
  </si>
  <si>
    <t>CONSORZIO AGRISERVICE</t>
  </si>
  <si>
    <t>02100210695</t>
  </si>
  <si>
    <t>Chieti</t>
  </si>
  <si>
    <t>015000</t>
  </si>
  <si>
    <t>SOCIETA' AGRICOLA IL FIORE DEI FIORI POESIA E ARTE NEI GIARDINI SRL</t>
  </si>
  <si>
    <t>01739950432</t>
  </si>
  <si>
    <t>013000</t>
  </si>
  <si>
    <t>Macerata</t>
  </si>
  <si>
    <t>Marche</t>
  </si>
  <si>
    <t>012100</t>
  </si>
  <si>
    <t>Lazio</t>
  </si>
  <si>
    <t>SOCIETA' AGRICOLA TENUTA QUARTO SANTA CROCE S.R.L.</t>
  </si>
  <si>
    <t>10368381009</t>
  </si>
  <si>
    <t>Roma</t>
  </si>
  <si>
    <t>COOPERATIVA TRA PRODUTTORI ED ALLEVATORI DI BESTIAME I TERZI SOCI ETA' COOPERATIVA</t>
  </si>
  <si>
    <t>00956291009</t>
  </si>
  <si>
    <t>014000</t>
  </si>
  <si>
    <t>SOCIETA' AGRICOLA YEGUADA POETALLA S.R.L.</t>
  </si>
  <si>
    <t>03044810541</t>
  </si>
  <si>
    <t>Perugia</t>
  </si>
  <si>
    <t>Umbria</t>
  </si>
  <si>
    <t>LA TIGRE S.R.L. SOCIETA' AGRICOLA</t>
  </si>
  <si>
    <t>02846430607</t>
  </si>
  <si>
    <t>012900</t>
  </si>
  <si>
    <t>Frosinone</t>
  </si>
  <si>
    <t>Puglia</t>
  </si>
  <si>
    <t>COOPERATIVA AGRICOLA TERRA ANTICA</t>
  </si>
  <si>
    <t>04402160750</t>
  </si>
  <si>
    <t>016300</t>
  </si>
  <si>
    <t>Lecce</t>
  </si>
  <si>
    <t>LA VIGNA SOC. COOP. A R.L.</t>
  </si>
  <si>
    <t>01481710182</t>
  </si>
  <si>
    <t>012000</t>
  </si>
  <si>
    <t>Pavia</t>
  </si>
  <si>
    <t>Lombardia</t>
  </si>
  <si>
    <t>AGRI GOLIA SRLS</t>
  </si>
  <si>
    <t>01658520620</t>
  </si>
  <si>
    <t>014700</t>
  </si>
  <si>
    <t>Benevento</t>
  </si>
  <si>
    <t>Campania</t>
  </si>
  <si>
    <t>Potenza</t>
  </si>
  <si>
    <t>Basilicata</t>
  </si>
  <si>
    <t>IPPOFORM AZIENDA RUSCITTO S.R.L.</t>
  </si>
  <si>
    <t>00922920707</t>
  </si>
  <si>
    <t>014300</t>
  </si>
  <si>
    <t>Campobasso</t>
  </si>
  <si>
    <t>Molise</t>
  </si>
  <si>
    <t>Sicilia</t>
  </si>
  <si>
    <t>015000</t>
  </si>
  <si>
    <t>Messina</t>
  </si>
  <si>
    <t>ARTETEKE - SOCIETA' COOPERATIVA AGRICOLA</t>
  </si>
  <si>
    <t>01977410768</t>
  </si>
  <si>
    <t>SOCIETA' AGRICOLA VASARI S.R.L.</t>
  </si>
  <si>
    <t>03337240836</t>
  </si>
  <si>
    <t>012100</t>
  </si>
  <si>
    <t>SOCIETA' AGRICOLA BENINCASA S.R.L.</t>
  </si>
  <si>
    <t>02977420542</t>
  </si>
  <si>
    <t>012100</t>
  </si>
  <si>
    <t>Perugia</t>
  </si>
  <si>
    <t>Umbria</t>
  </si>
  <si>
    <t>011320</t>
  </si>
  <si>
    <t>Agrigento</t>
  </si>
  <si>
    <t>Sicilia</t>
  </si>
  <si>
    <t>015000</t>
  </si>
  <si>
    <t>GEA SOCIETA' COOPERATIVA SOCIALE</t>
  </si>
  <si>
    <t>01966510842</t>
  </si>
  <si>
    <t>012200</t>
  </si>
  <si>
    <t>IDEA TERRA SOCIETA' AGRICOLA A RESPONSABILITA' LIMITATA IN SIGLA IDEA TERRA SOCIETA' AGRICOLA S.R.L.</t>
  </si>
  <si>
    <t>02088050683</t>
  </si>
  <si>
    <t>Pescara</t>
  </si>
  <si>
    <t>Abruzzo</t>
  </si>
  <si>
    <t>D.M. FRUIT S.R.L. SEMPLIFICATA - SOCIETA' AGRICOLA</t>
  </si>
  <si>
    <t>02479060812</t>
  </si>
  <si>
    <t>Trapani</t>
  </si>
  <si>
    <t>AGRIAMO SOCIETA' AGRICOLA A RESPONSABILITA' LIMITATA</t>
  </si>
  <si>
    <t>02751310182</t>
  </si>
  <si>
    <t>Pavia</t>
  </si>
  <si>
    <t>Lombardia</t>
  </si>
  <si>
    <t>Bari</t>
  </si>
  <si>
    <t>Puglia</t>
  </si>
  <si>
    <t>012600</t>
  </si>
  <si>
    <t>CBD GARGANO SOCIETA' AGRICOLA SOCIETA' A RESPONSABILITA' LIMITATA SEMPLIFICATA</t>
  </si>
  <si>
    <t>08156850722</t>
  </si>
  <si>
    <t>011600</t>
  </si>
  <si>
    <t>OLEARIA MURRONE SOCIETA' AGRICOLA S.R.L.</t>
  </si>
  <si>
    <t>03668600756</t>
  </si>
  <si>
    <t>Lecce</t>
  </si>
  <si>
    <t>EMMEVI S.R.L.</t>
  </si>
  <si>
    <t>02688310412</t>
  </si>
  <si>
    <t>011910</t>
  </si>
  <si>
    <t>Pesaro Urbino</t>
  </si>
  <si>
    <t>Marche</t>
  </si>
  <si>
    <t>LA BASENTANA - SOCIETA' AGRICOLA - S.R.L.</t>
  </si>
  <si>
    <t>01193670773</t>
  </si>
  <si>
    <t>Matera</t>
  </si>
  <si>
    <t>Basilicata</t>
  </si>
  <si>
    <t>VIVAI CAPONIO GIUSEPPE SOCIETA' AGRICOLA SRL</t>
  </si>
  <si>
    <t>02219830748</t>
  </si>
  <si>
    <t>013000</t>
  </si>
  <si>
    <t>Brindisi</t>
  </si>
  <si>
    <t>GOLF COURMAYEUR ET GRANDES JORASSES S.R.L.</t>
  </si>
  <si>
    <t>01032000075</t>
  </si>
  <si>
    <t>016000</t>
  </si>
  <si>
    <t>Valle d'Aosta/Vallée d'Aoste</t>
  </si>
  <si>
    <t>SOCIETA' AGRICOLA SERRAMARINA S.R.L.</t>
  </si>
  <si>
    <t>00703600775</t>
  </si>
  <si>
    <t>011310</t>
  </si>
  <si>
    <t>Matera</t>
  </si>
  <si>
    <t>Basilicata</t>
  </si>
  <si>
    <t>Sicilia</t>
  </si>
  <si>
    <t>012100</t>
  </si>
  <si>
    <t>Roma</t>
  </si>
  <si>
    <t>Lazio</t>
  </si>
  <si>
    <t>SOCIETA' AGRICOLA TENUTA IL CORVO S.R.L.</t>
  </si>
  <si>
    <t>02529960037</t>
  </si>
  <si>
    <t>Novara</t>
  </si>
  <si>
    <t>Piemonte</t>
  </si>
  <si>
    <t>NARDO' AGRIVERDE SOCIETA' COOPERATIVA AGRICOLA</t>
  </si>
  <si>
    <t>04203960754</t>
  </si>
  <si>
    <t>Lecce</t>
  </si>
  <si>
    <t>Puglia</t>
  </si>
  <si>
    <t>AGRICOLA MANONERA S.R.L. SOCIETA' AGRICOLA</t>
  </si>
  <si>
    <t>00290510528</t>
  </si>
  <si>
    <t>011000</t>
  </si>
  <si>
    <t>Siena</t>
  </si>
  <si>
    <t>Toscana</t>
  </si>
  <si>
    <t>OLIOMERLINO S.R.L. AGRICOLA</t>
  </si>
  <si>
    <t>03146100833</t>
  </si>
  <si>
    <t>012600</t>
  </si>
  <si>
    <t>Messina</t>
  </si>
  <si>
    <t>AIPOS - ASSOCIAZIONE INTERPROVINCIALE PRODUTTORI OLIVICOLI SICILI ANI - SOCIETA' COOPERATIVA</t>
  </si>
  <si>
    <t>01760730836</t>
  </si>
  <si>
    <t>016300</t>
  </si>
  <si>
    <t>LA FLOROVIVAISTICA SOCIETA' AGRICOLA A RESPONSABILITA' LIMITATA SEMPLIFICATA</t>
  </si>
  <si>
    <t>12786311006</t>
  </si>
  <si>
    <t>013000</t>
  </si>
  <si>
    <t>TUXIARE S.R.L. SOCIETA' AGRICOLA</t>
  </si>
  <si>
    <t>02531590814</t>
  </si>
  <si>
    <t>Trapani</t>
  </si>
  <si>
    <t>DEL PONTE S.R.L.</t>
  </si>
  <si>
    <t>01191170479</t>
  </si>
  <si>
    <t>012000</t>
  </si>
  <si>
    <t>Pistoia</t>
  </si>
  <si>
    <t>012100</t>
  </si>
  <si>
    <t>SOCIETA' AGRICOLA MORODER S.R.L.</t>
  </si>
  <si>
    <t>01516020425</t>
  </si>
  <si>
    <t>011140</t>
  </si>
  <si>
    <t>Ancona</t>
  </si>
  <si>
    <t>Marche</t>
  </si>
  <si>
    <t>SIA SOCIETA' AGRICOLA ITALIANA A R.L.</t>
  </si>
  <si>
    <t>01518960628</t>
  </si>
  <si>
    <t>Benevento</t>
  </si>
  <si>
    <t>Campania</t>
  </si>
  <si>
    <t>016209</t>
  </si>
  <si>
    <t>JOY HORSE CENTER S.R.L.</t>
  </si>
  <si>
    <t>02650340348</t>
  </si>
  <si>
    <t>Parma</t>
  </si>
  <si>
    <t>Emilia-Romagna</t>
  </si>
  <si>
    <t>016100</t>
  </si>
  <si>
    <t>Foggia</t>
  </si>
  <si>
    <t>Puglia</t>
  </si>
  <si>
    <t>Basilicata</t>
  </si>
  <si>
    <t>012100</t>
  </si>
  <si>
    <t>Lazio</t>
  </si>
  <si>
    <t>FEUDO DELLA SELVA S.R.L.</t>
  </si>
  <si>
    <t>03882380714</t>
  </si>
  <si>
    <t>011120</t>
  </si>
  <si>
    <t>Frosinone</t>
  </si>
  <si>
    <t>Potenza</t>
  </si>
  <si>
    <t>SOCIETA' AGRICOLA CANTINE STRAPELLUM S.R.L.</t>
  </si>
  <si>
    <t>01836220762</t>
  </si>
  <si>
    <t>AZIENDA AGRICOLA G.E.M.M.A. S.R.L.</t>
  </si>
  <si>
    <t>02951490602</t>
  </si>
  <si>
    <t>Toscana</t>
  </si>
  <si>
    <t>FATTORIA FLORIS SOCIETA' SEMPLICE AGRICOLA</t>
  </si>
  <si>
    <t>03815280924</t>
  </si>
  <si>
    <t>014500</t>
  </si>
  <si>
    <t>Sardegna</t>
  </si>
  <si>
    <t>FONTANELLA MAGIC ARABIANS SOCIETA' AGRICOLA A R.L.</t>
  </si>
  <si>
    <t>03093011215</t>
  </si>
  <si>
    <t>014300</t>
  </si>
  <si>
    <t>Napoli</t>
  </si>
  <si>
    <t>Campania</t>
  </si>
  <si>
    <t>IL SOGNO VERDE SRL SOCIETA' AGRICOLA</t>
  </si>
  <si>
    <t>02495450468</t>
  </si>
  <si>
    <t>011300</t>
  </si>
  <si>
    <t>Lucca</t>
  </si>
  <si>
    <t>013000</t>
  </si>
  <si>
    <t>012600</t>
  </si>
  <si>
    <t>Sicilia</t>
  </si>
  <si>
    <t>012100</t>
  </si>
  <si>
    <t>TRE TORRI VINI E OLII DI SICILIA - SOCIETA' COOPERATIVA AGRICOLA</t>
  </si>
  <si>
    <t>Palermo</t>
  </si>
  <si>
    <t>PODERE SERRAGLIO S.R.L. - SOCIETA' AGRICOLA</t>
  </si>
  <si>
    <t>03191170715</t>
  </si>
  <si>
    <t>011140</t>
  </si>
  <si>
    <t>Foggia</t>
  </si>
  <si>
    <t>Puglia</t>
  </si>
  <si>
    <t>LA FATTORIA DI NONNO FIORE SOCIETA' AGRICOLA S.R.L.</t>
  </si>
  <si>
    <t>02010370563</t>
  </si>
  <si>
    <t>Viterbo</t>
  </si>
  <si>
    <t>Lazio</t>
  </si>
  <si>
    <t>VALLE DEL TURANO - SOCIETA' COOPERATIVA AGRICOLA</t>
  </si>
  <si>
    <t>00997260575</t>
  </si>
  <si>
    <t>Rieti</t>
  </si>
  <si>
    <t>Sicilia</t>
  </si>
  <si>
    <t>CARCACI SOCIETA' COOPERATIVA AGRICOLA</t>
  </si>
  <si>
    <t>02620370847</t>
  </si>
  <si>
    <t>011140</t>
  </si>
  <si>
    <t>Agrigento</t>
  </si>
  <si>
    <t>CIRASULO SOCIETA' COOPERATIVA AGRICOLA</t>
  </si>
  <si>
    <t>02408560742</t>
  </si>
  <si>
    <t>011310</t>
  </si>
  <si>
    <t>Brindisi</t>
  </si>
  <si>
    <t>Puglia</t>
  </si>
  <si>
    <t>Toscana</t>
  </si>
  <si>
    <t>IL MONDO DI CASTELL'ANSELMO SOCIETA' AGRICOLA SOCIETA' A RESPONSABILITA' LIMITATA SEMPLIFICATA</t>
  </si>
  <si>
    <t>02353370501</t>
  </si>
  <si>
    <t>014990</t>
  </si>
  <si>
    <t>Pisa</t>
  </si>
  <si>
    <t>011310</t>
  </si>
  <si>
    <t>IS CHERCHIS SOCIETA' A RESPONSABILITA' LIMITATA SEMPLIFICATA - SOCIETA' AGRICOLA</t>
  </si>
  <si>
    <t>03513680920</t>
  </si>
  <si>
    <t>012100</t>
  </si>
  <si>
    <t>Cagliari</t>
  </si>
  <si>
    <t>Sardegna</t>
  </si>
  <si>
    <t>Toscana</t>
  </si>
  <si>
    <t>TENUTA DI MONTEROZZINO SOCIETA' AGRICOLA A R. L.</t>
  </si>
  <si>
    <t>01431660537</t>
  </si>
  <si>
    <t>Grosseto</t>
  </si>
  <si>
    <t>Campania</t>
  </si>
  <si>
    <t>LA MELA SOCIETA' AGRICOLA A RESPONSABILITA' LIMITATA</t>
  </si>
  <si>
    <t>05616290655</t>
  </si>
  <si>
    <t>Salerno</t>
  </si>
  <si>
    <t>Foggia</t>
  </si>
  <si>
    <t>Puglia</t>
  </si>
  <si>
    <t>012100</t>
  </si>
  <si>
    <t>MICORT SOCIETA' A RESPONSABILITA' LIMITATA SEMPLIFICATA</t>
  </si>
  <si>
    <t>04204650719</t>
  </si>
  <si>
    <t>011310</t>
  </si>
  <si>
    <t>Emilia-Romagna</t>
  </si>
  <si>
    <t>LA SIBA SOCIETA' COOPERATIVA - SOCIETA' AGRICOLA</t>
  </si>
  <si>
    <t>04514300401</t>
  </si>
  <si>
    <t>Forlì-Cesena</t>
  </si>
  <si>
    <t>DE LUCA SERVICES S.R.L.S.</t>
  </si>
  <si>
    <t>01886570892</t>
  </si>
  <si>
    <t>012300</t>
  </si>
  <si>
    <t>Siracusa</t>
  </si>
  <si>
    <t>Sicilia</t>
  </si>
  <si>
    <t>Lombardia</t>
  </si>
  <si>
    <t>011310</t>
  </si>
  <si>
    <t>FATTORIA IL PINO SRL SOCIETA' AGRICOLA</t>
  </si>
  <si>
    <t>01534360522</t>
  </si>
  <si>
    <t>012100</t>
  </si>
  <si>
    <t>Siena</t>
  </si>
  <si>
    <t>Toscana</t>
  </si>
  <si>
    <t>Lecce</t>
  </si>
  <si>
    <t>Puglia</t>
  </si>
  <si>
    <t>016100</t>
  </si>
  <si>
    <t>012600</t>
  </si>
  <si>
    <t>TENUTE DI MONTEFORTINO S.R.L. - SOCIETA' AGRICOLA</t>
  </si>
  <si>
    <t>02302380395</t>
  </si>
  <si>
    <t>011300</t>
  </si>
  <si>
    <t>Ravenna</t>
  </si>
  <si>
    <t>Emilia-Romagna</t>
  </si>
  <si>
    <t>TERRAZZE DEI CECH SOCIETA' COOPERATIVA AGRICOLA</t>
  </si>
  <si>
    <t>00898620141</t>
  </si>
  <si>
    <t>Sondrio</t>
  </si>
  <si>
    <t>SOCIETA' AGRICOLA SCERBA S.R.L.</t>
  </si>
  <si>
    <t>01874470477</t>
  </si>
  <si>
    <t>Pistoia</t>
  </si>
  <si>
    <t>SOCIETA' COOPERATIVA TERRA APULIAE</t>
  </si>
  <si>
    <t>04199100753</t>
  </si>
  <si>
    <t>011320</t>
  </si>
  <si>
    <t>SOCIETA' AGRICOLA MIRALAGHI S.A.M. S.R.L.</t>
  </si>
  <si>
    <t>01119050548</t>
  </si>
  <si>
    <t>Perugia</t>
  </si>
  <si>
    <t>Umbria</t>
  </si>
  <si>
    <t>Sicilia</t>
  </si>
  <si>
    <t>011310</t>
  </si>
  <si>
    <t>Roma</t>
  </si>
  <si>
    <t>Lazio</t>
  </si>
  <si>
    <t>Calabria</t>
  </si>
  <si>
    <t>Catanzaro</t>
  </si>
  <si>
    <t>APROAGRUMI SOCIETA' COOPERATIVA AGRICOLA</t>
  </si>
  <si>
    <t>01977410891</t>
  </si>
  <si>
    <t>Siracusa</t>
  </si>
  <si>
    <t>Lombardia</t>
  </si>
  <si>
    <t>012100</t>
  </si>
  <si>
    <t>014000</t>
  </si>
  <si>
    <t>AMPELON SOCIETA' A RESPONSABILITA' LIMITATA</t>
  </si>
  <si>
    <t>03051700791</t>
  </si>
  <si>
    <t>ITALIAN COUNTRY HOUSE SOCIETA' AGRICOLA A R,L,</t>
  </si>
  <si>
    <t>07673381005</t>
  </si>
  <si>
    <t>011000</t>
  </si>
  <si>
    <t>LA MAGNOLIA SOCIETA' AGRICOLA A RESPONSABILITA' LIMITATA</t>
  </si>
  <si>
    <t>06251330962</t>
  </si>
  <si>
    <t>013000</t>
  </si>
  <si>
    <t>Lecco</t>
  </si>
  <si>
    <t>TERRANERA - SOCIETA' COOPERATIVA AGRICOLA</t>
  </si>
  <si>
    <t>02144920069</t>
  </si>
  <si>
    <t>Alessandria</t>
  </si>
  <si>
    <t>Piemonte</t>
  </si>
  <si>
    <t>''ALLEVAMENTO I BRIGANTI SOCIETA' A RESPONSABILITA' LIMITATA''</t>
  </si>
  <si>
    <t>10700841009</t>
  </si>
  <si>
    <t>016100</t>
  </si>
  <si>
    <t>Sicilia</t>
  </si>
  <si>
    <t>012600</t>
  </si>
  <si>
    <t>012100</t>
  </si>
  <si>
    <t>Campania</t>
  </si>
  <si>
    <t>012300</t>
  </si>
  <si>
    <t>VITICOLTORI SANNITI FORESTA SOCIETA' AGRICOLA A RESPONSABILITA' L IMITATA SEMPLIFICATA</t>
  </si>
  <si>
    <t>01665850622</t>
  </si>
  <si>
    <t>Benevento</t>
  </si>
  <si>
    <t>SOCIETA' AGRICOLA VALLE AZZURRA - S.R.L.</t>
  </si>
  <si>
    <t>02350510505</t>
  </si>
  <si>
    <t>Pisa</t>
  </si>
  <si>
    <t>Toscana</t>
  </si>
  <si>
    <t>LAZIO IMPIANTI - SOCIETA' A RESPONSABILITA' LIMITATA SEMPLIFICATA</t>
  </si>
  <si>
    <t>03155650595</t>
  </si>
  <si>
    <t>Latina</t>
  </si>
  <si>
    <t>Lazio</t>
  </si>
  <si>
    <t>LA VALLETTA SOCIETA' AGRICOLA A R.L.</t>
  </si>
  <si>
    <t>03225770241</t>
  </si>
  <si>
    <t>Vicenza</t>
  </si>
  <si>
    <t>Veneto</t>
  </si>
  <si>
    <t>Messina</t>
  </si>
  <si>
    <t>LA FATTORIA DI PRISCILLA SOCIETA' AGRICOLA A R.L.</t>
  </si>
  <si>
    <t>03236560839</t>
  </si>
  <si>
    <t>LA BOSCAGLIA S.R.L. SOCIETA' AGRICOLA</t>
  </si>
  <si>
    <t>01482920525</t>
  </si>
  <si>
    <t>011110</t>
  </si>
  <si>
    <t>Siena</t>
  </si>
  <si>
    <t>ALENTO SERVIZI SOCIETA' COOPERATIVA SOCIALE</t>
  </si>
  <si>
    <t>05133130657</t>
  </si>
  <si>
    <t>Salerno</t>
  </si>
  <si>
    <t>Emilia-Romagna</t>
  </si>
  <si>
    <t>011310</t>
  </si>
  <si>
    <t>Calabria</t>
  </si>
  <si>
    <t>ELI.VA. S.R.L.</t>
  </si>
  <si>
    <t>04676711213</t>
  </si>
  <si>
    <t>Napoli</t>
  </si>
  <si>
    <t>Campania</t>
  </si>
  <si>
    <t>SOCIETA' AGRICOLA ALLA CEDRARA S.R.L.</t>
  </si>
  <si>
    <t>01951120383</t>
  </si>
  <si>
    <t>011140</t>
  </si>
  <si>
    <t>Ferrara</t>
  </si>
  <si>
    <t>AZIENDA CANDIDA SOCIETA' AGRICOLA A RESPONSABILITA' LIMITATA</t>
  </si>
  <si>
    <t>12868161006</t>
  </si>
  <si>
    <t>012600</t>
  </si>
  <si>
    <t>Reggio di Calabria</t>
  </si>
  <si>
    <t>LE CANAPAIE SOCIETA' AGRICOLA A RESPONSABILITA' LIMITATA</t>
  </si>
  <si>
    <t>03622610545</t>
  </si>
  <si>
    <t>Perugia</t>
  </si>
  <si>
    <t>Umbria</t>
  </si>
  <si>
    <t>AGRICOLA GERGONE S.R.L. - SOCIETA' AGRICOLA</t>
  </si>
  <si>
    <t>01471380558</t>
  </si>
  <si>
    <t>012900</t>
  </si>
  <si>
    <t>Terni</t>
  </si>
  <si>
    <t>Umbria</t>
  </si>
  <si>
    <t>011140</t>
  </si>
  <si>
    <t>Puglia</t>
  </si>
  <si>
    <t>KF S.R.L. - SOCIETA' AGRICOLA</t>
  </si>
  <si>
    <t>08732210961</t>
  </si>
  <si>
    <t>011110</t>
  </si>
  <si>
    <t>Milano</t>
  </si>
  <si>
    <t>Lombardia</t>
  </si>
  <si>
    <t>AZIENDA AGRICOLA IL CASELLINO S.R.L.</t>
  </si>
  <si>
    <t>04899810487</t>
  </si>
  <si>
    <t>012600</t>
  </si>
  <si>
    <t>Firenze</t>
  </si>
  <si>
    <t>Toscana</t>
  </si>
  <si>
    <t>AZIENDA AGRICOLA AVITUSCIA S.R.L</t>
  </si>
  <si>
    <t>08114271003</t>
  </si>
  <si>
    <t>014700</t>
  </si>
  <si>
    <t>Roma</t>
  </si>
  <si>
    <t>Lazio</t>
  </si>
  <si>
    <t>LE QUERCE DI ANNIBALE SOCIETA' AGRICOLA A RESPONSABILITA' LIMITATA</t>
  </si>
  <si>
    <t>01980070765</t>
  </si>
  <si>
    <t>Potenza</t>
  </si>
  <si>
    <t>Basilicata</t>
  </si>
  <si>
    <t>SOCIETA' AGRICOLA FORTE S.R.L.</t>
  </si>
  <si>
    <t>03115640736</t>
  </si>
  <si>
    <t>Taranto</t>
  </si>
  <si>
    <t>GM GREEN SOCIETA' COOPERATIVA AGRICOLA</t>
  </si>
  <si>
    <t>03551280542</t>
  </si>
  <si>
    <t>Perugia</t>
  </si>
  <si>
    <t>Campania</t>
  </si>
  <si>
    <t>AGRI - ZOO AGRICOLA ZOOTECNICA - S.R.L.</t>
  </si>
  <si>
    <t>01087620611</t>
  </si>
  <si>
    <t>016000</t>
  </si>
  <si>
    <t>Napoli</t>
  </si>
  <si>
    <t>015000</t>
  </si>
  <si>
    <t>COLLEMAGNONE SOCIETA' AGRICOLA S.R.L.</t>
  </si>
  <si>
    <t>01850320670</t>
  </si>
  <si>
    <t>Teramo</t>
  </si>
  <si>
    <t>Abruzzo</t>
  </si>
  <si>
    <t>Brindisi</t>
  </si>
  <si>
    <t>Puglia</t>
  </si>
  <si>
    <t>Bari</t>
  </si>
  <si>
    <t>Foggia</t>
  </si>
  <si>
    <t>OASI SOCIETA' COOPERATIVA AGRICOLA</t>
  </si>
  <si>
    <t>01342600747</t>
  </si>
  <si>
    <t>014000</t>
  </si>
  <si>
    <t>011310</t>
  </si>
  <si>
    <t>CASA LIPARI SOCIETA' AGRICOLA S.R.L.</t>
  </si>
  <si>
    <t>06999590729</t>
  </si>
  <si>
    <t>012500</t>
  </si>
  <si>
    <t>SOCIETA' AGRICOLA OLIVINITALY S.R.L.</t>
  </si>
  <si>
    <t>03892660717</t>
  </si>
  <si>
    <t>015000</t>
  </si>
  <si>
    <t>Lombardia</t>
  </si>
  <si>
    <t>Sassari</t>
  </si>
  <si>
    <t>Sardegna</t>
  </si>
  <si>
    <t>Lazio</t>
  </si>
  <si>
    <t>COSTE DEL FAENA S.R.L.</t>
  </si>
  <si>
    <t>01173010545</t>
  </si>
  <si>
    <t>011000</t>
  </si>
  <si>
    <t>Perugia</t>
  </si>
  <si>
    <t>Umbria</t>
  </si>
  <si>
    <t>SOCIETA' AGRICOLA LAGO SETTE FONTANE SRL</t>
  </si>
  <si>
    <t>02944950985</t>
  </si>
  <si>
    <t>Brescia</t>
  </si>
  <si>
    <t>SOCIETA' AGRICOLA BOCCAFOLLE DI BALBIA S.R.L.</t>
  </si>
  <si>
    <t>03302080787</t>
  </si>
  <si>
    <t>012100</t>
  </si>
  <si>
    <t>Cosenza</t>
  </si>
  <si>
    <t>Calabria</t>
  </si>
  <si>
    <t>012600</t>
  </si>
  <si>
    <t>TENUTE ISNARDI S.R.L. - SOCIETA' AGRICOLA</t>
  </si>
  <si>
    <t>01718710088</t>
  </si>
  <si>
    <t>Imperia</t>
  </si>
  <si>
    <t>Liguria</t>
  </si>
  <si>
    <t>LA DAMA DEL LAGO SOCIETA' AGRICOLA A RESPONSABILITA' LIMITATA</t>
  </si>
  <si>
    <t>12579391009</t>
  </si>
  <si>
    <t>Roma</t>
  </si>
  <si>
    <t>CANTINA SORRES S.R.L. SOCIETA' AGRICOLA</t>
  </si>
  <si>
    <t>02464300900</t>
  </si>
  <si>
    <t>VIVAI CAMPANI - SOCIETA' AGRICOLA A RESPONSABILITA' LIMITATA</t>
  </si>
  <si>
    <t>01680160494</t>
  </si>
  <si>
    <t>011910</t>
  </si>
  <si>
    <t>Livorno</t>
  </si>
  <si>
    <t>Toscana</t>
  </si>
  <si>
    <t>ECOLUTION S.R.L. AGRICOLA</t>
  </si>
  <si>
    <t>08872941219</t>
  </si>
  <si>
    <t>011320</t>
  </si>
  <si>
    <t>Napoli</t>
  </si>
  <si>
    <t>Campania</t>
  </si>
  <si>
    <t>IL CETRANGOLO S.R.L.</t>
  </si>
  <si>
    <t>07682730630</t>
  </si>
  <si>
    <t>011000</t>
  </si>
  <si>
    <t>PRAJNANA SOCIETA' COOPERATIVA AGRICOLA SOCIALE</t>
  </si>
  <si>
    <t>03088210210</t>
  </si>
  <si>
    <t>012900</t>
  </si>
  <si>
    <t>Bolzano/Bozen</t>
  </si>
  <si>
    <t>Trentino-Alto Adige</t>
  </si>
  <si>
    <t>012600</t>
  </si>
  <si>
    <t>Sicilia</t>
  </si>
  <si>
    <t>Catania</t>
  </si>
  <si>
    <t>POGGIO DEGLI ULIVI SOCIETA' AGRICOLA A R.L.</t>
  </si>
  <si>
    <t>02085950067</t>
  </si>
  <si>
    <t>011300</t>
  </si>
  <si>
    <t>Alessandria</t>
  </si>
  <si>
    <t>Piemonte</t>
  </si>
  <si>
    <t>PAOLO BALDINI S.R.L.</t>
  </si>
  <si>
    <t>05377990485</t>
  </si>
  <si>
    <t>Firenze</t>
  </si>
  <si>
    <t>Toscana</t>
  </si>
  <si>
    <t>CANTINE MATRONE SOCIETA' AGRICOLA A R.L.</t>
  </si>
  <si>
    <t>07745141213</t>
  </si>
  <si>
    <t>012100</t>
  </si>
  <si>
    <t>Napoli</t>
  </si>
  <si>
    <t>Campania</t>
  </si>
  <si>
    <t>ASILAT S.R.L.</t>
  </si>
  <si>
    <t>04141900870</t>
  </si>
  <si>
    <t>014300</t>
  </si>
  <si>
    <t>GIESSE S.R.L.</t>
  </si>
  <si>
    <t>02636890812</t>
  </si>
  <si>
    <t>Trapani</t>
  </si>
  <si>
    <t>SOCIETA' AGRICOLA VITIVINICOLA D'AGOSTINO S.R.L.</t>
  </si>
  <si>
    <t>04626280756</t>
  </si>
  <si>
    <t>012100</t>
  </si>
  <si>
    <t>Lecce</t>
  </si>
  <si>
    <t>Puglia</t>
  </si>
  <si>
    <t>LA COMANDINA S.R.L. SOCIETA' AGRICOLA</t>
  </si>
  <si>
    <t>04492410487</t>
  </si>
  <si>
    <t>Firenze</t>
  </si>
  <si>
    <t>Toscana</t>
  </si>
  <si>
    <t>016100</t>
  </si>
  <si>
    <t>Calabria</t>
  </si>
  <si>
    <t>Sicilia</t>
  </si>
  <si>
    <t>015000</t>
  </si>
  <si>
    <t>LA BESA SOCIETA' A RESPONSABILITA' LIMITATA SEMPLIFICATA AGRICOLA</t>
  </si>
  <si>
    <t>03556090789</t>
  </si>
  <si>
    <t>Cosenza</t>
  </si>
  <si>
    <t>COOPERATIVA AGRICOLA EUROSOLE AGRUMI SOC. COOP. A R.L.</t>
  </si>
  <si>
    <t>05108770826</t>
  </si>
  <si>
    <t>Palermo</t>
  </si>
  <si>
    <t>Toscana</t>
  </si>
  <si>
    <t>LA LUMACA DEL PARCO SOCIETA' CONSORTILE AGRICOLA A RESPONSABILITA LIMITATA</t>
  </si>
  <si>
    <t>01896880497</t>
  </si>
  <si>
    <t>016209</t>
  </si>
  <si>
    <t>Livorno</t>
  </si>
  <si>
    <t>Toscana</t>
  </si>
  <si>
    <t>Sicilia</t>
  </si>
  <si>
    <t>AGRICOLA PICCOLO SOCIETA' A RESPONSABILITA' LIMITATA SEMPLIFICATA</t>
  </si>
  <si>
    <t>03486090834</t>
  </si>
  <si>
    <t>012600</t>
  </si>
  <si>
    <t>Messina</t>
  </si>
  <si>
    <t>Lazio</t>
  </si>
  <si>
    <t>012100</t>
  </si>
  <si>
    <t>SOCIETA' AGRICOLA BELRISGUARDO S.R.L.</t>
  </si>
  <si>
    <t>04574540656</t>
  </si>
  <si>
    <t>Roma</t>
  </si>
  <si>
    <t>SOCIETA' AGRICOLA LA PIEVINA-SRL</t>
  </si>
  <si>
    <t>00246910525</t>
  </si>
  <si>
    <t>011110</t>
  </si>
  <si>
    <t>Siena</t>
  </si>
  <si>
    <t>AGRIBIRRIFICIO VALVARAITA SOCIETA' AGRICOLA A R.L.</t>
  </si>
  <si>
    <t>03447290044</t>
  </si>
  <si>
    <t>Cuneo</t>
  </si>
  <si>
    <t>Piemonte</t>
  </si>
  <si>
    <t>Salerno</t>
  </si>
  <si>
    <t>Campania</t>
  </si>
  <si>
    <t>FARM S.R.L.</t>
  </si>
  <si>
    <t>00452600224</t>
  </si>
  <si>
    <t>011990</t>
  </si>
  <si>
    <t>Trento</t>
  </si>
  <si>
    <t>Trentino-Alto Adige</t>
  </si>
  <si>
    <t>VOGLIE CILENTANE SOCIETA' COOPERATIVA AGRICOLA A RESPONSABILITA' LIMITATA</t>
  </si>
  <si>
    <t>05931000656</t>
  </si>
  <si>
    <t>012600</t>
  </si>
  <si>
    <t>CASA VINICOLA RUBATTORNO SRL</t>
  </si>
  <si>
    <t>01760580470</t>
  </si>
  <si>
    <t>012100</t>
  </si>
  <si>
    <t>Pistoia</t>
  </si>
  <si>
    <t>Toscana</t>
  </si>
  <si>
    <t>IL CERRO S.R.L.</t>
  </si>
  <si>
    <t>01639660479</t>
  </si>
  <si>
    <t>016000</t>
  </si>
  <si>
    <t>AITO HELIX SOCIETA' AGRICOLA S.R.L.</t>
  </si>
  <si>
    <t>05082700658</t>
  </si>
  <si>
    <t>014990</t>
  </si>
  <si>
    <t>Salerno</t>
  </si>
  <si>
    <t>Campania</t>
  </si>
  <si>
    <t>CONSORZIO PER LA TUTELA DEL FORMAGGIO CASTELMAGNO</t>
  </si>
  <si>
    <t>03451590040</t>
  </si>
  <si>
    <t>Cuneo</t>
  </si>
  <si>
    <t>Piemonte</t>
  </si>
  <si>
    <t>Roma</t>
  </si>
  <si>
    <t>Lazio</t>
  </si>
  <si>
    <t>Sicilia</t>
  </si>
  <si>
    <t>012600</t>
  </si>
  <si>
    <t>Catania</t>
  </si>
  <si>
    <t>016100</t>
  </si>
  <si>
    <t>Firenze</t>
  </si>
  <si>
    <t>Toscana</t>
  </si>
  <si>
    <t>LO SCIAME SOCIETA' COOPERATIVA</t>
  </si>
  <si>
    <t>02706570344</t>
  </si>
  <si>
    <t>014930</t>
  </si>
  <si>
    <t>Parma</t>
  </si>
  <si>
    <t>Emilia-Romagna</t>
  </si>
  <si>
    <t>AGA S.R.L.</t>
  </si>
  <si>
    <t>05525580485</t>
  </si>
  <si>
    <t>CILENTONUTRACEUTICO S.R.L.</t>
  </si>
  <si>
    <t>14634181003</t>
  </si>
  <si>
    <t>LA SERVIZI AGRICOLI SOCIETA' COOPERATIVA AGRICOLA</t>
  </si>
  <si>
    <t>05994170875</t>
  </si>
  <si>
    <t>BRANCAGROUP S.R.L. SOCIETA' AGRICOLA</t>
  </si>
  <si>
    <t>03031250800</t>
  </si>
  <si>
    <t>012300</t>
  </si>
  <si>
    <t>Reggio di Calabria</t>
  </si>
  <si>
    <t>Calabria</t>
  </si>
  <si>
    <t>Sicilia</t>
  </si>
  <si>
    <t>ORGANIZZAZIONE DEI PRODUTTORI OLIVICOLI ASS.A.PR.OL. SOCIETA' COOPERATIVA AGRICOLA</t>
  </si>
  <si>
    <t>00253760896</t>
  </si>
  <si>
    <t>016100</t>
  </si>
  <si>
    <t>Siracusa</t>
  </si>
  <si>
    <t>CENTRO OPERATIVO SVILUPPO CANAPA DEL SUD SOCIETA' COOPERATIVA AGRICOLA A R.L.</t>
  </si>
  <si>
    <t>08921291210</t>
  </si>
  <si>
    <t>016300</t>
  </si>
  <si>
    <t>Napoli</t>
  </si>
  <si>
    <t>Campania</t>
  </si>
  <si>
    <t>Puglia</t>
  </si>
  <si>
    <t>BIO - FARM SOCIETA' COOPERATIVA AGRICOLA</t>
  </si>
  <si>
    <t>04683020285</t>
  </si>
  <si>
    <t>012000</t>
  </si>
  <si>
    <t>Padova</t>
  </si>
  <si>
    <t>Veneto</t>
  </si>
  <si>
    <t>ORTOCOOPERATIVA E SERVIZI SOCIETA' COOPERATIVA AGRICOLA</t>
  </si>
  <si>
    <t>04945190751</t>
  </si>
  <si>
    <t>011910</t>
  </si>
  <si>
    <t>Lecce</t>
  </si>
  <si>
    <t>SOCIETA' AGRICOLA STARPIG SRL</t>
  </si>
  <si>
    <t>04032430409</t>
  </si>
  <si>
    <t>014600</t>
  </si>
  <si>
    <t>Forlì-Cesena</t>
  </si>
  <si>
    <t>Emilia-Romagna</t>
  </si>
  <si>
    <t>Sicilia</t>
  </si>
  <si>
    <t>012100</t>
  </si>
  <si>
    <t>Catania</t>
  </si>
  <si>
    <t>Umbria</t>
  </si>
  <si>
    <t>ETNA SAPORI - SOCIETA' COOPERATIVA A R.L.</t>
  </si>
  <si>
    <t>04163000872</t>
  </si>
  <si>
    <t>012300</t>
  </si>
  <si>
    <t>CASCINA SETTEVENTI SOCIETA' COOPERATIVA AGRICOLA SIGLABILE CASCIN A SETTEVENTI SOC. COOP. AGRICOLA</t>
  </si>
  <si>
    <t>01260790058</t>
  </si>
  <si>
    <t>Asti</t>
  </si>
  <si>
    <t>Piemonte</t>
  </si>
  <si>
    <t>CONTI CUTUGNO SOCIETA' COOPERATIVA AGRICOLA</t>
  </si>
  <si>
    <t>03173420831</t>
  </si>
  <si>
    <t>012500</t>
  </si>
  <si>
    <t>Messina</t>
  </si>
  <si>
    <t>IDEA VERDE - SOCIETA' A RESPONSABILITA' LIMITATA SEMPLIFICATA</t>
  </si>
  <si>
    <t>03300650839</t>
  </si>
  <si>
    <t>011920</t>
  </si>
  <si>
    <t>AGRAIA SRL</t>
  </si>
  <si>
    <t>03285130542</t>
  </si>
  <si>
    <t>016300</t>
  </si>
  <si>
    <t>Perugia</t>
  </si>
  <si>
    <t>012100</t>
  </si>
  <si>
    <t>Calabria</t>
  </si>
  <si>
    <t>Sicilia</t>
  </si>
  <si>
    <t>Ragusa</t>
  </si>
  <si>
    <t>AZIENDA AGRICOLA VIGNE IN VAL DI NOTO SOCIETA' AGRICOLA A R.L.</t>
  </si>
  <si>
    <t>01322970888</t>
  </si>
  <si>
    <t>AGRIARTI SOCIETA' COOPERATIVA</t>
  </si>
  <si>
    <t>01460050808</t>
  </si>
  <si>
    <t>016300</t>
  </si>
  <si>
    <t>Reggio di Calabria</t>
  </si>
  <si>
    <t>012100</t>
  </si>
  <si>
    <t>Campania</t>
  </si>
  <si>
    <t>016100</t>
  </si>
  <si>
    <t>GEEBA SERVICE S.R.L.</t>
  </si>
  <si>
    <t>02088630682</t>
  </si>
  <si>
    <t>Pescara</t>
  </si>
  <si>
    <t>Abruzzo</t>
  </si>
  <si>
    <t>Verona</t>
  </si>
  <si>
    <t>Veneto</t>
  </si>
  <si>
    <t>GREENFIELDS S.R.L.S.</t>
  </si>
  <si>
    <t>04312170618</t>
  </si>
  <si>
    <t>011120</t>
  </si>
  <si>
    <t>Caserta</t>
  </si>
  <si>
    <t>SOCIETA' AGRICOLA IL CAMPUS S.R.L.</t>
  </si>
  <si>
    <t>04401510237</t>
  </si>
  <si>
    <t>015000</t>
  </si>
  <si>
    <t>Firenze</t>
  </si>
  <si>
    <t>Toscana</t>
  </si>
  <si>
    <t>Lazio</t>
  </si>
  <si>
    <t>AZIENDA GUIDO F. FENDI SOCIETA' AGRICOLA A RESPONSABILITA' LIMITA TA</t>
  </si>
  <si>
    <t>01527620536</t>
  </si>
  <si>
    <t>011140</t>
  </si>
  <si>
    <t>Roma</t>
  </si>
  <si>
    <t>012600</t>
  </si>
  <si>
    <t>SOCIETA' COOPERATIVA LA GINESTRA A RESPONSABILITA' LIMITATA</t>
  </si>
  <si>
    <t>01047300767</t>
  </si>
  <si>
    <t>014600</t>
  </si>
  <si>
    <t>Potenza</t>
  </si>
  <si>
    <t>Basilicata</t>
  </si>
  <si>
    <t>SOCIETA' AGRICOLA CERVELLINO S.R.L.</t>
  </si>
  <si>
    <t>03007490794</t>
  </si>
  <si>
    <t>Crotone</t>
  </si>
  <si>
    <t>Calabria</t>
  </si>
  <si>
    <t>TERRE DEL SICOMORO - SOCIETA' AGRICOLA COOPERATIVA SOCIALE</t>
  </si>
  <si>
    <t>06795560488</t>
  </si>
  <si>
    <t>011310</t>
  </si>
  <si>
    <t>OLEIFICIO SANTA VENERE DEI F.LLI VACCARO S.R.L.</t>
  </si>
  <si>
    <t>02164350791</t>
  </si>
  <si>
    <t>DIBA BIO INNOVATIVE FARM - SOCIETA' AGRICOLA A RESPONSABILITA' LI MITATA</t>
  </si>
  <si>
    <t>00941460941</t>
  </si>
  <si>
    <t>Isernia</t>
  </si>
  <si>
    <t>Molise</t>
  </si>
  <si>
    <t>015000</t>
  </si>
  <si>
    <t>Potenza</t>
  </si>
  <si>
    <t>Basilicata</t>
  </si>
  <si>
    <t>AZIENDA AGRICOLA OFANTO - SOCIETA' AGRICOLA A RESPONSABILITA' LIMITATA</t>
  </si>
  <si>
    <t>01636640763</t>
  </si>
  <si>
    <t>012100</t>
  </si>
  <si>
    <t>SOCIETA' AGRICOLA ANDROMEDA SRL</t>
  </si>
  <si>
    <t>01762040671</t>
  </si>
  <si>
    <t>Teramo</t>
  </si>
  <si>
    <t>Abruzzo</t>
  </si>
  <si>
    <t>Emilia-Romagna</t>
  </si>
  <si>
    <t>SOCIETA' AGRICOLA CA' DI FATINO S.R.L.</t>
  </si>
  <si>
    <t>03408541203</t>
  </si>
  <si>
    <t>Bologna</t>
  </si>
  <si>
    <t>Calabria</t>
  </si>
  <si>
    <t>Sicilia</t>
  </si>
  <si>
    <t>012100</t>
  </si>
  <si>
    <t>Messina</t>
  </si>
  <si>
    <t>011310</t>
  </si>
  <si>
    <t>SOCIETA' AGRICOLA GR.AL.VA. S.R.L.</t>
  </si>
  <si>
    <t>01810280790</t>
  </si>
  <si>
    <t>012600</t>
  </si>
  <si>
    <t>Catanzaro</t>
  </si>
  <si>
    <t>015000</t>
  </si>
  <si>
    <t>Roma</t>
  </si>
  <si>
    <t>Lazio</t>
  </si>
  <si>
    <t>COLACICCHI SOCIETA' AGRICOLA A R.L.</t>
  </si>
  <si>
    <t>01765961006</t>
  </si>
  <si>
    <t>Frosinone</t>
  </si>
  <si>
    <t>Campania</t>
  </si>
  <si>
    <t>TENUTA RUBINACCI SOCIETA' AGRICOLA S.R.L.S.</t>
  </si>
  <si>
    <t>09246301213</t>
  </si>
  <si>
    <t>Napoli</t>
  </si>
  <si>
    <t>NOVA LAVINIUM S.R.L.</t>
  </si>
  <si>
    <t>03908661006</t>
  </si>
  <si>
    <t>AGRICOLA 2000 - SOCIETA' COOPERATIVA</t>
  </si>
  <si>
    <t>02530230834</t>
  </si>
  <si>
    <t>014700</t>
  </si>
  <si>
    <t>012100</t>
  </si>
  <si>
    <t>Lazio</t>
  </si>
  <si>
    <t>POGGIO ALLA META S.R.L. - SOCIETA' AGRICOLA</t>
  </si>
  <si>
    <t>02621010608</t>
  </si>
  <si>
    <t>Frosinone</t>
  </si>
  <si>
    <t>012600</t>
  </si>
  <si>
    <t>Sicilia</t>
  </si>
  <si>
    <t>SOCIETA' ELICOOPERATIVA FORNELLO SOCIETA' COOPERATIVA ENUNCIABI LE ANCHE ELICOOPERATIVA FORNELLO SOC. COOP.</t>
  </si>
  <si>
    <t>00400360335</t>
  </si>
  <si>
    <t>016000</t>
  </si>
  <si>
    <t>Piacenza</t>
  </si>
  <si>
    <t>Emilia-Romagna</t>
  </si>
  <si>
    <t>Puglia</t>
  </si>
  <si>
    <t>011110</t>
  </si>
  <si>
    <t>Toscana</t>
  </si>
  <si>
    <t>NEBROS PRODUZIONI BIOLOGICHE S.R.L.</t>
  </si>
  <si>
    <t>02687060836</t>
  </si>
  <si>
    <t>Messina</t>
  </si>
  <si>
    <t>SOCIETA' AGRICOLA LA PROVENZALE S.R.L.</t>
  </si>
  <si>
    <t>03971550714</t>
  </si>
  <si>
    <t>Foggia</t>
  </si>
  <si>
    <t>ALLEGRO AGRITURISMO ARGIANO S.R.L. - SOCIETA' AGRICOLA</t>
  </si>
  <si>
    <t>01727370510</t>
  </si>
  <si>
    <t>Arezzo</t>
  </si>
  <si>
    <t>Lazio</t>
  </si>
  <si>
    <t>SOCIETA' AGRICOLA SARAND RELAIS S.R.L.</t>
  </si>
  <si>
    <t>02390610596</t>
  </si>
  <si>
    <t>014000</t>
  </si>
  <si>
    <t>Latina</t>
  </si>
  <si>
    <t>Calabria</t>
  </si>
  <si>
    <t>VILLA SAN GIUSEPPE - SOCIETA' COOPERATIVA SOCIALE AGRICOLA</t>
  </si>
  <si>
    <t>02668800804</t>
  </si>
  <si>
    <t>012300</t>
  </si>
  <si>
    <t>Reggio di Calabria</t>
  </si>
  <si>
    <t>SOCIETA' COOPERATIVA A R.L. API REGGINA</t>
  </si>
  <si>
    <t>00958370801</t>
  </si>
  <si>
    <t>014930</t>
  </si>
  <si>
    <t>016100</t>
  </si>
  <si>
    <t>2 M S.R.L.</t>
  </si>
  <si>
    <t>01195720915</t>
  </si>
  <si>
    <t>012600</t>
  </si>
  <si>
    <t>Nuoro</t>
  </si>
  <si>
    <t>Sardegna</t>
  </si>
  <si>
    <t>Sicilia</t>
  </si>
  <si>
    <t>CANTINE DI PALMA S.R.L.</t>
  </si>
  <si>
    <t>01290110764</t>
  </si>
  <si>
    <t>012100</t>
  </si>
  <si>
    <t>Potenza</t>
  </si>
  <si>
    <t>Basilicata</t>
  </si>
  <si>
    <t>COOPERATIVA AGRICOLA BOSCO PIANETTI</t>
  </si>
  <si>
    <t>06782890823</t>
  </si>
  <si>
    <t>Palermo</t>
  </si>
  <si>
    <t>PIANA DEI CASTELLI S.R.L. - SOCIETA' AGRICOLA</t>
  </si>
  <si>
    <t>02378030593</t>
  </si>
  <si>
    <t>012100</t>
  </si>
  <si>
    <t>Latina</t>
  </si>
  <si>
    <t>Lazio</t>
  </si>
  <si>
    <t>016100</t>
  </si>
  <si>
    <t>Puglia</t>
  </si>
  <si>
    <t>SILOE SOCIETA' COOPERATIVA SOCIALE - ONLUS</t>
  </si>
  <si>
    <t>07761840722</t>
  </si>
  <si>
    <t>011310</t>
  </si>
  <si>
    <t>Bari</t>
  </si>
  <si>
    <t>Ancona</t>
  </si>
  <si>
    <t>Marche</t>
  </si>
  <si>
    <t>GIRO S.R.L.</t>
  </si>
  <si>
    <t>02435430422</t>
  </si>
  <si>
    <t>SOCIETA' AGRICOLA PERBACCO S.R.L.</t>
  </si>
  <si>
    <t>02497840187</t>
  </si>
  <si>
    <t>Pavia</t>
  </si>
  <si>
    <t>Lombardia</t>
  </si>
  <si>
    <t>CASA BARONE S.R.L. - SOCIETA' AGRICOLA</t>
  </si>
  <si>
    <t>09304211213</t>
  </si>
  <si>
    <t>011310</t>
  </si>
  <si>
    <t>Napoli</t>
  </si>
  <si>
    <t>Campania</t>
  </si>
  <si>
    <t>012100</t>
  </si>
  <si>
    <t>012600</t>
  </si>
  <si>
    <t>SICILIA - FRUTTA SOCIETA' COOPERATIVA</t>
  </si>
  <si>
    <t>04831020823</t>
  </si>
  <si>
    <t>016300</t>
  </si>
  <si>
    <t>Palermo</t>
  </si>
  <si>
    <t>Sicilia</t>
  </si>
  <si>
    <t>AGROMANIA SOCIETA' COOPERATIVA AGRICOLA</t>
  </si>
  <si>
    <t>04422930273</t>
  </si>
  <si>
    <t>012500</t>
  </si>
  <si>
    <t>Venezia</t>
  </si>
  <si>
    <t>Veneto</t>
  </si>
  <si>
    <t>MEDITERRANEO S.R.L. SOCIETA' AGRICOLA</t>
  </si>
  <si>
    <t>02718400340</t>
  </si>
  <si>
    <t>Parma</t>
  </si>
  <si>
    <t>Emilia-Romagna</t>
  </si>
  <si>
    <t>SOCIETA' AGRICOLA ENRICO DE MARCO S.R.L.</t>
  </si>
  <si>
    <t>04261850277</t>
  </si>
  <si>
    <t>AZIENDA MARIO PORTOLANO SOCIETA' AGRICOLA A RESPONSABILITA' LIMITATA</t>
  </si>
  <si>
    <t>07518471219</t>
  </si>
  <si>
    <t>LE CAMELIE SOCIETA' COOPERATIVA AGRICOLA SOCIALE</t>
  </si>
  <si>
    <t>04344290400</t>
  </si>
  <si>
    <t>012100</t>
  </si>
  <si>
    <t>Forlì-Cesena</t>
  </si>
  <si>
    <t>Emilia-Romagna</t>
  </si>
  <si>
    <t>GREEN ADRIA SOCIETA' AGRICOLA S.R.L.</t>
  </si>
  <si>
    <t>02081520674</t>
  </si>
  <si>
    <t>011120</t>
  </si>
  <si>
    <t>Teramo</t>
  </si>
  <si>
    <t>Abruzzo</t>
  </si>
  <si>
    <t>LA FAZENDA ALEXANDRA SOCIETA' AGRICOLA S.R.L.</t>
  </si>
  <si>
    <t>03088850791</t>
  </si>
  <si>
    <t>014300</t>
  </si>
  <si>
    <t>Crotone</t>
  </si>
  <si>
    <t>Calabria</t>
  </si>
  <si>
    <t>AZIENDA AGRICOLA DONNA GILDA A MELETO SOCIETA' AGRICOLA A RESPONSABILITA' LIMITATA</t>
  </si>
  <si>
    <t>07055290485</t>
  </si>
  <si>
    <t>012800</t>
  </si>
  <si>
    <t>Firenze</t>
  </si>
  <si>
    <t>Toscana</t>
  </si>
  <si>
    <t>Campania</t>
  </si>
  <si>
    <t>Foggia</t>
  </si>
  <si>
    <t>Puglia</t>
  </si>
  <si>
    <t>Perugia</t>
  </si>
  <si>
    <t>Umbria</t>
  </si>
  <si>
    <t>015000</t>
  </si>
  <si>
    <t>SOCIETA' AGRICOLA MARIDIANA S.R.L.</t>
  </si>
  <si>
    <t>01219580543</t>
  </si>
  <si>
    <t>SOCIETA' AGRICOLA AGRISNACK S.R.L.</t>
  </si>
  <si>
    <t>03404900619</t>
  </si>
  <si>
    <t>011300</t>
  </si>
  <si>
    <t>Caserta</t>
  </si>
  <si>
    <t>LE TERRE DI PORETA</t>
  </si>
  <si>
    <t>02941700540</t>
  </si>
  <si>
    <t>016100</t>
  </si>
  <si>
    <t>SOCIETA' COOPERATIVA AGRICOLA DENOMINATA CANTINA COOPERATIVA TRA PRODUTTORI AGRICOLI DEL NERO DI TROIA DECANTO</t>
  </si>
  <si>
    <t>03735560710</t>
  </si>
  <si>
    <t>016300</t>
  </si>
  <si>
    <t>012100</t>
  </si>
  <si>
    <t>Lecce</t>
  </si>
  <si>
    <t>Puglia</t>
  </si>
  <si>
    <t>MA. &amp; CO. SOCIETA' AGRICOLA A R.L.</t>
  </si>
  <si>
    <t>04360770756</t>
  </si>
  <si>
    <t>011310</t>
  </si>
  <si>
    <t>Veneto</t>
  </si>
  <si>
    <t>BELMORO SOCIETA' AGRICOLA S.R.L.</t>
  </si>
  <si>
    <t>04690070265</t>
  </si>
  <si>
    <t>Treviso</t>
  </si>
  <si>
    <t>010000</t>
  </si>
  <si>
    <t>Campania</t>
  </si>
  <si>
    <t>014000</t>
  </si>
  <si>
    <t>011300</t>
  </si>
  <si>
    <t>Macerata</t>
  </si>
  <si>
    <t>Marche</t>
  </si>
  <si>
    <t>Veneto</t>
  </si>
  <si>
    <t>SOCIETA' AGRICOLA COOPERATIVA AFFRESCO</t>
  </si>
  <si>
    <t>04008080287</t>
  </si>
  <si>
    <t>Padova</t>
  </si>
  <si>
    <t>AGRITURISMO TORDARELLA S.R.L.</t>
  </si>
  <si>
    <t>04294071214</t>
  </si>
  <si>
    <t>Napoli</t>
  </si>
  <si>
    <t>AGRITURISMO MANEGGIO SAN FIRMANO S.R.L. SOCIETA' AGRICOLA</t>
  </si>
  <si>
    <t>01699980437</t>
  </si>
  <si>
    <t>012100</t>
  </si>
  <si>
    <t>011140</t>
  </si>
  <si>
    <t>011000</t>
  </si>
  <si>
    <t>SOCIETA' AGRICOLA FATTORIA BONTA' S.R.L.</t>
  </si>
  <si>
    <t>03721200719</t>
  </si>
  <si>
    <t>011110</t>
  </si>
  <si>
    <t>Foggia</t>
  </si>
  <si>
    <t>Puglia</t>
  </si>
  <si>
    <t>Potenza</t>
  </si>
  <si>
    <t>Basilicata</t>
  </si>
  <si>
    <t>AZIENDA AGRICOLA CORTE LA MADONNINA S.R.L.</t>
  </si>
  <si>
    <t>02390520399</t>
  </si>
  <si>
    <t>014300</t>
  </si>
  <si>
    <t>Ravenna</t>
  </si>
  <si>
    <t>Emilia-Romagna</t>
  </si>
  <si>
    <t>DICIANNOVEQUARANTA S.R.L.</t>
  </si>
  <si>
    <t>03526280619</t>
  </si>
  <si>
    <t>Caserta</t>
  </si>
  <si>
    <t>Campania</t>
  </si>
  <si>
    <t>COLLINE SOAVI SOCIETA' AGRICOLA A RESPONSABILITA' LIMITATA</t>
  </si>
  <si>
    <t>01833280769</t>
  </si>
  <si>
    <t>SOCIETA' AGRICOLA I GIRASOLI S.R.L.</t>
  </si>
  <si>
    <t>01619250515</t>
  </si>
  <si>
    <t>Arezzo</t>
  </si>
  <si>
    <t>Toscana</t>
  </si>
  <si>
    <t>SOCIETA' AGRICOLA PALMERINI S.R.L.</t>
  </si>
  <si>
    <t>04510911003</t>
  </si>
  <si>
    <t>011140</t>
  </si>
  <si>
    <t>Roma</t>
  </si>
  <si>
    <t>Lazio</t>
  </si>
  <si>
    <t>Messina</t>
  </si>
  <si>
    <t>Sicilia</t>
  </si>
  <si>
    <t>016300</t>
  </si>
  <si>
    <t>GLI AGRICOLTORI DEL TIRRENO - SOCIETA' COOPERATIVA AGRICOLA</t>
  </si>
  <si>
    <t>03302000835</t>
  </si>
  <si>
    <t>Emilia-Romagna</t>
  </si>
  <si>
    <t>AZIENDA AGRICOLA ZOOTECNICA MILAZZO S.R.L.</t>
  </si>
  <si>
    <t>03572190365</t>
  </si>
  <si>
    <t>011320</t>
  </si>
  <si>
    <t>Modena</t>
  </si>
  <si>
    <t>012600</t>
  </si>
  <si>
    <t>Salerno</t>
  </si>
  <si>
    <t>Campania</t>
  </si>
  <si>
    <t>Lazio</t>
  </si>
  <si>
    <t>CASAL FINOCCHITO SOCIETA' AGRICOLA A R.L.</t>
  </si>
  <si>
    <t>04481160655</t>
  </si>
  <si>
    <t>NONNA MIMMA S.R.L.</t>
  </si>
  <si>
    <t>06596251006</t>
  </si>
  <si>
    <t>Roma</t>
  </si>
  <si>
    <t>ACETAIA I SOLAI DI SAN GIORGIO S.R.L. SOCIETA' AGRICOLA</t>
  </si>
  <si>
    <t>03418120360</t>
  </si>
  <si>
    <t>012100</t>
  </si>
  <si>
    <t>COOPERATIVA AGRICOLA ULIVETI</t>
  </si>
  <si>
    <t>00691860233</t>
  </si>
  <si>
    <t>Verona</t>
  </si>
  <si>
    <t>Veneto</t>
  </si>
  <si>
    <t>015000</t>
  </si>
  <si>
    <t>Lazio</t>
  </si>
  <si>
    <t>Sicilia</t>
  </si>
  <si>
    <t>Puglia</t>
  </si>
  <si>
    <t>Palermo</t>
  </si>
  <si>
    <t>012100</t>
  </si>
  <si>
    <t>012600</t>
  </si>
  <si>
    <t>KORAFAI - SOCIETA' COOPERATIVA</t>
  </si>
  <si>
    <t>04465760751</t>
  </si>
  <si>
    <t>Lecce</t>
  </si>
  <si>
    <t>ME.SV.I. SOCIETA' COOPERATIVA</t>
  </si>
  <si>
    <t>03943630826</t>
  </si>
  <si>
    <t>COMPAGNIA AGRICOLA SABINA SRL - SOCIETA' AGRICOLA</t>
  </si>
  <si>
    <t>01212900573</t>
  </si>
  <si>
    <t>Rieti</t>
  </si>
  <si>
    <t>Abruzzo</t>
  </si>
  <si>
    <t>CONSORZIO DI TUTELA DELL'OLIO EXTRA-VERGINE DI OLIVA A DENOMINAZI ONE DI ORIGINE PROTETTA APRUTINO-PESCARESE</t>
  </si>
  <si>
    <t>01969670684</t>
  </si>
  <si>
    <t>016000</t>
  </si>
  <si>
    <t>Pescara</t>
  </si>
  <si>
    <t>012600</t>
  </si>
  <si>
    <t>Lazio</t>
  </si>
  <si>
    <t>Latina</t>
  </si>
  <si>
    <t>011110</t>
  </si>
  <si>
    <t>MATER OLEA S.R.L. AGRICOLA</t>
  </si>
  <si>
    <t>03011810599</t>
  </si>
  <si>
    <t>SOCIETA' AGRICOLA POGGIO AJANO SRL</t>
  </si>
  <si>
    <t>01774040438</t>
  </si>
  <si>
    <t>Macerata</t>
  </si>
  <si>
    <t>Marche</t>
  </si>
  <si>
    <t>SOCIETA' AGRICOLA LA LUNA BONA S.R.L.</t>
  </si>
  <si>
    <t>01178880256</t>
  </si>
  <si>
    <t>011990</t>
  </si>
  <si>
    <t>Belluno</t>
  </si>
  <si>
    <t>Veneto</t>
  </si>
  <si>
    <t>Roma</t>
  </si>
  <si>
    <t>Lazio</t>
  </si>
  <si>
    <t>015000</t>
  </si>
  <si>
    <t>M.C. S.R.L. AGRICOLA</t>
  </si>
  <si>
    <t>03375580549</t>
  </si>
  <si>
    <t>Perugia</t>
  </si>
  <si>
    <t>Umbria</t>
  </si>
  <si>
    <t>Toscana</t>
  </si>
  <si>
    <t>CLIVIO DEGLI ULIVI SOCIETA' AGRICOLA A RESPONSABILITA' LIMITATA</t>
  </si>
  <si>
    <t>01278170533</t>
  </si>
  <si>
    <t>011000</t>
  </si>
  <si>
    <t>Grosseto</t>
  </si>
  <si>
    <t>CASTELLO DI CORCOLLE S.R.L. - SOCIETA' AGRICOLA</t>
  </si>
  <si>
    <t>11017561009</t>
  </si>
  <si>
    <t>011310</t>
  </si>
  <si>
    <t>Calabria</t>
  </si>
  <si>
    <t>ANTICHE CANTINE MARCHESI DI SCUDERI SOCIETA' AGRICOLA A R.L.</t>
  </si>
  <si>
    <t>02975360641</t>
  </si>
  <si>
    <t>012100</t>
  </si>
  <si>
    <t>Avellino</t>
  </si>
  <si>
    <t>Campania</t>
  </si>
  <si>
    <t>CA' AD PUNTIROL S.R.L. - SOCIETA' A RESPONSABILITA' LIMITATA SEMPLIFICATA SOCIETA</t>
  </si>
  <si>
    <t>04293570406</t>
  </si>
  <si>
    <t>Forlì-Cesena</t>
  </si>
  <si>
    <t>Emilia-Romagna</t>
  </si>
  <si>
    <t>012600</t>
  </si>
  <si>
    <t>AGRIARQUATA SOCIETA' COOPERATIVA AGRICOLA</t>
  </si>
  <si>
    <t>02343890444</t>
  </si>
  <si>
    <t>Ascoli Piceno</t>
  </si>
  <si>
    <t>Marche</t>
  </si>
  <si>
    <t>AGRICOSCO S.R.L. SOCIETA' AGRICOLA</t>
  </si>
  <si>
    <t>03615310798</t>
  </si>
  <si>
    <t>Crotone</t>
  </si>
  <si>
    <t>Sicilia</t>
  </si>
  <si>
    <t>012100</t>
  </si>
  <si>
    <t>SOCIETA' AGRICOLA PASSITO S.R.L.</t>
  </si>
  <si>
    <t>06736910966</t>
  </si>
  <si>
    <t>Trapani</t>
  </si>
  <si>
    <t>GLV SOCIETA' AGRICOLA A RESPONSABILITA' LIMITATA</t>
  </si>
  <si>
    <t>01880220767</t>
  </si>
  <si>
    <t>Potenza</t>
  </si>
  <si>
    <t>Basilicata</t>
  </si>
  <si>
    <t>Sicilia</t>
  </si>
  <si>
    <t>Catania</t>
  </si>
  <si>
    <t>Messina</t>
  </si>
  <si>
    <t>012600</t>
  </si>
  <si>
    <t>DEMETRA SOCIETA' COOPERATIVA SOCIALE - ONLUS</t>
  </si>
  <si>
    <t>05287450877</t>
  </si>
  <si>
    <t>ALLEVAMENTI MORFIA SOCIETA' COOPERATIVA</t>
  </si>
  <si>
    <t>02141910832</t>
  </si>
  <si>
    <t>014100</t>
  </si>
  <si>
    <t>TENUTA PANTANO SOCIETA' AGRICOLA S.R.L.</t>
  </si>
  <si>
    <t>03455510796</t>
  </si>
  <si>
    <t>011120</t>
  </si>
  <si>
    <t>Catanzaro</t>
  </si>
  <si>
    <t>Calabria</t>
  </si>
  <si>
    <t>Lazio</t>
  </si>
  <si>
    <t>016100</t>
  </si>
  <si>
    <t>Frosinone</t>
  </si>
  <si>
    <t>SOCIETA' AGRICOLA LA ROCCA DI MONTALBINO S.R.L.</t>
  </si>
  <si>
    <t>05366180486</t>
  </si>
  <si>
    <t>012600</t>
  </si>
  <si>
    <t>Firenze</t>
  </si>
  <si>
    <t>Toscana</t>
  </si>
  <si>
    <t>011310</t>
  </si>
  <si>
    <t>SAIM SOCIETA' AGRICOLA S.R.L.</t>
  </si>
  <si>
    <t>02274650601</t>
  </si>
  <si>
    <t>ALOE IS LIFE SOCIETA' AGRICOLA SRL</t>
  </si>
  <si>
    <t>05796501210</t>
  </si>
  <si>
    <t>011990</t>
  </si>
  <si>
    <t>Napoli</t>
  </si>
  <si>
    <t>Campania</t>
  </si>
  <si>
    <t>L'ASINERGIA SOCIETA' COOPERATIVA SOCIALE</t>
  </si>
  <si>
    <t>01439710052</t>
  </si>
  <si>
    <t>Asti</t>
  </si>
  <si>
    <t>Piemonte</t>
  </si>
  <si>
    <t>Lazio</t>
  </si>
  <si>
    <t>Lombardia</t>
  </si>
  <si>
    <t>Sardegna</t>
  </si>
  <si>
    <t>Sicilia</t>
  </si>
  <si>
    <t>KATORDAS S.R.L.</t>
  </si>
  <si>
    <t>01778050201</t>
  </si>
  <si>
    <t>011910</t>
  </si>
  <si>
    <t>Brescia</t>
  </si>
  <si>
    <t>011000</t>
  </si>
  <si>
    <t>012600</t>
  </si>
  <si>
    <t>Puglia</t>
  </si>
  <si>
    <t>014100</t>
  </si>
  <si>
    <t>COOPERATIVA NUOVA AGRICOLTURA - SA TELLA</t>
  </si>
  <si>
    <t>01542320922</t>
  </si>
  <si>
    <t>SOCIETA' AGRICOLA PINTO - S.R.L.</t>
  </si>
  <si>
    <t>02187450743</t>
  </si>
  <si>
    <t>Brindisi</t>
  </si>
  <si>
    <t>ARTICOLO NOVE SOCIETA' COOPERATIVA</t>
  </si>
  <si>
    <t>01406160893</t>
  </si>
  <si>
    <t>014930</t>
  </si>
  <si>
    <t>Siracusa</t>
  </si>
  <si>
    <t>MICCO S.R.L.</t>
  </si>
  <si>
    <t>06274760724</t>
  </si>
  <si>
    <t>012000</t>
  </si>
  <si>
    <t>Bari</t>
  </si>
  <si>
    <t>LA CIMETTA S.R.L.</t>
  </si>
  <si>
    <t>02271620565</t>
  </si>
  <si>
    <t>011920</t>
  </si>
  <si>
    <t>Viterbo</t>
  </si>
  <si>
    <t>LA GEMINA D'OR S.R.L.</t>
  </si>
  <si>
    <t>01688440443</t>
  </si>
  <si>
    <t>Ascoli Piceno</t>
  </si>
  <si>
    <t>Marche</t>
  </si>
  <si>
    <t>FRUTTA &amp; NATURA SOCIETA' COOPERATIVA AGRICOLA</t>
  </si>
  <si>
    <t>04785640873</t>
  </si>
  <si>
    <t>012500</t>
  </si>
  <si>
    <t>Catania</t>
  </si>
  <si>
    <t>AGRICOLA PALAU SOCIETA' AGRICOLA A RESPONSABILITA' LIMITATA</t>
  </si>
  <si>
    <t>08632171214</t>
  </si>
  <si>
    <t>011310</t>
  </si>
  <si>
    <t>Napoli</t>
  </si>
  <si>
    <t>Campania</t>
  </si>
  <si>
    <t>Lazio</t>
  </si>
  <si>
    <t>LE CESE SOCIETA' AGRICOLA SRLS</t>
  </si>
  <si>
    <t>01165480573</t>
  </si>
  <si>
    <t>011140</t>
  </si>
  <si>
    <t>Rieti</t>
  </si>
  <si>
    <t>TRIDENTE PANTALICA S.R.L.</t>
  </si>
  <si>
    <t>01625510894</t>
  </si>
  <si>
    <t>012100</t>
  </si>
  <si>
    <t>Siracusa</t>
  </si>
  <si>
    <t>Sicilia</t>
  </si>
  <si>
    <t>RO.LO SOCIETA' AGRICOLA S.R.L.</t>
  </si>
  <si>
    <t>03022440543</t>
  </si>
  <si>
    <t>011110</t>
  </si>
  <si>
    <t>Perugia</t>
  </si>
  <si>
    <t>Umbria</t>
  </si>
  <si>
    <t>CONSORZIO DISTRETTO AGRICOLO MILANESE - SOCIETA' CONSORTILE COOP ERATIVA AGRICOLA O IN BREVE CONSORZIO DAM - COOPERATIVA</t>
  </si>
  <si>
    <t>07319120965</t>
  </si>
  <si>
    <t>016100</t>
  </si>
  <si>
    <t>Milano</t>
  </si>
  <si>
    <t>Lombardia</t>
  </si>
  <si>
    <t>SOCIETA' COOPERATIVA AGRICOLA FRATELLI D'ACHINO</t>
  </si>
  <si>
    <t>04257100711</t>
  </si>
  <si>
    <t>012600</t>
  </si>
  <si>
    <t>Foggia</t>
  </si>
  <si>
    <t>Puglia</t>
  </si>
  <si>
    <t>Sicilia</t>
  </si>
  <si>
    <t>SOCIETA' AGRICOLA SCATEDDA S.R.L.</t>
  </si>
  <si>
    <t>02865450643</t>
  </si>
  <si>
    <t>012100</t>
  </si>
  <si>
    <t>Avellino</t>
  </si>
  <si>
    <t>Campania</t>
  </si>
  <si>
    <t>015000</t>
  </si>
  <si>
    <t>PALAZZO DI GETA SOCIETA' AGRICOLA S.R.L.</t>
  </si>
  <si>
    <t>01334990528</t>
  </si>
  <si>
    <t>011110</t>
  </si>
  <si>
    <t>Siena</t>
  </si>
  <si>
    <t>Toscana</t>
  </si>
  <si>
    <t>LA BRUMA SOCIETA' AGRICOLA S.R.L.</t>
  </si>
  <si>
    <t>09946491009</t>
  </si>
  <si>
    <t>011140</t>
  </si>
  <si>
    <t>Perugia</t>
  </si>
  <si>
    <t>Umbria</t>
  </si>
  <si>
    <t>011310</t>
  </si>
  <si>
    <t>P.M. LA PELATELLA SOCIETA' AGRICOLA S.R.L.</t>
  </si>
  <si>
    <t>03360460616</t>
  </si>
  <si>
    <t>014600</t>
  </si>
  <si>
    <t>Caserta</t>
  </si>
  <si>
    <t>SOCIETA' AGRICOLA IL CASALE DEL PRINCIPE S.R.L.</t>
  </si>
  <si>
    <t>05601130650</t>
  </si>
  <si>
    <t>Salerno</t>
  </si>
  <si>
    <t>SOCIETA' AGRICOLA TUSA S.R.L.</t>
  </si>
  <si>
    <t>06471530821</t>
  </si>
  <si>
    <t>Palermo</t>
  </si>
  <si>
    <t>Sicilia</t>
  </si>
  <si>
    <t>SOCIETA' AGRICOLA GIARDINELLI SPECIOSA FONS S.R.L.</t>
  </si>
  <si>
    <t>01777940899</t>
  </si>
  <si>
    <t>012300</t>
  </si>
  <si>
    <t>Siracusa</t>
  </si>
  <si>
    <t>Veneto</t>
  </si>
  <si>
    <t>011000</t>
  </si>
  <si>
    <t>012600</t>
  </si>
  <si>
    <t>Umbria</t>
  </si>
  <si>
    <t>015000</t>
  </si>
  <si>
    <t>SAGITTARIO S.R.L.</t>
  </si>
  <si>
    <t>01545930768</t>
  </si>
  <si>
    <t>Potenza</t>
  </si>
  <si>
    <t>Basilicata</t>
  </si>
  <si>
    <t>VOJON S.R.L.</t>
  </si>
  <si>
    <t>01615170204</t>
  </si>
  <si>
    <t>Mantova</t>
  </si>
  <si>
    <t>Lombardia</t>
  </si>
  <si>
    <t>SOCIETA' AGRICOLA MASCIO S.R.L.</t>
  </si>
  <si>
    <t>02945950547</t>
  </si>
  <si>
    <t>Perugia</t>
  </si>
  <si>
    <t>LE PERLE DEL POLESINE SOCIETA' A RESPONSABILITA' LIMITATA SEMPLIF ICATA</t>
  </si>
  <si>
    <t>01557120290</t>
  </si>
  <si>
    <t>014990</t>
  </si>
  <si>
    <t>Rovigo</t>
  </si>
  <si>
    <t>Toscana</t>
  </si>
  <si>
    <t>015000</t>
  </si>
  <si>
    <t>Lazio</t>
  </si>
  <si>
    <t>LA PURTINA SRL</t>
  </si>
  <si>
    <t>04926080484</t>
  </si>
  <si>
    <t>014300</t>
  </si>
  <si>
    <t>Firenze</t>
  </si>
  <si>
    <t>Calabria</t>
  </si>
  <si>
    <t>Catania</t>
  </si>
  <si>
    <t>Sicilia</t>
  </si>
  <si>
    <t>Cosenza</t>
  </si>
  <si>
    <t>012100</t>
  </si>
  <si>
    <t>EUGEONIA SOCIETA' AGRICOLA COOPERATIVA</t>
  </si>
  <si>
    <t>01078890579</t>
  </si>
  <si>
    <t>Rieti</t>
  </si>
  <si>
    <t>ZAPPA GIANLUCA SOCIETA' AGRICOLA S.R.L.S.</t>
  </si>
  <si>
    <t>02016370666</t>
  </si>
  <si>
    <t>012600</t>
  </si>
  <si>
    <t>L'Aquila</t>
  </si>
  <si>
    <t>Abruzzo</t>
  </si>
  <si>
    <t>SOCIETA' AGRICOLA TENUTA SANTA RITA S.R.L.</t>
  </si>
  <si>
    <t>03397130786</t>
  </si>
  <si>
    <t>I VIGNETI DELL'ETNA S.R.L. SEMPLIFICATA</t>
  </si>
  <si>
    <t>05447530873</t>
  </si>
  <si>
    <t>SOCIETA' AGRICOLA IL CORSIERO EUROPEO SOCIETA' A RESPONSABILITA'</t>
  </si>
  <si>
    <t>01155260571</t>
  </si>
  <si>
    <t>AGRICOLA GIUNTABOSCA SOCIETA' A RESPONSABILITA' LIMITATA SEMPL IFICATA</t>
  </si>
  <si>
    <t>03563060783</t>
  </si>
  <si>
    <t>015000</t>
  </si>
  <si>
    <t>Cosenza</t>
  </si>
  <si>
    <t>Calabria</t>
  </si>
  <si>
    <t>Toscana</t>
  </si>
  <si>
    <t>AZIENDA AGRICOLA LIFY SOCIETA' AGRICOLA A RESPONSABILITA' LIMITATA SEMPLIFICATA</t>
  </si>
  <si>
    <t>07011140485</t>
  </si>
  <si>
    <t>011600</t>
  </si>
  <si>
    <t>Firenze</t>
  </si>
  <si>
    <t>Roma</t>
  </si>
  <si>
    <t>Lazio</t>
  </si>
  <si>
    <t>Campania</t>
  </si>
  <si>
    <t>Caserta</t>
  </si>
  <si>
    <t>016100</t>
  </si>
  <si>
    <t>SOCIETA' AGRICOLA TERRAVIVA S.R.L.</t>
  </si>
  <si>
    <t>03854650615</t>
  </si>
  <si>
    <t>014200</t>
  </si>
  <si>
    <t>SOCIETA' AGRICOLA PARCO DI ROMA A RESPONSABILITA' LIMITATA</t>
  </si>
  <si>
    <t>11501861006</t>
  </si>
  <si>
    <t>011310</t>
  </si>
  <si>
    <t>LMS SRL SOCIETA' AGRICOLA</t>
  </si>
  <si>
    <t>03488461207</t>
  </si>
  <si>
    <t>Bologna</t>
  </si>
  <si>
    <t>Emilia-Romagna</t>
  </si>
  <si>
    <t>012100</t>
  </si>
  <si>
    <t>Umbria</t>
  </si>
  <si>
    <t>LA CANAPERIA ITALIANA SOCIETA' COOPERATIVA AGRICOLA E SOCIALE</t>
  </si>
  <si>
    <t>01764090708</t>
  </si>
  <si>
    <t>011140</t>
  </si>
  <si>
    <t>Campobasso</t>
  </si>
  <si>
    <t>Molise</t>
  </si>
  <si>
    <t>SOCIETA' AGRICOLA INNOVATIVA MEONI S.R.L.</t>
  </si>
  <si>
    <t>03740600543</t>
  </si>
  <si>
    <t>Perugia</t>
  </si>
  <si>
    <t>Puglia</t>
  </si>
  <si>
    <t>FLORCALABRA S.R.L.S.</t>
  </si>
  <si>
    <t>03648700783</t>
  </si>
  <si>
    <t>011920</t>
  </si>
  <si>
    <t>Cosenza</t>
  </si>
  <si>
    <t>Calabria</t>
  </si>
  <si>
    <t>S.R.L. POGGIO A DIACCIANO SOCIETA' AGRICOLA</t>
  </si>
  <si>
    <t>00903450526</t>
  </si>
  <si>
    <t>011110</t>
  </si>
  <si>
    <t>Siena</t>
  </si>
  <si>
    <t>Toscana</t>
  </si>
  <si>
    <t>CASALE SOMBRINO SOCIETA' COOPERATIVA AGRICOLA</t>
  </si>
  <si>
    <t>05000050756</t>
  </si>
  <si>
    <t>011310</t>
  </si>
  <si>
    <t>Lecce</t>
  </si>
  <si>
    <t>Lazio</t>
  </si>
  <si>
    <t>CAROSI TERRE SOCIETA' AGRICOLA SOCIETA' A RESPONSABILITA' LIMITAT A</t>
  </si>
  <si>
    <t>02983620598</t>
  </si>
  <si>
    <t>012500</t>
  </si>
  <si>
    <t>Latina</t>
  </si>
  <si>
    <t>ASPROMONTE SOCIETA' COOPERATIVA AGRICOLA</t>
  </si>
  <si>
    <t>02934140803</t>
  </si>
  <si>
    <t>Reggio di Calabria</t>
  </si>
  <si>
    <t>AGRO-ZOOTECNICA DI NORCIA SOCIETA' COOPERATIVA AGRICOLA IN LIQUID AZIONE COATTA AMMINISTRATIVA</t>
  </si>
  <si>
    <t>00234510543</t>
  </si>
  <si>
    <t>014100</t>
  </si>
  <si>
    <t>Perugia</t>
  </si>
  <si>
    <t>Umbria</t>
  </si>
  <si>
    <t>Salerno</t>
  </si>
  <si>
    <t>Campania</t>
  </si>
  <si>
    <t>VIGNA FORESTA S.R.L.</t>
  </si>
  <si>
    <t>07873310960</t>
  </si>
  <si>
    <t>012100</t>
  </si>
  <si>
    <t>Asti</t>
  </si>
  <si>
    <t>Piemonte</t>
  </si>
  <si>
    <t>Puglia</t>
  </si>
  <si>
    <t>015000</t>
  </si>
  <si>
    <t>Sicilia</t>
  </si>
  <si>
    <t>LE.KO DI MONTE SANT'ANGELO S.R.L. SEMPLIFICATA</t>
  </si>
  <si>
    <t>04317030718</t>
  </si>
  <si>
    <t>012800</t>
  </si>
  <si>
    <t>Foggia</t>
  </si>
  <si>
    <t>SOCIETA' AGRICOLA TENUTE MALLUS S.R.L.S.</t>
  </si>
  <si>
    <t>02909030591</t>
  </si>
  <si>
    <t>Latina</t>
  </si>
  <si>
    <t>Lazio</t>
  </si>
  <si>
    <t>SOCIETA' COOPERATIVA AGRICOLA CASTAGNE DEL CILENTO</t>
  </si>
  <si>
    <t>04954670651</t>
  </si>
  <si>
    <t>016300</t>
  </si>
  <si>
    <t>COOPERATIVA AGRICOLA ZAUFANAH - SOCIETA' AGRICOLA COOPERATIVA</t>
  </si>
  <si>
    <t>05010660875</t>
  </si>
  <si>
    <t>012400</t>
  </si>
  <si>
    <t>Catania</t>
  </si>
  <si>
    <t>MA.VI SOCIETA' A RESPONSABILITA' LIMITATA SEMPLIFICATA</t>
  </si>
  <si>
    <t>03334070830</t>
  </si>
  <si>
    <t>Messina</t>
  </si>
  <si>
    <t>Perugia</t>
  </si>
  <si>
    <t>Umbria</t>
  </si>
  <si>
    <t>010000</t>
  </si>
  <si>
    <t>Cosenza</t>
  </si>
  <si>
    <t>Calabria</t>
  </si>
  <si>
    <t>SOCIETA' AGRICOLA SANZIN S.R.L.</t>
  </si>
  <si>
    <t>01207830314</t>
  </si>
  <si>
    <t>012100</t>
  </si>
  <si>
    <t>Gorizia</t>
  </si>
  <si>
    <t>Friuli-Venezia Giulia</t>
  </si>
  <si>
    <t>Sicilia</t>
  </si>
  <si>
    <t>AZIENDA AGRICOLA IL FONDINO S.R.L.</t>
  </si>
  <si>
    <t>00894090497</t>
  </si>
  <si>
    <t>011000</t>
  </si>
  <si>
    <t>Pisa</t>
  </si>
  <si>
    <t>Toscana</t>
  </si>
  <si>
    <t>GI.MA. GESTIONI IMMOBILIARI S.R.L.</t>
  </si>
  <si>
    <t>01608980890</t>
  </si>
  <si>
    <t>Siracusa</t>
  </si>
  <si>
    <t>CONSORZIO BOSCHIVO DI PADRICIANO - SOCIETA' COOPERATIVA AGRICOLA - GOZDNA ZADRUGA V PADRICAH KMECKA DRUZBENA ZADRUGA</t>
  </si>
  <si>
    <t>00553750324</t>
  </si>
  <si>
    <t>Trieste</t>
  </si>
  <si>
    <t>CONSORZIO VINO MONTESCUDAIO D.O.C.</t>
  </si>
  <si>
    <t>01393200504</t>
  </si>
  <si>
    <t>016100</t>
  </si>
  <si>
    <t>SOCIETA' AGRICOLA TENUTA S.ROCCOSOCIETA' A RESPONSABILITA' LIMITA TA SEMPLIFICATA</t>
  </si>
  <si>
    <t>03470710546</t>
  </si>
  <si>
    <t>SOCIETA' AGRICOLA LUMACHE &amp; DERIVATI - S.R.L.</t>
  </si>
  <si>
    <t>03387950789</t>
  </si>
  <si>
    <t>014990</t>
  </si>
  <si>
    <t>I CALANCHI S.R.L.S. - SOCIETA' AGRICOLA A RESPONSABILITA' LIMITATA SEMPLIFICATA</t>
  </si>
  <si>
    <t>03043420805</t>
  </si>
  <si>
    <t>012100</t>
  </si>
  <si>
    <t>Reggio di Calabria</t>
  </si>
  <si>
    <t>Calabria</t>
  </si>
  <si>
    <t>SOCIETA' COOPERATIVA AGRICOLA ARPICOOP</t>
  </si>
  <si>
    <t>02163250711</t>
  </si>
  <si>
    <t>016000</t>
  </si>
  <si>
    <t>Foggia</t>
  </si>
  <si>
    <t>Puglia</t>
  </si>
  <si>
    <t>430 617</t>
  </si>
  <si>
    <t>RE LI MARCHI SOCIETA' AGRICOLA - S.R.L.S.</t>
  </si>
  <si>
    <t>05536160657</t>
  </si>
  <si>
    <t>012600</t>
  </si>
  <si>
    <t>Salerno</t>
  </si>
  <si>
    <t>Campania</t>
  </si>
  <si>
    <t>016100</t>
  </si>
  <si>
    <t>014300</t>
  </si>
  <si>
    <t>RANGIO FARM S.R.L.</t>
  </si>
  <si>
    <t>13075010150</t>
  </si>
  <si>
    <t>Milano</t>
  </si>
  <si>
    <t>Lombardia</t>
  </si>
  <si>
    <t>FILO VERDE SOCIETA' COOPERATIVA A RESPONSABILITA' LIMITATA</t>
  </si>
  <si>
    <t>02623800642</t>
  </si>
  <si>
    <t>Avellino</t>
  </si>
  <si>
    <t>COOPERATIVA AGRICOLA RIMESSAGGIO GI.FRA.</t>
  </si>
  <si>
    <t>07520530721</t>
  </si>
  <si>
    <t>Barletta-Andria-Trani</t>
  </si>
  <si>
    <t>Roma</t>
  </si>
  <si>
    <t>Lazio</t>
  </si>
  <si>
    <t>Campania</t>
  </si>
  <si>
    <t>CALCUTTA SOCIETA' A RESPONSABILITA' LIMITATA</t>
  </si>
  <si>
    <t>03007480613</t>
  </si>
  <si>
    <t>012000</t>
  </si>
  <si>
    <t>Caserta</t>
  </si>
  <si>
    <t>SOCIETA' COOPERATIVA AGRICOLA VERDI FATTORIE</t>
  </si>
  <si>
    <t>01288780768</t>
  </si>
  <si>
    <t>014100</t>
  </si>
  <si>
    <t>Potenza</t>
  </si>
  <si>
    <t>Basilicata</t>
  </si>
  <si>
    <t>CASALE MALATESTA S.R.L.</t>
  </si>
  <si>
    <t>05307771005</t>
  </si>
  <si>
    <t>Marche</t>
  </si>
  <si>
    <t>LE FATTORIE DELL'ALCHIMIA S.R.L.S.</t>
  </si>
  <si>
    <t>02423150446</t>
  </si>
  <si>
    <t>012800</t>
  </si>
  <si>
    <t>Ascoli Piceno</t>
  </si>
  <si>
    <t>012100</t>
  </si>
  <si>
    <t>COOPERATIVA PRODUTTORI AGRICOLI MONTECALVO - CO.P.A.M. A R.L.</t>
  </si>
  <si>
    <t>01878450640</t>
  </si>
  <si>
    <t>016100</t>
  </si>
  <si>
    <t>Avellino</t>
  </si>
  <si>
    <t>Campania</t>
  </si>
  <si>
    <t>CANTINA DEI COLLI AMERINI SOCIETA' COOPERATIVA AGRICOLA IN LIQUIDAZIONE</t>
  </si>
  <si>
    <t>00121540553</t>
  </si>
  <si>
    <t>Terni</t>
  </si>
  <si>
    <t>Umbria</t>
  </si>
  <si>
    <t>Siracusa</t>
  </si>
  <si>
    <t>Sicilia</t>
  </si>
  <si>
    <t>SOCIETA' COOPERATIVA AGRICOLA PRATO CESARINO</t>
  </si>
  <si>
    <t>01191260593</t>
  </si>
  <si>
    <t>016000</t>
  </si>
  <si>
    <t>Latina</t>
  </si>
  <si>
    <t>Lazio</t>
  </si>
  <si>
    <t>Palermo</t>
  </si>
  <si>
    <t>IL PODERE UMBRO S.R.L. SOCIETA' AGRICOLA</t>
  </si>
  <si>
    <t>03498600547</t>
  </si>
  <si>
    <t>012600</t>
  </si>
  <si>
    <t>Perugia</t>
  </si>
  <si>
    <t>Umbria</t>
  </si>
  <si>
    <t>ECOBEST S.R.L.</t>
  </si>
  <si>
    <t>02723840134</t>
  </si>
  <si>
    <t>016209</t>
  </si>
  <si>
    <t>Como</t>
  </si>
  <si>
    <t>Lombardia</t>
  </si>
  <si>
    <t>TIEMME SOCIETA' AGRICOLA S.R.L.</t>
  </si>
  <si>
    <t>02985740592</t>
  </si>
  <si>
    <t>011310</t>
  </si>
  <si>
    <t>SOCIETA' AGRICOLA MI.RO. S.R.L.</t>
  </si>
  <si>
    <t>01630870895</t>
  </si>
  <si>
    <t>016300</t>
  </si>
  <si>
    <t>AGRINOI SOCIETA' COOPERATIVA AGRICOLA</t>
  </si>
  <si>
    <t>02291530067</t>
  </si>
  <si>
    <t>Alessandria</t>
  </si>
  <si>
    <t>Piemonte</t>
  </si>
  <si>
    <t>FRATELLI GUELLA SOCIETA' A RESPONSABILITA' LIMITATA SOCIETA' AGRICOLA IN FORMA ABBREVIATA FRATELLI GUELLA S.R.L. SOCIETA' AGRICOLA</t>
  </si>
  <si>
    <t>06846360821</t>
  </si>
  <si>
    <t>012400</t>
  </si>
  <si>
    <t>011000</t>
  </si>
  <si>
    <t>015000</t>
  </si>
  <si>
    <t>Lazio</t>
  </si>
  <si>
    <t>Calabria</t>
  </si>
  <si>
    <t>SOCIETA' AGRICOLA SCARDINI AGRICOLTURA S.R.L.</t>
  </si>
  <si>
    <t>01034090579</t>
  </si>
  <si>
    <t>Rieti</t>
  </si>
  <si>
    <t>TERRE DELLA MAGNA GRECIA SOCIETA' AGRICOLA E RESPONSABILITA' LIMITATA</t>
  </si>
  <si>
    <t>02803880802</t>
  </si>
  <si>
    <t>012100</t>
  </si>
  <si>
    <t>Reggio di Calabria</t>
  </si>
  <si>
    <t>AGRICOLTORI ASSOCIATI 2/A SOCIETA' COOPERATIVA</t>
  </si>
  <si>
    <t>00608210951</t>
  </si>
  <si>
    <t>Oristano</t>
  </si>
  <si>
    <t>Sardegna</t>
  </si>
  <si>
    <t>Calabria</t>
  </si>
  <si>
    <t>CALABRIA OLIO FILIERE RAGGRUPPATE</t>
  </si>
  <si>
    <t>02956680785</t>
  </si>
  <si>
    <t>016100</t>
  </si>
  <si>
    <t>Cosenza</t>
  </si>
  <si>
    <t>SOCIETA' AGRICOLA - GA.VIN. S.R.L.</t>
  </si>
  <si>
    <t>01816360604</t>
  </si>
  <si>
    <t>012100</t>
  </si>
  <si>
    <t>Frosinone</t>
  </si>
  <si>
    <t>Lazio</t>
  </si>
  <si>
    <t>Sicilia</t>
  </si>
  <si>
    <t>011000</t>
  </si>
  <si>
    <t>MEDIBIO SOCIETA' AGRICOLA A R.L.</t>
  </si>
  <si>
    <t>01409910880</t>
  </si>
  <si>
    <t>Ragusa</t>
  </si>
  <si>
    <t>QUERCETORTA S.R.L.</t>
  </si>
  <si>
    <t>01036640520</t>
  </si>
  <si>
    <t>Siena</t>
  </si>
  <si>
    <t>Toscana</t>
  </si>
  <si>
    <t>012100</t>
  </si>
  <si>
    <t>Sicilia</t>
  </si>
  <si>
    <t>012300</t>
  </si>
  <si>
    <t>012600</t>
  </si>
  <si>
    <t>012000</t>
  </si>
  <si>
    <t>COMUNITA' AGRICOLA VALLE ROVETO - SOCIETA' COOPERATIVA AGRICOLA</t>
  </si>
  <si>
    <t>02001020664</t>
  </si>
  <si>
    <t>L'Aquila</t>
  </si>
  <si>
    <t>Abruzzo</t>
  </si>
  <si>
    <t>Agrigento</t>
  </si>
  <si>
    <t>Roma</t>
  </si>
  <si>
    <t>Lazio</t>
  </si>
  <si>
    <t>F.LLI NOCELLA SOCIETA' COOPERATIVA AGRICOLA</t>
  </si>
  <si>
    <t>03483470781</t>
  </si>
  <si>
    <t>Cosenza</t>
  </si>
  <si>
    <t>Calabria</t>
  </si>
  <si>
    <t>Toscana</t>
  </si>
  <si>
    <t>AGRI.INSIEME - SOCIETA' COOPERATIVA AGRICOLA</t>
  </si>
  <si>
    <t>00945840940</t>
  </si>
  <si>
    <t>014930</t>
  </si>
  <si>
    <t>Isernia</t>
  </si>
  <si>
    <t>Molise</t>
  </si>
  <si>
    <t>AIRONE S.R.L. SOCIETA' AGRICOLA</t>
  </si>
  <si>
    <t>02855410847</t>
  </si>
  <si>
    <t>Sassari</t>
  </si>
  <si>
    <t>Sardegna</t>
  </si>
  <si>
    <t>AZIENDA AGRICOLA COLUE' - SOCIETA' AGRICOLA A RESPONSABILITA' LIMITATA SIGLABILE OVE CONSENTITO CON AZ.AGR. COLUE' - S.A.R.L.</t>
  </si>
  <si>
    <t>02993020045</t>
  </si>
  <si>
    <t>Cuneo</t>
  </si>
  <si>
    <t>Piemonte</t>
  </si>
  <si>
    <t>SFC SOCIETA' AGRICOLA A R.L.</t>
  </si>
  <si>
    <t>02438780906</t>
  </si>
  <si>
    <t>011300</t>
  </si>
  <si>
    <t>NATURA NAKUPENDA SOCIETA' AGRICOLA S.R.L.</t>
  </si>
  <si>
    <t>01947500508</t>
  </si>
  <si>
    <t>Pisa</t>
  </si>
  <si>
    <t>SOCIETA' COOPERATIVA SOCIALE GRAMIGNA</t>
  </si>
  <si>
    <t>04092890237</t>
  </si>
  <si>
    <t>011310</t>
  </si>
  <si>
    <t>Verona</t>
  </si>
  <si>
    <t>Veneto</t>
  </si>
  <si>
    <t>AZIENDA AGRICOLA PALOMBARA SOCIETA' AGRICOLA A R.L.</t>
  </si>
  <si>
    <t>03908261005</t>
  </si>
  <si>
    <t>Emilia-Romagna</t>
  </si>
  <si>
    <t>Campania</t>
  </si>
  <si>
    <t>SOFIA SOCIETA' AGRICOLA SOCIETA' A RESPONSABILITA' LIMITATA SEMPLIFICATA</t>
  </si>
  <si>
    <t>04153030400</t>
  </si>
  <si>
    <t>012800</t>
  </si>
  <si>
    <t>Forlì-Cesena</t>
  </si>
  <si>
    <t>AGRI MED SOCIETA' AGRICOLA SRL</t>
  </si>
  <si>
    <t>06151141212</t>
  </si>
  <si>
    <t>013000</t>
  </si>
  <si>
    <t>Napoli</t>
  </si>
  <si>
    <t>Potenza</t>
  </si>
  <si>
    <t>Basilicata</t>
  </si>
  <si>
    <t>TENUTA SAN LUCA S.R.L.S. SOCIETA' AGRICOLA</t>
  </si>
  <si>
    <t>01988900765</t>
  </si>
  <si>
    <t>012500</t>
  </si>
  <si>
    <t>GIOLICA SOCIETA' COOPERATIVA SOCIALE</t>
  </si>
  <si>
    <t>02365750971</t>
  </si>
  <si>
    <t>012900</t>
  </si>
  <si>
    <t>Prato</t>
  </si>
  <si>
    <t>Toscana</t>
  </si>
  <si>
    <t>Chieti</t>
  </si>
  <si>
    <t>Abruzzo</t>
  </si>
  <si>
    <t>SOCIETA' AGRICOLA MONDOVERDE S.R.L.</t>
  </si>
  <si>
    <t>02561560695</t>
  </si>
  <si>
    <t>011910</t>
  </si>
  <si>
    <t>SOC. COOP. AGRICOLA LA NUOVA TERRA A R.L. - IN LIQUIDAZIONE -</t>
  </si>
  <si>
    <t>01421180934</t>
  </si>
  <si>
    <t>011310</t>
  </si>
  <si>
    <t>Udine</t>
  </si>
  <si>
    <t>Friuli-Venezia Giulia</t>
  </si>
  <si>
    <t>AZIENDA AGRICOLA CAMPODIMARTA S.R.L.</t>
  </si>
  <si>
    <t>04227031004</t>
  </si>
  <si>
    <t>014000</t>
  </si>
  <si>
    <t>Viterbo</t>
  </si>
  <si>
    <t>Lazio</t>
  </si>
  <si>
    <t>Sardegna</t>
  </si>
  <si>
    <t>AMISTADE COOPERATIVA SOCIALE A RESPONSABILITA' LIMITATA IN SIGLA AMISTADE COOPERATIVA SOCIALE A R.L.</t>
  </si>
  <si>
    <t>01834510909</t>
  </si>
  <si>
    <t>010000</t>
  </si>
  <si>
    <t>Sassari</t>
  </si>
  <si>
    <t>015000</t>
  </si>
  <si>
    <t>REBECCO FARMER RETE DI IMPRESE</t>
  </si>
  <si>
    <t>04122520986</t>
  </si>
  <si>
    <t>Brescia</t>
  </si>
  <si>
    <t>Lombardia</t>
  </si>
  <si>
    <t>Campobasso</t>
  </si>
  <si>
    <t>Molise</t>
  </si>
  <si>
    <t>ANTICA POSTA SOCIETA' AGRICOLA - S.R.L.</t>
  </si>
  <si>
    <t>01517890701</t>
  </si>
  <si>
    <t>012100</t>
  </si>
  <si>
    <t>Toscana</t>
  </si>
  <si>
    <t>012600</t>
  </si>
  <si>
    <t>MASSERIA COSTE DI CUMA SOCIETA' AGRICOLA S.R.L.</t>
  </si>
  <si>
    <t>08319191212</t>
  </si>
  <si>
    <t>Napoli</t>
  </si>
  <si>
    <t>Campania</t>
  </si>
  <si>
    <t>L'UCCELLIERA S.R.L. SOCIETA' AGRICOLA</t>
  </si>
  <si>
    <t>05535970486</t>
  </si>
  <si>
    <t>Firenze</t>
  </si>
  <si>
    <t>SOCIETA' AGRICOLA SAPORI &amp; TRADIZIONI S.R.L.</t>
  </si>
  <si>
    <t>02075070686</t>
  </si>
  <si>
    <t>014500</t>
  </si>
  <si>
    <t>Pescara</t>
  </si>
  <si>
    <t>Abruzzo</t>
  </si>
  <si>
    <t>FLORAMI SOCIETA' AGRICOLA A R.L.</t>
  </si>
  <si>
    <t>08606961210</t>
  </si>
  <si>
    <t>012100</t>
  </si>
  <si>
    <t>Napoli</t>
  </si>
  <si>
    <t>Campania</t>
  </si>
  <si>
    <t>SOCIETA' AGRICOLA FRATELLI PAPI S.R.L.</t>
  </si>
  <si>
    <t>13040761002</t>
  </si>
  <si>
    <t>Roma</t>
  </si>
  <si>
    <t>Lazio</t>
  </si>
  <si>
    <t>Sicilia</t>
  </si>
  <si>
    <t>VOTARELLE S.R.L.</t>
  </si>
  <si>
    <t>02671410799</t>
  </si>
  <si>
    <t>012600</t>
  </si>
  <si>
    <t>Catanzaro</t>
  </si>
  <si>
    <t>Calabria</t>
  </si>
  <si>
    <t>Lecce</t>
  </si>
  <si>
    <t>Puglia</t>
  </si>
  <si>
    <t>014990</t>
  </si>
  <si>
    <t>CAMPANAPA SOCIETA' COOPERATIVA AGRICOLA</t>
  </si>
  <si>
    <t>01652520626</t>
  </si>
  <si>
    <t>011600</t>
  </si>
  <si>
    <t>Benevento</t>
  </si>
  <si>
    <t>Campania</t>
  </si>
  <si>
    <t>011300</t>
  </si>
  <si>
    <t>Roma</t>
  </si>
  <si>
    <t>Lazio</t>
  </si>
  <si>
    <t>AGRIMAT SALENTO S.R.L.</t>
  </si>
  <si>
    <t>03845510753</t>
  </si>
  <si>
    <t>ECO-LOGIC FARM SOCIETA' A RESPONSABILITA' LIMITATA</t>
  </si>
  <si>
    <t>15969481009</t>
  </si>
  <si>
    <t>011320</t>
  </si>
  <si>
    <t>LA LUMACA DEL BELICE SOCIETA' COOPERATIVA AGRICOLA</t>
  </si>
  <si>
    <t>02643840842</t>
  </si>
  <si>
    <t>Agrigento</t>
  </si>
  <si>
    <t>015000</t>
  </si>
  <si>
    <t>Lazio</t>
  </si>
  <si>
    <t>014100</t>
  </si>
  <si>
    <t>012600</t>
  </si>
  <si>
    <t>MACUBO S.R.L. SOCIETA' AGRICOLA</t>
  </si>
  <si>
    <t>00952860948</t>
  </si>
  <si>
    <t>011340</t>
  </si>
  <si>
    <t>Isernia</t>
  </si>
  <si>
    <t>Molise</t>
  </si>
  <si>
    <t>Veneto</t>
  </si>
  <si>
    <t>Puglia</t>
  </si>
  <si>
    <t>Roma</t>
  </si>
  <si>
    <t>SOCIETA' AGRICOLA INNOVATIVA LE GRAVINE S.R.L.</t>
  </si>
  <si>
    <t>03125940738</t>
  </si>
  <si>
    <t>Taranto</t>
  </si>
  <si>
    <t>SOCIETA' AGRICOLA CRISTOFARI SOCIETA' A RESPONSABILITA' LIMITATA. IN BREVE SOCIETA' AGRICOLA CRISTOFARI S.R.L.</t>
  </si>
  <si>
    <t>13933361001</t>
  </si>
  <si>
    <t>ARZAN S.R.L. SOCIETA' AGRICOLA</t>
  </si>
  <si>
    <t>04438250237</t>
  </si>
  <si>
    <t>Verona</t>
  </si>
  <si>
    <t>012600</t>
  </si>
  <si>
    <t>Grosseto</t>
  </si>
  <si>
    <t>Toscana</t>
  </si>
  <si>
    <t>Bari</t>
  </si>
  <si>
    <t>Puglia</t>
  </si>
  <si>
    <t>012100</t>
  </si>
  <si>
    <t>I PARIETI SOC. AGRICOLA S.R.L.</t>
  </si>
  <si>
    <t>08457150723</t>
  </si>
  <si>
    <t>HORTULANUS SOCIETA' A RESPONSABILITA' LIMITATA SOCIETA' AGRICOLA O IN FORMA ABBREVIATA HORTULANUS SRL SOCIETA' AGRICOLA</t>
  </si>
  <si>
    <t>01437130535</t>
  </si>
  <si>
    <t>CONSORZIO VIVAISTI LUCANI IN SIGLA CO.VI.L.</t>
  </si>
  <si>
    <t>00675880777</t>
  </si>
  <si>
    <t>012500</t>
  </si>
  <si>
    <t>Matera</t>
  </si>
  <si>
    <t>Basilicata</t>
  </si>
  <si>
    <t>Puglia</t>
  </si>
  <si>
    <t>AREN NUTRIZIONE S.R.L. - SOCIETA' AGRICOLA</t>
  </si>
  <si>
    <t>09722840965</t>
  </si>
  <si>
    <t>011990</t>
  </si>
  <si>
    <t>Milano</t>
  </si>
  <si>
    <t>Lombardia</t>
  </si>
  <si>
    <t>012600</t>
  </si>
  <si>
    <t>Catania</t>
  </si>
  <si>
    <t>Sicilia</t>
  </si>
  <si>
    <t>Lecce</t>
  </si>
  <si>
    <t>SOCIETA' AGRICOLA TALENTO BIO SOCIETA' A RESPONSABILITA' LIMITATA SEMPLIFICATA</t>
  </si>
  <si>
    <t>04874490750</t>
  </si>
  <si>
    <t>011120</t>
  </si>
  <si>
    <t>TENUTA REKHALE - SOCIETA' AGRICOLA SOCIETA' A RESPONSABILITA' LIM ITATA SEMPLIFICATA</t>
  </si>
  <si>
    <t>02623650815</t>
  </si>
  <si>
    <t>012100</t>
  </si>
  <si>
    <t>Trapani</t>
  </si>
  <si>
    <t>TENUTA LA GIOIA SOCIETA' AGRICOLA A R.L.</t>
  </si>
  <si>
    <t>04804590877</t>
  </si>
  <si>
    <t>FONTEPINO SRL</t>
  </si>
  <si>
    <t>02384700544</t>
  </si>
  <si>
    <t>Perugia</t>
  </si>
  <si>
    <t>Umbria</t>
  </si>
  <si>
    <t>LORZATA S.R.L. SOCIETA' AGRICOLA</t>
  </si>
  <si>
    <t>08323740962</t>
  </si>
  <si>
    <t>011310</t>
  </si>
  <si>
    <t>Lazio</t>
  </si>
  <si>
    <t>011110</t>
  </si>
  <si>
    <t>Toscana</t>
  </si>
  <si>
    <t>011000</t>
  </si>
  <si>
    <t>IL MOGGIO SOCIETA' AGRICOLA A R.L.</t>
  </si>
  <si>
    <t>00954110573</t>
  </si>
  <si>
    <t>Rieti</t>
  </si>
  <si>
    <t>TENUTA DI GROPPOLI S.R.L.</t>
  </si>
  <si>
    <t>01116810472</t>
  </si>
  <si>
    <t>Pistoia</t>
  </si>
  <si>
    <t>ZOMARO RESORT SOCIETA' COOPERATIVA AGRICOLA</t>
  </si>
  <si>
    <t>02662750807</t>
  </si>
  <si>
    <t>Reggio di Calabria</t>
  </si>
  <si>
    <t>Calabria</t>
  </si>
  <si>
    <t>DON GIORGIO PARODI SOCIETA' COOPERATIVA AGRICOLA E SOCIALE</t>
  </si>
  <si>
    <t>02398150991</t>
  </si>
  <si>
    <t>012900</t>
  </si>
  <si>
    <t>Genova</t>
  </si>
  <si>
    <t>Liguria</t>
  </si>
  <si>
    <t>DELLA TERRA E DELL'UOMO S.R.L.- SOCIETA' AGRICOLA</t>
  </si>
  <si>
    <t>04113160164</t>
  </si>
  <si>
    <t>012400</t>
  </si>
  <si>
    <t>Bergamo</t>
  </si>
  <si>
    <t>Lombardia</t>
  </si>
  <si>
    <t>ZERO THC IMPRESA SOCIALE S.R.L.</t>
  </si>
  <si>
    <t>03643650546</t>
  </si>
  <si>
    <t>011600</t>
  </si>
  <si>
    <t>Perugia</t>
  </si>
  <si>
    <t>Umbria</t>
  </si>
  <si>
    <t>Abruzzo</t>
  </si>
  <si>
    <t>AZIENDA AGRICOLA I MARRONI S.R.L. SOCIETA' AGRICOLA</t>
  </si>
  <si>
    <t>02093990675</t>
  </si>
  <si>
    <t>Teramo</t>
  </si>
  <si>
    <t>AZIENDA AGRICOLA COLLEFAGIANO SOCIETA' A RESPONSABILITA' LIMITATA</t>
  </si>
  <si>
    <t>01080270539</t>
  </si>
  <si>
    <t>012600</t>
  </si>
  <si>
    <t>Grosseto</t>
  </si>
  <si>
    <t>Toscana</t>
  </si>
  <si>
    <t>VERDEIMPRESA S.R.L. SOCIETA' AGRICOLA</t>
  </si>
  <si>
    <t>01834950675</t>
  </si>
  <si>
    <t>012100</t>
  </si>
  <si>
    <t>Teramo</t>
  </si>
  <si>
    <t>Abruzzo</t>
  </si>
  <si>
    <t>012600</t>
  </si>
  <si>
    <t>Vibo Valentia</t>
  </si>
  <si>
    <t>Calabria</t>
  </si>
  <si>
    <t>SOCIETA' AGRICOLA DONNA CATERINA SOCIETA' A RESPONSABILITA' LIMITATA SEMPLIFICATA</t>
  </si>
  <si>
    <t>03752510796</t>
  </si>
  <si>
    <t>015000</t>
  </si>
  <si>
    <t>CLADOS S.R.L. SOCIETA' AGRICOLA</t>
  </si>
  <si>
    <t>03626390797</t>
  </si>
  <si>
    <t>Viterbo</t>
  </si>
  <si>
    <t>Lazio</t>
  </si>
  <si>
    <t>011310</t>
  </si>
  <si>
    <t>012100</t>
  </si>
  <si>
    <t>SOCIETA' AGRICOLA VILLA CAVICIANA MANAGEMENT SRL</t>
  </si>
  <si>
    <t>02387850569</t>
  </si>
  <si>
    <t>SOCIETA' AGRICOLA SUNNIVA ALMA MATER - S.R.L.S.</t>
  </si>
  <si>
    <t>02332570569</t>
  </si>
  <si>
    <t>014990</t>
  </si>
  <si>
    <t>SOCIETA' AGRICOLA TORRE PIANCASTAGNO SOCIETA' A RESPONSABILITA'LI MITATA SEMPLIFICATA</t>
  </si>
  <si>
    <t>02328570565</t>
  </si>
  <si>
    <t>Viterbo</t>
  </si>
  <si>
    <t>Lazio</t>
  </si>
  <si>
    <t>AGRICOLA MONTEFIASCONE S.R.L.</t>
  </si>
  <si>
    <t>02174440566</t>
  </si>
  <si>
    <t>011990</t>
  </si>
  <si>
    <t>Verona</t>
  </si>
  <si>
    <t>Veneto</t>
  </si>
  <si>
    <t>VILLAFRUT PLAIN SOCIETA' AGRICOLA S.R.L.</t>
  </si>
  <si>
    <t>05014680234</t>
  </si>
  <si>
    <t>011321</t>
  </si>
  <si>
    <t>Verona</t>
  </si>
  <si>
    <t>Veneto</t>
  </si>
  <si>
    <t>SOCIETA' AGRICOLA ELAIS S.R.L. SOCIETA' BENEFIT</t>
  </si>
  <si>
    <t>04960020230</t>
  </si>
  <si>
    <t>012600</t>
  </si>
  <si>
    <t>SOCIETA' AGRICOLA FATTORIA APE REGINA SRL</t>
  </si>
  <si>
    <t>04948960234</t>
  </si>
  <si>
    <t>012400</t>
  </si>
  <si>
    <t>016100</t>
  </si>
  <si>
    <t>Verona</t>
  </si>
  <si>
    <t>Veneto</t>
  </si>
  <si>
    <t>SERVICE JOB SRLS SOCIETA' A RESPONSABILITA' LIMITATA SEMPLIFICATA</t>
  </si>
  <si>
    <t>04873830238</t>
  </si>
  <si>
    <t>Verona</t>
  </si>
  <si>
    <t>Veneto</t>
  </si>
  <si>
    <t>012100</t>
  </si>
  <si>
    <t>SOCIETA' AGRICOLA CA' LUFERA S.R.L.</t>
  </si>
  <si>
    <t>08453380969</t>
  </si>
  <si>
    <t>Verona</t>
  </si>
  <si>
    <t>Veneto</t>
  </si>
  <si>
    <t>016100</t>
  </si>
  <si>
    <t>LOCANDA AL SOLE S.R.L.</t>
  </si>
  <si>
    <t>03732610237</t>
  </si>
  <si>
    <t>012500</t>
  </si>
  <si>
    <t>LEONESSA S.R.L.</t>
  </si>
  <si>
    <t>03549880239</t>
  </si>
  <si>
    <t>011990</t>
  </si>
  <si>
    <t>Vicenza</t>
  </si>
  <si>
    <t>PILOTTO SRL</t>
  </si>
  <si>
    <t>04474230242</t>
  </si>
  <si>
    <t>Vicenza</t>
  </si>
  <si>
    <t>Veneto</t>
  </si>
  <si>
    <t>011140</t>
  </si>
  <si>
    <t>SOCIETA' AGRICOLA DALLE RIVE S.R.L.</t>
  </si>
  <si>
    <t>04410140240</t>
  </si>
  <si>
    <t>016100</t>
  </si>
  <si>
    <t>ITALI PLUS SOCIETA' A RESPONSABILITA' LIMITATA SEMPLIFICATA</t>
  </si>
  <si>
    <t>04103390243</t>
  </si>
  <si>
    <t>Vicenza</t>
  </si>
  <si>
    <t>Veneto</t>
  </si>
  <si>
    <t>VALDADIGE SOCIETA' COOPERATIVA</t>
  </si>
  <si>
    <t>03250140245</t>
  </si>
  <si>
    <t>016300</t>
  </si>
  <si>
    <t>Venezia</t>
  </si>
  <si>
    <t>PRA' D'ARCA - TOUBA - SOCIETA' COOPERATIVA AGRICOLA</t>
  </si>
  <si>
    <t>04784660278</t>
  </si>
  <si>
    <t>014500</t>
  </si>
  <si>
    <t>Vercelli</t>
  </si>
  <si>
    <t>Piemonte</t>
  </si>
  <si>
    <t>OTTOVINI SOCIETA' AGRICOLA S.R.L.</t>
  </si>
  <si>
    <t>02663660021</t>
  </si>
  <si>
    <t>012100</t>
  </si>
  <si>
    <t>SOCIETA' AGRICOLA CAROLINA S.R.L.</t>
  </si>
  <si>
    <t>01737340339</t>
  </si>
  <si>
    <t>011200</t>
  </si>
  <si>
    <t>Varese</t>
  </si>
  <si>
    <t>Lombardia</t>
  </si>
  <si>
    <t>SOCIETA' AGRICOLA MY PLANT S.R.L.</t>
  </si>
  <si>
    <t>03761430127</t>
  </si>
  <si>
    <t>011120</t>
  </si>
  <si>
    <t>LA VALLETTA SOCIETA' SPORTIVA DILETTANTISTICA A RESPONSABILITA' LIMITATA</t>
  </si>
  <si>
    <t>03636330122</t>
  </si>
  <si>
    <t>014300</t>
  </si>
  <si>
    <t>Udine</t>
  </si>
  <si>
    <t>Friuli-Venezia Giulia</t>
  </si>
  <si>
    <t>SOCIETA' AGRICOLA LIVIA DRUSILLA CLAUDIA SRL</t>
  </si>
  <si>
    <t>03099260303</t>
  </si>
  <si>
    <t>012100</t>
  </si>
  <si>
    <t>SOCIETA' AGRICOLA PETRUCCO SRL</t>
  </si>
  <si>
    <t>03087610303</t>
  </si>
  <si>
    <t>GIMAGI S.R.L. SOCIETA' AGRICOLA</t>
  </si>
  <si>
    <t>03025430301</t>
  </si>
  <si>
    <t>013000</t>
  </si>
  <si>
    <t>LE API DI GIULIA - S.R.L.S.</t>
  </si>
  <si>
    <t>02929970305</t>
  </si>
  <si>
    <t>014930</t>
  </si>
  <si>
    <t>Udine</t>
  </si>
  <si>
    <t>Friuli-Venezia Giulia</t>
  </si>
  <si>
    <t>VIGNA DELLE MURA S.R.L. - SOCIETA' AGRICOLA</t>
  </si>
  <si>
    <t>02779390307</t>
  </si>
  <si>
    <t>015000</t>
  </si>
  <si>
    <t>TERRE DEL FRIULI DI MEZZO - SOCIETA' COOPERATIVA AGRICOLA</t>
  </si>
  <si>
    <t>02433830300</t>
  </si>
  <si>
    <t>016300</t>
  </si>
  <si>
    <t>Treviso</t>
  </si>
  <si>
    <t>Veneto</t>
  </si>
  <si>
    <t>SOCIETA' AGRICOLA SAN PIETRO SRL</t>
  </si>
  <si>
    <t>04971940269</t>
  </si>
  <si>
    <t>012100</t>
  </si>
  <si>
    <t>SOCIETA' AGRICOLA DALL'ARMELLINA S.R.L.S.</t>
  </si>
  <si>
    <t>04740320264</t>
  </si>
  <si>
    <t>015000</t>
  </si>
  <si>
    <t>Terni</t>
  </si>
  <si>
    <t>Umbria</t>
  </si>
  <si>
    <t>LOCALCARBON ITALIA SOC. COOP. A R.L.</t>
  </si>
  <si>
    <t>01701310557</t>
  </si>
  <si>
    <t>016300</t>
  </si>
  <si>
    <t>SOLOBRADO SOCIETA' AGRICOLA A RESPONSABILITA' LIMITATA SIGLA: SOLOBRADO SOCIETA' AGRICOLA S.R.L.</t>
  </si>
  <si>
    <t>01694540558</t>
  </si>
  <si>
    <t>014600</t>
  </si>
  <si>
    <t>Terni</t>
  </si>
  <si>
    <t>Umbria</t>
  </si>
  <si>
    <t>011140</t>
  </si>
  <si>
    <t>LA PERLA DEL TEVERE SOCIETA' COOPERATIVA AGRICOLA</t>
  </si>
  <si>
    <t>01505620557</t>
  </si>
  <si>
    <t>014100</t>
  </si>
  <si>
    <t>SOCIETA' AGRICOLA BIOENERGIA SRL</t>
  </si>
  <si>
    <t>01497490555</t>
  </si>
  <si>
    <t>012100</t>
  </si>
  <si>
    <t>Trapani</t>
  </si>
  <si>
    <t>Sicilia</t>
  </si>
  <si>
    <t>TENUTE PELLEGRINO S.R.L. SOCIETA' AGRICOLA</t>
  </si>
  <si>
    <t>02866880814</t>
  </si>
  <si>
    <t>012600</t>
  </si>
  <si>
    <t>AZIENDA AGRICOLA IMPICCICHE' S.R.L.S.</t>
  </si>
  <si>
    <t>02856760810</t>
  </si>
  <si>
    <t>011110</t>
  </si>
  <si>
    <t>SICILY FOOD BELICE VALLEY SOCIETA' COOPERATIVA AGRICOLA</t>
  </si>
  <si>
    <t>02853430813</t>
  </si>
  <si>
    <t>Trapani</t>
  </si>
  <si>
    <t>Sicilia</t>
  </si>
  <si>
    <t>012100</t>
  </si>
  <si>
    <t>STEVIALSUD ITALIA SOCIETA' AGRICOLA S.R.L.S.</t>
  </si>
  <si>
    <t>02699820813</t>
  </si>
  <si>
    <t>016100</t>
  </si>
  <si>
    <t>GANDOLFO SOCIETA' AGRICOLA S.R.L.</t>
  </si>
  <si>
    <t>02672150816</t>
  </si>
  <si>
    <t>NATURA RED S.R.L.S.</t>
  </si>
  <si>
    <t>02653400818</t>
  </si>
  <si>
    <t>012200</t>
  </si>
  <si>
    <t>TERRE VIVE DI SICILIA SOCIETA' AGRICOLA S.R.L.</t>
  </si>
  <si>
    <t>02653190815</t>
  </si>
  <si>
    <t>011310</t>
  </si>
  <si>
    <t>Trapani</t>
  </si>
  <si>
    <t>Sicilia</t>
  </si>
  <si>
    <t>TERRA PROMESSA MAZARA SOCIETA' COOPERATIVA</t>
  </si>
  <si>
    <t>02509660813</t>
  </si>
  <si>
    <t>011310</t>
  </si>
  <si>
    <t>012600</t>
  </si>
  <si>
    <t>SHAMS SOCIETA' AGRICOLA S.R.L.</t>
  </si>
  <si>
    <t>02299680815</t>
  </si>
  <si>
    <t>016100</t>
  </si>
  <si>
    <t>SOCIETA' AGRICOLA FERRANDO S.R.L.</t>
  </si>
  <si>
    <t>12907140011</t>
  </si>
  <si>
    <t>012100</t>
  </si>
  <si>
    <t>Torino</t>
  </si>
  <si>
    <t>Piemonte</t>
  </si>
  <si>
    <t>AGRIARIA AZIENDA AGRICOLA S.R.L.</t>
  </si>
  <si>
    <t>12841560019</t>
  </si>
  <si>
    <t>011310</t>
  </si>
  <si>
    <t>011140</t>
  </si>
  <si>
    <t>SOCIETA' AGRICOLA BELPRATO S.R.L.</t>
  </si>
  <si>
    <t>12615270019</t>
  </si>
  <si>
    <t>013000</t>
  </si>
  <si>
    <t>SOCIETA' AGRICOLA CASCINA AMERIO S.R.L. SEMPLIFICATA</t>
  </si>
  <si>
    <t>12596450010</t>
  </si>
  <si>
    <t>011600</t>
  </si>
  <si>
    <t>MADEINBAMBOO</t>
  </si>
  <si>
    <t>12207000014</t>
  </si>
  <si>
    <t>ALFA SERVICE S.R.L.S.</t>
  </si>
  <si>
    <t>12099830015</t>
  </si>
  <si>
    <t>CANNABIS-FARM S.R.L.S.</t>
  </si>
  <si>
    <t>11920360010</t>
  </si>
  <si>
    <t>Torino</t>
  </si>
  <si>
    <t>Piemonte</t>
  </si>
  <si>
    <t>ANZULLA - FRATUCK SOCIETA' A RESPONSABILITA' LIMITATA SEMPLIFICAT A</t>
  </si>
  <si>
    <t>11888580013</t>
  </si>
  <si>
    <t>011140</t>
  </si>
  <si>
    <t>012100</t>
  </si>
  <si>
    <t>Trento</t>
  </si>
  <si>
    <t>Trentino-Alto Adige</t>
  </si>
  <si>
    <t>ASPARAGICOLTORI TRENTINI ASSOCIATI - AS.T.A. SOCIETA' COOPERATIVA AGRICOLA</t>
  </si>
  <si>
    <t>02709340224</t>
  </si>
  <si>
    <t>016300</t>
  </si>
  <si>
    <t>012400</t>
  </si>
  <si>
    <t>BERRIES HOUSE S.R.L. SOCIETA' AGRICOLA</t>
  </si>
  <si>
    <t>02701970226</t>
  </si>
  <si>
    <t>012500</t>
  </si>
  <si>
    <t>SOCIETA' AGRICOLA AGRIBEL S.R.L.</t>
  </si>
  <si>
    <t>03922530237</t>
  </si>
  <si>
    <t>COLTIVARS S.R.L. SOCIETA' AGRICOLA</t>
  </si>
  <si>
    <t>02645320223</t>
  </si>
  <si>
    <t>012100</t>
  </si>
  <si>
    <t>Teramo</t>
  </si>
  <si>
    <t>Abruzzo</t>
  </si>
  <si>
    <t>VALLE DEL SOLE SOCIETA' AGRICOLA S.R.L.</t>
  </si>
  <si>
    <t>17030001006</t>
  </si>
  <si>
    <t>Teramo</t>
  </si>
  <si>
    <t>Abruzzo</t>
  </si>
  <si>
    <t>016100</t>
  </si>
  <si>
    <t>BARONE DEL CERRANO S.R.L.</t>
  </si>
  <si>
    <t>01501550675</t>
  </si>
  <si>
    <t>Taranto</t>
  </si>
  <si>
    <t>Puglia</t>
  </si>
  <si>
    <t>ERICARBOREA S.R.L. SOCIETA' AGRICOLA</t>
  </si>
  <si>
    <t>03382000739</t>
  </si>
  <si>
    <t>011990</t>
  </si>
  <si>
    <t>012300</t>
  </si>
  <si>
    <t>Taranto</t>
  </si>
  <si>
    <t>Puglia</t>
  </si>
  <si>
    <t>FAVIMOD.GP SOCIETA' A RESPONSABILITA' LIMITATA AGRICOLA</t>
  </si>
  <si>
    <t>03371680731</t>
  </si>
  <si>
    <t>LA GHIANDAIA SOCIETA' A RESPONSABILITA' LIMITATA SEMPLIFICATA</t>
  </si>
  <si>
    <t>01874070095</t>
  </si>
  <si>
    <t>012800</t>
  </si>
  <si>
    <t>Savona</t>
  </si>
  <si>
    <t>Liguria</t>
  </si>
  <si>
    <t>CALCAGNO SOCIETA' AGRICOLA COOPERATIVA</t>
  </si>
  <si>
    <t>01873310096</t>
  </si>
  <si>
    <t>016300</t>
  </si>
  <si>
    <t>Sassari</t>
  </si>
  <si>
    <t>Sardegna</t>
  </si>
  <si>
    <t>014200</t>
  </si>
  <si>
    <t>015000</t>
  </si>
  <si>
    <t>SOCIETA' AGRICOLA S'ENA S.R.L. S.</t>
  </si>
  <si>
    <t>02944170907</t>
  </si>
  <si>
    <t>YOUR FOOD SRL SOCIETA' AGRICOLA</t>
  </si>
  <si>
    <t>02921200909</t>
  </si>
  <si>
    <t>SOCIETA' AGRICOLA NURRESE S.R.L.</t>
  </si>
  <si>
    <t>02919330908</t>
  </si>
  <si>
    <t>011110</t>
  </si>
  <si>
    <t>Sassari</t>
  </si>
  <si>
    <t>Sardegna</t>
  </si>
  <si>
    <t>015000</t>
  </si>
  <si>
    <t>BIOTECHFARM SOCIETA' COOPERATIVA AGRICOLA A R.L.</t>
  </si>
  <si>
    <t>02835450905</t>
  </si>
  <si>
    <t>011310</t>
  </si>
  <si>
    <t>INTESA S.R.L.S. SOCIETA' AGRICOLA</t>
  </si>
  <si>
    <t>02800250900</t>
  </si>
  <si>
    <t>Sassari</t>
  </si>
  <si>
    <t>Sardegna</t>
  </si>
  <si>
    <t>011310</t>
  </si>
  <si>
    <t>OLEABIOSARDEGNA SOCIETA' COOPERATIVA A RL</t>
  </si>
  <si>
    <t>02649830904</t>
  </si>
  <si>
    <t>Sassari</t>
  </si>
  <si>
    <t>Sardegna</t>
  </si>
  <si>
    <t>SOCIETA' AGRICOLA SAN PASQUALE SOCIETA' A RESPONSABILITA' LIMITATA SEMPLIFICATA</t>
  </si>
  <si>
    <t>02574080905</t>
  </si>
  <si>
    <t>012600</t>
  </si>
  <si>
    <t>011320</t>
  </si>
  <si>
    <t>ENERVITABIO SANTU PEDRU SOCIETA' AGRICOLA - S.R.L.</t>
  </si>
  <si>
    <t>02367670904</t>
  </si>
  <si>
    <t>012300</t>
  </si>
  <si>
    <t>Siracusa</t>
  </si>
  <si>
    <t>Sicilia</t>
  </si>
  <si>
    <t>SOCIETA' AGRICOLA FATTORIA GALLO S.R.L.</t>
  </si>
  <si>
    <t>02102910896</t>
  </si>
  <si>
    <t>Siracusa</t>
  </si>
  <si>
    <t>Sicilia</t>
  </si>
  <si>
    <t>011110</t>
  </si>
  <si>
    <t>015000</t>
  </si>
  <si>
    <t>GRANIBLEI RETE DI IMPRESE</t>
  </si>
  <si>
    <t>02027600895</t>
  </si>
  <si>
    <t>FATTORIA UCCELLO SOCIETA' AGRICOLA S.R.L.S.</t>
  </si>
  <si>
    <t>02019960893</t>
  </si>
  <si>
    <t>Siracusa</t>
  </si>
  <si>
    <t>Sicilia</t>
  </si>
  <si>
    <t>011320</t>
  </si>
  <si>
    <t>FATTORIA VILLA DEL TELLARO SOCIETA' A RESPONSABILITA' LIMITATA SE MPIFICATA AGRIC</t>
  </si>
  <si>
    <t>01923270894</t>
  </si>
  <si>
    <t>012300</t>
  </si>
  <si>
    <t>BENESITI SOCIETA' AGRICOLA A RESPONSABILITA' LIMITATA SEMPLIFICAT</t>
  </si>
  <si>
    <t>01918250893</t>
  </si>
  <si>
    <t>Siracusa</t>
  </si>
  <si>
    <t>Sicilia</t>
  </si>
  <si>
    <t>011310</t>
  </si>
  <si>
    <t>SOCIETA' COOPERATIVA AGRICOLA LA BEATRICE</t>
  </si>
  <si>
    <t>01871960892</t>
  </si>
  <si>
    <t>012100</t>
  </si>
  <si>
    <t>MARSETTI ALBERTO SOCIETA' AGRICOLA A RESPONSABILITA' LIMITATA IN BREVE MARSETTI ALBERTO SOCIETA' AGRICOLA A R.L. O MARSETTI ALBERTO S.A.R.L.</t>
  </si>
  <si>
    <t>01069420147</t>
  </si>
  <si>
    <t>Sondrio</t>
  </si>
  <si>
    <t>Lombardia</t>
  </si>
  <si>
    <t>012600</t>
  </si>
  <si>
    <t>Siena</t>
  </si>
  <si>
    <t>Toscana</t>
  </si>
  <si>
    <t>012100</t>
  </si>
  <si>
    <t>SOCIETA' AGRICOLA PANTHEA S.R.L.</t>
  </si>
  <si>
    <t>01570020527</t>
  </si>
  <si>
    <t>CUSONA SOCIETA' AGRICOLA S.R.L.</t>
  </si>
  <si>
    <t>01570370526</t>
  </si>
  <si>
    <t>012100</t>
  </si>
  <si>
    <t>Siena</t>
  </si>
  <si>
    <t>Toscana</t>
  </si>
  <si>
    <t>SOCIETA' AGRICOLA MADONNA DELLA QUERCE SOCIETA' A RESPONSABILITA' LIMITATA</t>
  </si>
  <si>
    <t>01555810520</t>
  </si>
  <si>
    <t>012800</t>
  </si>
  <si>
    <t>014300</t>
  </si>
  <si>
    <t>SOCIETA' AGRICOLA DAGO SOCIETA' A RESPONSABILITA' LIMITATA SEMPLIFICATA (IN FORMA ABBREVIATA SOCIETA' AGRICOLA DAGO SRLS )</t>
  </si>
  <si>
    <t>01477180523</t>
  </si>
  <si>
    <t>VILLA DI GEGGIANO S.R.L.</t>
  </si>
  <si>
    <t>01438180521</t>
  </si>
  <si>
    <t>Siena</t>
  </si>
  <si>
    <t>Toscana</t>
  </si>
  <si>
    <t>012800</t>
  </si>
  <si>
    <t>SOCIETA' AGRICOLA PODERE PARADISO S.R.L.</t>
  </si>
  <si>
    <t>01369530520</t>
  </si>
  <si>
    <t>011110</t>
  </si>
  <si>
    <t>011990</t>
  </si>
  <si>
    <t>FATTORIA IL SANTO S.R.L. - SOCIETA' AGRICOLA</t>
  </si>
  <si>
    <t>00577660525</t>
  </si>
  <si>
    <t>ROCCIA DI CERBAIA S.R.L. - SOCIETA' AGRICOLA</t>
  </si>
  <si>
    <t>01061950455</t>
  </si>
  <si>
    <t>Salerno</t>
  </si>
  <si>
    <t>Campania</t>
  </si>
  <si>
    <t>LA ZARRE' S.R.L. SOCIETA' AGRICOLA</t>
  </si>
  <si>
    <t>06209750659</t>
  </si>
  <si>
    <t>011310</t>
  </si>
  <si>
    <t>012600</t>
  </si>
  <si>
    <t>TENUTA LICOSA S.R.L. SOCIETA' AGRICOLA</t>
  </si>
  <si>
    <t>06187540650</t>
  </si>
  <si>
    <t>TERRAZZA CRIA SRL SOCIETA' AGRICOLA</t>
  </si>
  <si>
    <t>06175290656</t>
  </si>
  <si>
    <t>011140</t>
  </si>
  <si>
    <t>Salerno</t>
  </si>
  <si>
    <t>Campania</t>
  </si>
  <si>
    <t>MASSERIA DELLA FONTANA VECCHIA - SOCIETA' AGRICOLA - SOCIETA' A RESPONSABILITA' LIMITATA SEMPLIFICATA IN SIGLA: MASSERIA DELLA FONTANA VECCHIA-SOCIETA' AGRICOLA SRLS</t>
  </si>
  <si>
    <t>06104890659</t>
  </si>
  <si>
    <t>012600</t>
  </si>
  <si>
    <t>SOCIETA' AGRICOLA CASA IORIO S.R.L.</t>
  </si>
  <si>
    <t>06034650652</t>
  </si>
  <si>
    <t>014500</t>
  </si>
  <si>
    <t>Salerno</t>
  </si>
  <si>
    <t>Campania</t>
  </si>
  <si>
    <t>012600</t>
  </si>
  <si>
    <t>011310</t>
  </si>
  <si>
    <t>FENNY SOCIETA' COOPERATIVA AGRICOLA</t>
  </si>
  <si>
    <t>05953050654</t>
  </si>
  <si>
    <t>SOCIETA' AGRICOLA TENUTA PROVENZA S.R.L.</t>
  </si>
  <si>
    <t>05895820651</t>
  </si>
  <si>
    <t>CASEIFICIO MEDITERRANEO S.R.L.</t>
  </si>
  <si>
    <t>05889440656</t>
  </si>
  <si>
    <t>014990</t>
  </si>
  <si>
    <t>ELAIS SOCIETA' COOPERATIVA AGRICOLA</t>
  </si>
  <si>
    <t>05868720656</t>
  </si>
  <si>
    <t>SOCIETA' AGRICOLA PANGEA S.R.L. SEMPLIFICATA</t>
  </si>
  <si>
    <t>05865570658</t>
  </si>
  <si>
    <t>013000</t>
  </si>
  <si>
    <t>Salerno</t>
  </si>
  <si>
    <t>Campania</t>
  </si>
  <si>
    <t>GOLD - SOCIETA' AGRICOLA S.R.L.S.</t>
  </si>
  <si>
    <t>05710160655</t>
  </si>
  <si>
    <t>011140</t>
  </si>
  <si>
    <t>Salerno</t>
  </si>
  <si>
    <t>Campania</t>
  </si>
  <si>
    <t>011320</t>
  </si>
  <si>
    <t>SOCIETA' AGRICOLA CASAGRI S.R.L. SEMPLIFICATA</t>
  </si>
  <si>
    <t>05642270655</t>
  </si>
  <si>
    <t>012800</t>
  </si>
  <si>
    <t>012600</t>
  </si>
  <si>
    <t>SOCIETA' AGRICOLA GARDENIA S.R.L. SEMPLIFICATA</t>
  </si>
  <si>
    <t>05632370655</t>
  </si>
  <si>
    <t>013000</t>
  </si>
  <si>
    <t>OVO ITALIA SOCIETA' AGRICOLA A RESPONSABILITA' LIMITATA</t>
  </si>
  <si>
    <t>05609800650</t>
  </si>
  <si>
    <t>014700</t>
  </si>
  <si>
    <t>SOCIETA' AGRICOLA LANDSCAPE CONTRACT S.R.L.S.</t>
  </si>
  <si>
    <t>05605870657</t>
  </si>
  <si>
    <t>AGRICOLA FEMMINELLA SOCIETA' AGRICOLA A RESPONSABILITA' LIMITATA SEMPLIFICATA</t>
  </si>
  <si>
    <t>05601100653</t>
  </si>
  <si>
    <t>011310</t>
  </si>
  <si>
    <t>Salerno</t>
  </si>
  <si>
    <t>Campania</t>
  </si>
  <si>
    <t>SOCIETA' AGRICOLA MM AGRIFARM S.R.L.S.</t>
  </si>
  <si>
    <t>05550830656</t>
  </si>
  <si>
    <t>012600</t>
  </si>
  <si>
    <t>AURORA SOCIETA' A RESPONSABILITA' LIMITATA SEMPLIFICATA</t>
  </si>
  <si>
    <t>05499310653</t>
  </si>
  <si>
    <t>CARLO MIRRA SOCIETA' COOPERATIVA AGRICOLA</t>
  </si>
  <si>
    <t>05454190652</t>
  </si>
  <si>
    <t>011320</t>
  </si>
  <si>
    <t>011310</t>
  </si>
  <si>
    <t>Salerno</t>
  </si>
  <si>
    <t>Campania</t>
  </si>
  <si>
    <t>AGRITURISMO I 3 FRATELLI SOCIETA' AGRICOLA SRL</t>
  </si>
  <si>
    <t>05177320651</t>
  </si>
  <si>
    <t>Salerno</t>
  </si>
  <si>
    <t>Campania</t>
  </si>
  <si>
    <t>011310</t>
  </si>
  <si>
    <t>AMACHIA S.R.L.</t>
  </si>
  <si>
    <t>05105781214</t>
  </si>
  <si>
    <t>Salerno</t>
  </si>
  <si>
    <t>Campania</t>
  </si>
  <si>
    <t>NEW AGRI SERVICES - SOCIETA' COOPERATIVA A R.L. -</t>
  </si>
  <si>
    <t>03360770659</t>
  </si>
  <si>
    <t>016000</t>
  </si>
  <si>
    <t>Roma</t>
  </si>
  <si>
    <t>Lazio</t>
  </si>
  <si>
    <t>012600</t>
  </si>
  <si>
    <t>ORTO DEI CONSOLI - SOCIETA' AGRICOLA A RESPONSABILITA' LIMITATA</t>
  </si>
  <si>
    <t>17308791007</t>
  </si>
  <si>
    <t>011140</t>
  </si>
  <si>
    <t>SOCIETA' AGRICOLA IRA S.R.L.</t>
  </si>
  <si>
    <t>17262541000</t>
  </si>
  <si>
    <t>Roma</t>
  </si>
  <si>
    <t>Lazio</t>
  </si>
  <si>
    <t>012100</t>
  </si>
  <si>
    <t>SOCIETA' AGRICOLA VANNELLI SRLS</t>
  </si>
  <si>
    <t>17080031002</t>
  </si>
  <si>
    <t>Roma</t>
  </si>
  <si>
    <t>Lazio</t>
  </si>
  <si>
    <t>011310</t>
  </si>
  <si>
    <t>016100</t>
  </si>
  <si>
    <t>012100</t>
  </si>
  <si>
    <t>012500</t>
  </si>
  <si>
    <t>ALMA S.R.L.</t>
  </si>
  <si>
    <t>16980441006</t>
  </si>
  <si>
    <t>FALCONE NATURAL WINES SOCIETA' AGRICOLA A R.L.S.</t>
  </si>
  <si>
    <t>16965281005</t>
  </si>
  <si>
    <t>SOCIETA' AGRICOLA PASSOLONGO SRL</t>
  </si>
  <si>
    <t>16939991002</t>
  </si>
  <si>
    <t>BIO ORTO - SOCIETA' COOPERATIVA AGRICOLA</t>
  </si>
  <si>
    <t>16822871006</t>
  </si>
  <si>
    <t>015000</t>
  </si>
  <si>
    <t>Roma</t>
  </si>
  <si>
    <t>Lazio</t>
  </si>
  <si>
    <t>012500</t>
  </si>
  <si>
    <t>TERRE ITALIANE SOCIETA' COOPERATIVA SOCIALE</t>
  </si>
  <si>
    <t>16768551000</t>
  </si>
  <si>
    <t>011110</t>
  </si>
  <si>
    <t>ITALNUT SRL - SOCIETA' AGRICOLA</t>
  </si>
  <si>
    <t>05965770653</t>
  </si>
  <si>
    <t>BELLA VITA SOCIETA' AGRICOLA A RESPONSABILITA' LIMITATA SEMPLIFICATA</t>
  </si>
  <si>
    <t>16436391003</t>
  </si>
  <si>
    <t>Roma</t>
  </si>
  <si>
    <t>Lazio</t>
  </si>
  <si>
    <t>011310</t>
  </si>
  <si>
    <t>TENUTA VILLA ULPIA S.R.L.S.</t>
  </si>
  <si>
    <t>16118951009</t>
  </si>
  <si>
    <t>012100</t>
  </si>
  <si>
    <t>CANTINE CONTE ZANDOTTI S.R.L. AGRICOLA</t>
  </si>
  <si>
    <t>16010331003</t>
  </si>
  <si>
    <t>Roma</t>
  </si>
  <si>
    <t>Lazio</t>
  </si>
  <si>
    <t>015000</t>
  </si>
  <si>
    <t>DRC AGRICOLA S.R.L.S.</t>
  </si>
  <si>
    <t>15864611007</t>
  </si>
  <si>
    <t>012100</t>
  </si>
  <si>
    <t>SILVA FECONDA - S.R.L. SEMPLIFICATA AGRICOLA</t>
  </si>
  <si>
    <t>15457021002</t>
  </si>
  <si>
    <t>Roma</t>
  </si>
  <si>
    <t>Lazio</t>
  </si>
  <si>
    <t>011310</t>
  </si>
  <si>
    <t>UNITED SOCIETA' COOPERATIVA</t>
  </si>
  <si>
    <t>15365111002</t>
  </si>
  <si>
    <t>015000</t>
  </si>
  <si>
    <t>RSM SOCIETA' A RESPONSABILITA' LIMITATA SEMPLIFICATA</t>
  </si>
  <si>
    <t>15176321006</t>
  </si>
  <si>
    <t>AZIENDA AGRICOLA VALLE CONTESSA S.R.L. SEMPLIFICATA</t>
  </si>
  <si>
    <t>15138191000</t>
  </si>
  <si>
    <t>WORLDWIDE VINEYARDS SOCIETE PAR ACTIONS SIMPLIFIEE</t>
  </si>
  <si>
    <t>15032181008</t>
  </si>
  <si>
    <t>016100</t>
  </si>
  <si>
    <t>MC GARDENS S.R.L.</t>
  </si>
  <si>
    <t>07838180961</t>
  </si>
  <si>
    <t>011920</t>
  </si>
  <si>
    <t>Roma</t>
  </si>
  <si>
    <t>Lazio</t>
  </si>
  <si>
    <t>012100</t>
  </si>
  <si>
    <t>THERMAE ONE NATURE S.R.L. SOCIETA' AGRICOLA</t>
  </si>
  <si>
    <t>14724161006</t>
  </si>
  <si>
    <t>012500</t>
  </si>
  <si>
    <t>ROCCA COMMODITY SOCIETA' AGRICOLA A RESPONSABILITA' LIMITATA</t>
  </si>
  <si>
    <t>14594451008</t>
  </si>
  <si>
    <t>LA COLLINA DI GUALDO SOCIETA' AGRICOLA S.R.L.</t>
  </si>
  <si>
    <t>01433650551</t>
  </si>
  <si>
    <t>011140</t>
  </si>
  <si>
    <t>015000</t>
  </si>
  <si>
    <t>Roma</t>
  </si>
  <si>
    <t>Lazio</t>
  </si>
  <si>
    <t>ORTI ROMANI</t>
  </si>
  <si>
    <t>14337471008</t>
  </si>
  <si>
    <t>016300</t>
  </si>
  <si>
    <t>AGRICOLA PONTINA SOCIETA' COOPERATIVA AGRICOLA</t>
  </si>
  <si>
    <t>14315361007</t>
  </si>
  <si>
    <t>011310</t>
  </si>
  <si>
    <t>SAN MICHELE ARCANGELO AL VIVARO SOCIETA' AGRICOLA A R. L.</t>
  </si>
  <si>
    <t>14102321008</t>
  </si>
  <si>
    <t>PIETRO MARIUCCI SOCIETA' AGRICOLA S.R.L.S.</t>
  </si>
  <si>
    <t>13969341000</t>
  </si>
  <si>
    <t>014300</t>
  </si>
  <si>
    <t>Roma</t>
  </si>
  <si>
    <t>Lazio</t>
  </si>
  <si>
    <t>012500</t>
  </si>
  <si>
    <t>011140</t>
  </si>
  <si>
    <t>AGRICOLA 2015 SOCIETA' AGRICOLA A RESPONSABILITA' LIMITATA</t>
  </si>
  <si>
    <t>13623321000</t>
  </si>
  <si>
    <t>AZIENDA AGRICOLA TERRA SOLE MARE S.R.L.S.</t>
  </si>
  <si>
    <t>13528651006</t>
  </si>
  <si>
    <t>Roma</t>
  </si>
  <si>
    <t>Lazio</t>
  </si>
  <si>
    <t>011110</t>
  </si>
  <si>
    <t>SMS INNOVATION SOCIETA' A RESPONSABILITA' LIMITATA SEMPLIFICATA</t>
  </si>
  <si>
    <t>13186231000</t>
  </si>
  <si>
    <t>011320</t>
  </si>
  <si>
    <t>VULCINO SOCIETA' AGRICOLA A RESPONSABILITA' LIMITATA</t>
  </si>
  <si>
    <t>13130941001</t>
  </si>
  <si>
    <t>012600</t>
  </si>
  <si>
    <t>AGRICOLTURA ITALIANA SOCIETA' COOPERATIVA AGRICOLA</t>
  </si>
  <si>
    <t>12972071000</t>
  </si>
  <si>
    <t>Roma</t>
  </si>
  <si>
    <t>Lazio</t>
  </si>
  <si>
    <t>SOCIETA' AGRICOLA AGRO DELLA MAGLIANA - S.R.L.</t>
  </si>
  <si>
    <t>12148071009</t>
  </si>
  <si>
    <t>011000</t>
  </si>
  <si>
    <t>011310</t>
  </si>
  <si>
    <t>Roma</t>
  </si>
  <si>
    <t>Lazio</t>
  </si>
  <si>
    <t>AZIENDA PAOLONI SOCIETA' COOPERATIVA</t>
  </si>
  <si>
    <t>11876321008</t>
  </si>
  <si>
    <t>012100</t>
  </si>
  <si>
    <t>012600</t>
  </si>
  <si>
    <t>AZIENDA AGRICOLA CLAUDIO MEDICI - SOCIETA' AGRICOLA A RESPONSABIL</t>
  </si>
  <si>
    <t>11058971000</t>
  </si>
  <si>
    <t>AZIENDA AGRICOLA SAN FLACCO S.R.L. - SOCIETA' AGRICOLA</t>
  </si>
  <si>
    <t>03018720544</t>
  </si>
  <si>
    <t>015000</t>
  </si>
  <si>
    <t>Roma</t>
  </si>
  <si>
    <t>Lazio</t>
  </si>
  <si>
    <t>LE TRE LUMACHE S.R.L.</t>
  </si>
  <si>
    <t>10581241006</t>
  </si>
  <si>
    <t>CANAPIRPINA SRL</t>
  </si>
  <si>
    <t>02934160645</t>
  </si>
  <si>
    <t>011120</t>
  </si>
  <si>
    <t>Avellino</t>
  </si>
  <si>
    <t>Campania</t>
  </si>
  <si>
    <t>CONTE JAGO S.R.L.</t>
  </si>
  <si>
    <t>09738811000</t>
  </si>
  <si>
    <t>Roma</t>
  </si>
  <si>
    <t>Lazio</t>
  </si>
  <si>
    <t>015000</t>
  </si>
  <si>
    <t>ROSELLINA SOCIETA' AGRICOLA A RESPONSABILITA' LIMITATA</t>
  </si>
  <si>
    <t>09201801009</t>
  </si>
  <si>
    <t>SOCIETA' AGRICOLA IL PAGLIACETTO SOCIETA' A RESPONSABILITA' LIMIT ATA</t>
  </si>
  <si>
    <t>08704721003</t>
  </si>
  <si>
    <t>SERVICES MANAGEMENT - S.R.L.</t>
  </si>
  <si>
    <t>07240701008</t>
  </si>
  <si>
    <t>011300</t>
  </si>
  <si>
    <t>Roma</t>
  </si>
  <si>
    <t>Lazio</t>
  </si>
  <si>
    <t>GARDEN L'OASI S.R.L.</t>
  </si>
  <si>
    <t>06926921005</t>
  </si>
  <si>
    <t>Ragusa</t>
  </si>
  <si>
    <t>Sicilia</t>
  </si>
  <si>
    <t>015000</t>
  </si>
  <si>
    <t>016100</t>
  </si>
  <si>
    <t>PIANO CONTI SOCIETA' COOPERATIVA AGRICOLA</t>
  </si>
  <si>
    <t>01797210885</t>
  </si>
  <si>
    <t>L'ANTICO CASALE IBLEO - SOCIETA' AGRICOLA S.R.L.</t>
  </si>
  <si>
    <t>01792850883</t>
  </si>
  <si>
    <t>Ragusa</t>
  </si>
  <si>
    <t>Sicilia</t>
  </si>
  <si>
    <t>011320</t>
  </si>
  <si>
    <t>LUMACA DI VITTORIA SOCIETA' A RESPONSABILITA' LIMITATA SEMPLIFICA TA</t>
  </si>
  <si>
    <t>01691040883</t>
  </si>
  <si>
    <t>014990</t>
  </si>
  <si>
    <t>SOCIETA' AGRICOLA ORTOPLUS SRLS</t>
  </si>
  <si>
    <t>01688370889</t>
  </si>
  <si>
    <t>Ragusa</t>
  </si>
  <si>
    <t>Sicilia</t>
  </si>
  <si>
    <t>011320</t>
  </si>
  <si>
    <t>RUCI SOCIETA' COOPERATIVA AGRICOLA</t>
  </si>
  <si>
    <t>01650680885</t>
  </si>
  <si>
    <t>SOCIETA' AGRICOLA TIMPEROSSE S.R.L.S.</t>
  </si>
  <si>
    <t>01607650882</t>
  </si>
  <si>
    <t>011320</t>
  </si>
  <si>
    <t>Ragusa</t>
  </si>
  <si>
    <t>Sicilia</t>
  </si>
  <si>
    <t>Ragusa</t>
  </si>
  <si>
    <t>Sicilia</t>
  </si>
  <si>
    <t>SOCIETA' AGRICOLA LE QUATTRO STAGIONI S.R.L.</t>
  </si>
  <si>
    <t>01462500883</t>
  </si>
  <si>
    <t>011320</t>
  </si>
  <si>
    <t>SOCIETA' AGRICOLA SOGNO S.R.L.</t>
  </si>
  <si>
    <t>01462520881</t>
  </si>
  <si>
    <t>SOCIETA' AGRICOLA LA SAPORITA S.R.L.</t>
  </si>
  <si>
    <t>01462490887</t>
  </si>
  <si>
    <t>Reggio nell'Emilia</t>
  </si>
  <si>
    <t>Emilia-Romagna</t>
  </si>
  <si>
    <t>011310</t>
  </si>
  <si>
    <t>RACYLINE S.R.L.</t>
  </si>
  <si>
    <t>03008740353</t>
  </si>
  <si>
    <t>014990</t>
  </si>
  <si>
    <t>GAIA PIANETA VERDE SRL</t>
  </si>
  <si>
    <t>02752550356</t>
  </si>
  <si>
    <t>Reggio di Calabria</t>
  </si>
  <si>
    <t>Calabria</t>
  </si>
  <si>
    <t>USG - SOCIETA' A RESPONSABILITA' LIMITATA SEMPLIFICATA</t>
  </si>
  <si>
    <t>03160000802</t>
  </si>
  <si>
    <t>013000</t>
  </si>
  <si>
    <t>Reggio di Calabria</t>
  </si>
  <si>
    <t>Calabria</t>
  </si>
  <si>
    <t>VALLE SAN GIORGIO S.R.L.S. SOCIETA' AGRICOLA</t>
  </si>
  <si>
    <t>03014420800</t>
  </si>
  <si>
    <t>011310</t>
  </si>
  <si>
    <t>ESSENZA BERGAMOTTO SOCIETA' AGRICOLA S.R.L.</t>
  </si>
  <si>
    <t>02979360803</t>
  </si>
  <si>
    <t>012300</t>
  </si>
  <si>
    <t>SOCIETA' COOPERATIVA SOCIALE A R.L. RICONCILIAZIONE - NELSON MANDELA</t>
  </si>
  <si>
    <t>02978000806</t>
  </si>
  <si>
    <t>012000</t>
  </si>
  <si>
    <t>Reggio di Calabria</t>
  </si>
  <si>
    <t>Calabria</t>
  </si>
  <si>
    <t>016300</t>
  </si>
  <si>
    <t>CERASARE - SOCIETA' COOPERATIVA AGRICOLA</t>
  </si>
  <si>
    <t>02789500804</t>
  </si>
  <si>
    <t>Reggio di Calabria</t>
  </si>
  <si>
    <t>Calabria</t>
  </si>
  <si>
    <t>012300</t>
  </si>
  <si>
    <t>CONSORZIO AGROALIMENTARE - ZOOTECNICO - FLOROVIVAISTICO - OFFICINALE LOCRIDEO</t>
  </si>
  <si>
    <t>02291200802</t>
  </si>
  <si>
    <t>ORIZON MARITIMAS ITALIA SOCIETA' AGRICOLA A RESPONSABILITA' LIMITATA</t>
  </si>
  <si>
    <t>01595570803</t>
  </si>
  <si>
    <t>010000</t>
  </si>
  <si>
    <t>016000</t>
  </si>
  <si>
    <t>Reggio di Calabria</t>
  </si>
  <si>
    <t>Calabria</t>
  </si>
  <si>
    <t>AGRO-CON.SUD (CONSORZIO IMPRESE AGRICOLE E AGRO ALIMENTARI) SOCIETA' COOPERATIVA</t>
  </si>
  <si>
    <t>01063620809</t>
  </si>
  <si>
    <t>Ravenna</t>
  </si>
  <si>
    <t>Emilia-Romagna</t>
  </si>
  <si>
    <t>TERRA ETERE SOCIETA' AGRICOLA SRL</t>
  </si>
  <si>
    <t>02727960391</t>
  </si>
  <si>
    <t>011140</t>
  </si>
  <si>
    <t>011110</t>
  </si>
  <si>
    <t>Potenza</t>
  </si>
  <si>
    <t>Basilicata</t>
  </si>
  <si>
    <t>MASSERIA SAN LUCA S.R.L.</t>
  </si>
  <si>
    <t>02159650767</t>
  </si>
  <si>
    <t>Potenza</t>
  </si>
  <si>
    <t>Basilicata</t>
  </si>
  <si>
    <t>011310</t>
  </si>
  <si>
    <t>SOCIETA' AGRICOLA TENUTA DIPAL SRL</t>
  </si>
  <si>
    <t>02028090765</t>
  </si>
  <si>
    <t>Potenza</t>
  </si>
  <si>
    <t>Basilicata</t>
  </si>
  <si>
    <t>015000</t>
  </si>
  <si>
    <t>011310</t>
  </si>
  <si>
    <t>IL PALMENTO SOCIETA' AGRICOLA A R.L.</t>
  </si>
  <si>
    <t>01902460763</t>
  </si>
  <si>
    <t>NATURALIS - SOCIETA' AGRICOLA A RESPONSABILITA' LIMITATA SEMPLIFI CATA</t>
  </si>
  <si>
    <t>01862200761</t>
  </si>
  <si>
    <t>015000</t>
  </si>
  <si>
    <t>Pavia</t>
  </si>
  <si>
    <t>Lombardia</t>
  </si>
  <si>
    <t>SOCIETA' AGRICOLA AGRI-DREAM SRLS</t>
  </si>
  <si>
    <t>02796140180</t>
  </si>
  <si>
    <t>Pavia</t>
  </si>
  <si>
    <t>Lombardia</t>
  </si>
  <si>
    <t>ALLEVAMENTO DEL SEPRIO SOCIETA' AGRICOLA A R.L.</t>
  </si>
  <si>
    <t>02683410183</t>
  </si>
  <si>
    <t>014990</t>
  </si>
  <si>
    <t>015000</t>
  </si>
  <si>
    <t>TERRA SOLIS SOCIETA' AGRICOLA SRL</t>
  </si>
  <si>
    <t>02075240479</t>
  </si>
  <si>
    <t>Pistoia</t>
  </si>
  <si>
    <t>Toscana</t>
  </si>
  <si>
    <t>Pistoia</t>
  </si>
  <si>
    <t>Toscana</t>
  </si>
  <si>
    <t>FACCENDI AGRICOLA S.R.L. CON SOCIO UNICO</t>
  </si>
  <si>
    <t>01951060472</t>
  </si>
  <si>
    <t>011310</t>
  </si>
  <si>
    <t>011140</t>
  </si>
  <si>
    <t>Pesaro Urbino</t>
  </si>
  <si>
    <t>Marche</t>
  </si>
  <si>
    <t>FOX RENEWABLES SRL - SOCIETA' AGRICOLA</t>
  </si>
  <si>
    <t>02796860415</t>
  </si>
  <si>
    <t>015000</t>
  </si>
  <si>
    <t>Pesaro Urbino</t>
  </si>
  <si>
    <t>Marche</t>
  </si>
  <si>
    <t>SCUDERIA S. STEFANO SRL - SOCIETA' AGRICOLA</t>
  </si>
  <si>
    <t>02394030411</t>
  </si>
  <si>
    <t>014300</t>
  </si>
  <si>
    <t>014990</t>
  </si>
  <si>
    <t>Parma</t>
  </si>
  <si>
    <t>Emilia-Romagna</t>
  </si>
  <si>
    <t>SOCIETA' AGRICOLA MONTAURO S.R.L.</t>
  </si>
  <si>
    <t>03063040343</t>
  </si>
  <si>
    <t>INSECT FOR FUTURE SOCIETA' A RESPONSABILITA' LIMITATA - SOCIETA' BENEFIT</t>
  </si>
  <si>
    <t>03048630341</t>
  </si>
  <si>
    <t>Parma</t>
  </si>
  <si>
    <t>Emilia-Romagna</t>
  </si>
  <si>
    <t>GTI LABS S.R.L.</t>
  </si>
  <si>
    <t>02880050345</t>
  </si>
  <si>
    <t>012800</t>
  </si>
  <si>
    <t>PODERE PRADAROLO SRL</t>
  </si>
  <si>
    <t>02577650340</t>
  </si>
  <si>
    <t>012100</t>
  </si>
  <si>
    <t>Prato</t>
  </si>
  <si>
    <t>Toscana</t>
  </si>
  <si>
    <t>IL MANDORLO FIORITO SOCIETA' AGRICOLA A RESPONSABILITA' LIMITATA SEMPLIFICATA</t>
  </si>
  <si>
    <t>02293920977</t>
  </si>
  <si>
    <t>011310</t>
  </si>
  <si>
    <t>SOCIETA' AGRICOLA FORTEDIGA S.R.L.</t>
  </si>
  <si>
    <t>01244730535</t>
  </si>
  <si>
    <t>Pordenone</t>
  </si>
  <si>
    <t>Friuli-Venezia Giulia</t>
  </si>
  <si>
    <t>VIVAI SCHITO SOCIETA' COOPERATIVA AGRICOLA</t>
  </si>
  <si>
    <t>05218110756</t>
  </si>
  <si>
    <t>013000</t>
  </si>
  <si>
    <t>011310</t>
  </si>
  <si>
    <t>Pisa</t>
  </si>
  <si>
    <t>Toscana</t>
  </si>
  <si>
    <t>SOCIETA' AGRICOLA PODERE DEL PARI SRL</t>
  </si>
  <si>
    <t>02488430501</t>
  </si>
  <si>
    <t>012600</t>
  </si>
  <si>
    <t>SUNWAVE SRL</t>
  </si>
  <si>
    <t>01705030888</t>
  </si>
  <si>
    <t>Pisa</t>
  </si>
  <si>
    <t>Toscana</t>
  </si>
  <si>
    <t>TENUTA SORBAIANO SOCIETA' AGRICOLA SRL</t>
  </si>
  <si>
    <t>02461220507</t>
  </si>
  <si>
    <t>012800</t>
  </si>
  <si>
    <t>012600</t>
  </si>
  <si>
    <t>SOCIETA' AGRICOLA TUSCAN LANDS S.R.L.</t>
  </si>
  <si>
    <t>02335700502</t>
  </si>
  <si>
    <t>CANAPAFIBRA S.R.L. SOCIETA' AGRICOLA</t>
  </si>
  <si>
    <t>02328910506</t>
  </si>
  <si>
    <t>011600</t>
  </si>
  <si>
    <t>CENTRO LOMBRICOLTURA TOSCANO SOCIETA' AGRICOLA A RESPONSABILITA' LIMITATA</t>
  </si>
  <si>
    <t>02109680500</t>
  </si>
  <si>
    <t>014990</t>
  </si>
  <si>
    <t>Pisa</t>
  </si>
  <si>
    <t>Toscana</t>
  </si>
  <si>
    <t>TENIMENTI TOSCANI S.R.L. AGRICOLA</t>
  </si>
  <si>
    <t>01909480509</t>
  </si>
  <si>
    <t>012100</t>
  </si>
  <si>
    <t>012600</t>
  </si>
  <si>
    <t>Perugia</t>
  </si>
  <si>
    <t>Umbria</t>
  </si>
  <si>
    <t>AGRICOLA FAVORITA S.R.L. SOCIETA' AGRICOLA</t>
  </si>
  <si>
    <t>03870040544</t>
  </si>
  <si>
    <t>011310</t>
  </si>
  <si>
    <t>011110</t>
  </si>
  <si>
    <t>D.R. SOCIETA' AGRICOLA A RESPONSABILITA' LIMITATA</t>
  </si>
  <si>
    <t>03866190543</t>
  </si>
  <si>
    <t>GRAN BURRONE S.R.L. SOCIETA' AGRICOLA</t>
  </si>
  <si>
    <t>03859930541</t>
  </si>
  <si>
    <t>012400</t>
  </si>
  <si>
    <t>FELICE ASSISI SOCIETA' AGRICOLA S.R.L.</t>
  </si>
  <si>
    <t>03762260549</t>
  </si>
  <si>
    <t>Perugia</t>
  </si>
  <si>
    <t>Umbria</t>
  </si>
  <si>
    <t>PODERE CASTAGNI - SOCIETA' AGRICOLA A RESPONSABILITA' LIMITATA</t>
  </si>
  <si>
    <t>03665650549</t>
  </si>
  <si>
    <t>012100</t>
  </si>
  <si>
    <t>012900</t>
  </si>
  <si>
    <t>AGAIA SOCIETA' A RESPONSABILITA' LIMITATA SEMPLIFICATA</t>
  </si>
  <si>
    <t>03630260549</t>
  </si>
  <si>
    <t>016100</t>
  </si>
  <si>
    <t>RETE - INNO.V.O.</t>
  </si>
  <si>
    <t>03617810548</t>
  </si>
  <si>
    <t>LUPPOLO MADE IN ITALY RETE DI IMPRESE</t>
  </si>
  <si>
    <t>03616840546</t>
  </si>
  <si>
    <t>011110</t>
  </si>
  <si>
    <t>NEW FARMING S.R.L. SOCIETA' AGRICOLA</t>
  </si>
  <si>
    <t>03599020546</t>
  </si>
  <si>
    <t>Perugia</t>
  </si>
  <si>
    <t>Umbria</t>
  </si>
  <si>
    <t>011140</t>
  </si>
  <si>
    <t>SOCIETA' AGRICOLA MADONNA DELLE GRAZIE S.R.L.</t>
  </si>
  <si>
    <t>03462720545</t>
  </si>
  <si>
    <t>012600</t>
  </si>
  <si>
    <t>CONSORZIO AGRAIA</t>
  </si>
  <si>
    <t>03370400545</t>
  </si>
  <si>
    <t>016100</t>
  </si>
  <si>
    <t>POGGIO DEL SOLE SOCIETA' AGRICOLA A R.L.</t>
  </si>
  <si>
    <t>03169460544</t>
  </si>
  <si>
    <t>Perugia</t>
  </si>
  <si>
    <t>Umbria</t>
  </si>
  <si>
    <t>COOPERATIVA PRODOTTI TIPICI DELLA MONTAGNA - COLFIORITO SOCIETA' COOPERATIVA AGRICOLA IN BREVE COLFIORITO COOP.</t>
  </si>
  <si>
    <t>02305720548</t>
  </si>
  <si>
    <t>016000</t>
  </si>
  <si>
    <t>012600</t>
  </si>
  <si>
    <t>Pescara</t>
  </si>
  <si>
    <t>Abruzzo</t>
  </si>
  <si>
    <t>IL GIRASOLE SOCIETA' A RESPONSABILITA' LIMITATA SEMPLIFICATA</t>
  </si>
  <si>
    <t>02195050683</t>
  </si>
  <si>
    <t>Padova</t>
  </si>
  <si>
    <t>Veneto</t>
  </si>
  <si>
    <t>CORTE DEL GALLO S.R.L. - SOCIETA' AGRICOLA INNOVATIVA</t>
  </si>
  <si>
    <t>05497580281</t>
  </si>
  <si>
    <t>016409</t>
  </si>
  <si>
    <t>016100</t>
  </si>
  <si>
    <t>Padova</t>
  </si>
  <si>
    <t>Veneto</t>
  </si>
  <si>
    <t>ECO BIO FUTURE S.R.L. SOCIETA' AGRICOLA</t>
  </si>
  <si>
    <t>05376280284</t>
  </si>
  <si>
    <t>011600</t>
  </si>
  <si>
    <t>014300</t>
  </si>
  <si>
    <t>SOCIETA' AGRICOLA CA' DEMIA SOCIETA' A RESPONSABILITA' LIMITATA SEMPLIFICATA</t>
  </si>
  <si>
    <t>05234460284</t>
  </si>
  <si>
    <t>SOCIETA' AGRICOLA I.N.E.F. S.R.L.</t>
  </si>
  <si>
    <t>05162860281</t>
  </si>
  <si>
    <t>014990</t>
  </si>
  <si>
    <t>TRIVENETA COOP SOCIETA' A RESPONSABILITA' LIMITATA SEMPLIFICATA</t>
  </si>
  <si>
    <t>05158910280</t>
  </si>
  <si>
    <t>016100</t>
  </si>
  <si>
    <t>Padova</t>
  </si>
  <si>
    <t>Veneto</t>
  </si>
  <si>
    <t>LA PERLA SOCIETA' A RESPONSABILITA' LIMITATA SEMPLIFICATA</t>
  </si>
  <si>
    <t>05111210281</t>
  </si>
  <si>
    <t>016209</t>
  </si>
  <si>
    <t>CORTE ANNIA SRLS</t>
  </si>
  <si>
    <t>04788610287</t>
  </si>
  <si>
    <t>015000</t>
  </si>
  <si>
    <t>ENERRABBIT - SOCIETA' COOPERATIVA AGRICOLA</t>
  </si>
  <si>
    <t>04607050285</t>
  </si>
  <si>
    <t>011110</t>
  </si>
  <si>
    <t>016100</t>
  </si>
  <si>
    <t>Piacenza</t>
  </si>
  <si>
    <t>Emilia-Romagna</t>
  </si>
  <si>
    <t>ORTENSIA S.R.L. SOCIETA' AGRICOLA</t>
  </si>
  <si>
    <t>01868010339</t>
  </si>
  <si>
    <t>TOMATO GROWERS SOCIETA' COOPERATIVA AGRICOLA</t>
  </si>
  <si>
    <t>01859300335</t>
  </si>
  <si>
    <t>012600</t>
  </si>
  <si>
    <t>Palermo</t>
  </si>
  <si>
    <t>Sicilia</t>
  </si>
  <si>
    <t>SOCIETA' AGRICOLA PONTE CALATRASI AGRITURISMO S.R.L. IN FORMA ABBREVIATA PONTE CALATRASI SOC. AGRICOLA SRL</t>
  </si>
  <si>
    <t>07090330825</t>
  </si>
  <si>
    <t>PARCO VECCHIO SOCIETA' COOPERATIVA</t>
  </si>
  <si>
    <t>07059060827</t>
  </si>
  <si>
    <t>011310</t>
  </si>
  <si>
    <t>Palermo</t>
  </si>
  <si>
    <t>Sicilia</t>
  </si>
  <si>
    <t>015000</t>
  </si>
  <si>
    <t>SOCIETA' AGRICOLA RED GARDEN SOCIETA' A RESPONSABILITA' LIMITATA SEMPLIFICATA</t>
  </si>
  <si>
    <t>06937380829</t>
  </si>
  <si>
    <t>011910</t>
  </si>
  <si>
    <t>MARINADIVINI VP SOCIETA' A RESPONSABILITA' LIMITATA SEMPLIFICATA</t>
  </si>
  <si>
    <t>06764460827</t>
  </si>
  <si>
    <t>012100</t>
  </si>
  <si>
    <t>SOCIETA' AGRICOLA MASCARELLA SOCIETA' A RESPONSABILITA' LIMITATA IN FORMA ABBREVIATA SOCIETA' AGRICOLA MASCARELLA S.R.L.</t>
  </si>
  <si>
    <t>06761650826</t>
  </si>
  <si>
    <t>Palermo</t>
  </si>
  <si>
    <t>Sicilia</t>
  </si>
  <si>
    <t>012100</t>
  </si>
  <si>
    <t>AZIENDA AGRICOLA GREGORIO DE GREGORIO S.R.L. OVVERO AZ.AGR. GREGORIO DE GREGORIO S.R.L.</t>
  </si>
  <si>
    <t>06213420828</t>
  </si>
  <si>
    <t>015000</t>
  </si>
  <si>
    <t>IMPORT - EXPORT, EUROGANADEROS SOCIEDAD LITADA</t>
  </si>
  <si>
    <t>05894570828</t>
  </si>
  <si>
    <t>Palermo</t>
  </si>
  <si>
    <t>Sicilia</t>
  </si>
  <si>
    <t>011300</t>
  </si>
  <si>
    <t>COOPERATIVA INTERPROVINCIALE AGRUMARIA MEDITERRANEA SOC. COOP. A R.L.</t>
  </si>
  <si>
    <t>02908040823</t>
  </si>
  <si>
    <t>Oristano</t>
  </si>
  <si>
    <t>Sardegna</t>
  </si>
  <si>
    <t>ZERO 5 SOCIETA' AGRICOLA A RESPONSABILITA' LIMITATA</t>
  </si>
  <si>
    <t>01252100951</t>
  </si>
  <si>
    <t>011910</t>
  </si>
  <si>
    <t>G.M.D. GREENPARADISE SOCIETA' A RESPONSABILITA' LIMITATA SEMPLIFICATA</t>
  </si>
  <si>
    <t>01231370956</t>
  </si>
  <si>
    <t>011600</t>
  </si>
  <si>
    <t>012100</t>
  </si>
  <si>
    <t>Nuoro</t>
  </si>
  <si>
    <t>Sardegna</t>
  </si>
  <si>
    <t>SOS ARADORES SOCIETA' COOPERATIVA AGRICOLA</t>
  </si>
  <si>
    <t>01606080917</t>
  </si>
  <si>
    <t>012800</t>
  </si>
  <si>
    <t>015000</t>
  </si>
  <si>
    <t>TENUTE SARDE S.R.L. SOCIETA' AGRICOLA</t>
  </si>
  <si>
    <t>01542020910</t>
  </si>
  <si>
    <t>SOCIETA' COOPERATIVA AGRICOLA MONTE 'E SUSU</t>
  </si>
  <si>
    <t>01510800913</t>
  </si>
  <si>
    <t>011310</t>
  </si>
  <si>
    <t>Napoli</t>
  </si>
  <si>
    <t>Campania</t>
  </si>
  <si>
    <t>CASCANDER SOCIETA' A RESPONSABILITA' LIMITATA</t>
  </si>
  <si>
    <t>10255721218</t>
  </si>
  <si>
    <t>Napoli</t>
  </si>
  <si>
    <t>Campania</t>
  </si>
  <si>
    <t>GALANO SORRENTO AZIENDA AGRICOLA S.R.L.</t>
  </si>
  <si>
    <t>10195211213</t>
  </si>
  <si>
    <t>012300</t>
  </si>
  <si>
    <t>Napoli</t>
  </si>
  <si>
    <t>Campania</t>
  </si>
  <si>
    <t>SOCIETA' AGRICOLA TERRE ROMANO SRL</t>
  </si>
  <si>
    <t>09857071212</t>
  </si>
  <si>
    <t>011110</t>
  </si>
  <si>
    <t>011310</t>
  </si>
  <si>
    <t>Napoli</t>
  </si>
  <si>
    <t>Campania</t>
  </si>
  <si>
    <t>SOCIETA' AGRICOLA AL POZZO - SOCIETA' A RESPONSABILITA' LIMITATA SEMPLIFICATA</t>
  </si>
  <si>
    <t>08988641216</t>
  </si>
  <si>
    <t>012500</t>
  </si>
  <si>
    <t>SOCIETA' AGRICOLA LUXURY FARM S.R.L.</t>
  </si>
  <si>
    <t>08590391218</t>
  </si>
  <si>
    <t>Napoli</t>
  </si>
  <si>
    <t>Campania</t>
  </si>
  <si>
    <t>TERRA, CULTURA E TRADIZIONI S.R.L. SOCIETA' AGRICOLA</t>
  </si>
  <si>
    <t>06416111216</t>
  </si>
  <si>
    <t>016300</t>
  </si>
  <si>
    <t>Napoli</t>
  </si>
  <si>
    <t>Campania</t>
  </si>
  <si>
    <t>012000</t>
  </si>
  <si>
    <t>AGRITURISTICA MILANESE S.R.L.</t>
  </si>
  <si>
    <t>07088420638</t>
  </si>
  <si>
    <t>Matera</t>
  </si>
  <si>
    <t>Basilicata</t>
  </si>
  <si>
    <t>SOCIETA' AGRICOLA AGRIELAIA S.R.L.</t>
  </si>
  <si>
    <t>01333880779</t>
  </si>
  <si>
    <t>012600</t>
  </si>
  <si>
    <t>Matera</t>
  </si>
  <si>
    <t>Basilicata</t>
  </si>
  <si>
    <t>A.B.T. SOCIETA' A RESPONSABILITA' LIMITATA SEMPLIFICATA</t>
  </si>
  <si>
    <t>01323350775</t>
  </si>
  <si>
    <t>014990</t>
  </si>
  <si>
    <t>Matera</t>
  </si>
  <si>
    <t>Basilicata</t>
  </si>
  <si>
    <t>015000</t>
  </si>
  <si>
    <t>AGRILAT SOCIETA' COOPERATIVA AGRICOLA</t>
  </si>
  <si>
    <t>01178390777</t>
  </si>
  <si>
    <t>014100</t>
  </si>
  <si>
    <t>I LUCANI SOCIETA' AGRICOLA A RESPONSABILITA' LIMITATA IN SIGLA I LUCANI S.A.R.L.</t>
  </si>
  <si>
    <t>01167160777</t>
  </si>
  <si>
    <t>011000</t>
  </si>
  <si>
    <t>Matera</t>
  </si>
  <si>
    <t>Basilicata</t>
  </si>
  <si>
    <t>TRISAIA S.R.L.</t>
  </si>
  <si>
    <t>00425460771</t>
  </si>
  <si>
    <t>Massa-Carrara</t>
  </si>
  <si>
    <t>Toscana</t>
  </si>
  <si>
    <t>M.F. WEED SOCIETA' AGRICOLA - SOCIETA' A RESPONSABILITA' LIMITATA SEMPLIFICATA</t>
  </si>
  <si>
    <t>01415890456</t>
  </si>
  <si>
    <t>011600</t>
  </si>
  <si>
    <t>Modena</t>
  </si>
  <si>
    <t>Emilia-Romagna</t>
  </si>
  <si>
    <t>014100</t>
  </si>
  <si>
    <t>SOCIETA' AGRICOLA MELLA S.R.L.</t>
  </si>
  <si>
    <t>03532610361</t>
  </si>
  <si>
    <t>Mantova</t>
  </si>
  <si>
    <t>Lombardia</t>
  </si>
  <si>
    <t>SOCIETA' COOPERATIVA AGRICOLA APISTICA GOCCIA D'ORO</t>
  </si>
  <si>
    <t>02247340207</t>
  </si>
  <si>
    <t>014930</t>
  </si>
  <si>
    <t>Milano</t>
  </si>
  <si>
    <t>SOCIETA' AGRICOLA BEETALY A R.L.</t>
  </si>
  <si>
    <t>02507840060</t>
  </si>
  <si>
    <t>AGRI LUXORY SOCIETA' AGRICOLA S.R.L.</t>
  </si>
  <si>
    <t>05567380877</t>
  </si>
  <si>
    <t>012300</t>
  </si>
  <si>
    <t>TENIMENTI DI PETRIOLO SOCIETA' AGRICOLA A RESPONSABILITA' LIMITAT A</t>
  </si>
  <si>
    <t>13104830966</t>
  </si>
  <si>
    <t>012100</t>
  </si>
  <si>
    <t>ATRULIA SRL SOCIETA' AGRICOLA</t>
  </si>
  <si>
    <t>13001720963</t>
  </si>
  <si>
    <t>012600</t>
  </si>
  <si>
    <t>KOLLASANO SOCIETA' AGRICOLA A RESPONSABILITA' LIMITATA</t>
  </si>
  <si>
    <t>12929530967</t>
  </si>
  <si>
    <t>012600</t>
  </si>
  <si>
    <t>Milano</t>
  </si>
  <si>
    <t>Lombardia</t>
  </si>
  <si>
    <t>LONGORA S.R.L. SOCIETA' AGRICOLA</t>
  </si>
  <si>
    <t>12920500969</t>
  </si>
  <si>
    <t>014300</t>
  </si>
  <si>
    <t>BEEFMASTER SOCIETA' AGRICOLA INNOVATIVA S.R.L.</t>
  </si>
  <si>
    <t>12859130960</t>
  </si>
  <si>
    <t>014200</t>
  </si>
  <si>
    <t>IL CAVALLINO - HORSES INVESTMENTS S.R.L.</t>
  </si>
  <si>
    <t>12716630962</t>
  </si>
  <si>
    <t>015000</t>
  </si>
  <si>
    <t>AGRI 97 S.R.L. SOCIETA' AGRICOLA</t>
  </si>
  <si>
    <t>12682150961</t>
  </si>
  <si>
    <t>011110</t>
  </si>
  <si>
    <t>SOCIETA' AGRICOLA BASSANETTI S.R.L.</t>
  </si>
  <si>
    <t>12642700962</t>
  </si>
  <si>
    <t>SAN FRANCESCO GREEN ENERGY S.R.L. AGRICOLA</t>
  </si>
  <si>
    <t>04445190160</t>
  </si>
  <si>
    <t>COLTIVACO2 S.R.L.</t>
  </si>
  <si>
    <t>11815540965</t>
  </si>
  <si>
    <t>016100</t>
  </si>
  <si>
    <t>Milano</t>
  </si>
  <si>
    <t>Lombardia</t>
  </si>
  <si>
    <t>011600</t>
  </si>
  <si>
    <t>012800</t>
  </si>
  <si>
    <t>POLICANAPA S.R.L.</t>
  </si>
  <si>
    <t>10788300969</t>
  </si>
  <si>
    <t>SOCIETA' AGRICOLA SALUTEM S.R.L.</t>
  </si>
  <si>
    <t>10728360966</t>
  </si>
  <si>
    <t>011990</t>
  </si>
  <si>
    <t>UBYFARM S.R.L.</t>
  </si>
  <si>
    <t>10584390966</t>
  </si>
  <si>
    <t>Milano</t>
  </si>
  <si>
    <t>Lombardia</t>
  </si>
  <si>
    <t>SOCIETA' AGRICOLA HEMPTI S.R.L.</t>
  </si>
  <si>
    <t>10411610966</t>
  </si>
  <si>
    <t>011140</t>
  </si>
  <si>
    <t>013000</t>
  </si>
  <si>
    <t>IDEALVERDE S.R.L. - SOCIETA' AGRICOLA</t>
  </si>
  <si>
    <t>08870280966</t>
  </si>
  <si>
    <t>SOCIETA' AGRICOLA ROSINA AGROENERGIE SRL</t>
  </si>
  <si>
    <t>08032220967</t>
  </si>
  <si>
    <t>011110</t>
  </si>
  <si>
    <t>Milano</t>
  </si>
  <si>
    <t>Lombardia</t>
  </si>
  <si>
    <t>Messina</t>
  </si>
  <si>
    <t>Sicilia</t>
  </si>
  <si>
    <t>COTONE ORGANICO DI SICILIA SOCIETA' AGRICOLA A R.L.</t>
  </si>
  <si>
    <t>03738440837</t>
  </si>
  <si>
    <t>011600</t>
  </si>
  <si>
    <t>PIANETA VERDE BIO - SOCIETA' COOPERATIVA AGRICOLA</t>
  </si>
  <si>
    <t>03698590837</t>
  </si>
  <si>
    <t>016300</t>
  </si>
  <si>
    <t>Messina</t>
  </si>
  <si>
    <t>Sicilia</t>
  </si>
  <si>
    <t>ATOTIS NEBROS SRLS - SOCIETA' AGRICOLA A RESPONSABILITA' LIMITATA SEMPLIFICATA</t>
  </si>
  <si>
    <t>03591720838</t>
  </si>
  <si>
    <t>012800</t>
  </si>
  <si>
    <t>SOCIETA' COOPERATIVA AGRICOLA AGRIFUTURA</t>
  </si>
  <si>
    <t>03529650834</t>
  </si>
  <si>
    <t>016300</t>
  </si>
  <si>
    <t>LA GIOSINA SOCIETA' AGRICOLA A RESPONSABILITA' LIMITATA SEMPLIFICATA</t>
  </si>
  <si>
    <t>03517290833</t>
  </si>
  <si>
    <t>012600</t>
  </si>
  <si>
    <t>Messina</t>
  </si>
  <si>
    <t>Sicilia</t>
  </si>
  <si>
    <t>015000</t>
  </si>
  <si>
    <t>AGRIBEST SOCIETA' A RESPONSABILITA' LIMITATA SEMPLIFICATA</t>
  </si>
  <si>
    <t>03378640837</t>
  </si>
  <si>
    <t>N.A.O.M. SOCIETA' COOPERATIVA AGRICOLA</t>
  </si>
  <si>
    <t>01676030834</t>
  </si>
  <si>
    <t>016100</t>
  </si>
  <si>
    <t>Messina</t>
  </si>
  <si>
    <t>Sicilia</t>
  </si>
  <si>
    <t>012500</t>
  </si>
  <si>
    <t>014500</t>
  </si>
  <si>
    <t>SOCIETA' GESTIONI AZIENDALI S.R.L.</t>
  </si>
  <si>
    <t>02861650832</t>
  </si>
  <si>
    <t>AZIENDA AGRICOLA DE RERUM NATURA S.R.L.</t>
  </si>
  <si>
    <t>02854770837</t>
  </si>
  <si>
    <t>Macerata</t>
  </si>
  <si>
    <t>Marche</t>
  </si>
  <si>
    <t>MIREA SOCIETA' AGRICOLA S.R.L.S.</t>
  </si>
  <si>
    <t>01878320439</t>
  </si>
  <si>
    <t>011140</t>
  </si>
  <si>
    <t>Monza e della Brianza</t>
  </si>
  <si>
    <t>Lombardia</t>
  </si>
  <si>
    <t>SOCIETA' AGRICOLA CARNEKMZERO SOCIETA' A RESPONSABILITA' LIMITATA SEMPLIFICATA</t>
  </si>
  <si>
    <t>11907370966</t>
  </si>
  <si>
    <t>014200</t>
  </si>
  <si>
    <t>GIOVANNI BENEDETTI SOCIETA' AGRICOLA S.R.L.</t>
  </si>
  <si>
    <t>07480720965</t>
  </si>
  <si>
    <t>011110</t>
  </si>
  <si>
    <t>Lucca</t>
  </si>
  <si>
    <t>Toscana</t>
  </si>
  <si>
    <t>FORCI SOCIETA' AGRICOLA S.R.L.</t>
  </si>
  <si>
    <t>02683390468</t>
  </si>
  <si>
    <t>012100</t>
  </si>
  <si>
    <t>Lucca</t>
  </si>
  <si>
    <t>Toscana</t>
  </si>
  <si>
    <t>VITA NUOVA AGRI-TECH S.R.L.</t>
  </si>
  <si>
    <t>02641580465</t>
  </si>
  <si>
    <t>016100</t>
  </si>
  <si>
    <t>012600</t>
  </si>
  <si>
    <t>O.I.L. SRL SOCIETA' AGRICOLA</t>
  </si>
  <si>
    <t>02421090461</t>
  </si>
  <si>
    <t>FLOWERS2EAT S.R.L.</t>
  </si>
  <si>
    <t>02141220463</t>
  </si>
  <si>
    <t>011920</t>
  </si>
  <si>
    <t>Latina</t>
  </si>
  <si>
    <t>Lazio</t>
  </si>
  <si>
    <t>SOCIETA' AGRICOLA PUNTO ZERO SRL</t>
  </si>
  <si>
    <t>03168550592</t>
  </si>
  <si>
    <t>016100</t>
  </si>
  <si>
    <t>FLOWERS LAZ.IU SOCIETA' AGRICOLA A RESPONSABILITA' LIMITATA SEMPL IFICATA</t>
  </si>
  <si>
    <t>03093970592</t>
  </si>
  <si>
    <t>011910</t>
  </si>
  <si>
    <t>Latina</t>
  </si>
  <si>
    <t>Lazio</t>
  </si>
  <si>
    <t>011310</t>
  </si>
  <si>
    <t>SOC. AGRICOLA ORODIGAETA SRLS</t>
  </si>
  <si>
    <t>02904620594</t>
  </si>
  <si>
    <t>012800</t>
  </si>
  <si>
    <t>FATTORIA DI BONITO SOCIETA' AGRICOLA A RESPONSABILITA' LIMITATA SEMPLIFICATA</t>
  </si>
  <si>
    <t>02849940594</t>
  </si>
  <si>
    <t>Latina</t>
  </si>
  <si>
    <t>Lazio</t>
  </si>
  <si>
    <t>016100</t>
  </si>
  <si>
    <t>AGRIZ SOCIETA' CONSORTILE A RESPONSABILITA' LIMITATA</t>
  </si>
  <si>
    <t>02656700594</t>
  </si>
  <si>
    <t>Latina</t>
  </si>
  <si>
    <t>Lazio</t>
  </si>
  <si>
    <t>012600</t>
  </si>
  <si>
    <t>AZIENDA AGRICOLA TERRA NERA SOCIETA' A RESPONSABILITA' LIMITATA</t>
  </si>
  <si>
    <t>02313900595</t>
  </si>
  <si>
    <t>011000</t>
  </si>
  <si>
    <t>AZIENDA AGRICOLA - AGRITURISMO TENUTA DUE PINI -S.R.L.</t>
  </si>
  <si>
    <t>01781660590</t>
  </si>
  <si>
    <t>012000</t>
  </si>
  <si>
    <t>AGRICOLA VALMAIURA S.R.L.</t>
  </si>
  <si>
    <t>01561720598</t>
  </si>
  <si>
    <t>012600</t>
  </si>
  <si>
    <t>Livorno</t>
  </si>
  <si>
    <t>Toscana</t>
  </si>
  <si>
    <t>012100</t>
  </si>
  <si>
    <t>SOCIETA' ETRUSCHI FOR APACHE SRLS</t>
  </si>
  <si>
    <t>01947750491</t>
  </si>
  <si>
    <t>014500</t>
  </si>
  <si>
    <t>VECCHIO CASOLARE SRL</t>
  </si>
  <si>
    <t>01748550496</t>
  </si>
  <si>
    <t>Lecce</t>
  </si>
  <si>
    <t>Puglia</t>
  </si>
  <si>
    <t>CANTINA MONSELLATO SOCIETA' AGRICOLA A RESPONSABILITA' LIMITATA - SOCIETA' BENEFIT</t>
  </si>
  <si>
    <t>05289420753</t>
  </si>
  <si>
    <t>Lecce</t>
  </si>
  <si>
    <t>Puglia</t>
  </si>
  <si>
    <t>012600</t>
  </si>
  <si>
    <t>011110</t>
  </si>
  <si>
    <t>PISMAR AGRICOLA S.R.L.</t>
  </si>
  <si>
    <t>05094950754</t>
  </si>
  <si>
    <t>PRIMICERI AGRICOLTURA S.R.L. SOCIETA' AGRICOLA</t>
  </si>
  <si>
    <t>05091460757</t>
  </si>
  <si>
    <t>Lecce</t>
  </si>
  <si>
    <t>Puglia</t>
  </si>
  <si>
    <t>ARILLO SOCIETA' AGRICOLA A RESPONSABILITA' LIMITATA</t>
  </si>
  <si>
    <t>04868650757</t>
  </si>
  <si>
    <t>012500</t>
  </si>
  <si>
    <t>TENUTA CASELLO SOCIETA' AGRICOLA A RESPONSABILITA' LIMITATA SEMPLIFICATA</t>
  </si>
  <si>
    <t>04867620751</t>
  </si>
  <si>
    <t>012100</t>
  </si>
  <si>
    <t>012600</t>
  </si>
  <si>
    <t>Lecce</t>
  </si>
  <si>
    <t>Puglia</t>
  </si>
  <si>
    <t>SOCIETA' AGRICOLA SANT'ANNA S.R.L.</t>
  </si>
  <si>
    <t>04285190759</t>
  </si>
  <si>
    <t>L'ASTORE MASSERIA - SOCIETA' AGRICOLA - SRL</t>
  </si>
  <si>
    <t>04077400754</t>
  </si>
  <si>
    <t>012100</t>
  </si>
  <si>
    <t>Lecco</t>
  </si>
  <si>
    <t>Lombardia</t>
  </si>
  <si>
    <t>SOCIETA' AGRICOLA IL CAMPO DEL RE SOCIETA' A RESPONSABILITA' LIMITATA SEMPLIFICATA</t>
  </si>
  <si>
    <t>04039840139</t>
  </si>
  <si>
    <t>012400</t>
  </si>
  <si>
    <t>Lecco</t>
  </si>
  <si>
    <t>Lombardia</t>
  </si>
  <si>
    <t>015000</t>
  </si>
  <si>
    <t>LE TERRE DI AVALON SOCIETA' AGRICOLA A RESPONSABILITA' LIMITATASE MPLIFICATA</t>
  </si>
  <si>
    <t>03665220137</t>
  </si>
  <si>
    <t>Crotone</t>
  </si>
  <si>
    <t>Calabria</t>
  </si>
  <si>
    <t>SOCIETA' COOPERATIVA LUCCHETTA A.R.L.</t>
  </si>
  <si>
    <t>03565360793</t>
  </si>
  <si>
    <t>012100</t>
  </si>
  <si>
    <t>AGROSERVIZI - SOCIETA' A RESPONSABILITA' LIMITATA SEMPLIFICATA</t>
  </si>
  <si>
    <t>03537790796</t>
  </si>
  <si>
    <t>016100</t>
  </si>
  <si>
    <t>SOCIETA' AGRICOLA F.LLI DI NUCCI SAIA S.R.L.</t>
  </si>
  <si>
    <t>01002670949</t>
  </si>
  <si>
    <t>011321</t>
  </si>
  <si>
    <t>Isernia</t>
  </si>
  <si>
    <t>Molise</t>
  </si>
  <si>
    <t>014100</t>
  </si>
  <si>
    <t>SOCIETA' AGRICOLA SANT'ANACLETO S.R.L.</t>
  </si>
  <si>
    <t>01698270707</t>
  </si>
  <si>
    <t>TERRE DEL MOSCATELLO</t>
  </si>
  <si>
    <t>01766560088</t>
  </si>
  <si>
    <t>012100</t>
  </si>
  <si>
    <t>Imperia</t>
  </si>
  <si>
    <t>Liguria</t>
  </si>
  <si>
    <t>RONDELLI SOCIETA' AGRICOLA - SOCIETA' A RESPONSABILITA' LIMITATA SEMPLIFICATA</t>
  </si>
  <si>
    <t>01753820081</t>
  </si>
  <si>
    <t>LA COLLINE AUX FRUITS S.R.L.</t>
  </si>
  <si>
    <t>01741650087</t>
  </si>
  <si>
    <t>012300</t>
  </si>
  <si>
    <t>M DELLE GRAZIE SOCIETA' AGRICOLA A RESPONSABILITA' LIMITATA SIGA DEN: M DELLE GRAZIE SOCIETA' AGRICOLA A R.L.</t>
  </si>
  <si>
    <t>01586810085</t>
  </si>
  <si>
    <t>011120</t>
  </si>
  <si>
    <t>Grosseto</t>
  </si>
  <si>
    <t>Toscana</t>
  </si>
  <si>
    <t>012600</t>
  </si>
  <si>
    <t>IL PELAGONE SOCIETA' AGRICOLA S.R.L.</t>
  </si>
  <si>
    <t>01729730539</t>
  </si>
  <si>
    <t>POINT GREEN SOCIETA' AGRICOLA INNOVATIVA S.R.L.</t>
  </si>
  <si>
    <t>01729380533</t>
  </si>
  <si>
    <t>011321</t>
  </si>
  <si>
    <t>SOCIETA' AGRICOLA LA VALLE VERDE S.R.L.</t>
  </si>
  <si>
    <t>01720730538</t>
  </si>
  <si>
    <t>013000</t>
  </si>
  <si>
    <t>012600</t>
  </si>
  <si>
    <t>Grosseto</t>
  </si>
  <si>
    <t>Toscana</t>
  </si>
  <si>
    <t>I.FAM SOCIETA' AGRICOLA A R.L.</t>
  </si>
  <si>
    <t>01655590535</t>
  </si>
  <si>
    <t>Grosseto</t>
  </si>
  <si>
    <t>Toscana</t>
  </si>
  <si>
    <t>LA POLLONETINA S.R.L.</t>
  </si>
  <si>
    <t>01630480539</t>
  </si>
  <si>
    <t>012900</t>
  </si>
  <si>
    <t>011110</t>
  </si>
  <si>
    <t>SOCIETA' AGRICOLA AZIENDA AGRARIA PERAZZETA SRL</t>
  </si>
  <si>
    <t>01564660536</t>
  </si>
  <si>
    <t>CONSORZIO NAZIONALE PER LA VALORIZZAZIONE DEI CAVALLI DI RAZZA MAREMMANA IN SIGLA CONMAR</t>
  </si>
  <si>
    <t>016209</t>
  </si>
  <si>
    <t>012100</t>
  </si>
  <si>
    <t>SOCIETA' AGRICOLA ALDO POLENCIC S.R.L.</t>
  </si>
  <si>
    <t>01185580311</t>
  </si>
  <si>
    <t>Gorizia</t>
  </si>
  <si>
    <t>Friuli-Venezia Giulia</t>
  </si>
  <si>
    <t>ZENA FLY S.R.L.</t>
  </si>
  <si>
    <t>02741380998</t>
  </si>
  <si>
    <t>014990</t>
  </si>
  <si>
    <t>Genova</t>
  </si>
  <si>
    <t>Liguria</t>
  </si>
  <si>
    <t>015000</t>
  </si>
  <si>
    <t>012500</t>
  </si>
  <si>
    <t>Frosinone</t>
  </si>
  <si>
    <t>Lazio</t>
  </si>
  <si>
    <t>ALMIWA SOCIETA' AGRICOLA SRL</t>
  </si>
  <si>
    <t>03239170602</t>
  </si>
  <si>
    <t>CASALE DEGLI ULIVI SOCIETA' A RESPONSABILITA' LIMITATA SEMPLIFICATA AGRICOLA</t>
  </si>
  <si>
    <t>03238460608</t>
  </si>
  <si>
    <t>SOCIETA' AGRICOLA INNOVATIVA TOGETHER GREEN S.R.L.</t>
  </si>
  <si>
    <t>03167140601</t>
  </si>
  <si>
    <t>SOCIETA' COOPERATIVA AGRICOLA LA TORRETTA</t>
  </si>
  <si>
    <t>03097060606</t>
  </si>
  <si>
    <t>Frosinone</t>
  </si>
  <si>
    <t>Lazio</t>
  </si>
  <si>
    <t>IL BOSCO DI PALIANO - SOCIETA' AGRICOLA A RESPONSABILITA' LIMITATA</t>
  </si>
  <si>
    <t>03065270609</t>
  </si>
  <si>
    <t>011300</t>
  </si>
  <si>
    <t>SOCIETA' AGRICOLA RIFO S.R.L.</t>
  </si>
  <si>
    <t>03060520602</t>
  </si>
  <si>
    <t>012100</t>
  </si>
  <si>
    <t>HEMPOINT S.R.L.S.</t>
  </si>
  <si>
    <t>03047920602</t>
  </si>
  <si>
    <t>013000</t>
  </si>
  <si>
    <t>Frosinone</t>
  </si>
  <si>
    <t>Lazio</t>
  </si>
  <si>
    <t>SOCIETA' AGRICOLA LE SODINE S.R.L.</t>
  </si>
  <si>
    <t>02663020606</t>
  </si>
  <si>
    <t>015000</t>
  </si>
  <si>
    <t>014100</t>
  </si>
  <si>
    <t>PRODOTTI TIPICI DEL VERSANTE LAZIALE DEL PARCO NAZIONALE D'ABRUZZO SOCIETA' CONSORTILE COOPERATIVA A R.L. IN SIGLA AGRIPARCO S.C.C.R.L.</t>
  </si>
  <si>
    <t>02109290607</t>
  </si>
  <si>
    <t>016300</t>
  </si>
  <si>
    <t>COOPERATIVA AGRICOLA P.M. A RESPONSABILITA' LIMITATA</t>
  </si>
  <si>
    <t>02002920607</t>
  </si>
  <si>
    <t>Forlì-Cesena</t>
  </si>
  <si>
    <t>Emilia-Romagna</t>
  </si>
  <si>
    <t>011310</t>
  </si>
  <si>
    <t>SOCIETA' AGRICOLA BORGO DEL PRIOLO SRL SEMPLIFICATA</t>
  </si>
  <si>
    <t>04358640409</t>
  </si>
  <si>
    <t>011000</t>
  </si>
  <si>
    <t>Forlì-Cesena</t>
  </si>
  <si>
    <t>Emilia-Romagna</t>
  </si>
  <si>
    <t>012100</t>
  </si>
  <si>
    <t>SOCIETA' AGRICOLA DGN S.R.L.</t>
  </si>
  <si>
    <t>03661690408</t>
  </si>
  <si>
    <t>Firenze</t>
  </si>
  <si>
    <t>Toscana</t>
  </si>
  <si>
    <t>TRAVIGNOLI SOCIETA' AGRICOLA A RESPONSABILITA' LIMITATA</t>
  </si>
  <si>
    <t>07289800489</t>
  </si>
  <si>
    <t>012100</t>
  </si>
  <si>
    <t>Firenze</t>
  </si>
  <si>
    <t>Toscana</t>
  </si>
  <si>
    <t>012600</t>
  </si>
  <si>
    <t>MONTALBINO S.R.L. SOCIETA' AGRICOLA</t>
  </si>
  <si>
    <t>07262010486</t>
  </si>
  <si>
    <t>SOCIETA' AGRICOLA PODERE SCOLDASU S.R.L.</t>
  </si>
  <si>
    <t>07247440485</t>
  </si>
  <si>
    <t>TOSCANA SOCIETA' AGRICOLA S.R.L.</t>
  </si>
  <si>
    <t>07232200480</t>
  </si>
  <si>
    <t>011300</t>
  </si>
  <si>
    <t>IL COLLE SOCIETA' AGRICOLA A RESPONSABILITA' LIMITATA SEMPLIFICAT A</t>
  </si>
  <si>
    <t>07152130485</t>
  </si>
  <si>
    <t>SOCIETA' AGRICOLA PANCONESI S.R.L. - IN BREVE AGRICOLA PANCONESI</t>
  </si>
  <si>
    <t>07029850489</t>
  </si>
  <si>
    <t>012900</t>
  </si>
  <si>
    <t>Firenze</t>
  </si>
  <si>
    <t>Toscana</t>
  </si>
  <si>
    <t>KM 140 SOCIETA' AGRICOLA SRLS</t>
  </si>
  <si>
    <t>06925620483</t>
  </si>
  <si>
    <t>011310</t>
  </si>
  <si>
    <t>Firenze</t>
  </si>
  <si>
    <t>Toscana</t>
  </si>
  <si>
    <t>010000</t>
  </si>
  <si>
    <t>CARPUGNANE S.R.L.</t>
  </si>
  <si>
    <t>04453500482</t>
  </si>
  <si>
    <t>011310</t>
  </si>
  <si>
    <t>Foggia</t>
  </si>
  <si>
    <t>Puglia</t>
  </si>
  <si>
    <t>AGRICOLA LISCIO FARM SRLS</t>
  </si>
  <si>
    <t>04451650719</t>
  </si>
  <si>
    <t>SOCIETA' AGRICOLA CIUCCIO S.R.L.</t>
  </si>
  <si>
    <t>04446770713</t>
  </si>
  <si>
    <t>Foggia</t>
  </si>
  <si>
    <t>Puglia</t>
  </si>
  <si>
    <t>011110</t>
  </si>
  <si>
    <t>ZOELLA SOCIETA' AGRICOLA S.R.L.</t>
  </si>
  <si>
    <t>04439270713</t>
  </si>
  <si>
    <t>Foggia</t>
  </si>
  <si>
    <t>Puglia</t>
  </si>
  <si>
    <t>011310</t>
  </si>
  <si>
    <t>AGRI OMNIA - SOCIETA' A RESPONSABILITA' LIMITATA SEMPLIFICATA</t>
  </si>
  <si>
    <t>04409290717</t>
  </si>
  <si>
    <t>016100</t>
  </si>
  <si>
    <t>SOCIETA' AGRICOLA CARPINELLI S.R.L.</t>
  </si>
  <si>
    <t>04404770713</t>
  </si>
  <si>
    <t>011310</t>
  </si>
  <si>
    <t>Foggia</t>
  </si>
  <si>
    <t>Puglia</t>
  </si>
  <si>
    <t>NEW FLORITALY S.R.L.</t>
  </si>
  <si>
    <t>04325860718</t>
  </si>
  <si>
    <t>011910</t>
  </si>
  <si>
    <t>AGRICOLE MODERNE DAUNE SOCIETA' COOPERATIVA AGRICOLA</t>
  </si>
  <si>
    <t>04323840712</t>
  </si>
  <si>
    <t>PUGLIA PEPPERS S.R.L.S.</t>
  </si>
  <si>
    <t>04313000715</t>
  </si>
  <si>
    <t>012800</t>
  </si>
  <si>
    <t>Foggia</t>
  </si>
  <si>
    <t>Puglia</t>
  </si>
  <si>
    <t>011310</t>
  </si>
  <si>
    <t>012100</t>
  </si>
  <si>
    <t>012600</t>
  </si>
  <si>
    <t>SOCIETA' AGRICOLA ADEA S.R.L.</t>
  </si>
  <si>
    <t>04271510713</t>
  </si>
  <si>
    <t>GARGANO FARM AGRICOLA SRL SEMPLIFICATA A SOCIO UNICO</t>
  </si>
  <si>
    <t>04235890714</t>
  </si>
  <si>
    <t>TERRE DI MARIA S.R.L. - SOCIETA' AGRICOLA</t>
  </si>
  <si>
    <t>08140750723</t>
  </si>
  <si>
    <t>011310</t>
  </si>
  <si>
    <t>Foggia</t>
  </si>
  <si>
    <t>Puglia</t>
  </si>
  <si>
    <t>AGRICOLA BROTHERS S.R.L. SEMPLIFICATA</t>
  </si>
  <si>
    <t>04011630714</t>
  </si>
  <si>
    <t>LA MOSCHELLA - SOCIETA' COOPERATIVA AGRICOLA</t>
  </si>
  <si>
    <t>03932360716</t>
  </si>
  <si>
    <t>016300</t>
  </si>
  <si>
    <t>Foggia</t>
  </si>
  <si>
    <t>Puglia</t>
  </si>
  <si>
    <t>010000</t>
  </si>
  <si>
    <t>011310</t>
  </si>
  <si>
    <t>TERRANOSTRA -SOCIETA' COOPERATIVA AGRICOLA DI PRODUZIONE E LAVORO</t>
  </si>
  <si>
    <t>03644560710</t>
  </si>
  <si>
    <t>SOCIETA' AGRICOLA MIC. POWER ENERGY S.R.L.</t>
  </si>
  <si>
    <t>03553100714</t>
  </si>
  <si>
    <t>Foggia</t>
  </si>
  <si>
    <t>Puglia</t>
  </si>
  <si>
    <t>011000</t>
  </si>
  <si>
    <t>OLEIFICIO LE MACINE S.R.L.</t>
  </si>
  <si>
    <t>03074560719</t>
  </si>
  <si>
    <t>016100</t>
  </si>
  <si>
    <t>COOPERATIVA AGRICOLA VERDE DAUNIA - SOC. COOP. A R.L.</t>
  </si>
  <si>
    <t>01031500711</t>
  </si>
  <si>
    <t>Ferrara</t>
  </si>
  <si>
    <t>Emilia-Romagna</t>
  </si>
  <si>
    <t>CONSORZIO CANAPAITALIA</t>
  </si>
  <si>
    <t>01473680385</t>
  </si>
  <si>
    <t>016100</t>
  </si>
  <si>
    <t>Enna</t>
  </si>
  <si>
    <t>Sicilia</t>
  </si>
  <si>
    <t>011310</t>
  </si>
  <si>
    <t>BEE COOP SOCIETA' COOPERATIVA SOCIALE</t>
  </si>
  <si>
    <t>01290520863</t>
  </si>
  <si>
    <t>VALVERDE SOCIETA' COOPERATIVA</t>
  </si>
  <si>
    <t>01288690868</t>
  </si>
  <si>
    <t>Enna</t>
  </si>
  <si>
    <t>Sicilia</t>
  </si>
  <si>
    <t>011000</t>
  </si>
  <si>
    <t>C.I.A. COOPERATIVA INTERPROVINCIALE AGRICOLA . SOC. COOP. A R.L.</t>
  </si>
  <si>
    <t>00105060867</t>
  </si>
  <si>
    <t>Catanzaro</t>
  </si>
  <si>
    <t>Calabria</t>
  </si>
  <si>
    <t>011600</t>
  </si>
  <si>
    <t>SOCIETA' AGRICOLA CALABRIAN HEMP S.R.L.</t>
  </si>
  <si>
    <t>03601410792</t>
  </si>
  <si>
    <t>MILONE DA KROTON SOCIETA' A RESPONSABILITA' LIMITATA SEMPLIFICATA</t>
  </si>
  <si>
    <t>03514870793</t>
  </si>
  <si>
    <t>011140</t>
  </si>
  <si>
    <t>Catanzaro</t>
  </si>
  <si>
    <t>Calabria</t>
  </si>
  <si>
    <t>ARPOL - SOCIETA' COOPERATIVA</t>
  </si>
  <si>
    <t>00953590791</t>
  </si>
  <si>
    <t>010000</t>
  </si>
  <si>
    <t>012300</t>
  </si>
  <si>
    <t>Catania</t>
  </si>
  <si>
    <t>Sicilia</t>
  </si>
  <si>
    <t>AGRIMARINO - SOCIETA' A RESPONSABILITA' LIMITATA SEMPLIFICATA</t>
  </si>
  <si>
    <t>05993050870</t>
  </si>
  <si>
    <t>SOCIETA' AGRICOLA SANTA TECLA PARK S.R.L.</t>
  </si>
  <si>
    <t>05971010870</t>
  </si>
  <si>
    <t>Catania</t>
  </si>
  <si>
    <t>Sicilia</t>
  </si>
  <si>
    <t>014200</t>
  </si>
  <si>
    <t>PODERE 23 -SOCIETA' AGRICOLA S.R.L.S.</t>
  </si>
  <si>
    <t>05954050877</t>
  </si>
  <si>
    <t>012600</t>
  </si>
  <si>
    <t>SUPERSUN DEVELOPMENT III S.R.L.</t>
  </si>
  <si>
    <t>05951160877</t>
  </si>
  <si>
    <t>012100</t>
  </si>
  <si>
    <t>SUPERSUN DEVELOPMENT II S.R.L.</t>
  </si>
  <si>
    <t>05951170876</t>
  </si>
  <si>
    <t>015000</t>
  </si>
  <si>
    <t>PIETRAROSSA SOCIETA' AGRICOLA S.R.L.S.</t>
  </si>
  <si>
    <t>05917020876</t>
  </si>
  <si>
    <t>ETNA FARM SOCIETA' AGRICOLA A R.L.</t>
  </si>
  <si>
    <t>05876140871</t>
  </si>
  <si>
    <t>011321</t>
  </si>
  <si>
    <t>AGRICOLA SICILY S.R.L. - SOCIETA' AGRICOLA</t>
  </si>
  <si>
    <t>05866620874</t>
  </si>
  <si>
    <t>012300</t>
  </si>
  <si>
    <t>Catania</t>
  </si>
  <si>
    <t>Sicilia</t>
  </si>
  <si>
    <t>AZIENDA AGRICOLA POGGIO GIURANNA S.R.L. SEMPLIFICATA</t>
  </si>
  <si>
    <t>05853000874</t>
  </si>
  <si>
    <t>012600</t>
  </si>
  <si>
    <t>ETNA SAPORI GOURMET SOCIETA' COOPERATIVA AGRICOLA</t>
  </si>
  <si>
    <t>05837880870</t>
  </si>
  <si>
    <t>LA FOGLIA VERDE - SOCIETA' COOPERATIVA</t>
  </si>
  <si>
    <t>05830990874</t>
  </si>
  <si>
    <t>RETE TERRA DEI LIMONI</t>
  </si>
  <si>
    <t>05823740872</t>
  </si>
  <si>
    <t>LO CICERO FRUIT SOCIETA' A RESPONSABILITA' LIMITATA SEMPLIFICATA</t>
  </si>
  <si>
    <t>05771010872</t>
  </si>
  <si>
    <t>012300</t>
  </si>
  <si>
    <t>Catania</t>
  </si>
  <si>
    <t>Sicilia</t>
  </si>
  <si>
    <t>011310</t>
  </si>
  <si>
    <t>UN VULCANO DI SAPORI SOCIETA' COOPERATIVA AGRICOLA</t>
  </si>
  <si>
    <t>05695700871</t>
  </si>
  <si>
    <t>ETNA NATURA E SALUTE S.R.L. AGRICOLA</t>
  </si>
  <si>
    <t>05668580870</t>
  </si>
  <si>
    <t>Catania</t>
  </si>
  <si>
    <t>Sicilia</t>
  </si>
  <si>
    <t>012300</t>
  </si>
  <si>
    <t>LA MACCHIA SOCIETA' AGRICOLA S.R.L.</t>
  </si>
  <si>
    <t>05629400879</t>
  </si>
  <si>
    <t>Catania</t>
  </si>
  <si>
    <t>Sicilia</t>
  </si>
  <si>
    <t>LIFE SPIRAL S.R.L. START-UP COSTITUITA A NORMA DELL'ART.4 COMMA 10 BIS DEL DECRETO LEGGE 24 GENNAIO 2015, N.3</t>
  </si>
  <si>
    <t>05471540871</t>
  </si>
  <si>
    <t>014990</t>
  </si>
  <si>
    <t>DONNAGONA SOCIETA' AGRICOLA S.R.L.</t>
  </si>
  <si>
    <t>05462640870</t>
  </si>
  <si>
    <t>012100</t>
  </si>
  <si>
    <t>Catania</t>
  </si>
  <si>
    <t>Sicilia</t>
  </si>
  <si>
    <t>012100</t>
  </si>
  <si>
    <t>SAPORI DI SICILIA 2017 - SOCIETA' COOPERATIVA</t>
  </si>
  <si>
    <t>05433580874</t>
  </si>
  <si>
    <t>011310</t>
  </si>
  <si>
    <t>016300</t>
  </si>
  <si>
    <t>SICILSAPORI SOC. AGRICOLA S.R.L.</t>
  </si>
  <si>
    <t>05376780879</t>
  </si>
  <si>
    <t>AZIENDA AGRICOLA OASI DELL'ETNA SOCIETA' AGRICOLA S.R.L.</t>
  </si>
  <si>
    <t>05359030870</t>
  </si>
  <si>
    <t>Catania</t>
  </si>
  <si>
    <t>Sicilia</t>
  </si>
  <si>
    <t>GIGLIOTTO TENUTE SOCIETA' AGRICOLA A RESPONSABILITA' LIMITATA</t>
  </si>
  <si>
    <t>05159540870</t>
  </si>
  <si>
    <t>011140</t>
  </si>
  <si>
    <t>Catania</t>
  </si>
  <si>
    <t>Sicilia</t>
  </si>
  <si>
    <t>SOCIETA' COOPERATIVA AGRICOLA GREEN</t>
  </si>
  <si>
    <t>04955350873</t>
  </si>
  <si>
    <t>016300</t>
  </si>
  <si>
    <t>GIGLIOTTO SOCIETA' AGRICOLA A RESPONSABILITA' LIMITATA</t>
  </si>
  <si>
    <t>04952520874</t>
  </si>
  <si>
    <t>011140</t>
  </si>
  <si>
    <t>SOCIETA' AGRICOLA CRATERI SILVESTRI S.R.L.</t>
  </si>
  <si>
    <t>04892040876</t>
  </si>
  <si>
    <t>012900</t>
  </si>
  <si>
    <t>Catania</t>
  </si>
  <si>
    <t>Sicilia</t>
  </si>
  <si>
    <t>012300</t>
  </si>
  <si>
    <t>SOCIETA' AGROTECNA S.R.L.</t>
  </si>
  <si>
    <t>04751460876</t>
  </si>
  <si>
    <t>Catania</t>
  </si>
  <si>
    <t>Sicilia</t>
  </si>
  <si>
    <t>OPV SRL</t>
  </si>
  <si>
    <t>04231710874</t>
  </si>
  <si>
    <t>011110</t>
  </si>
  <si>
    <t>Cosenza</t>
  </si>
  <si>
    <t>Calabria</t>
  </si>
  <si>
    <t>012600</t>
  </si>
  <si>
    <t>MATRANGA SOCIETA' AGRICOLA SRLS</t>
  </si>
  <si>
    <t>03818530788</t>
  </si>
  <si>
    <t>Cosenza</t>
  </si>
  <si>
    <t>Calabria</t>
  </si>
  <si>
    <t>012600</t>
  </si>
  <si>
    <t>SOCIETA' AGRICOLA COUNTRY GREEN SOCIETA' A RESPONSABILITA' LIMITA TA SEMPLIFICATA</t>
  </si>
  <si>
    <t>03702370788</t>
  </si>
  <si>
    <t>BIO CASALE SOCIETA' AGRICOLA A R.L.</t>
  </si>
  <si>
    <t>03686150784</t>
  </si>
  <si>
    <t>012300</t>
  </si>
  <si>
    <t>Cosenza</t>
  </si>
  <si>
    <t>Calabria</t>
  </si>
  <si>
    <t>CANAPAIO DI CALABRIA S.R.L.S.</t>
  </si>
  <si>
    <t>03549160780</t>
  </si>
  <si>
    <t>011600</t>
  </si>
  <si>
    <t>012100</t>
  </si>
  <si>
    <t>SOCIETA' AGRICOLA DEGUSTINATURA S.R.L. SEMPLIFICATA</t>
  </si>
  <si>
    <t>03524370784</t>
  </si>
  <si>
    <t>Cosenza</t>
  </si>
  <si>
    <t>Calabria</t>
  </si>
  <si>
    <t>016300</t>
  </si>
  <si>
    <t>AZIENDA MACCHIA SAN PIETRO S.R.L.</t>
  </si>
  <si>
    <t>03272260781</t>
  </si>
  <si>
    <t>016100</t>
  </si>
  <si>
    <t>Cosenza</t>
  </si>
  <si>
    <t>Calabria</t>
  </si>
  <si>
    <t>COOPERATIVA NEW STAR INTERNATIONAL - SOCIETA' COOPERATIVA</t>
  </si>
  <si>
    <t>03204830784</t>
  </si>
  <si>
    <t>REALARICO WINES S.R.L. - SOCIETA' AGRICOLA</t>
  </si>
  <si>
    <t>03146520782</t>
  </si>
  <si>
    <t>012100</t>
  </si>
  <si>
    <t>AGRIVALLE S.R.L. - SOCIETA' AGRICOLA</t>
  </si>
  <si>
    <t>03126760788</t>
  </si>
  <si>
    <t>011320</t>
  </si>
  <si>
    <t>Cosenza</t>
  </si>
  <si>
    <t>Calabria</t>
  </si>
  <si>
    <t>012600</t>
  </si>
  <si>
    <t>AZIENDA AGRICOLA OLEIFICIO TORRE DELLA SIGNORA S.R.L.</t>
  </si>
  <si>
    <t>03032300786</t>
  </si>
  <si>
    <t>Cremona</t>
  </si>
  <si>
    <t>Lombardia</t>
  </si>
  <si>
    <t>AVANTEA SOCIETA' AGRICOLA S.R.L.</t>
  </si>
  <si>
    <t>01783690199</t>
  </si>
  <si>
    <t>011110</t>
  </si>
  <si>
    <t>Lombardia</t>
  </si>
  <si>
    <t>016100</t>
  </si>
  <si>
    <t>Como</t>
  </si>
  <si>
    <t>CORDEA S.R.L. - SOCIETA' AGRICOLA</t>
  </si>
  <si>
    <t>04075980138</t>
  </si>
  <si>
    <t>014300</t>
  </si>
  <si>
    <t>T&amp;G SOCIETA' A RESPONSABILITA' LIMITATA SEMPLIFICATA</t>
  </si>
  <si>
    <t>04037510130</t>
  </si>
  <si>
    <t>011910</t>
  </si>
  <si>
    <t>CDP S.R.L. - SOCIETA' AGRICOLA</t>
  </si>
  <si>
    <t>03996160135</t>
  </si>
  <si>
    <t>SOCIETA' AGRICOLA JOE INT SRLS SOCIETA' A RESPONSABILITA' LIMITATA SEMPLIFICATA</t>
  </si>
  <si>
    <t>03824740132</t>
  </si>
  <si>
    <t>011920</t>
  </si>
  <si>
    <t>HAPPY PLANT SOCIETA' AGRICOLA A RESPONSABILITA' LIMITATA SEMPLIFI CATA</t>
  </si>
  <si>
    <t>03548400138</t>
  </si>
  <si>
    <t>ALPE DEL LUPO S.R.L. - SOCIETA' AGRICOLA</t>
  </si>
  <si>
    <t>03344400134</t>
  </si>
  <si>
    <t>Cuneo</t>
  </si>
  <si>
    <t>Piemonte</t>
  </si>
  <si>
    <t>GHIGO DAVIDE SOCIETA' AGRICOLA S.R.L.</t>
  </si>
  <si>
    <t>04068750043</t>
  </si>
  <si>
    <t>014200</t>
  </si>
  <si>
    <t>Cuneo</t>
  </si>
  <si>
    <t>Piemonte</t>
  </si>
  <si>
    <t>011110</t>
  </si>
  <si>
    <t>AZIENDA AGRICOLA GHIGOROTTO S.R.L.</t>
  </si>
  <si>
    <t>04041280043</t>
  </si>
  <si>
    <t>012500</t>
  </si>
  <si>
    <t>CASTELLO DI NEIVE SOCIETA' AGRICOLA A RESPONSABILITA' LIMITATA NELLA COMMERCIALIZZAZIONE DEI PROPRI PRODOTTI, LA SOCIETA' POTRA' VALERSI DELLE SEGUENTI SIGLE COMMERCIALI CASTELLO DI NEIVE SARL - CNAA - CDN</t>
  </si>
  <si>
    <t>04029820042</t>
  </si>
  <si>
    <t>012100</t>
  </si>
  <si>
    <t>ASTESANA S.R.L. SOCIETA' AGRICOLA</t>
  </si>
  <si>
    <t>03334200049</t>
  </si>
  <si>
    <t>Caltanissetta</t>
  </si>
  <si>
    <t>Sicilia</t>
  </si>
  <si>
    <t>012900</t>
  </si>
  <si>
    <t>AMBIENTE E TERRITORIO S.R.L.S. UNIPERSONALE</t>
  </si>
  <si>
    <t>02053290850</t>
  </si>
  <si>
    <t>Caltanissetta</t>
  </si>
  <si>
    <t>Sicilia</t>
  </si>
  <si>
    <t>SUPERBAE S.R.L. UNIPERSONALE</t>
  </si>
  <si>
    <t>01805590856</t>
  </si>
  <si>
    <t>014200</t>
  </si>
  <si>
    <t>015000</t>
  </si>
  <si>
    <t>Chieti</t>
  </si>
  <si>
    <t>Abruzzo</t>
  </si>
  <si>
    <t>012600</t>
  </si>
  <si>
    <t>CENTRO PANTA REI SOCIETA' AGRICOLA A RESPONSABILITA' LIMITATA</t>
  </si>
  <si>
    <t>02780310690</t>
  </si>
  <si>
    <t>SOCIETA' AGRICOLA TENUTA ASCHARI S.R.L.</t>
  </si>
  <si>
    <t>02356030698</t>
  </si>
  <si>
    <t>Caserta</t>
  </si>
  <si>
    <t>Campania</t>
  </si>
  <si>
    <t>012100</t>
  </si>
  <si>
    <t>LUPADAMA' SOCIETA' AGRICOLA A RESPONSABILITA' LIMITATA</t>
  </si>
  <si>
    <t>04730650613</t>
  </si>
  <si>
    <t>Caserta</t>
  </si>
  <si>
    <t>Campania</t>
  </si>
  <si>
    <t>SOCIETA' AGRICOLA FALODE S.R.L.</t>
  </si>
  <si>
    <t>04703570616</t>
  </si>
  <si>
    <t>014500</t>
  </si>
  <si>
    <t>012600</t>
  </si>
  <si>
    <t>SOCIETA' AGRICOLA KRIKKABBELLA S.R.L.</t>
  </si>
  <si>
    <t>04622100610</t>
  </si>
  <si>
    <t>Caserta</t>
  </si>
  <si>
    <t>Campania</t>
  </si>
  <si>
    <t>012100</t>
  </si>
  <si>
    <t>SELVANOVA SOCIETA' AGRICOLA IMPRESA SOCIALE S.R.L.</t>
  </si>
  <si>
    <t>04357210618</t>
  </si>
  <si>
    <t>Caserta</t>
  </si>
  <si>
    <t>Campania</t>
  </si>
  <si>
    <t>SOCIETA'AGRICOLA GRECO SRLS</t>
  </si>
  <si>
    <t>04290210618</t>
  </si>
  <si>
    <t>011310</t>
  </si>
  <si>
    <t>AZIENDA AGRICOLA VITIVINICOLA DI COSTANZO BENITO SOCIETA' A RESPONSABILITA' LIMITATA SEMPLIFICATA</t>
  </si>
  <si>
    <t>04117570616</t>
  </si>
  <si>
    <t>012100</t>
  </si>
  <si>
    <t>011310</t>
  </si>
  <si>
    <t>Caserta</t>
  </si>
  <si>
    <t>Campania</t>
  </si>
  <si>
    <t>L'ANTICA PETRA SOCIETA' AGRICOLA S.R.L.</t>
  </si>
  <si>
    <t>04098240619</t>
  </si>
  <si>
    <t>015000</t>
  </si>
  <si>
    <t>AGRICOLA TERRA FELIX SOCIETA' COOPERATIVA</t>
  </si>
  <si>
    <t>05275470655</t>
  </si>
  <si>
    <t>MONTELLABIO SOCIETA' AGRICOLA S.R.L.</t>
  </si>
  <si>
    <t>04010410613</t>
  </si>
  <si>
    <t>Campobasso</t>
  </si>
  <si>
    <t>Molise</t>
  </si>
  <si>
    <t>AUREA AGRI SOCIETA' AGRICOLA S.R.L.</t>
  </si>
  <si>
    <t>01870920707</t>
  </si>
  <si>
    <t>012600</t>
  </si>
  <si>
    <t>Campobasso</t>
  </si>
  <si>
    <t>Molise</t>
  </si>
  <si>
    <t>TENUTA GUALTIERI - SOCIETA' A RESPONSABILITA' LIMITATA SEMPLIFICA TA</t>
  </si>
  <si>
    <t>01810170702</t>
  </si>
  <si>
    <t>012100</t>
  </si>
  <si>
    <t>AZIENDA AGRICOLA LA COLLINA SRL</t>
  </si>
  <si>
    <t>01784830703</t>
  </si>
  <si>
    <t>012600</t>
  </si>
  <si>
    <t>Campobasso</t>
  </si>
  <si>
    <t>Molise</t>
  </si>
  <si>
    <t>COB - COLLE D'ANCHISE SOCIETA' COOPERATIVA AGRICOLA</t>
  </si>
  <si>
    <t>01422130706</t>
  </si>
  <si>
    <t>011990</t>
  </si>
  <si>
    <t>Sardegna</t>
  </si>
  <si>
    <t>011310</t>
  </si>
  <si>
    <t>Cagliari</t>
  </si>
  <si>
    <t>NURARES S.R.L. (START-UP COSTITUITA A NORMA DELL'ART. 4 COMMA 10 BIS DEL DECRETO LEGGE 24 GENNAIO 2015, N. 3)</t>
  </si>
  <si>
    <t>03880650928</t>
  </si>
  <si>
    <t>014930</t>
  </si>
  <si>
    <t>SARDISSIMO S.R.L.</t>
  </si>
  <si>
    <t>03797580929</t>
  </si>
  <si>
    <t>Cagliari</t>
  </si>
  <si>
    <t>Sardegna</t>
  </si>
  <si>
    <t>MADONNA DEL ROSARIO SOCIETA' COOPERATIVA AGRICOLA SOCIALE A RESPONSABILITA' LIMITATA</t>
  </si>
  <si>
    <t>03681570929</t>
  </si>
  <si>
    <t>011140</t>
  </si>
  <si>
    <t>012100</t>
  </si>
  <si>
    <t>SOCIETA' AGRICOLA CANTINE MADI S.R.L.</t>
  </si>
  <si>
    <t>03511360921</t>
  </si>
  <si>
    <t>Sardegna</t>
  </si>
  <si>
    <t>IS PRENDAS SOCIETA' AGRICOLA S.R.L.</t>
  </si>
  <si>
    <t>03440540924</t>
  </si>
  <si>
    <t>015000</t>
  </si>
  <si>
    <t>Cagliari</t>
  </si>
  <si>
    <t>016100</t>
  </si>
  <si>
    <t>ORISTANO VERDE S.R.L.</t>
  </si>
  <si>
    <t>02884230927</t>
  </si>
  <si>
    <t>CONSORZIO AGRIZOOTECNICO SARDO SOCIETA' CONSORTILE A RESPONSABILI A' LIMITATA</t>
  </si>
  <si>
    <t>02859440923</t>
  </si>
  <si>
    <t>016209</t>
  </si>
  <si>
    <t>Bolzano/Bozen</t>
  </si>
  <si>
    <t>Trentino-Alto Adige</t>
  </si>
  <si>
    <t>015000</t>
  </si>
  <si>
    <t>AGRI.D SRL - SOCIETA' AGRICOLA</t>
  </si>
  <si>
    <t>03218620213</t>
  </si>
  <si>
    <t>Bolzano/Bozen</t>
  </si>
  <si>
    <t>Trentino-Alto Adige</t>
  </si>
  <si>
    <t>012100</t>
  </si>
  <si>
    <t>014200</t>
  </si>
  <si>
    <t>LAHNHOF S.R.L. - SOCIETA' AGRICOLA</t>
  </si>
  <si>
    <t>02680530215</t>
  </si>
  <si>
    <t>Brescia</t>
  </si>
  <si>
    <t>Lombardia</t>
  </si>
  <si>
    <t>SOCIETA' AGRICOLA ZOOALLEVAMENTI S.R.L.</t>
  </si>
  <si>
    <t>04524420983</t>
  </si>
  <si>
    <t>SOCIETA' AGRICOLA LANTIERI DE PARATICO SRL</t>
  </si>
  <si>
    <t>04477920989</t>
  </si>
  <si>
    <t>AZIENDA AGRICOLA DEL PELLEGRINO SOCIETA' AGRICOLA A RESPONSABILIT A' LIMITATA</t>
  </si>
  <si>
    <t>04458070986</t>
  </si>
  <si>
    <t>012500</t>
  </si>
  <si>
    <t>SOCIETA' AGRICOLA TENUTA MALAVASI S.R.L.</t>
  </si>
  <si>
    <t>04431880980</t>
  </si>
  <si>
    <t>012100</t>
  </si>
  <si>
    <t>Brescia</t>
  </si>
  <si>
    <t>Lombardia</t>
  </si>
  <si>
    <t>CAMPAGNOLI S.R.L. - SOCIETA' AGRICOLA</t>
  </si>
  <si>
    <t>04378900981</t>
  </si>
  <si>
    <t>011990</t>
  </si>
  <si>
    <t>SOCIETA' AGRICOLA ZULIANI S.R.L.</t>
  </si>
  <si>
    <t>04187100989</t>
  </si>
  <si>
    <t>VIVAI SAN NICOLA SOCIETA' AGRICOLA S.R.L.</t>
  </si>
  <si>
    <t>04150160986</t>
  </si>
  <si>
    <t>011910</t>
  </si>
  <si>
    <t>016100</t>
  </si>
  <si>
    <t>AGRIREGHENZI SOCIETA' AGRICOLA S.R.L.</t>
  </si>
  <si>
    <t>03946390980</t>
  </si>
  <si>
    <t>TONINELLI FARM SOCIETA' AGRICOLA S.R.L.</t>
  </si>
  <si>
    <t>03946380981</t>
  </si>
  <si>
    <t>SOCIETA' AGRICOLA ECOWOOD 3 S.R.L.</t>
  </si>
  <si>
    <t>03931020980</t>
  </si>
  <si>
    <t>Brescia</t>
  </si>
  <si>
    <t>Lombardia</t>
  </si>
  <si>
    <t>IL COLMETTO S.R.L. SOCIETA' AGRICOLA</t>
  </si>
  <si>
    <t>03536670981</t>
  </si>
  <si>
    <t>014500</t>
  </si>
  <si>
    <t>POGGIO DEL CEO SRL</t>
  </si>
  <si>
    <t>02935570982</t>
  </si>
  <si>
    <t>010000</t>
  </si>
  <si>
    <t>Brindisi</t>
  </si>
  <si>
    <t>Puglia</t>
  </si>
  <si>
    <t>012100</t>
  </si>
  <si>
    <t>TAGARO SOCIETA' AGRICOLA A R.L.</t>
  </si>
  <si>
    <t>02681110744</t>
  </si>
  <si>
    <t>012600</t>
  </si>
  <si>
    <t>Brindisi</t>
  </si>
  <si>
    <t>Puglia</t>
  </si>
  <si>
    <t>PEPENOFIO SOCIETA' AGRICOLA S.R.L.</t>
  </si>
  <si>
    <t>07229060723</t>
  </si>
  <si>
    <t>MASSERIA CHIANCARELLA S.R.L. - SOCIETA' AGRICOLA</t>
  </si>
  <si>
    <t>02535960740</t>
  </si>
  <si>
    <t>Brindisi</t>
  </si>
  <si>
    <t>Puglia</t>
  </si>
  <si>
    <t>AGRITURISMO ITRIA E FORESTAZIONE SRL</t>
  </si>
  <si>
    <t>01983600741</t>
  </si>
  <si>
    <t>011000</t>
  </si>
  <si>
    <t>COOP. AGRICOLA PROGRESSO SOC.COOP.A.R.L.</t>
  </si>
  <si>
    <t>01382350740</t>
  </si>
  <si>
    <t>Bologna</t>
  </si>
  <si>
    <t>Emilia-Romagna</t>
  </si>
  <si>
    <t>ORTO BARBIERI SOCIETA' AGRICOLA S.R.L.</t>
  </si>
  <si>
    <t>04137691202</t>
  </si>
  <si>
    <t>011310</t>
  </si>
  <si>
    <t>014100</t>
  </si>
  <si>
    <t>SOCIETA' AGRICOLA FUNGARINO S.R.L.</t>
  </si>
  <si>
    <t>04099901201</t>
  </si>
  <si>
    <t>Bologna</t>
  </si>
  <si>
    <t>Emilia-Romagna</t>
  </si>
  <si>
    <t>011310</t>
  </si>
  <si>
    <t>LA PIEVE NEL BOSCO S.R.L. SEMPLIFICATA</t>
  </si>
  <si>
    <t>04043201203</t>
  </si>
  <si>
    <t>011910</t>
  </si>
  <si>
    <t>SOCIETA' AGRICOLA AGRO VANDA SRL</t>
  </si>
  <si>
    <t>03819701206</t>
  </si>
  <si>
    <t>Benevento</t>
  </si>
  <si>
    <t>Campania</t>
  </si>
  <si>
    <t>012100</t>
  </si>
  <si>
    <t>PIETREFITTE SOCIETA' AGRICOLA A RESPONSABILITA' LIMITATA</t>
  </si>
  <si>
    <t>01774150625</t>
  </si>
  <si>
    <t>Benevento</t>
  </si>
  <si>
    <t>Campania</t>
  </si>
  <si>
    <t>SANNIOALLEVA SOCIETA' COOPERATIVA AGRICOLA</t>
  </si>
  <si>
    <t>01760580629</t>
  </si>
  <si>
    <t>016209</t>
  </si>
  <si>
    <t>I VILLANI S.R.L. SOCIETA' AGRICOLA</t>
  </si>
  <si>
    <t>01747600623</t>
  </si>
  <si>
    <t>011310</t>
  </si>
  <si>
    <t>AGRICAMPUS S.R.L.</t>
  </si>
  <si>
    <t>01710550623</t>
  </si>
  <si>
    <t>016300</t>
  </si>
  <si>
    <t>Biella</t>
  </si>
  <si>
    <t>Piemonte</t>
  </si>
  <si>
    <t>SOCIETA' AGRICOLA GARDENVILLE SRL</t>
  </si>
  <si>
    <t>02772740029</t>
  </si>
  <si>
    <t>011910</t>
  </si>
  <si>
    <t>NUOVA POLIS AGRICOLA SOCIETA' AGRICOLA A RESPONSABILITA' LIMITATA</t>
  </si>
  <si>
    <t>02459030025</t>
  </si>
  <si>
    <t>011320</t>
  </si>
  <si>
    <t>Bergamo</t>
  </si>
  <si>
    <t>Lombardia</t>
  </si>
  <si>
    <t>PLW 1 SOCIETA' AGRICOLA S.R.L.</t>
  </si>
  <si>
    <t>04651010169</t>
  </si>
  <si>
    <t>013000</t>
  </si>
  <si>
    <t>011990</t>
  </si>
  <si>
    <t>IL SENTIERO SOCIETA' AGRICOLA A RESPONSABILITA' LIMITATA SEMPLI FICATA</t>
  </si>
  <si>
    <t>04308260167</t>
  </si>
  <si>
    <t>Puglia</t>
  </si>
  <si>
    <t>Barletta-Andria-Trani</t>
  </si>
  <si>
    <t>GROUP COLANGELO S.R.L.</t>
  </si>
  <si>
    <t>08762160722</t>
  </si>
  <si>
    <t>014700</t>
  </si>
  <si>
    <t>ZECCHILLO S.R.L.</t>
  </si>
  <si>
    <t>08701240726</t>
  </si>
  <si>
    <t>Barletta-Andria-Trani</t>
  </si>
  <si>
    <t>Puglia</t>
  </si>
  <si>
    <t>MASSERIA CAMPITO SOCIETA' AGRICOLA A RESPONSABILITA' LIMITATA</t>
  </si>
  <si>
    <t>08566130723</t>
  </si>
  <si>
    <t>012100</t>
  </si>
  <si>
    <t>Bari</t>
  </si>
  <si>
    <t>Puglia</t>
  </si>
  <si>
    <t>016100</t>
  </si>
  <si>
    <t>MEDITERRAE</t>
  </si>
  <si>
    <t>07250670721</t>
  </si>
  <si>
    <t>Puglia</t>
  </si>
  <si>
    <t>012100</t>
  </si>
  <si>
    <t>Bari</t>
  </si>
  <si>
    <t>ORONELLA FRUTTA S.R.L.</t>
  </si>
  <si>
    <t>06764440720</t>
  </si>
  <si>
    <t>016100</t>
  </si>
  <si>
    <t>SOCIETA' AGRICOLA GALLUZZI S.R.L.</t>
  </si>
  <si>
    <t>05725410723</t>
  </si>
  <si>
    <t>011310</t>
  </si>
  <si>
    <t>016000</t>
  </si>
  <si>
    <t>CONSORZIO MADIA DIANA</t>
  </si>
  <si>
    <t>05170490725</t>
  </si>
  <si>
    <t>SERAGRI - SOCIETA' COOPERATIVA IN LIQUIDAZIONE</t>
  </si>
  <si>
    <t>05058640722</t>
  </si>
  <si>
    <t>Avellino</t>
  </si>
  <si>
    <t>Campania</t>
  </si>
  <si>
    <t>012100</t>
  </si>
  <si>
    <t>011110</t>
  </si>
  <si>
    <t>AGRIRESORT MACCHIACUPA SOCIETA' A RESPONSABILITA' LIMITATA SEMPLIFICATA AGRICOLA</t>
  </si>
  <si>
    <t>03141900641</t>
  </si>
  <si>
    <t>DANIMI SOCIETA' AGRICOLA S.R.L.</t>
  </si>
  <si>
    <t>03137750646</t>
  </si>
  <si>
    <t>MITO SOCIETA' AGRICOLA S.R.L.</t>
  </si>
  <si>
    <t>03100460645</t>
  </si>
  <si>
    <t>Avellino</t>
  </si>
  <si>
    <t>Campania</t>
  </si>
  <si>
    <t>AZIENDA AGRICOLA L'ARATRO S.R.L.</t>
  </si>
  <si>
    <t>02981650647</t>
  </si>
  <si>
    <t>011120</t>
  </si>
  <si>
    <t>012100</t>
  </si>
  <si>
    <t>SOCIETA' AGRICOLA SINE CERA SOCIETA' A RESPONSABILITA' LIMITATA SEMPLIFICATA</t>
  </si>
  <si>
    <t>02898910647</t>
  </si>
  <si>
    <t>012100</t>
  </si>
  <si>
    <t>Avellino</t>
  </si>
  <si>
    <t>Campania</t>
  </si>
  <si>
    <t>012500</t>
  </si>
  <si>
    <t>COSTE DI TUFO S.R.L.</t>
  </si>
  <si>
    <t>02530970645</t>
  </si>
  <si>
    <t>LA CASCINA S.R.L.</t>
  </si>
  <si>
    <t>02518120643</t>
  </si>
  <si>
    <t>Asti</t>
  </si>
  <si>
    <t>Piemonte</t>
  </si>
  <si>
    <t>CASCINA GILLI SOCIETA' AGRICOLA A RESPONSABILITA' LIMITATA</t>
  </si>
  <si>
    <t>01735550053</t>
  </si>
  <si>
    <t>012100</t>
  </si>
  <si>
    <t>Asti</t>
  </si>
  <si>
    <t>Piemonte</t>
  </si>
  <si>
    <t>MVB SRL AGRICOLA</t>
  </si>
  <si>
    <t>01688520053</t>
  </si>
  <si>
    <t>KMC SOCIETA' COOPERATIVA A R.L.</t>
  </si>
  <si>
    <t>01683890055</t>
  </si>
  <si>
    <t>016300</t>
  </si>
  <si>
    <t>CASCINA VENGORE S.R.L. SOCIETA' AGRICOLA - TENUTA LARAME' S.R.L. SOCIETA' AGRICOLA - LE QUERCE DEL VAREGLIO S.R.L. SOCIETA' AGRICOLA SIGLABILE CASCINA VENGORE S.A.R.L. - TENUTA LARAME' S.A.R.L. - LE QUERCE DEL VAREGLIO S.A.R.L. - C.V.S.A.R.L. - T.</t>
  </si>
  <si>
    <t>03432250045</t>
  </si>
  <si>
    <t>LOSGRILLOSHERMANOS S.R.L. SOCIETA' AGRICOLA</t>
  </si>
  <si>
    <t>02473460513</t>
  </si>
  <si>
    <t>014990</t>
  </si>
  <si>
    <t>Arezzo</t>
  </si>
  <si>
    <t>Toscana</t>
  </si>
  <si>
    <t>Arezzo</t>
  </si>
  <si>
    <t>Toscana</t>
  </si>
  <si>
    <t>016100</t>
  </si>
  <si>
    <t>AGRICOLAE OLEUM</t>
  </si>
  <si>
    <t>02365980511</t>
  </si>
  <si>
    <t>RETE ETRUSCUM</t>
  </si>
  <si>
    <t>02337320515</t>
  </si>
  <si>
    <t>011120</t>
  </si>
  <si>
    <t>Arezzo</t>
  </si>
  <si>
    <t>Toscana</t>
  </si>
  <si>
    <t>AZIENDA AGRICOLA FORTEZZI S.R.L. SOCIETA' AGRICOLA</t>
  </si>
  <si>
    <t>02128150519</t>
  </si>
  <si>
    <t>012600</t>
  </si>
  <si>
    <t>SOCIETA' AGRICOLA TENUTE GIOMMETTI S.R.L.</t>
  </si>
  <si>
    <t>02126610514</t>
  </si>
  <si>
    <t>011110</t>
  </si>
  <si>
    <t>014300</t>
  </si>
  <si>
    <t>L'Aquila</t>
  </si>
  <si>
    <t>Abruzzo</t>
  </si>
  <si>
    <t>SOCIETA' AGRICOLA IL RIFUGIO DEL LUPO - SOCIETA' A RESPONSABILITA' LIMITATA SEMPLIFICATA</t>
  </si>
  <si>
    <t>02144710668</t>
  </si>
  <si>
    <t>L'Aquila</t>
  </si>
  <si>
    <t>Abruzzo</t>
  </si>
  <si>
    <t>AZIENDA AGRICOLA ABRUZZO ENERGIA S.R.L.</t>
  </si>
  <si>
    <t>01777200666</t>
  </si>
  <si>
    <t>011140</t>
  </si>
  <si>
    <t>011110</t>
  </si>
  <si>
    <t>Ascoli Piceno</t>
  </si>
  <si>
    <t>Marche</t>
  </si>
  <si>
    <t>015000</t>
  </si>
  <si>
    <t>011120</t>
  </si>
  <si>
    <t>011140</t>
  </si>
  <si>
    <t>AZIENDA AGRICOLA CANAP-AIR SRL SEMPLIFICATA</t>
  </si>
  <si>
    <t>02268680440</t>
  </si>
  <si>
    <t>SOCIETA' AGRICOLA AGROERGY SRL</t>
  </si>
  <si>
    <t>02027330444</t>
  </si>
  <si>
    <t>AL CANTO DEL GALLO... SOCIETA' AGRICOLA A R.L.</t>
  </si>
  <si>
    <t>01994610440</t>
  </si>
  <si>
    <t>I CALANCHI REAL ESTATE &amp; TOURISM S.R.L.</t>
  </si>
  <si>
    <t>01477810442</t>
  </si>
  <si>
    <t>Ancona</t>
  </si>
  <si>
    <t>Marche</t>
  </si>
  <si>
    <t>FAZI BATTAGLIA SOCIETA' AGRICOLA S.P.A.</t>
  </si>
  <si>
    <t>00077940427</t>
  </si>
  <si>
    <t>012100</t>
  </si>
  <si>
    <t>Alessandria</t>
  </si>
  <si>
    <t>Piemonte</t>
  </si>
  <si>
    <t>FORNACE BIS SRL AGRICOLA</t>
  </si>
  <si>
    <t>02709740068</t>
  </si>
  <si>
    <t>011990</t>
  </si>
  <si>
    <t>VERDE-COMMERCE SOCIETA' AGRICOLA A RESPONSABILITA' LIMITATA</t>
  </si>
  <si>
    <t>02709540062</t>
  </si>
  <si>
    <t>013000</t>
  </si>
  <si>
    <t>CASTELLARI BERGAGLIO SOCIETA' AGRICOLA S.R.L.</t>
  </si>
  <si>
    <t>02652490067</t>
  </si>
  <si>
    <t>OHANA RANCH S.R.L.S. - SOCIETA' AGRICOLA A RESPONSABILITA' LIMITATA SEMPLIFICATA CON SIGLA: OHANA RANCH - S.R.L.S. UNIPERSONALE</t>
  </si>
  <si>
    <t>02515520068</t>
  </si>
  <si>
    <t>014990</t>
  </si>
  <si>
    <t>Alessandria</t>
  </si>
  <si>
    <t>Piemonte</t>
  </si>
  <si>
    <t>CASA MARGHERITA AGRICOLA S.R.L.</t>
  </si>
  <si>
    <t>02511670065</t>
  </si>
  <si>
    <t>012100</t>
  </si>
  <si>
    <t>011110</t>
  </si>
  <si>
    <t>SOCIETA' AGRICOLA QUARGNENTO S.R.L.</t>
  </si>
  <si>
    <t>07681880964</t>
  </si>
  <si>
    <t>SAN MARTINO SOCIETA' AGRICOLA A RESPONSABILITA' LIMITATA</t>
  </si>
  <si>
    <t>02412760064</t>
  </si>
  <si>
    <t>011140</t>
  </si>
  <si>
    <t>Agrigento</t>
  </si>
  <si>
    <t>Sicilia</t>
  </si>
  <si>
    <t>BUONANOTTE SOCIETA' COOPERATIVA AGRICOLA A.R.L.</t>
  </si>
  <si>
    <t>03002150849</t>
  </si>
  <si>
    <t>011140</t>
  </si>
  <si>
    <t>TERRE DEL BARONE SOCIETA' AGRICOLA A RESPONSABILITA' LIMITATA</t>
  </si>
  <si>
    <t>02995020845</t>
  </si>
  <si>
    <t>012500</t>
  </si>
  <si>
    <t>011600</t>
  </si>
  <si>
    <t>ARCURI &amp; MIGLIAZZO SOCIETA' AGRICOLA A RESPONSABILITA' LIMITATA SEMPLIFICATA</t>
  </si>
  <si>
    <t>02934310844</t>
  </si>
  <si>
    <t>Agrigento</t>
  </si>
  <si>
    <t>Sicilia</t>
  </si>
  <si>
    <t>I SAPORI DELLA MONTAGNA S.R.L.S.</t>
  </si>
  <si>
    <t>02844090841</t>
  </si>
  <si>
    <t>014500</t>
  </si>
  <si>
    <t>blockchain nella Home Page (si/no)</t>
  </si>
  <si>
    <t>blockchain in altre pagine (si/no)</t>
  </si>
  <si>
    <t>Link altre pagine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</si>
</sst>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Arial"/>
    </font>
    <font>
      <b/>
      <sz val="8.5"/>
      <color indexed="56"/>
      <name val="Verdana"/>
      <family val="2"/>
    </font>
    <font>
      <b/>
      <sz val="8.5"/>
      <color indexed="9"/>
      <name val="Verdana"/>
      <family val="2"/>
    </font>
    <font>
      <sz val="8.5"/>
      <color indexed="63"/>
      <name val="Verdana"/>
      <family val="2"/>
    </font>
  </fonts>
  <fills count="5">
    <fill>
      <patternFill patternType="none"/>
    </fill>
    <fill>
      <patternFill patternType="gray125"/>
    </fill>
    <fill>
      <patternFill patternType="solid">
        <fgColor indexed="41"/>
      </patternFill>
    </fill>
    <fill>
      <patternFill patternType="solid">
        <fgColor indexed="9"/>
      </patternFill>
    </fill>
    <fill>
      <patternFill patternType="solid">
        <fgColor indexed="55"/>
      </patternFill>
    </fill>
  </fills>
  <borders count="2">
    <border>
      <left/>
      <right/>
      <top/>
      <bottom/>
      <diagonal/>
    </border>
    <border>
      <left style="thin">
        <color indexed="9"/>
      </left>
      <right/>
      <top/>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vertical="top" wrapText="1"/>
    </xf>
    <xf numFmtId="0" fontId="0" fillId="2" borderId="1" xfId="0" applyFill="1" applyBorder="1"/>
    <xf numFmtId="0" fontId="0" fillId="3" borderId="0" xfId="0" applyFill="1"/>
    <xf numFmtId="0" fontId="2" fillId="4" borderId="1" xfId="0" applyFont="1" applyFill="1" applyBorder="1" applyAlignment="1">
      <alignment horizontal="left" wrapText="1"/>
    </xf>
    <xf numFmtId="0" fontId="3"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3" borderId="1" xfId="0" applyFill="1" applyBorder="1"/>
  </cellXfs>
  <cellStyles count="1">
    <cellStyle name="Normale"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6D819D"/>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7EBF7"/>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A3B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53"/>
  <sheetViews>
    <sheetView tabSelected="1" workbookViewId="0">
      <selection activeCell="H4" sqref="H4"/>
    </sheetView>
  </sheetViews>
  <sheetFormatPr defaultRowHeight="13.2" x14ac:dyDescent="0.25"/>
  <cols>
    <col min="1" max="1" width="30" style="3" customWidth="1"/>
    <col min="2" max="2" width="28.88671875" style="3" customWidth="1"/>
    <col min="3" max="3" width="21.109375" style="3" customWidth="1"/>
    <col min="4" max="4" width="18.77734375" style="3" customWidth="1"/>
    <col min="5" max="5" width="32.6640625" style="3" customWidth="1"/>
    <col min="6" max="6" width="30.21875" style="3" customWidth="1"/>
    <col min="7" max="7" width="19.88671875" customWidth="1"/>
    <col min="8" max="8" width="17" customWidth="1"/>
    <col min="9" max="9" width="17.44140625" customWidth="1"/>
  </cols>
  <sheetData>
    <row r="1" spans="1:9" ht="37.5" customHeight="1" x14ac:dyDescent="0.25">
      <c r="A1" s="4" t="s">
        <v>0</v>
      </c>
      <c r="B1" s="4" t="s">
        <v>1</v>
      </c>
      <c r="C1" s="4" t="s">
        <v>2</v>
      </c>
      <c r="D1" s="4" t="s">
        <v>3</v>
      </c>
      <c r="E1" s="4" t="s">
        <v>4</v>
      </c>
      <c r="F1" s="4" t="s">
        <v>5</v>
      </c>
      <c r="G1" s="4" t="s">
        <v>27544</v>
      </c>
      <c r="H1" s="4" t="s">
        <v>27545</v>
      </c>
      <c r="I1" s="4" t="s">
        <v>27546</v>
      </c>
    </row>
    <row r="2" spans="1:9" ht="29.55" customHeight="1" x14ac:dyDescent="0.25">
      <c r="A2" s="6" t="s">
        <v>6</v>
      </c>
      <c r="B2" s="5" t="s">
        <v>7</v>
      </c>
      <c r="C2" s="5" t="s">
        <v>8</v>
      </c>
      <c r="D2" s="5" t="s">
        <v>9</v>
      </c>
      <c r="E2" s="5" t="s">
        <v>10</v>
      </c>
      <c r="F2" s="5" t="str">
        <f>HYPERLINK("http://www.gruppoveronesi.it/","www.gruppoveronesi.it")</f>
        <v>www.gruppoveronesi.it</v>
      </c>
    </row>
    <row r="3" spans="1:9" ht="43.05" customHeight="1" x14ac:dyDescent="0.25">
      <c r="A3" s="1" t="s">
        <v>11</v>
      </c>
      <c r="B3" s="7" t="s">
        <v>12</v>
      </c>
      <c r="C3" s="7" t="s">
        <v>13</v>
      </c>
      <c r="D3" s="7" t="s">
        <v>14</v>
      </c>
      <c r="E3" s="7" t="s">
        <v>15</v>
      </c>
      <c r="F3" s="7" t="str">
        <f>HYPERLINK("http://www.capferrara.it/","www.capferrara.it")</f>
        <v>www.capferrara.it</v>
      </c>
    </row>
    <row r="4" spans="1:9" ht="55.65" customHeight="1" x14ac:dyDescent="0.25">
      <c r="A4" s="6" t="s">
        <v>16</v>
      </c>
      <c r="B4" s="5" t="s">
        <v>17</v>
      </c>
      <c r="C4" s="5" t="s">
        <v>18</v>
      </c>
      <c r="D4" s="5" t="s">
        <v>19</v>
      </c>
      <c r="E4" s="5" t="s">
        <v>20</v>
      </c>
      <c r="F4" s="5" t="str">
        <f>HYPERLINK("http://www.granlatte.it/","www.granlatte.it")</f>
        <v>www.granlatte.it</v>
      </c>
    </row>
    <row r="5" spans="1:9" ht="29.55" customHeight="1" x14ac:dyDescent="0.25">
      <c r="A5" s="1" t="s">
        <v>21</v>
      </c>
      <c r="B5" s="7" t="s">
        <v>22</v>
      </c>
      <c r="C5" s="7" t="s">
        <v>13</v>
      </c>
      <c r="D5" s="7" t="s">
        <v>23</v>
      </c>
      <c r="E5" s="7" t="s">
        <v>24</v>
      </c>
      <c r="F5" s="7" t="str">
        <f>HYPERLINK("http://www.casalasco.com/","www.casalasco.com")</f>
        <v>www.casalasco.com</v>
      </c>
    </row>
    <row r="6" spans="1:9" ht="55.65" customHeight="1" x14ac:dyDescent="0.25">
      <c r="A6" s="6" t="s">
        <v>25</v>
      </c>
      <c r="B6" s="5" t="s">
        <v>26</v>
      </c>
      <c r="C6" s="5" t="s">
        <v>13</v>
      </c>
      <c r="D6" s="5" t="s">
        <v>27</v>
      </c>
      <c r="E6" s="5" t="s">
        <v>20</v>
      </c>
      <c r="F6" s="5" t="str">
        <f>HYPERLINK("http://www.orogelfresco.it/","www.orogelfresco.it")</f>
        <v>www.orogelfresco.it</v>
      </c>
    </row>
    <row r="7" spans="1:9" ht="29.55" customHeight="1" x14ac:dyDescent="0.25">
      <c r="A7" s="1" t="s">
        <v>28</v>
      </c>
      <c r="B7" s="7" t="s">
        <v>29</v>
      </c>
      <c r="C7" s="7" t="s">
        <v>13</v>
      </c>
      <c r="D7" s="7" t="s">
        <v>30</v>
      </c>
      <c r="E7" s="7" t="s">
        <v>31</v>
      </c>
      <c r="F7" s="7" t="str">
        <f>HYPERLINK("http://www.cofav.tn.it/","www.cofav.tn.it")</f>
        <v>www.cofav.tn.it</v>
      </c>
    </row>
    <row r="8" spans="1:9" ht="43.05" customHeight="1" x14ac:dyDescent="0.25">
      <c r="A8" s="6" t="s">
        <v>32</v>
      </c>
      <c r="B8" s="5" t="s">
        <v>33</v>
      </c>
      <c r="C8" s="5" t="s">
        <v>13</v>
      </c>
      <c r="D8" s="5" t="s">
        <v>34</v>
      </c>
      <c r="E8" s="5" t="s">
        <v>20</v>
      </c>
      <c r="F8" s="5" t="str">
        <f>HYPERLINK("http://comacar.it/","comacar.it")</f>
        <v>comacar.it</v>
      </c>
    </row>
    <row r="9" spans="1:9" ht="55.65" customHeight="1" x14ac:dyDescent="0.25">
      <c r="A9" s="1" t="s">
        <v>35</v>
      </c>
      <c r="B9" s="7" t="s">
        <v>36</v>
      </c>
      <c r="C9" s="7" t="s">
        <v>13</v>
      </c>
      <c r="D9" s="7" t="s">
        <v>34</v>
      </c>
      <c r="E9" s="7" t="s">
        <v>20</v>
      </c>
      <c r="F9" s="7" t="str">
        <f>HYPERLINK("http://www.cantineintesa.it/","www.cantineintesa.it")</f>
        <v>www.cantineintesa.it</v>
      </c>
    </row>
    <row r="10" spans="1:9" ht="43.05" customHeight="1" x14ac:dyDescent="0.25">
      <c r="A10" s="6" t="s">
        <v>37</v>
      </c>
      <c r="B10" s="5" t="s">
        <v>38</v>
      </c>
      <c r="C10" s="5" t="s">
        <v>39</v>
      </c>
      <c r="D10" s="5" t="s">
        <v>40</v>
      </c>
      <c r="E10" s="5" t="s">
        <v>41</v>
      </c>
      <c r="F10" s="5" t="str">
        <f>HYPERLINK("http://shop.capnordovest.it/","shop.capnordovest.it")</f>
        <v>shop.capnordovest.it</v>
      </c>
    </row>
    <row r="11" spans="1:9" ht="43.05" customHeight="1" x14ac:dyDescent="0.25">
      <c r="A11" s="1" t="s">
        <v>42</v>
      </c>
      <c r="B11" s="7" t="s">
        <v>43</v>
      </c>
      <c r="C11" s="7" t="s">
        <v>39</v>
      </c>
      <c r="D11" s="7" t="s">
        <v>44</v>
      </c>
      <c r="E11" s="7" t="s">
        <v>20</v>
      </c>
      <c r="F11" s="7" t="str">
        <f>HYPERLINK("http://terrepadane.it/","terrepadane.it")</f>
        <v>terrepadane.it</v>
      </c>
    </row>
    <row r="12" spans="1:9" ht="29.55" customHeight="1" x14ac:dyDescent="0.25">
      <c r="A12" s="6" t="s">
        <v>45</v>
      </c>
      <c r="B12" s="5" t="s">
        <v>46</v>
      </c>
      <c r="C12" s="5" t="s">
        <v>13</v>
      </c>
      <c r="D12" s="5" t="s">
        <v>27</v>
      </c>
      <c r="E12" s="5" t="s">
        <v>20</v>
      </c>
      <c r="F12" s="5" t="str">
        <f>HYPERLINK("http://www.solarelli.it/","www.solarelli.it")</f>
        <v>www.solarelli.it</v>
      </c>
    </row>
    <row r="13" spans="1:9" ht="29.55" customHeight="1" x14ac:dyDescent="0.25">
      <c r="A13" s="1" t="s">
        <v>47</v>
      </c>
      <c r="B13" s="7" t="s">
        <v>48</v>
      </c>
      <c r="C13" s="7" t="s">
        <v>49</v>
      </c>
      <c r="D13" s="7" t="s">
        <v>50</v>
      </c>
      <c r="E13" s="7" t="s">
        <v>51</v>
      </c>
      <c r="F13" s="7" t="str">
        <f>HYPERLINK("http://abocaedizioni.it/","abocaedizioni.it")</f>
        <v>abocaedizioni.it</v>
      </c>
    </row>
    <row r="14" spans="1:9" ht="120.3" customHeight="1" x14ac:dyDescent="0.25">
      <c r="A14" s="6" t="s">
        <v>52</v>
      </c>
      <c r="B14" s="5" t="s">
        <v>53</v>
      </c>
      <c r="C14" s="5" t="s">
        <v>13</v>
      </c>
      <c r="D14" s="5" t="s">
        <v>54</v>
      </c>
      <c r="E14" s="5" t="s">
        <v>10</v>
      </c>
      <c r="F14" s="5" t="str">
        <f>HYPERLINK("http://www.lamarca.it/","www.lamarca.it")</f>
        <v>www.lamarca.it</v>
      </c>
    </row>
    <row r="15" spans="1:9" ht="145.19999999999999" customHeight="1" x14ac:dyDescent="0.25">
      <c r="A15" s="1" t="s">
        <v>55</v>
      </c>
      <c r="B15" s="7" t="s">
        <v>56</v>
      </c>
      <c r="C15" s="7" t="s">
        <v>57</v>
      </c>
      <c r="D15" s="7" t="s">
        <v>34</v>
      </c>
      <c r="E15" s="7" t="s">
        <v>20</v>
      </c>
      <c r="F15" s="7" t="str">
        <f>HYPERLINK("http://www.caviro.com/","www.caviro.com")</f>
        <v>www.caviro.com</v>
      </c>
    </row>
    <row r="16" spans="1:9" ht="145.19999999999999" customHeight="1" x14ac:dyDescent="0.25">
      <c r="A16" s="6" t="s">
        <v>58</v>
      </c>
      <c r="B16" s="5" t="s">
        <v>59</v>
      </c>
      <c r="C16" s="5" t="s">
        <v>60</v>
      </c>
      <c r="D16" s="5" t="s">
        <v>30</v>
      </c>
      <c r="E16" s="5" t="s">
        <v>31</v>
      </c>
      <c r="F16" s="5" t="str">
        <f>HYPERLINK("http://shoponline.cavit.it/","shoponline.cavit.it")</f>
        <v>shoponline.cavit.it</v>
      </c>
    </row>
    <row r="17" spans="1:6" ht="29.55" customHeight="1" x14ac:dyDescent="0.25">
      <c r="A17" s="6" t="s">
        <v>61</v>
      </c>
      <c r="B17" s="5" t="s">
        <v>62</v>
      </c>
      <c r="C17" s="5" t="s">
        <v>13</v>
      </c>
      <c r="D17" s="5" t="s">
        <v>34</v>
      </c>
      <c r="E17" s="5" t="s">
        <v>20</v>
      </c>
      <c r="F17" s="5" t="str">
        <f>HYPERLINK("http://www.consorzioagrarioravenna.it/","www.consorzioagrarioravenna.it")</f>
        <v>www.consorzioagrarioravenna.it</v>
      </c>
    </row>
    <row r="18" spans="1:6" ht="16.95" customHeight="1" x14ac:dyDescent="0.25">
      <c r="A18" s="1" t="s">
        <v>63</v>
      </c>
      <c r="B18" s="7" t="s">
        <v>64</v>
      </c>
      <c r="C18" s="7" t="s">
        <v>13</v>
      </c>
      <c r="D18" s="7" t="s">
        <v>65</v>
      </c>
      <c r="E18" s="7" t="s">
        <v>24</v>
      </c>
      <c r="F18" s="7" t="str">
        <f>HYPERLINK("http://www.agroalimroma.it/","www.agroalimroma.it")</f>
        <v>www.agroalimroma.it</v>
      </c>
    </row>
    <row r="19" spans="1:6" ht="132.75" customHeight="1" x14ac:dyDescent="0.25">
      <c r="A19" s="6" t="s">
        <v>66</v>
      </c>
      <c r="B19" s="5" t="s">
        <v>67</v>
      </c>
      <c r="C19" s="5" t="s">
        <v>60</v>
      </c>
      <c r="D19" s="5" t="s">
        <v>9</v>
      </c>
      <c r="E19" s="5" t="s">
        <v>10</v>
      </c>
      <c r="F19" s="5" t="str">
        <f>HYPERLINK("http://equipe5.it/","equipe5.it")</f>
        <v>equipe5.it</v>
      </c>
    </row>
    <row r="20" spans="1:6" ht="55.65" customHeight="1" x14ac:dyDescent="0.25">
      <c r="A20" s="1" t="s">
        <v>68</v>
      </c>
      <c r="B20" s="7" t="s">
        <v>69</v>
      </c>
      <c r="C20" s="7" t="s">
        <v>39</v>
      </c>
      <c r="D20" s="7" t="s">
        <v>70</v>
      </c>
      <c r="E20" s="7" t="s">
        <v>71</v>
      </c>
      <c r="F20" s="7" t="str">
        <f>HYPERLINK("http://www.consorzioagrariofvg.it/","www.consorzioagrariofvg.it")</f>
        <v>www.consorzioagrariofvg.it</v>
      </c>
    </row>
    <row r="21" spans="1:6" ht="43.05" customHeight="1" x14ac:dyDescent="0.25">
      <c r="A21" s="6" t="s">
        <v>72</v>
      </c>
      <c r="B21" s="5" t="s">
        <v>73</v>
      </c>
      <c r="C21" s="5" t="s">
        <v>39</v>
      </c>
      <c r="D21" s="5" t="s">
        <v>65</v>
      </c>
      <c r="E21" s="5" t="s">
        <v>24</v>
      </c>
      <c r="F21" s="5" t="str">
        <f>HYPERLINK("http://santangiolina.com/","santangiolina.com")</f>
        <v>santangiolina.com</v>
      </c>
    </row>
    <row r="22" spans="1:6" ht="55.65" customHeight="1" x14ac:dyDescent="0.25">
      <c r="A22" s="1" t="s">
        <v>74</v>
      </c>
      <c r="B22" s="7" t="s">
        <v>75</v>
      </c>
      <c r="C22" s="7" t="s">
        <v>76</v>
      </c>
      <c r="D22" s="7" t="s">
        <v>77</v>
      </c>
      <c r="E22" s="7" t="s">
        <v>78</v>
      </c>
      <c r="F22" s="7" t="str">
        <f>HYPERLINK("http://www.abiomed.it/","www.abiomed.it")</f>
        <v>www.abiomed.it</v>
      </c>
    </row>
    <row r="23" spans="1:6" ht="132.75" customHeight="1" x14ac:dyDescent="0.25">
      <c r="A23" s="6" t="s">
        <v>79</v>
      </c>
      <c r="B23" s="5" t="s">
        <v>80</v>
      </c>
      <c r="C23" s="5" t="s">
        <v>60</v>
      </c>
      <c r="D23" s="5" t="s">
        <v>34</v>
      </c>
      <c r="E23" s="5" t="s">
        <v>20</v>
      </c>
      <c r="F23" s="5" t="str">
        <f>HYPERLINK("http://www.cavirodistillerie.it/","www.cavirodistillerie.it")</f>
        <v>www.cavirodistillerie.it</v>
      </c>
    </row>
    <row r="24" spans="1:6" ht="55.65" customHeight="1" x14ac:dyDescent="0.25">
      <c r="A24" s="1" t="s">
        <v>81</v>
      </c>
      <c r="B24" s="7" t="s">
        <v>82</v>
      </c>
      <c r="C24" s="7" t="s">
        <v>8</v>
      </c>
      <c r="D24" s="7" t="s">
        <v>40</v>
      </c>
      <c r="E24" s="7" t="s">
        <v>41</v>
      </c>
      <c r="F24" s="7" t="str">
        <f>HYPERLINK("http://www.oraagricola.it/","www.oraagricola.it")</f>
        <v>www.oraagricola.it</v>
      </c>
    </row>
    <row r="25" spans="1:6" ht="81.75" customHeight="1" x14ac:dyDescent="0.25">
      <c r="A25" s="6" t="s">
        <v>83</v>
      </c>
      <c r="B25" s="5" t="s">
        <v>84</v>
      </c>
      <c r="C25" s="5" t="s">
        <v>85</v>
      </c>
      <c r="D25" s="5" t="s">
        <v>40</v>
      </c>
      <c r="E25" s="5" t="s">
        <v>41</v>
      </c>
      <c r="F25" s="5" t="str">
        <f>HYPERLINK("http://www.compral.it/","www.compral.it")</f>
        <v>www.compral.it</v>
      </c>
    </row>
    <row r="26" spans="1:6" ht="43.05" customHeight="1" x14ac:dyDescent="0.25">
      <c r="A26" s="1" t="s">
        <v>86</v>
      </c>
      <c r="B26" s="7" t="s">
        <v>87</v>
      </c>
      <c r="C26" s="7" t="s">
        <v>39</v>
      </c>
      <c r="D26" s="7" t="s">
        <v>54</v>
      </c>
      <c r="E26" s="7" t="s">
        <v>10</v>
      </c>
      <c r="F26" s="7" t="str">
        <f>HYPERLINK("http://consorzioagrariotreviso.it/","consorzioagrariotreviso.it")</f>
        <v>consorzioagrariotreviso.it</v>
      </c>
    </row>
    <row r="27" spans="1:6" ht="55.65" customHeight="1" x14ac:dyDescent="0.25">
      <c r="A27" s="6" t="s">
        <v>88</v>
      </c>
      <c r="B27" s="5" t="s">
        <v>89</v>
      </c>
      <c r="C27" s="5" t="s">
        <v>90</v>
      </c>
      <c r="D27" s="5" t="s">
        <v>91</v>
      </c>
      <c r="E27" s="5" t="s">
        <v>31</v>
      </c>
      <c r="F27" s="5" t="str">
        <f>HYPERLINK("http://www.brimi.it/","www.brimi.it")</f>
        <v>www.brimi.it</v>
      </c>
    </row>
    <row r="28" spans="1:6" ht="29.55" customHeight="1" x14ac:dyDescent="0.25">
      <c r="A28" s="1" t="s">
        <v>92</v>
      </c>
      <c r="B28" s="7" t="s">
        <v>93</v>
      </c>
      <c r="C28" s="7" t="s">
        <v>8</v>
      </c>
      <c r="D28" s="7" t="s">
        <v>94</v>
      </c>
      <c r="E28" s="7" t="s">
        <v>95</v>
      </c>
      <c r="F28" s="7" t="str">
        <f>HYPERLINK("http://www.tedaldi.it/","www.tedaldi.it")</f>
        <v>www.tedaldi.it</v>
      </c>
    </row>
    <row r="29" spans="1:6" ht="94.2" customHeight="1" x14ac:dyDescent="0.25">
      <c r="A29" s="6" t="s">
        <v>96</v>
      </c>
      <c r="B29" s="5" t="s">
        <v>97</v>
      </c>
      <c r="C29" s="5" t="s">
        <v>18</v>
      </c>
      <c r="D29" s="5" t="s">
        <v>44</v>
      </c>
      <c r="E29" s="5" t="s">
        <v>20</v>
      </c>
      <c r="F29" s="5" t="str">
        <f>HYPERLINK("http://en.agripclatte.it/","en.agripclatte.it")</f>
        <v>en.agripclatte.it</v>
      </c>
    </row>
    <row r="30" spans="1:6" ht="29.55" customHeight="1" x14ac:dyDescent="0.25">
      <c r="A30" s="1" t="s">
        <v>98</v>
      </c>
      <c r="B30" s="7" t="s">
        <v>99</v>
      </c>
      <c r="C30" s="7" t="s">
        <v>13</v>
      </c>
      <c r="D30" s="7" t="s">
        <v>34</v>
      </c>
      <c r="E30" s="7" t="s">
        <v>20</v>
      </c>
      <c r="F30" s="7" t="str">
        <f>HYPERLINK("http://www.solatia.it/","www.solatia.it")</f>
        <v>www.solatia.it</v>
      </c>
    </row>
    <row r="31" spans="1:6" ht="94.2" customHeight="1" x14ac:dyDescent="0.25">
      <c r="A31" s="1" t="s">
        <v>100</v>
      </c>
      <c r="B31" s="7" t="s">
        <v>101</v>
      </c>
      <c r="C31" s="7" t="s">
        <v>102</v>
      </c>
      <c r="D31" s="7" t="s">
        <v>103</v>
      </c>
      <c r="E31" s="7" t="s">
        <v>104</v>
      </c>
      <c r="F31" s="7" t="str">
        <f>HYPERLINK("http://www.capacologna.it/","www.capacologna.it")</f>
        <v>www.capacologna.it</v>
      </c>
    </row>
    <row r="32" spans="1:6" ht="43.05" customHeight="1" x14ac:dyDescent="0.25">
      <c r="A32" s="6" t="s">
        <v>105</v>
      </c>
      <c r="B32" s="5" t="s">
        <v>106</v>
      </c>
      <c r="C32" s="5" t="s">
        <v>102</v>
      </c>
      <c r="D32" s="5" t="s">
        <v>103</v>
      </c>
      <c r="E32" s="5" t="s">
        <v>104</v>
      </c>
      <c r="F32" s="5" t="str">
        <f>HYPERLINK("http://www.unacoa.it/","www.unacoa.it")</f>
        <v>www.unacoa.it</v>
      </c>
    </row>
    <row r="33" spans="1:6" ht="29.55" customHeight="1" x14ac:dyDescent="0.25">
      <c r="A33" s="1" t="s">
        <v>107</v>
      </c>
      <c r="B33" s="7" t="s">
        <v>108</v>
      </c>
      <c r="C33" s="7" t="s">
        <v>102</v>
      </c>
      <c r="D33" s="7" t="s">
        <v>109</v>
      </c>
      <c r="E33" s="7" t="s">
        <v>110</v>
      </c>
      <c r="F33" s="7" t="str">
        <f>HYPERLINK("http://www.ortoromi.it/","www.ortoromi.it")</f>
        <v>www.ortoromi.it</v>
      </c>
    </row>
    <row r="34" spans="1:6" ht="68.099999999999994" customHeight="1" x14ac:dyDescent="0.25">
      <c r="A34" s="6" t="s">
        <v>111</v>
      </c>
      <c r="B34" s="5" t="s">
        <v>112</v>
      </c>
      <c r="C34" s="5" t="s">
        <v>113</v>
      </c>
      <c r="D34" s="5" t="s">
        <v>114</v>
      </c>
      <c r="E34" s="5" t="s">
        <v>110</v>
      </c>
      <c r="F34" s="5" t="str">
        <f>HYPERLINK("http://www.docfriuli.eu/le-aziende/vignaioli-veneto-friulani/","www.docfriuli.eu/le-aziende/vignaioli-veneto-friulani/")</f>
        <v>www.docfriuli.eu/le-aziende/vignaioli-veneto-friulani/</v>
      </c>
    </row>
    <row r="35" spans="1:6" ht="43.05" customHeight="1" x14ac:dyDescent="0.25">
      <c r="A35" s="1" t="s">
        <v>115</v>
      </c>
      <c r="B35" s="7" t="s">
        <v>116</v>
      </c>
      <c r="C35" s="7" t="s">
        <v>113</v>
      </c>
      <c r="D35" s="7" t="s">
        <v>117</v>
      </c>
      <c r="E35" s="7" t="s">
        <v>118</v>
      </c>
      <c r="F35" s="7" t="str">
        <f>HYPERLINK("http://www.melavalentina.it/","www.melavalentina.it")</f>
        <v>www.melavalentina.it</v>
      </c>
    </row>
    <row r="36" spans="1:6" ht="16.95" customHeight="1" x14ac:dyDescent="0.25">
      <c r="A36" s="6" t="s">
        <v>119</v>
      </c>
      <c r="B36" s="5" t="s">
        <v>120</v>
      </c>
      <c r="C36" s="5" t="s">
        <v>102</v>
      </c>
      <c r="D36" s="5" t="s">
        <v>121</v>
      </c>
      <c r="E36" s="5" t="s">
        <v>122</v>
      </c>
      <c r="F36" s="5" t="str">
        <f>HYPERLINK("http://www.multicedi.com/","www.multicedi.com/")</f>
        <v>www.multicedi.com/</v>
      </c>
    </row>
    <row r="37" spans="1:6" ht="43.05" customHeight="1" x14ac:dyDescent="0.25">
      <c r="A37" s="1" t="s">
        <v>123</v>
      </c>
      <c r="B37" s="7" t="s">
        <v>124</v>
      </c>
      <c r="C37" s="7" t="s">
        <v>125</v>
      </c>
      <c r="D37" s="7" t="s">
        <v>126</v>
      </c>
      <c r="E37" s="7" t="s">
        <v>110</v>
      </c>
      <c r="F37" s="7" t="str">
        <f>HYPERLINK("http://www.agriform.it/","www.agriform.it")</f>
        <v>www.agriform.it</v>
      </c>
    </row>
    <row r="38" spans="1:6" ht="43.05" customHeight="1" x14ac:dyDescent="0.25">
      <c r="A38" s="1" t="s">
        <v>129</v>
      </c>
      <c r="B38" s="7" t="s">
        <v>130</v>
      </c>
      <c r="C38" s="7" t="s">
        <v>131</v>
      </c>
      <c r="D38" s="7" t="s">
        <v>126</v>
      </c>
      <c r="E38" s="7" t="s">
        <v>110</v>
      </c>
      <c r="F38" s="7" t="str">
        <f>HYPERLINK("http://academy.coopscaligera.it/","academy.coopscaligera.it")</f>
        <v>academy.coopscaligera.it</v>
      </c>
    </row>
    <row r="39" spans="1:6" ht="43.05" customHeight="1" x14ac:dyDescent="0.25">
      <c r="A39" s="6" t="s">
        <v>132</v>
      </c>
      <c r="B39" s="5" t="s">
        <v>133</v>
      </c>
      <c r="C39" s="5" t="s">
        <v>113</v>
      </c>
      <c r="D39" s="5" t="s">
        <v>114</v>
      </c>
      <c r="E39" s="5" t="s">
        <v>110</v>
      </c>
      <c r="F39" s="5" t="str">
        <f>HYPERLINK("http://cantinadiconeglianoevittorioveneto.it/","cantinadiconeglianoevittorioveneto.it")</f>
        <v>cantinadiconeglianoevittorioveneto.it</v>
      </c>
    </row>
    <row r="40" spans="1:6" ht="29.55" customHeight="1" x14ac:dyDescent="0.25">
      <c r="A40" s="1" t="s">
        <v>134</v>
      </c>
      <c r="B40" s="7" t="s">
        <v>135</v>
      </c>
      <c r="C40" s="7" t="s">
        <v>102</v>
      </c>
      <c r="D40" s="7" t="s">
        <v>136</v>
      </c>
      <c r="E40" s="7" t="s">
        <v>137</v>
      </c>
      <c r="F40" s="7" t="str">
        <f>HYPERLINK("http://terraortitv.it/","terraortitv.it")</f>
        <v>terraortitv.it</v>
      </c>
    </row>
    <row r="41" spans="1:6" ht="43.05" customHeight="1" x14ac:dyDescent="0.25">
      <c r="A41" s="6" t="s">
        <v>138</v>
      </c>
      <c r="B41" s="5" t="s">
        <v>139</v>
      </c>
      <c r="C41" s="5" t="s">
        <v>102</v>
      </c>
      <c r="D41" s="5" t="s">
        <v>140</v>
      </c>
      <c r="E41" s="5" t="s">
        <v>122</v>
      </c>
      <c r="F41" s="5" t="str">
        <f>HYPERLINK("http://www.mpr-eu.it/","www.mpr-eu.it")</f>
        <v>www.mpr-eu.it</v>
      </c>
    </row>
    <row r="42" spans="1:6" ht="81.75" customHeight="1" x14ac:dyDescent="0.25">
      <c r="A42" s="1" t="s">
        <v>141</v>
      </c>
      <c r="B42" s="7" t="s">
        <v>142</v>
      </c>
      <c r="C42" s="7" t="s">
        <v>113</v>
      </c>
      <c r="D42" s="7" t="s">
        <v>126</v>
      </c>
      <c r="E42" s="7" t="s">
        <v>110</v>
      </c>
      <c r="F42" s="7" t="str">
        <f>HYPERLINK("http://shop.cantinaveneta.com/","shop.cantinaveneta.com")</f>
        <v>shop.cantinaveneta.com</v>
      </c>
    </row>
    <row r="43" spans="1:6" ht="29.55" customHeight="1" x14ac:dyDescent="0.25">
      <c r="A43" s="6" t="s">
        <v>143</v>
      </c>
      <c r="B43" s="5" t="s">
        <v>144</v>
      </c>
      <c r="C43" s="5" t="s">
        <v>145</v>
      </c>
      <c r="D43" s="5" t="s">
        <v>114</v>
      </c>
      <c r="E43" s="5" t="s">
        <v>110</v>
      </c>
      <c r="F43" s="5" t="str">
        <f>HYPERLINK("http://www.agricansiglio.it/","www.agricansiglio.it")</f>
        <v>www.agricansiglio.it</v>
      </c>
    </row>
    <row r="44" spans="1:6" ht="29.55" customHeight="1" x14ac:dyDescent="0.25">
      <c r="A44" s="1" t="s">
        <v>147</v>
      </c>
      <c r="B44" s="7" t="s">
        <v>148</v>
      </c>
      <c r="C44" s="7" t="s">
        <v>102</v>
      </c>
      <c r="D44" s="7" t="s">
        <v>136</v>
      </c>
      <c r="E44" s="7" t="s">
        <v>137</v>
      </c>
      <c r="F44" s="7" t="str">
        <f>HYPERLINK("http://www.apocsalerno.it/","www.apocsalerno.it")</f>
        <v>www.apocsalerno.it</v>
      </c>
    </row>
    <row r="45" spans="1:6" ht="55.65" customHeight="1" x14ac:dyDescent="0.25">
      <c r="A45" s="6" t="s">
        <v>149</v>
      </c>
      <c r="B45" s="5" t="s">
        <v>150</v>
      </c>
      <c r="C45" s="5" t="s">
        <v>151</v>
      </c>
      <c r="D45" s="5" t="s">
        <v>152</v>
      </c>
      <c r="E45" s="5" t="s">
        <v>153</v>
      </c>
      <c r="F45" s="5" t="str">
        <f>HYPERLINK("http://www.campiglione.it/","www.campiglione.it")</f>
        <v>www.campiglione.it</v>
      </c>
    </row>
    <row r="46" spans="1:6" ht="29.55" customHeight="1" x14ac:dyDescent="0.25">
      <c r="A46" s="1" t="s">
        <v>154</v>
      </c>
      <c r="B46" s="7" t="s">
        <v>155</v>
      </c>
      <c r="C46" s="7" t="s">
        <v>127</v>
      </c>
      <c r="D46" s="7" t="s">
        <v>156</v>
      </c>
      <c r="E46" s="7" t="s">
        <v>157</v>
      </c>
      <c r="F46" s="7" t="str">
        <f>HYPERLINK("http://www.assofruititalia.it/","www.assofruititalia.it")</f>
        <v>www.assofruititalia.it</v>
      </c>
    </row>
    <row r="47" spans="1:6" ht="55.65" customHeight="1" x14ac:dyDescent="0.25">
      <c r="A47" s="6" t="s">
        <v>158</v>
      </c>
      <c r="B47" s="5" t="s">
        <v>159</v>
      </c>
      <c r="C47" s="5" t="s">
        <v>102</v>
      </c>
      <c r="D47" s="5" t="s">
        <v>103</v>
      </c>
      <c r="E47" s="5" t="s">
        <v>104</v>
      </c>
      <c r="F47" s="5" t="str">
        <f>HYPERLINK("http://www.italiaortofrutta.it/","http://www.italiaortofrutta.it")</f>
        <v>http://www.italiaortofrutta.it</v>
      </c>
    </row>
    <row r="48" spans="1:6" ht="68.099999999999994" customHeight="1" x14ac:dyDescent="0.25">
      <c r="A48" s="6" t="s">
        <v>160</v>
      </c>
      <c r="B48" s="5" t="s">
        <v>161</v>
      </c>
      <c r="C48" s="5" t="s">
        <v>162</v>
      </c>
      <c r="D48" s="5" t="s">
        <v>163</v>
      </c>
      <c r="E48" s="5" t="s">
        <v>164</v>
      </c>
      <c r="F48" s="5" t="str">
        <f>HYPERLINK("http://www.vivairauscedo.com/","www.vivairauscedo.com")</f>
        <v>www.vivairauscedo.com</v>
      </c>
    </row>
    <row r="49" spans="1:6" ht="55.65" customHeight="1" x14ac:dyDescent="0.25">
      <c r="A49" s="1" t="s">
        <v>165</v>
      </c>
      <c r="B49" s="7" t="s">
        <v>166</v>
      </c>
      <c r="C49" s="7" t="s">
        <v>125</v>
      </c>
      <c r="D49" s="7" t="s">
        <v>167</v>
      </c>
      <c r="E49" s="7" t="s">
        <v>104</v>
      </c>
      <c r="F49" s="7" t="str">
        <f>HYPERLINK("http://www.consorzioagrarioparma.net/","www.consorzioagrarioparma.net")</f>
        <v>www.consorzioagrarioparma.net</v>
      </c>
    </row>
    <row r="50" spans="1:6" ht="81.75" customHeight="1" x14ac:dyDescent="0.25">
      <c r="A50" s="1" t="s">
        <v>168</v>
      </c>
      <c r="B50" s="7" t="s">
        <v>169</v>
      </c>
      <c r="C50" s="7" t="s">
        <v>113</v>
      </c>
      <c r="D50" s="7" t="s">
        <v>170</v>
      </c>
      <c r="E50" s="7" t="s">
        <v>171</v>
      </c>
      <c r="F50" s="7" t="str">
        <f>HYPERLINK("http://www.artistiperfrescobaldi.it/","www.artistiperfrescobaldi.it")</f>
        <v>www.artistiperfrescobaldi.it</v>
      </c>
    </row>
    <row r="51" spans="1:6" ht="29.55" customHeight="1" x14ac:dyDescent="0.25">
      <c r="A51" s="1" t="s">
        <v>172</v>
      </c>
      <c r="B51" s="7" t="s">
        <v>173</v>
      </c>
      <c r="C51" s="7" t="s">
        <v>146</v>
      </c>
      <c r="D51" s="7" t="s">
        <v>128</v>
      </c>
      <c r="E51" s="7" t="s">
        <v>104</v>
      </c>
      <c r="F51" s="7" t="str">
        <f>HYPERLINK("http://www.amadori.it/","www.amadori.it")</f>
        <v>www.amadori.it</v>
      </c>
    </row>
    <row r="52" spans="1:6" ht="29.55" customHeight="1" x14ac:dyDescent="0.25">
      <c r="A52" s="6" t="s">
        <v>174</v>
      </c>
      <c r="B52" s="5" t="s">
        <v>175</v>
      </c>
      <c r="C52" s="5" t="s">
        <v>102</v>
      </c>
      <c r="D52" s="5" t="s">
        <v>117</v>
      </c>
      <c r="E52" s="5" t="s">
        <v>118</v>
      </c>
      <c r="F52" s="5" t="str">
        <f>HYPERLINK("http://auditorium.santorsola.com/","auditorium.santorsola.com")</f>
        <v>auditorium.santorsola.com</v>
      </c>
    </row>
    <row r="53" spans="1:6" ht="55.65" customHeight="1" x14ac:dyDescent="0.25">
      <c r="A53" s="1" t="s">
        <v>176</v>
      </c>
      <c r="B53" s="7" t="s">
        <v>177</v>
      </c>
      <c r="C53" s="7" t="s">
        <v>102</v>
      </c>
      <c r="D53" s="7" t="s">
        <v>178</v>
      </c>
      <c r="E53" s="7" t="s">
        <v>179</v>
      </c>
      <c r="F53" s="7" t="str">
        <f>HYPERLINK("http://www.giulianopugliafruit.it/","www.giulianopugliafruit.it")</f>
        <v>www.giulianopugliafruit.it</v>
      </c>
    </row>
    <row r="54" spans="1:6" ht="55.65" customHeight="1" x14ac:dyDescent="0.25">
      <c r="A54" s="6" t="s">
        <v>180</v>
      </c>
      <c r="B54" s="5" t="s">
        <v>181</v>
      </c>
      <c r="C54" s="5" t="s">
        <v>182</v>
      </c>
      <c r="D54" s="5" t="s">
        <v>167</v>
      </c>
      <c r="E54" s="5" t="s">
        <v>104</v>
      </c>
      <c r="F54" s="5" t="str">
        <f>HYPERLINK("http://www.continentalsemences.com/","www.continentalsemences.com")</f>
        <v>www.continentalsemences.com</v>
      </c>
    </row>
    <row r="55" spans="1:6" ht="29.55" customHeight="1" x14ac:dyDescent="0.25">
      <c r="A55" s="1" t="s">
        <v>183</v>
      </c>
      <c r="B55" s="7" t="s">
        <v>184</v>
      </c>
      <c r="C55" s="7" t="s">
        <v>102</v>
      </c>
      <c r="D55" s="7" t="s">
        <v>185</v>
      </c>
      <c r="E55" s="7" t="s">
        <v>186</v>
      </c>
      <c r="F55" s="7" t="str">
        <f>HYPERLINK("http://www.opvalleverde.com/","www.opvalleverde.com")</f>
        <v>www.opvalleverde.com</v>
      </c>
    </row>
    <row r="56" spans="1:6" ht="43.05" customHeight="1" x14ac:dyDescent="0.25">
      <c r="A56" s="6" t="s">
        <v>187</v>
      </c>
      <c r="B56" s="5" t="s">
        <v>188</v>
      </c>
      <c r="C56" s="5" t="s">
        <v>145</v>
      </c>
      <c r="D56" s="5" t="s">
        <v>189</v>
      </c>
      <c r="E56" s="5" t="s">
        <v>118</v>
      </c>
      <c r="F56" s="5" t="str">
        <f>HYPERLINK("http://www.yogurtlattefieno.it/","www.yogurtlattefieno.it")</f>
        <v>www.yogurtlattefieno.it</v>
      </c>
    </row>
    <row r="57" spans="1:6" ht="81.75" customHeight="1" x14ac:dyDescent="0.25">
      <c r="A57" s="1" t="s">
        <v>190</v>
      </c>
      <c r="B57" s="7" t="s">
        <v>191</v>
      </c>
      <c r="C57" s="7" t="s">
        <v>192</v>
      </c>
      <c r="D57" s="7" t="s">
        <v>193</v>
      </c>
      <c r="E57" s="7" t="s">
        <v>194</v>
      </c>
      <c r="F57" s="7" t="str">
        <f>HYPERLINK("http://www.agraria.it/copra","www.agraria.it/copra")</f>
        <v>www.agraria.it/copra</v>
      </c>
    </row>
    <row r="58" spans="1:6" ht="29.55" customHeight="1" x14ac:dyDescent="0.25">
      <c r="A58" s="6" t="s">
        <v>195</v>
      </c>
      <c r="B58" s="5" t="s">
        <v>196</v>
      </c>
      <c r="C58" s="5" t="s">
        <v>197</v>
      </c>
      <c r="D58" s="5" t="s">
        <v>198</v>
      </c>
      <c r="E58" s="5" t="s">
        <v>199</v>
      </c>
      <c r="F58" s="5" t="str">
        <f>HYPERLINK("http://www.codive.it/promemoria.asp","www.codive.it/promemoria.asp")</f>
        <v>www.codive.it/promemoria.asp</v>
      </c>
    </row>
    <row r="59" spans="1:6" ht="43.05" customHeight="1" x14ac:dyDescent="0.25">
      <c r="A59" s="1" t="s">
        <v>200</v>
      </c>
      <c r="B59" s="7" t="s">
        <v>201</v>
      </c>
      <c r="C59" s="7" t="s">
        <v>192</v>
      </c>
      <c r="D59" s="7" t="s">
        <v>202</v>
      </c>
      <c r="E59" s="7" t="s">
        <v>203</v>
      </c>
      <c r="F59" s="7" t="str">
        <f>HYPERLINK("http://oliopoesia.terretruria.it/","oliopoesia.terretruria.it")</f>
        <v>oliopoesia.terretruria.it</v>
      </c>
    </row>
    <row r="60" spans="1:6" ht="43.05" customHeight="1" x14ac:dyDescent="0.25">
      <c r="A60" s="6" t="s">
        <v>204</v>
      </c>
      <c r="B60" s="5" t="s">
        <v>205</v>
      </c>
      <c r="C60" s="5" t="s">
        <v>206</v>
      </c>
      <c r="D60" s="5" t="s">
        <v>207</v>
      </c>
      <c r="E60" s="5" t="s">
        <v>199</v>
      </c>
      <c r="F60" s="5" t="str">
        <f>HYPERLINK("http://www.coopspazioshop.com/","www.coopspazioshop.com")</f>
        <v>www.coopspazioshop.com</v>
      </c>
    </row>
    <row r="61" spans="1:6" ht="29.55" customHeight="1" x14ac:dyDescent="0.25">
      <c r="A61" s="1" t="s">
        <v>208</v>
      </c>
      <c r="B61" s="7" t="s">
        <v>209</v>
      </c>
      <c r="C61" s="7" t="s">
        <v>210</v>
      </c>
      <c r="D61" s="7" t="s">
        <v>193</v>
      </c>
      <c r="E61" s="7" t="s">
        <v>194</v>
      </c>
      <c r="F61" s="7" t="str">
        <f>HYPERLINK("http://www.amadori.it/","www.amadori.it")</f>
        <v>www.amadori.it</v>
      </c>
    </row>
    <row r="62" spans="1:6" ht="43.05" customHeight="1" x14ac:dyDescent="0.25">
      <c r="A62" s="6" t="s">
        <v>211</v>
      </c>
      <c r="B62" s="5" t="s">
        <v>212</v>
      </c>
      <c r="C62" s="5" t="s">
        <v>192</v>
      </c>
      <c r="D62" s="5" t="s">
        <v>213</v>
      </c>
      <c r="E62" s="5" t="s">
        <v>214</v>
      </c>
      <c r="F62" s="5" t="str">
        <f>HYPERLINK("http://www.ccdp.it/","www.ccdp.it")</f>
        <v>www.ccdp.it</v>
      </c>
    </row>
    <row r="63" spans="1:6" ht="29.55" customHeight="1" x14ac:dyDescent="0.25">
      <c r="A63" s="1" t="s">
        <v>215</v>
      </c>
      <c r="B63" s="7" t="s">
        <v>216</v>
      </c>
      <c r="C63" s="7" t="s">
        <v>210</v>
      </c>
      <c r="D63" s="7" t="s">
        <v>217</v>
      </c>
      <c r="E63" s="7" t="s">
        <v>194</v>
      </c>
      <c r="F63" s="7" t="str">
        <f>HYPERLINK("http://www.agricolailsole.it/","www.agricolailsole.it")</f>
        <v>www.agricolailsole.it</v>
      </c>
    </row>
    <row r="64" spans="1:6" ht="29.55" customHeight="1" x14ac:dyDescent="0.25">
      <c r="A64" s="6" t="s">
        <v>218</v>
      </c>
      <c r="B64" s="5" t="s">
        <v>219</v>
      </c>
      <c r="C64" s="5" t="s">
        <v>220</v>
      </c>
      <c r="D64" s="5" t="s">
        <v>221</v>
      </c>
      <c r="E64" s="5" t="s">
        <v>222</v>
      </c>
      <c r="F64" s="5" t="str">
        <f>HYPERLINK("http://www.mastropasqua.it/italiano","www.mastropasqua.it/italiano")</f>
        <v>www.mastropasqua.it/italiano</v>
      </c>
    </row>
    <row r="65" spans="1:6" ht="43.05" customHeight="1" x14ac:dyDescent="0.25">
      <c r="A65" s="1" t="s">
        <v>223</v>
      </c>
      <c r="B65" s="7" t="s">
        <v>224</v>
      </c>
      <c r="C65" s="7" t="s">
        <v>206</v>
      </c>
      <c r="D65" s="7" t="s">
        <v>225</v>
      </c>
      <c r="E65" s="7" t="s">
        <v>214</v>
      </c>
      <c r="F65" s="7" t="str">
        <f>HYPERLINK("http://consorzioagrariolombardo.it/","consorzioagrariolombardo.it")</f>
        <v>consorzioagrariolombardo.it</v>
      </c>
    </row>
    <row r="66" spans="1:6" ht="29.55" customHeight="1" x14ac:dyDescent="0.25">
      <c r="A66" s="1" t="s">
        <v>226</v>
      </c>
      <c r="B66" s="7" t="s">
        <v>227</v>
      </c>
      <c r="C66" s="7" t="s">
        <v>192</v>
      </c>
      <c r="D66" s="7" t="s">
        <v>228</v>
      </c>
      <c r="E66" s="7" t="s">
        <v>194</v>
      </c>
      <c r="F66" s="7" t="str">
        <f>HYPERLINK("http://www.patfrut.com/","www.patfrut.com")</f>
        <v>www.patfrut.com</v>
      </c>
    </row>
    <row r="67" spans="1:6" ht="55.65" customHeight="1" x14ac:dyDescent="0.25">
      <c r="A67" s="6" t="s">
        <v>229</v>
      </c>
      <c r="B67" s="5" t="s">
        <v>230</v>
      </c>
      <c r="C67" s="5" t="s">
        <v>192</v>
      </c>
      <c r="D67" s="5" t="s">
        <v>231</v>
      </c>
      <c r="E67" s="5" t="s">
        <v>232</v>
      </c>
      <c r="F67" s="5" t="str">
        <f>HYPERLINK("http://www.serenestar.it/","http://www.serenestar.it")</f>
        <v>http://www.serenestar.it</v>
      </c>
    </row>
    <row r="68" spans="1:6" ht="55.65" customHeight="1" x14ac:dyDescent="0.25">
      <c r="A68" s="1" t="s">
        <v>233</v>
      </c>
      <c r="B68" s="7" t="s">
        <v>234</v>
      </c>
      <c r="C68" s="7" t="s">
        <v>206</v>
      </c>
      <c r="D68" s="7" t="s">
        <v>235</v>
      </c>
      <c r="E68" s="7" t="s">
        <v>232</v>
      </c>
      <c r="F68" s="7" t="str">
        <f>HYPERLINK("http://vip.coop/","vip.coop")</f>
        <v>vip.coop</v>
      </c>
    </row>
    <row r="69" spans="1:6" ht="29.55" customHeight="1" x14ac:dyDescent="0.25">
      <c r="A69" s="1" t="s">
        <v>237</v>
      </c>
      <c r="B69" s="7" t="s">
        <v>238</v>
      </c>
      <c r="C69" s="7" t="s">
        <v>210</v>
      </c>
      <c r="D69" s="7" t="s">
        <v>239</v>
      </c>
      <c r="E69" s="7" t="s">
        <v>240</v>
      </c>
      <c r="F69" s="7" t="str">
        <f>HYPERLINK("http://www.facebook.com/comitatosalvavallesina/","www.facebook.com/comitatosalvavallesina/")</f>
        <v>www.facebook.com/comitatosalvavallesina/</v>
      </c>
    </row>
    <row r="70" spans="1:6" ht="68.099999999999994" customHeight="1" x14ac:dyDescent="0.25">
      <c r="A70" s="6" t="s">
        <v>241</v>
      </c>
      <c r="B70" s="5" t="s">
        <v>242</v>
      </c>
      <c r="C70" s="5" t="s">
        <v>243</v>
      </c>
      <c r="D70" s="5" t="s">
        <v>236</v>
      </c>
      <c r="E70" s="5" t="s">
        <v>194</v>
      </c>
      <c r="F70" s="5" t="str">
        <f>HYPERLINK("http://www.consorzio-virgilio.it/","www.consorzio-virgilio.it")</f>
        <v>www.consorzio-virgilio.it</v>
      </c>
    </row>
    <row r="71" spans="1:6" ht="29.55" customHeight="1" x14ac:dyDescent="0.25">
      <c r="A71" s="6" t="s">
        <v>244</v>
      </c>
      <c r="B71" s="5" t="s">
        <v>245</v>
      </c>
      <c r="C71" s="5" t="s">
        <v>192</v>
      </c>
      <c r="D71" s="5" t="s">
        <v>246</v>
      </c>
      <c r="E71" s="5" t="s">
        <v>199</v>
      </c>
      <c r="F71" s="5" t="str">
        <f>HYPERLINK("http://www.estuariocarni.it/","www.estuariocarni.it")</f>
        <v>www.estuariocarni.it</v>
      </c>
    </row>
    <row r="72" spans="1:6" ht="29.55" customHeight="1" x14ac:dyDescent="0.25">
      <c r="A72" s="6" t="s">
        <v>247</v>
      </c>
      <c r="B72" s="5" t="s">
        <v>248</v>
      </c>
      <c r="C72" s="5" t="s">
        <v>210</v>
      </c>
      <c r="D72" s="5" t="s">
        <v>193</v>
      </c>
      <c r="E72" s="5" t="s">
        <v>194</v>
      </c>
      <c r="F72" s="5" t="str">
        <f>HYPERLINK("http://www.amadori.it/","www.amadori.it")</f>
        <v>www.amadori.it</v>
      </c>
    </row>
    <row r="73" spans="1:6" ht="94.2" customHeight="1" x14ac:dyDescent="0.25">
      <c r="A73" s="1" t="s">
        <v>249</v>
      </c>
      <c r="B73" s="7" t="s">
        <v>250</v>
      </c>
      <c r="C73" s="7" t="s">
        <v>206</v>
      </c>
      <c r="D73" s="7" t="s">
        <v>217</v>
      </c>
      <c r="E73" s="7" t="s">
        <v>194</v>
      </c>
      <c r="F73" s="7" t="str">
        <f>HYPERLINK("http://www.asipo.it/","www.asipo.it")</f>
        <v>www.asipo.it</v>
      </c>
    </row>
    <row r="74" spans="1:6" ht="29.55" customHeight="1" x14ac:dyDescent="0.25">
      <c r="A74" s="6" t="s">
        <v>251</v>
      </c>
      <c r="B74" s="5" t="s">
        <v>252</v>
      </c>
      <c r="C74" s="5" t="s">
        <v>192</v>
      </c>
      <c r="D74" s="5" t="s">
        <v>235</v>
      </c>
      <c r="E74" s="5" t="s">
        <v>232</v>
      </c>
      <c r="F74" s="5" t="str">
        <f>HYPERLINK("http://www.vog.it/it","http://www.vog.it/it")</f>
        <v>http://www.vog.it/it</v>
      </c>
    </row>
    <row r="75" spans="1:6" ht="132.75" customHeight="1" x14ac:dyDescent="0.25">
      <c r="A75" s="1" t="s">
        <v>253</v>
      </c>
      <c r="B75" s="7" t="s">
        <v>254</v>
      </c>
      <c r="C75" s="7" t="s">
        <v>255</v>
      </c>
      <c r="D75" s="7" t="s">
        <v>256</v>
      </c>
      <c r="E75" s="7" t="s">
        <v>257</v>
      </c>
      <c r="F75" s="7" t="str">
        <f>HYPERLINK("http://www.ladelizia.com/","http://www.ladelizia.com")</f>
        <v>http://www.ladelizia.com</v>
      </c>
    </row>
    <row r="76" spans="1:6" ht="43.05" customHeight="1" x14ac:dyDescent="0.25">
      <c r="A76" s="6" t="s">
        <v>258</v>
      </c>
      <c r="B76" s="5" t="s">
        <v>259</v>
      </c>
      <c r="C76" s="5" t="s">
        <v>255</v>
      </c>
      <c r="D76" s="5" t="s">
        <v>207</v>
      </c>
      <c r="E76" s="5" t="s">
        <v>199</v>
      </c>
      <c r="F76" s="5" t="str">
        <f>HYPERLINK("http://www.ponte1948.it/enoteca-villorba/","www.ponte1948.it/enoteca-villorba/")</f>
        <v>www.ponte1948.it/enoteca-villorba/</v>
      </c>
    </row>
    <row r="77" spans="1:6" ht="29.55" customHeight="1" x14ac:dyDescent="0.25">
      <c r="A77" s="1" t="s">
        <v>260</v>
      </c>
      <c r="B77" s="7" t="s">
        <v>261</v>
      </c>
      <c r="C77" s="7" t="s">
        <v>206</v>
      </c>
      <c r="D77" s="7" t="s">
        <v>262</v>
      </c>
      <c r="E77" s="7" t="s">
        <v>263</v>
      </c>
      <c r="F77" s="7" t="str">
        <f>HYPERLINK("http://www.sanlidano.it/","http://www.sanlidano.it")</f>
        <v>http://www.sanlidano.it</v>
      </c>
    </row>
    <row r="78" spans="1:6" ht="29.55" customHeight="1" x14ac:dyDescent="0.25">
      <c r="A78" s="6" t="s">
        <v>264</v>
      </c>
      <c r="B78" s="5" t="s">
        <v>265</v>
      </c>
      <c r="C78" s="5" t="s">
        <v>255</v>
      </c>
      <c r="D78" s="5" t="s">
        <v>202</v>
      </c>
      <c r="E78" s="5" t="s">
        <v>203</v>
      </c>
      <c r="F78" s="5" t="str">
        <f>HYPERLINK("http://www.ornellaia.com/","www.ornellaia.com")</f>
        <v>www.ornellaia.com</v>
      </c>
    </row>
    <row r="79" spans="1:6" ht="81.75" customHeight="1" x14ac:dyDescent="0.25">
      <c r="A79" s="1" t="s">
        <v>266</v>
      </c>
      <c r="B79" s="7" t="s">
        <v>267</v>
      </c>
      <c r="C79" s="7" t="s">
        <v>268</v>
      </c>
      <c r="D79" s="7" t="s">
        <v>231</v>
      </c>
      <c r="E79" s="7" t="s">
        <v>232</v>
      </c>
      <c r="F79" s="7" t="str">
        <f>HYPERLINK("http://www.lattetrento.it/","www.lattetrento.it")</f>
        <v>www.lattetrento.it</v>
      </c>
    </row>
    <row r="80" spans="1:6" ht="55.65" customHeight="1" x14ac:dyDescent="0.25">
      <c r="A80" s="6" t="s">
        <v>269</v>
      </c>
      <c r="B80" s="5" t="s">
        <v>270</v>
      </c>
      <c r="C80" s="5" t="s">
        <v>255</v>
      </c>
      <c r="D80" s="5" t="s">
        <v>198</v>
      </c>
      <c r="E80" s="5" t="s">
        <v>199</v>
      </c>
      <c r="F80" s="5" t="str">
        <f>HYPERLINK("http://www.cantinavalpantena.it/","www.cantinavalpantena.it")</f>
        <v>www.cantinavalpantena.it</v>
      </c>
    </row>
    <row r="81" spans="1:6" ht="43.05" customHeight="1" x14ac:dyDescent="0.25">
      <c r="A81" s="1" t="s">
        <v>271</v>
      </c>
      <c r="B81" s="7" t="s">
        <v>272</v>
      </c>
      <c r="C81" s="7" t="s">
        <v>273</v>
      </c>
      <c r="D81" s="7" t="s">
        <v>274</v>
      </c>
      <c r="E81" s="7" t="s">
        <v>275</v>
      </c>
      <c r="F81" s="7" t="str">
        <f>HYPERLINK("http://vip.coop/","vip.coop")</f>
        <v>vip.coop</v>
      </c>
    </row>
    <row r="82" spans="1:6" ht="81.75" customHeight="1" x14ac:dyDescent="0.25">
      <c r="A82" s="6" t="s">
        <v>276</v>
      </c>
      <c r="B82" s="5" t="s">
        <v>277</v>
      </c>
      <c r="C82" s="5" t="s">
        <v>278</v>
      </c>
      <c r="D82" s="5" t="s">
        <v>279</v>
      </c>
      <c r="E82" s="5" t="s">
        <v>280</v>
      </c>
      <c r="F82" s="5" t="str">
        <f>HYPERLINK("http://www.condifesatvb.it/","www.condifesatvb.it")</f>
        <v>www.condifesatvb.it</v>
      </c>
    </row>
    <row r="83" spans="1:6" ht="55.65" customHeight="1" x14ac:dyDescent="0.25">
      <c r="A83" s="1" t="s">
        <v>281</v>
      </c>
      <c r="B83" s="7" t="s">
        <v>282</v>
      </c>
      <c r="C83" s="7" t="s">
        <v>273</v>
      </c>
      <c r="D83" s="7" t="s">
        <v>283</v>
      </c>
      <c r="E83" s="7" t="s">
        <v>280</v>
      </c>
      <c r="F83" s="7" t="str">
        <f>HYPERLINK("http://www.opnordest.it/","www.opnordest.it")</f>
        <v>www.opnordest.it</v>
      </c>
    </row>
    <row r="84" spans="1:6" ht="81.75" customHeight="1" x14ac:dyDescent="0.25">
      <c r="A84" s="6" t="s">
        <v>284</v>
      </c>
      <c r="B84" s="5" t="s">
        <v>285</v>
      </c>
      <c r="C84" s="5" t="s">
        <v>273</v>
      </c>
      <c r="D84" s="5" t="s">
        <v>286</v>
      </c>
      <c r="E84" s="5" t="s">
        <v>287</v>
      </c>
      <c r="F84" s="5" t="str">
        <f>HYPERLINK("http://cesacsca.it/","cesacsca.it")</f>
        <v>cesacsca.it</v>
      </c>
    </row>
    <row r="85" spans="1:6" ht="43.05" customHeight="1" x14ac:dyDescent="0.25">
      <c r="A85" s="1" t="s">
        <v>288</v>
      </c>
      <c r="B85" s="7" t="s">
        <v>289</v>
      </c>
      <c r="C85" s="7" t="s">
        <v>273</v>
      </c>
      <c r="D85" s="7" t="s">
        <v>283</v>
      </c>
      <c r="E85" s="7" t="s">
        <v>280</v>
      </c>
      <c r="F85" s="7" t="str">
        <f>HYPERLINK("http://www.opdelgarda.it/","www.opdelgarda.it")</f>
        <v>www.opdelgarda.it</v>
      </c>
    </row>
    <row r="86" spans="1:6" ht="43.05" customHeight="1" x14ac:dyDescent="0.25">
      <c r="A86" s="6" t="s">
        <v>292</v>
      </c>
      <c r="B86" s="5" t="s">
        <v>293</v>
      </c>
      <c r="C86" s="5" t="s">
        <v>273</v>
      </c>
      <c r="D86" s="5" t="s">
        <v>274</v>
      </c>
      <c r="E86" s="5" t="s">
        <v>275</v>
      </c>
      <c r="F86" s="5" t="str">
        <f>HYPERLINK("http://www.vog.it/","http://www.vog.it")</f>
        <v>http://www.vog.it</v>
      </c>
    </row>
    <row r="87" spans="1:6" ht="29.55" customHeight="1" x14ac:dyDescent="0.25">
      <c r="A87" s="1" t="s">
        <v>295</v>
      </c>
      <c r="B87" s="7" t="s">
        <v>296</v>
      </c>
      <c r="C87" s="7" t="s">
        <v>273</v>
      </c>
      <c r="D87" s="7" t="s">
        <v>297</v>
      </c>
      <c r="E87" s="7" t="s">
        <v>298</v>
      </c>
      <c r="F87" s="7" t="str">
        <f>HYPERLINK("http://joinfruitfresh.it/","joinfruitfresh.it")</f>
        <v>joinfruitfresh.it</v>
      </c>
    </row>
    <row r="88" spans="1:6" ht="68.099999999999994" customHeight="1" x14ac:dyDescent="0.25">
      <c r="A88" s="6" t="s">
        <v>299</v>
      </c>
      <c r="B88" s="5" t="s">
        <v>300</v>
      </c>
      <c r="C88" s="5" t="s">
        <v>278</v>
      </c>
      <c r="D88" s="5" t="s">
        <v>301</v>
      </c>
      <c r="E88" s="5" t="s">
        <v>302</v>
      </c>
      <c r="F88" s="5" t="str">
        <f>HYPERLINK("http://www.opagora.it/","www.opagora.it")</f>
        <v>www.opagora.it</v>
      </c>
    </row>
    <row r="89" spans="1:6" ht="29.55" customHeight="1" x14ac:dyDescent="0.25">
      <c r="A89" s="6" t="s">
        <v>304</v>
      </c>
      <c r="B89" s="5" t="s">
        <v>305</v>
      </c>
      <c r="C89" s="5" t="s">
        <v>273</v>
      </c>
      <c r="D89" s="5" t="s">
        <v>306</v>
      </c>
      <c r="E89" s="5" t="s">
        <v>307</v>
      </c>
      <c r="F89" s="5" t="str">
        <f>HYPERLINK("http://www.unaproa.com/web/dettaglio_soci/302","www.unaproa.com/web/dettaglio_soci/302")</f>
        <v>www.unaproa.com/web/dettaglio_soci/302</v>
      </c>
    </row>
    <row r="90" spans="1:6" ht="43.05" customHeight="1" x14ac:dyDescent="0.25">
      <c r="A90" s="1" t="s">
        <v>308</v>
      </c>
      <c r="B90" s="7" t="s">
        <v>309</v>
      </c>
      <c r="C90" s="7" t="s">
        <v>273</v>
      </c>
      <c r="D90" s="7" t="s">
        <v>274</v>
      </c>
      <c r="E90" s="7" t="s">
        <v>275</v>
      </c>
      <c r="F90" s="7" t="str">
        <f>HYPERLINK("http://www.vip.coop/genossenschaften","www.vip.coop/genossenschaften")</f>
        <v>www.vip.coop/genossenschaften</v>
      </c>
    </row>
    <row r="91" spans="1:6" ht="29.55" customHeight="1" x14ac:dyDescent="0.25">
      <c r="A91" s="6" t="s">
        <v>310</v>
      </c>
      <c r="B91" s="5" t="s">
        <v>311</v>
      </c>
      <c r="C91" s="5" t="s">
        <v>273</v>
      </c>
      <c r="D91" s="5" t="s">
        <v>274</v>
      </c>
      <c r="E91" s="5" t="s">
        <v>275</v>
      </c>
      <c r="F91" s="5" t="str">
        <f>HYPERLINK("http://vip.coop/","vip.coop")</f>
        <v>vip.coop</v>
      </c>
    </row>
    <row r="92" spans="1:6" ht="29.55" customHeight="1" x14ac:dyDescent="0.25">
      <c r="A92" s="1" t="s">
        <v>312</v>
      </c>
      <c r="B92" s="7" t="s">
        <v>313</v>
      </c>
      <c r="C92" s="7" t="s">
        <v>314</v>
      </c>
      <c r="D92" s="7" t="s">
        <v>315</v>
      </c>
      <c r="E92" s="7" t="s">
        <v>287</v>
      </c>
      <c r="F92" s="7" t="str">
        <f>HYPERLINK("http://www.sisonweb.com/","www.sisonweb.com")</f>
        <v>www.sisonweb.com</v>
      </c>
    </row>
    <row r="93" spans="1:6" ht="29.55" customHeight="1" x14ac:dyDescent="0.25">
      <c r="A93" s="6" t="s">
        <v>316</v>
      </c>
      <c r="B93" s="5" t="s">
        <v>317</v>
      </c>
      <c r="C93" s="5" t="s">
        <v>278</v>
      </c>
      <c r="D93" s="5" t="s">
        <v>318</v>
      </c>
      <c r="E93" s="5" t="s">
        <v>319</v>
      </c>
      <c r="F93" s="5" t="str">
        <f>HYPERLINK("http://www.opoa.it/","www.opoa.it")</f>
        <v>www.opoa.it</v>
      </c>
    </row>
    <row r="94" spans="1:6" ht="55.65" customHeight="1" x14ac:dyDescent="0.25">
      <c r="A94" s="1" t="s">
        <v>320</v>
      </c>
      <c r="B94" s="7" t="s">
        <v>321</v>
      </c>
      <c r="C94" s="7" t="s">
        <v>322</v>
      </c>
      <c r="D94" s="7" t="s">
        <v>290</v>
      </c>
      <c r="E94" s="7" t="s">
        <v>291</v>
      </c>
      <c r="F94" s="7" t="str">
        <f>HYPERLINK("http://www.cadelbosco.com/","www.cadelbosco.com")</f>
        <v>www.cadelbosco.com</v>
      </c>
    </row>
    <row r="95" spans="1:6" ht="55.65" customHeight="1" x14ac:dyDescent="0.25">
      <c r="A95" s="6" t="s">
        <v>323</v>
      </c>
      <c r="B95" s="5" t="s">
        <v>324</v>
      </c>
      <c r="C95" s="5" t="s">
        <v>273</v>
      </c>
      <c r="D95" s="5" t="s">
        <v>325</v>
      </c>
      <c r="E95" s="5" t="s">
        <v>294</v>
      </c>
      <c r="F95" s="5" t="str">
        <f>HYPERLINK("http://www.unacoa.it/","www.unacoa.it")</f>
        <v>www.unacoa.it</v>
      </c>
    </row>
    <row r="96" spans="1:6" ht="55.65" customHeight="1" x14ac:dyDescent="0.25">
      <c r="A96" s="1" t="s">
        <v>326</v>
      </c>
      <c r="B96" s="7" t="s">
        <v>327</v>
      </c>
      <c r="C96" s="7" t="s">
        <v>322</v>
      </c>
      <c r="D96" s="7" t="s">
        <v>328</v>
      </c>
      <c r="E96" s="7" t="s">
        <v>329</v>
      </c>
      <c r="F96" s="7" t="str">
        <f>HYPERLINK("http://www.settesoli.it/","www.settesoli.it")</f>
        <v>www.settesoli.it</v>
      </c>
    </row>
    <row r="97" spans="1:6" ht="68.099999999999994" customHeight="1" x14ac:dyDescent="0.25">
      <c r="A97" s="6" t="s">
        <v>330</v>
      </c>
      <c r="B97" s="5" t="s">
        <v>331</v>
      </c>
      <c r="C97" s="5" t="s">
        <v>273</v>
      </c>
      <c r="D97" s="5" t="s">
        <v>332</v>
      </c>
      <c r="E97" s="5" t="s">
        <v>333</v>
      </c>
      <c r="F97" s="5" t="str">
        <f>HYPERLINK("http://www.apofoggia.it/","www.apofoggia.it")</f>
        <v>www.apofoggia.it</v>
      </c>
    </row>
    <row r="98" spans="1:6" ht="29.55" customHeight="1" x14ac:dyDescent="0.25">
      <c r="A98" s="1" t="s">
        <v>334</v>
      </c>
      <c r="B98" s="7" t="s">
        <v>335</v>
      </c>
      <c r="C98" s="7" t="s">
        <v>278</v>
      </c>
      <c r="D98" s="7" t="s">
        <v>325</v>
      </c>
      <c r="E98" s="7" t="s">
        <v>294</v>
      </c>
      <c r="F98" s="7" t="str">
        <f>HYPERLINK("http://finagricola.it/","finagricola.it")</f>
        <v>finagricola.it</v>
      </c>
    </row>
    <row r="99" spans="1:6" ht="29.55" customHeight="1" x14ac:dyDescent="0.25">
      <c r="A99" s="1" t="s">
        <v>336</v>
      </c>
      <c r="B99" s="7" t="s">
        <v>337</v>
      </c>
      <c r="C99" s="7" t="s">
        <v>273</v>
      </c>
      <c r="D99" s="7" t="s">
        <v>303</v>
      </c>
      <c r="E99" s="7" t="s">
        <v>287</v>
      </c>
      <c r="F99" s="7" t="str">
        <f>HYPERLINK("http://www.arpor.it/","www.arpor.it")</f>
        <v>www.arpor.it</v>
      </c>
    </row>
    <row r="100" spans="1:6" ht="29.55" customHeight="1" x14ac:dyDescent="0.25">
      <c r="A100" s="6" t="s">
        <v>338</v>
      </c>
      <c r="B100" s="5" t="s">
        <v>339</v>
      </c>
      <c r="C100" s="5" t="s">
        <v>273</v>
      </c>
      <c r="D100" s="5" t="s">
        <v>340</v>
      </c>
      <c r="E100" s="5" t="s">
        <v>341</v>
      </c>
      <c r="F100" s="5" t="str">
        <f>HYPERLINK("http://www.lecosflo.com/","www.lecosflo.com")</f>
        <v>www.lecosflo.com</v>
      </c>
    </row>
    <row r="101" spans="1:6" ht="43.05" customHeight="1" x14ac:dyDescent="0.25">
      <c r="A101" s="1" t="s">
        <v>342</v>
      </c>
      <c r="B101" s="7" t="s">
        <v>343</v>
      </c>
      <c r="C101" s="7" t="s">
        <v>273</v>
      </c>
      <c r="D101" s="7" t="s">
        <v>306</v>
      </c>
      <c r="E101" s="7" t="s">
        <v>307</v>
      </c>
      <c r="F101" s="7" t="str">
        <f>HYPERLINK("http://www.agrinsieme.com/","www.agrinsieme.com")</f>
        <v>www.agrinsieme.com</v>
      </c>
    </row>
    <row r="102" spans="1:6" ht="43.05" customHeight="1" x14ac:dyDescent="0.25">
      <c r="A102" s="6" t="s">
        <v>344</v>
      </c>
      <c r="B102" s="5" t="s">
        <v>345</v>
      </c>
      <c r="C102" s="5" t="s">
        <v>278</v>
      </c>
      <c r="D102" s="5" t="s">
        <v>346</v>
      </c>
      <c r="E102" s="5" t="s">
        <v>307</v>
      </c>
      <c r="F102" s="5" t="str">
        <f>HYPERLINK("http://www.consorziocopla.it/","www.consorziocopla.it")</f>
        <v>www.consorziocopla.it</v>
      </c>
    </row>
    <row r="103" spans="1:6" ht="68.099999999999994" customHeight="1" x14ac:dyDescent="0.25">
      <c r="A103" s="6" t="s">
        <v>347</v>
      </c>
      <c r="B103" s="5" t="s">
        <v>348</v>
      </c>
      <c r="C103" s="5" t="s">
        <v>349</v>
      </c>
      <c r="D103" s="5" t="s">
        <v>350</v>
      </c>
      <c r="E103" s="5" t="s">
        <v>287</v>
      </c>
      <c r="F103" s="5" t="str">
        <f>HYPERLINK("http://www.albaverde.com/","www.albaverde.com")</f>
        <v>www.albaverde.com</v>
      </c>
    </row>
    <row r="104" spans="1:6" ht="29.55" customHeight="1" x14ac:dyDescent="0.25">
      <c r="A104" s="1" t="s">
        <v>351</v>
      </c>
      <c r="B104" s="7" t="s">
        <v>352</v>
      </c>
      <c r="C104" s="7" t="s">
        <v>353</v>
      </c>
      <c r="D104" s="7" t="s">
        <v>325</v>
      </c>
      <c r="E104" s="7" t="s">
        <v>294</v>
      </c>
      <c r="F104" s="7" t="str">
        <f>HYPERLINK("http://www.ortomad.it/","www.ortomad.it")</f>
        <v>www.ortomad.it</v>
      </c>
    </row>
    <row r="105" spans="1:6" ht="68.099999999999994" customHeight="1" x14ac:dyDescent="0.25">
      <c r="A105" s="6" t="s">
        <v>354</v>
      </c>
      <c r="B105" s="5" t="s">
        <v>355</v>
      </c>
      <c r="C105" s="5" t="s">
        <v>273</v>
      </c>
      <c r="D105" s="5" t="s">
        <v>325</v>
      </c>
      <c r="E105" s="5" t="s">
        <v>294</v>
      </c>
      <c r="F105" s="5" t="str">
        <f>HYPERLINK("http://www.aoa.it/","www.aoa.it")</f>
        <v>www.aoa.it</v>
      </c>
    </row>
    <row r="106" spans="1:6" ht="29.55" customHeight="1" x14ac:dyDescent="0.25">
      <c r="A106" s="1" t="s">
        <v>356</v>
      </c>
      <c r="B106" s="7" t="s">
        <v>357</v>
      </c>
      <c r="C106" s="7" t="s">
        <v>358</v>
      </c>
      <c r="D106" s="7" t="s">
        <v>359</v>
      </c>
      <c r="E106" s="7" t="s">
        <v>360</v>
      </c>
      <c r="F106" s="7" t="str">
        <f>HYPERLINK("http://www.vog.it/","www.vog.it")</f>
        <v>www.vog.it</v>
      </c>
    </row>
    <row r="107" spans="1:6" ht="106.65" customHeight="1" x14ac:dyDescent="0.25">
      <c r="A107" s="6" t="s">
        <v>361</v>
      </c>
      <c r="B107" s="5" t="s">
        <v>362</v>
      </c>
      <c r="C107" s="5" t="s">
        <v>363</v>
      </c>
      <c r="D107" s="5" t="s">
        <v>364</v>
      </c>
      <c r="E107" s="5" t="s">
        <v>365</v>
      </c>
      <c r="F107" s="5" t="str">
        <f>HYPERLINK("http://collecavalieri.cantinatollo.it/","collecavalieri.cantinatollo.it")</f>
        <v>collecavalieri.cantinatollo.it</v>
      </c>
    </row>
    <row r="108" spans="1:6" ht="55.65" customHeight="1" x14ac:dyDescent="0.25">
      <c r="A108" s="1" t="s">
        <v>366</v>
      </c>
      <c r="B108" s="7" t="s">
        <v>367</v>
      </c>
      <c r="C108" s="7" t="s">
        <v>368</v>
      </c>
      <c r="D108" s="7" t="s">
        <v>369</v>
      </c>
      <c r="E108" s="7" t="s">
        <v>370</v>
      </c>
      <c r="F108" s="7" t="str">
        <f>HYPERLINK("http://www.promarche.it/","http://www.promarche.it")</f>
        <v>http://www.promarche.it</v>
      </c>
    </row>
    <row r="109" spans="1:6" ht="29.55" customHeight="1" x14ac:dyDescent="0.25">
      <c r="A109" s="6" t="s">
        <v>371</v>
      </c>
      <c r="B109" s="5" t="s">
        <v>372</v>
      </c>
      <c r="C109" s="5" t="s">
        <v>363</v>
      </c>
      <c r="D109" s="5" t="s">
        <v>373</v>
      </c>
      <c r="E109" s="5" t="s">
        <v>374</v>
      </c>
      <c r="F109" s="5" t="str">
        <f>HYPERLINK("http://www.femarvini.com/","www.femarvini.com")</f>
        <v>www.femarvini.com</v>
      </c>
    </row>
    <row r="110" spans="1:6" ht="43.05" customHeight="1" x14ac:dyDescent="0.25">
      <c r="A110" s="1" t="s">
        <v>375</v>
      </c>
      <c r="B110" s="7" t="s">
        <v>376</v>
      </c>
      <c r="C110" s="7" t="s">
        <v>358</v>
      </c>
      <c r="D110" s="7" t="s">
        <v>377</v>
      </c>
      <c r="E110" s="7" t="s">
        <v>378</v>
      </c>
      <c r="F110" s="7" t="str">
        <f>HYPERLINK("http://www.consorziofunghitreviso.it/","www.consorziofunghitreviso.it")</f>
        <v>www.consorziofunghitreviso.it</v>
      </c>
    </row>
    <row r="111" spans="1:6" ht="68.099999999999994" customHeight="1" x14ac:dyDescent="0.25">
      <c r="A111" s="1" t="s">
        <v>381</v>
      </c>
      <c r="B111" s="7" t="s">
        <v>382</v>
      </c>
      <c r="C111" s="7" t="s">
        <v>363</v>
      </c>
      <c r="D111" s="7" t="s">
        <v>383</v>
      </c>
      <c r="E111" s="7" t="s">
        <v>378</v>
      </c>
      <c r="F111" s="7" t="str">
        <f>HYPERLINK("http://www.cantinanegrar.it/","www.cantinanegrar.it")</f>
        <v>www.cantinanegrar.it</v>
      </c>
    </row>
    <row r="112" spans="1:6" ht="29.55" customHeight="1" x14ac:dyDescent="0.25">
      <c r="A112" s="6" t="s">
        <v>384</v>
      </c>
      <c r="B112" s="5" t="s">
        <v>385</v>
      </c>
      <c r="C112" s="5" t="s">
        <v>386</v>
      </c>
      <c r="D112" s="5" t="s">
        <v>387</v>
      </c>
      <c r="E112" s="5" t="s">
        <v>388</v>
      </c>
      <c r="F112" s="5" t="str">
        <f>HYPERLINK("http://www.centroseia.it/","www.centroseia.it")</f>
        <v>www.centroseia.it</v>
      </c>
    </row>
    <row r="113" spans="1:6" ht="29.55" customHeight="1" x14ac:dyDescent="0.25">
      <c r="A113" s="1" t="s">
        <v>389</v>
      </c>
      <c r="B113" s="7" t="s">
        <v>390</v>
      </c>
      <c r="C113" s="7" t="s">
        <v>368</v>
      </c>
      <c r="D113" s="7" t="s">
        <v>391</v>
      </c>
      <c r="E113" s="7" t="s">
        <v>378</v>
      </c>
      <c r="F113" s="7" t="str">
        <f>HYPERLINK("http://cosva-porto-tolle-soc-agr-coop.business.site/","cosva-porto-tolle-soc-agr-coop.business.site/")</f>
        <v>cosva-porto-tolle-soc-agr-coop.business.site/</v>
      </c>
    </row>
    <row r="114" spans="1:6" ht="55.65" customHeight="1" x14ac:dyDescent="0.25">
      <c r="A114" s="1" t="s">
        <v>393</v>
      </c>
      <c r="B114" s="7" t="s">
        <v>394</v>
      </c>
      <c r="C114" s="7" t="s">
        <v>363</v>
      </c>
      <c r="D114" s="7" t="s">
        <v>395</v>
      </c>
      <c r="E114" s="7" t="s">
        <v>396</v>
      </c>
      <c r="F114" s="7" t="str">
        <f>HYPERLINK("http://www.sassicaia.com/","www.sassicaia.com")</f>
        <v>www.sassicaia.com</v>
      </c>
    </row>
    <row r="115" spans="1:6" ht="43.05" customHeight="1" x14ac:dyDescent="0.25">
      <c r="A115" s="6" t="s">
        <v>397</v>
      </c>
      <c r="B115" s="5" t="s">
        <v>398</v>
      </c>
      <c r="C115" s="5" t="s">
        <v>363</v>
      </c>
      <c r="D115" s="5" t="s">
        <v>399</v>
      </c>
      <c r="E115" s="5" t="s">
        <v>400</v>
      </c>
      <c r="F115" s="5" t="str">
        <f>HYPERLINK("http://www.cantinesanmarzano.com/","www.cantinesanmarzano.com")</f>
        <v>www.cantinesanmarzano.com</v>
      </c>
    </row>
    <row r="116" spans="1:6" ht="55.65" customHeight="1" x14ac:dyDescent="0.25">
      <c r="A116" s="1" t="s">
        <v>401</v>
      </c>
      <c r="B116" s="7" t="s">
        <v>402</v>
      </c>
      <c r="C116" s="7" t="s">
        <v>358</v>
      </c>
      <c r="D116" s="7" t="s">
        <v>387</v>
      </c>
      <c r="E116" s="7" t="s">
        <v>388</v>
      </c>
      <c r="F116" s="7" t="str">
        <f>HYPERLINK("http://www.ioppi.eu/","www.ioppi.eu")</f>
        <v>www.ioppi.eu</v>
      </c>
    </row>
    <row r="117" spans="1:6" ht="43.05" customHeight="1" x14ac:dyDescent="0.25">
      <c r="A117" s="6" t="s">
        <v>403</v>
      </c>
      <c r="B117" s="5" t="s">
        <v>404</v>
      </c>
      <c r="C117" s="5" t="s">
        <v>363</v>
      </c>
      <c r="D117" s="5" t="s">
        <v>405</v>
      </c>
      <c r="E117" s="5" t="s">
        <v>406</v>
      </c>
      <c r="F117" s="5" t="str">
        <f>HYPERLINK("http://www.cantinaforlipredappio.it/","www.cantinaforlipredappio.it")</f>
        <v>www.cantinaforlipredappio.it</v>
      </c>
    </row>
    <row r="118" spans="1:6" ht="68.099999999999994" customHeight="1" x14ac:dyDescent="0.25">
      <c r="A118" s="1" t="s">
        <v>407</v>
      </c>
      <c r="B118" s="7" t="s">
        <v>408</v>
      </c>
      <c r="C118" s="7" t="s">
        <v>358</v>
      </c>
      <c r="D118" s="7" t="s">
        <v>409</v>
      </c>
      <c r="E118" s="7" t="s">
        <v>410</v>
      </c>
      <c r="F118" s="7" t="str">
        <f>HYPERLINK("http://www.centrocerealicarmagnola.it/","www.centrocerealicarmagnola.it")</f>
        <v>www.centrocerealicarmagnola.it</v>
      </c>
    </row>
    <row r="119" spans="1:6" ht="43.05" customHeight="1" x14ac:dyDescent="0.25">
      <c r="A119" s="1" t="s">
        <v>411</v>
      </c>
      <c r="B119" s="7" t="s">
        <v>412</v>
      </c>
      <c r="C119" s="7" t="s">
        <v>358</v>
      </c>
      <c r="D119" s="7" t="s">
        <v>379</v>
      </c>
      <c r="E119" s="7" t="s">
        <v>380</v>
      </c>
      <c r="F119" s="7" t="str">
        <f>HYPERLINK("http://www.ttitalia.it/","www.ttitalia.it")</f>
        <v>www.ttitalia.it</v>
      </c>
    </row>
    <row r="120" spans="1:6" ht="55.65" customHeight="1" x14ac:dyDescent="0.25">
      <c r="A120" s="6" t="s">
        <v>413</v>
      </c>
      <c r="B120" s="5" t="s">
        <v>414</v>
      </c>
      <c r="C120" s="5" t="s">
        <v>358</v>
      </c>
      <c r="D120" s="5" t="s">
        <v>405</v>
      </c>
      <c r="E120" s="5" t="s">
        <v>406</v>
      </c>
      <c r="F120" s="5" t="str">
        <f>HYPERLINK("http://www.orogelfresco.it/","www.orogelfresco.it")</f>
        <v>www.orogelfresco.it</v>
      </c>
    </row>
    <row r="121" spans="1:6" ht="43.05" customHeight="1" x14ac:dyDescent="0.25">
      <c r="A121" s="1" t="s">
        <v>415</v>
      </c>
      <c r="B121" s="7" t="s">
        <v>416</v>
      </c>
      <c r="C121" s="7" t="s">
        <v>358</v>
      </c>
      <c r="D121" s="7" t="s">
        <v>359</v>
      </c>
      <c r="E121" s="7" t="s">
        <v>360</v>
      </c>
      <c r="F121" s="7" t="str">
        <f>HYPERLINK("http://www.vip.coop/oveg","www.vip.coop/oveg")</f>
        <v>www.vip.coop/oveg</v>
      </c>
    </row>
    <row r="122" spans="1:6" ht="68.099999999999994" customHeight="1" x14ac:dyDescent="0.25">
      <c r="A122" s="6" t="s">
        <v>417</v>
      </c>
      <c r="B122" s="5" t="s">
        <v>418</v>
      </c>
      <c r="C122" s="5" t="s">
        <v>419</v>
      </c>
      <c r="D122" s="5" t="s">
        <v>405</v>
      </c>
      <c r="E122" s="5" t="s">
        <v>406</v>
      </c>
      <c r="F122" s="5" t="str">
        <f>HYPERLINK("http://cacseeds.it/","cacseeds.it")</f>
        <v>cacseeds.it</v>
      </c>
    </row>
    <row r="123" spans="1:6" ht="29.55" customHeight="1" x14ac:dyDescent="0.25">
      <c r="A123" s="1" t="s">
        <v>420</v>
      </c>
      <c r="B123" s="7" t="s">
        <v>421</v>
      </c>
      <c r="C123" s="7" t="s">
        <v>358</v>
      </c>
      <c r="D123" s="7" t="s">
        <v>422</v>
      </c>
      <c r="E123" s="7" t="s">
        <v>374</v>
      </c>
      <c r="F123" s="7" t="str">
        <f>HYPERLINK("http://www.agrieuropa.it/","www.agrieuropa.it")</f>
        <v>www.agrieuropa.it</v>
      </c>
    </row>
    <row r="124" spans="1:6" ht="29.55" customHeight="1" x14ac:dyDescent="0.25">
      <c r="A124" s="6" t="s">
        <v>423</v>
      </c>
      <c r="B124" s="5" t="s">
        <v>424</v>
      </c>
      <c r="C124" s="5" t="s">
        <v>425</v>
      </c>
      <c r="D124" s="5" t="s">
        <v>377</v>
      </c>
      <c r="E124" s="5" t="s">
        <v>378</v>
      </c>
      <c r="F124" s="5" t="str">
        <f>HYPERLINK("http://fiera.barcon.it/","fiera.barcon.it")</f>
        <v>fiera.barcon.it</v>
      </c>
    </row>
    <row r="125" spans="1:6" ht="16.95" customHeight="1" x14ac:dyDescent="0.25">
      <c r="A125" s="1" t="s">
        <v>426</v>
      </c>
      <c r="B125" s="7" t="s">
        <v>427</v>
      </c>
      <c r="C125" s="7" t="s">
        <v>386</v>
      </c>
      <c r="D125" s="7" t="s">
        <v>428</v>
      </c>
      <c r="E125" s="7" t="s">
        <v>392</v>
      </c>
      <c r="F125" s="7" t="str">
        <f>HYPERLINK("http://www.agrifood.it/","www.agrifood.it")</f>
        <v>www.agrifood.it</v>
      </c>
    </row>
    <row r="126" spans="1:6" ht="43.05" customHeight="1" x14ac:dyDescent="0.25">
      <c r="A126" s="6" t="s">
        <v>429</v>
      </c>
      <c r="B126" s="5" t="s">
        <v>430</v>
      </c>
      <c r="C126" s="5" t="s">
        <v>431</v>
      </c>
      <c r="D126" s="5" t="s">
        <v>432</v>
      </c>
      <c r="E126" s="5" t="s">
        <v>433</v>
      </c>
      <c r="F126" s="5" t="str">
        <f>HYPERLINK("http://www.opaltamura.com/","www.opaltamura.com")</f>
        <v>www.opaltamura.com</v>
      </c>
    </row>
    <row r="127" spans="1:6" ht="145.19999999999999" customHeight="1" x14ac:dyDescent="0.25">
      <c r="A127" s="1" t="s">
        <v>434</v>
      </c>
      <c r="B127" s="7" t="s">
        <v>435</v>
      </c>
      <c r="C127" s="7" t="s">
        <v>436</v>
      </c>
      <c r="D127" s="7" t="s">
        <v>437</v>
      </c>
      <c r="E127" s="7" t="s">
        <v>396</v>
      </c>
      <c r="F127" s="7" t="str">
        <f>HYPERLINK("http://www.banfi.it/","www.banfi.it")</f>
        <v>www.banfi.it</v>
      </c>
    </row>
    <row r="128" spans="1:6" ht="43.05" customHeight="1" x14ac:dyDescent="0.25">
      <c r="A128" s="6" t="s">
        <v>438</v>
      </c>
      <c r="B128" s="5" t="s">
        <v>439</v>
      </c>
      <c r="C128" s="5" t="s">
        <v>358</v>
      </c>
      <c r="D128" s="5" t="s">
        <v>440</v>
      </c>
      <c r="E128" s="5" t="s">
        <v>406</v>
      </c>
      <c r="F128" s="5" t="str">
        <f>HYPERLINK("http://www.maiscoltori.com/","www.maiscoltori.com")</f>
        <v>www.maiscoltori.com</v>
      </c>
    </row>
    <row r="129" spans="1:6" ht="43.05" customHeight="1" x14ac:dyDescent="0.25">
      <c r="A129" s="1" t="s">
        <v>441</v>
      </c>
      <c r="B129" s="7" t="s">
        <v>442</v>
      </c>
      <c r="C129" s="7" t="s">
        <v>431</v>
      </c>
      <c r="D129" s="7" t="s">
        <v>432</v>
      </c>
      <c r="E129" s="7" t="s">
        <v>433</v>
      </c>
      <c r="F129" s="7" t="str">
        <f>HYPERLINK("http://www.oplamaggiolina.it/","www.oplamaggiolina.it")</f>
        <v>www.oplamaggiolina.it</v>
      </c>
    </row>
    <row r="130" spans="1:6" ht="29.55" customHeight="1" x14ac:dyDescent="0.25">
      <c r="A130" s="6" t="s">
        <v>443</v>
      </c>
      <c r="B130" s="5" t="s">
        <v>444</v>
      </c>
      <c r="C130" s="5" t="s">
        <v>445</v>
      </c>
      <c r="D130" s="5" t="s">
        <v>446</v>
      </c>
      <c r="E130" s="5" t="s">
        <v>410</v>
      </c>
      <c r="F130" s="5" t="str">
        <f>HYPERLINK("http://www.europoll.it/","http://www.europoll.it")</f>
        <v>http://www.europoll.it</v>
      </c>
    </row>
    <row r="131" spans="1:6" ht="29.55" customHeight="1" x14ac:dyDescent="0.25">
      <c r="A131" s="1" t="s">
        <v>447</v>
      </c>
      <c r="B131" s="7" t="s">
        <v>448</v>
      </c>
      <c r="C131" s="7" t="s">
        <v>449</v>
      </c>
      <c r="D131" s="7" t="s">
        <v>377</v>
      </c>
      <c r="E131" s="7" t="s">
        <v>378</v>
      </c>
      <c r="F131" s="7" t="str">
        <f>HYPERLINK("http://www.colomberotto.it/","www.colomberotto.it")</f>
        <v>www.colomberotto.it</v>
      </c>
    </row>
    <row r="132" spans="1:6" ht="55.65" customHeight="1" x14ac:dyDescent="0.25">
      <c r="A132" s="6" t="s">
        <v>450</v>
      </c>
      <c r="B132" s="5" t="s">
        <v>451</v>
      </c>
      <c r="C132" s="5" t="s">
        <v>363</v>
      </c>
      <c r="D132" s="5" t="s">
        <v>377</v>
      </c>
      <c r="E132" s="5" t="s">
        <v>378</v>
      </c>
      <c r="F132" s="5" t="str">
        <f>HYPERLINK("http://www.collisoligo.com/","www.collisoligo.com")</f>
        <v>www.collisoligo.com</v>
      </c>
    </row>
    <row r="133" spans="1:6" ht="68.099999999999994" customHeight="1" x14ac:dyDescent="0.25">
      <c r="A133" s="1" t="s">
        <v>452</v>
      </c>
      <c r="B133" s="7" t="s">
        <v>453</v>
      </c>
      <c r="C133" s="7" t="s">
        <v>363</v>
      </c>
      <c r="D133" s="7" t="s">
        <v>377</v>
      </c>
      <c r="E133" s="7" t="s">
        <v>378</v>
      </c>
      <c r="F133" s="7" t="str">
        <f>HYPERLINK("http://www.cantinaproduttorivaldobbiadene.com/","www.cantinaproduttorivaldobbiadene.com")</f>
        <v>www.cantinaproduttorivaldobbiadene.com</v>
      </c>
    </row>
    <row r="134" spans="1:6" ht="43.05" customHeight="1" x14ac:dyDescent="0.25">
      <c r="A134" s="6" t="s">
        <v>454</v>
      </c>
      <c r="B134" s="5" t="s">
        <v>455</v>
      </c>
      <c r="C134" s="5" t="s">
        <v>368</v>
      </c>
      <c r="D134" s="5" t="s">
        <v>456</v>
      </c>
      <c r="E134" s="5" t="s">
        <v>400</v>
      </c>
      <c r="F134" s="5" t="str">
        <f>HYPERLINK("http://www.opapod.it/","www.opapod.it")</f>
        <v>www.opapod.it</v>
      </c>
    </row>
    <row r="135" spans="1:6" ht="29.55" customHeight="1" x14ac:dyDescent="0.25">
      <c r="A135" s="1" t="s">
        <v>457</v>
      </c>
      <c r="B135" s="7" t="s">
        <v>458</v>
      </c>
      <c r="C135" s="7" t="s">
        <v>459</v>
      </c>
      <c r="D135" s="7" t="s">
        <v>460</v>
      </c>
      <c r="E135" s="7" t="s">
        <v>461</v>
      </c>
      <c r="F135" s="7" t="str">
        <f>HYPERLINK("http://www.cheorto.biz/","www.cheorto.biz")</f>
        <v>www.cheorto.biz</v>
      </c>
    </row>
    <row r="136" spans="1:6" ht="81.75" customHeight="1" x14ac:dyDescent="0.25">
      <c r="A136" s="6" t="s">
        <v>462</v>
      </c>
      <c r="B136" s="5" t="s">
        <v>463</v>
      </c>
      <c r="C136" s="5" t="s">
        <v>464</v>
      </c>
      <c r="D136" s="5" t="s">
        <v>465</v>
      </c>
      <c r="E136" s="5" t="s">
        <v>466</v>
      </c>
      <c r="F136" s="5" t="str">
        <f>HYPERLINK("http://www.compral.it/","www.compral.it")</f>
        <v>www.compral.it</v>
      </c>
    </row>
    <row r="137" spans="1:6" ht="29.55" customHeight="1" x14ac:dyDescent="0.25">
      <c r="A137" s="1" t="s">
        <v>467</v>
      </c>
      <c r="B137" s="7" t="s">
        <v>468</v>
      </c>
      <c r="C137" s="7" t="s">
        <v>469</v>
      </c>
      <c r="D137" s="7" t="s">
        <v>470</v>
      </c>
      <c r="E137" s="7" t="s">
        <v>471</v>
      </c>
      <c r="F137" s="7" t="str">
        <f>HYPERLINK("http://www.bfagricola.it/","www.bfagricola.it")</f>
        <v>www.bfagricola.it</v>
      </c>
    </row>
    <row r="138" spans="1:6" ht="29.55" customHeight="1" x14ac:dyDescent="0.25">
      <c r="A138" s="6" t="s">
        <v>472</v>
      </c>
      <c r="B138" s="5" t="s">
        <v>473</v>
      </c>
      <c r="C138" s="5" t="s">
        <v>459</v>
      </c>
      <c r="D138" s="5" t="s">
        <v>474</v>
      </c>
      <c r="E138" s="5" t="s">
        <v>475</v>
      </c>
      <c r="F138" s="5" t="str">
        <f>HYPERLINK("http://zuppedistagione.futuragri.it/","zuppedistagione.futuragri.it")</f>
        <v>zuppedistagione.futuragri.it</v>
      </c>
    </row>
    <row r="139" spans="1:6" ht="29.55" customHeight="1" x14ac:dyDescent="0.25">
      <c r="A139" s="1" t="s">
        <v>476</v>
      </c>
      <c r="B139" s="7" t="s">
        <v>477</v>
      </c>
      <c r="C139" s="7" t="s">
        <v>478</v>
      </c>
      <c r="D139" s="7" t="s">
        <v>465</v>
      </c>
      <c r="E139" s="7" t="s">
        <v>466</v>
      </c>
      <c r="F139" s="7" t="str">
        <f>HYPERLINK("http://sanifrutta.com/","sanifrutta.com")</f>
        <v>sanifrutta.com</v>
      </c>
    </row>
    <row r="140" spans="1:6" ht="106.65" customHeight="1" x14ac:dyDescent="0.25">
      <c r="A140" s="6" t="s">
        <v>479</v>
      </c>
      <c r="B140" s="5" t="s">
        <v>480</v>
      </c>
      <c r="C140" s="5" t="s">
        <v>481</v>
      </c>
      <c r="D140" s="5" t="s">
        <v>482</v>
      </c>
      <c r="E140" s="5" t="s">
        <v>483</v>
      </c>
      <c r="F140" s="5" t="str">
        <f>HYPERLINK("http://www.donnafugata.it/","www.donnafugata.it")</f>
        <v>www.donnafugata.it</v>
      </c>
    </row>
    <row r="141" spans="1:6" ht="43.05" customHeight="1" x14ac:dyDescent="0.25">
      <c r="A141" s="1" t="s">
        <v>484</v>
      </c>
      <c r="B141" s="7" t="s">
        <v>485</v>
      </c>
      <c r="C141" s="7" t="s">
        <v>459</v>
      </c>
      <c r="D141" s="7" t="s">
        <v>474</v>
      </c>
      <c r="E141" s="7" t="s">
        <v>475</v>
      </c>
      <c r="F141" s="7" t="str">
        <f>HYPERLINK("http://www.agricolapricena.it/","www.agricolapricena.it")</f>
        <v>www.agricolapricena.it</v>
      </c>
    </row>
    <row r="142" spans="1:6" ht="43.05" customHeight="1" x14ac:dyDescent="0.25">
      <c r="A142" s="6" t="s">
        <v>486</v>
      </c>
      <c r="B142" s="5" t="s">
        <v>487</v>
      </c>
      <c r="C142" s="5" t="s">
        <v>459</v>
      </c>
      <c r="D142" s="5" t="s">
        <v>488</v>
      </c>
      <c r="E142" s="5" t="s">
        <v>489</v>
      </c>
      <c r="F142" s="5" t="str">
        <f>HYPERLINK("http://www.mytrentina.it/","www.mytrentina.it")</f>
        <v>www.mytrentina.it</v>
      </c>
    </row>
    <row r="143" spans="1:6" ht="55.65" customHeight="1" x14ac:dyDescent="0.25">
      <c r="A143" s="6" t="s">
        <v>491</v>
      </c>
      <c r="B143" s="5" t="s">
        <v>492</v>
      </c>
      <c r="C143" s="5" t="s">
        <v>459</v>
      </c>
      <c r="D143" s="5" t="s">
        <v>493</v>
      </c>
      <c r="E143" s="5" t="s">
        <v>483</v>
      </c>
      <c r="F143" s="5" t="str">
        <f>HYPERLINK("http://www.ilgallettoop.it/","www.ilgallettoop.it")</f>
        <v>www.ilgallettoop.it</v>
      </c>
    </row>
    <row r="144" spans="1:6" ht="106.65" customHeight="1" x14ac:dyDescent="0.25">
      <c r="A144" s="1" t="s">
        <v>494</v>
      </c>
      <c r="B144" s="7" t="s">
        <v>495</v>
      </c>
      <c r="C144" s="7" t="s">
        <v>481</v>
      </c>
      <c r="D144" s="7" t="s">
        <v>496</v>
      </c>
      <c r="E144" s="7" t="s">
        <v>497</v>
      </c>
      <c r="F144" s="7" t="str">
        <f>HYPERLINK("http://www.montelliana.it/","www.montelliana.it")</f>
        <v>www.montelliana.it</v>
      </c>
    </row>
    <row r="145" spans="1:6" ht="94.2" customHeight="1" x14ac:dyDescent="0.25">
      <c r="A145" s="6" t="s">
        <v>498</v>
      </c>
      <c r="B145" s="5" t="s">
        <v>499</v>
      </c>
      <c r="C145" s="5" t="s">
        <v>459</v>
      </c>
      <c r="D145" s="5" t="s">
        <v>500</v>
      </c>
      <c r="E145" s="5" t="s">
        <v>501</v>
      </c>
      <c r="F145" s="5" t="str">
        <f>HYPERLINK("http://www.opeurocom.it/","www.opeurocom.it")</f>
        <v>www.opeurocom.it</v>
      </c>
    </row>
    <row r="146" spans="1:6" ht="29.55" customHeight="1" x14ac:dyDescent="0.25">
      <c r="A146" s="1" t="s">
        <v>502</v>
      </c>
      <c r="B146" s="7" t="s">
        <v>503</v>
      </c>
      <c r="C146" s="7" t="s">
        <v>504</v>
      </c>
      <c r="D146" s="7" t="s">
        <v>505</v>
      </c>
      <c r="E146" s="7" t="s">
        <v>497</v>
      </c>
      <c r="F146" s="7" t="str">
        <f>HYPERLINK("http://agrisanmartino.com/","agrisanmartino.com")</f>
        <v>agrisanmartino.com</v>
      </c>
    </row>
    <row r="147" spans="1:6" ht="55.65" customHeight="1" x14ac:dyDescent="0.25">
      <c r="A147" s="6" t="s">
        <v>506</v>
      </c>
      <c r="B147" s="5" t="s">
        <v>507</v>
      </c>
      <c r="C147" s="5" t="s">
        <v>459</v>
      </c>
      <c r="D147" s="5" t="s">
        <v>508</v>
      </c>
      <c r="E147" s="5" t="s">
        <v>509</v>
      </c>
      <c r="F147" s="5" t="str">
        <f>HYPERLINK("http://www.covalpabruzzo.it/","www.covalpabruzzo.it")</f>
        <v>www.covalpabruzzo.it</v>
      </c>
    </row>
    <row r="148" spans="1:6" ht="43.05" customHeight="1" x14ac:dyDescent="0.25">
      <c r="A148" s="1" t="s">
        <v>510</v>
      </c>
      <c r="B148" s="7" t="s">
        <v>511</v>
      </c>
      <c r="C148" s="7" t="s">
        <v>459</v>
      </c>
      <c r="D148" s="7" t="s">
        <v>512</v>
      </c>
      <c r="E148" s="7" t="s">
        <v>489</v>
      </c>
      <c r="F148" s="7" t="str">
        <f>HYPERLINK("http://www.biosudtirol.com/","www.biosudtirol.com")</f>
        <v>www.biosudtirol.com</v>
      </c>
    </row>
    <row r="149" spans="1:6" ht="55.65" customHeight="1" x14ac:dyDescent="0.25">
      <c r="A149" s="6" t="s">
        <v>513</v>
      </c>
      <c r="B149" s="5" t="s">
        <v>514</v>
      </c>
      <c r="C149" s="5" t="s">
        <v>459</v>
      </c>
      <c r="D149" s="5" t="s">
        <v>515</v>
      </c>
      <c r="E149" s="5" t="s">
        <v>461</v>
      </c>
      <c r="F149" s="5" t="str">
        <f>HYPERLINK("http://www.assofrutti.com/","www.assofrutti.com")</f>
        <v>www.assofrutti.com</v>
      </c>
    </row>
    <row r="150" spans="1:6" ht="55.65" customHeight="1" x14ac:dyDescent="0.25">
      <c r="A150" s="1" t="s">
        <v>516</v>
      </c>
      <c r="B150" s="7" t="s">
        <v>517</v>
      </c>
      <c r="C150" s="7" t="s">
        <v>518</v>
      </c>
      <c r="D150" s="7" t="s">
        <v>519</v>
      </c>
      <c r="E150" s="7" t="s">
        <v>501</v>
      </c>
      <c r="F150" s="7" t="str">
        <f>HYPERLINK("http://www.apopa.it/","www.apopa.it")</f>
        <v>www.apopa.it</v>
      </c>
    </row>
    <row r="151" spans="1:6" ht="55.65" customHeight="1" x14ac:dyDescent="0.25">
      <c r="A151" s="6" t="s">
        <v>520</v>
      </c>
      <c r="B151" s="5" t="s">
        <v>521</v>
      </c>
      <c r="C151" s="5" t="s">
        <v>459</v>
      </c>
      <c r="D151" s="5" t="s">
        <v>522</v>
      </c>
      <c r="E151" s="5" t="s">
        <v>497</v>
      </c>
      <c r="F151" s="5" t="str">
        <f>HYPERLINK("http://www.cmcp.it/","www.cmcp.it")</f>
        <v>www.cmcp.it</v>
      </c>
    </row>
    <row r="152" spans="1:6" ht="29.55" customHeight="1" x14ac:dyDescent="0.25">
      <c r="A152" s="1" t="s">
        <v>523</v>
      </c>
      <c r="B152" s="7" t="s">
        <v>524</v>
      </c>
      <c r="C152" s="7" t="s">
        <v>518</v>
      </c>
      <c r="D152" s="7" t="s">
        <v>525</v>
      </c>
      <c r="E152" s="7" t="s">
        <v>483</v>
      </c>
      <c r="F152" s="7" t="str">
        <f>HYPERLINK("http://www.opgisacoop.it/","www.opgisacoop.it")</f>
        <v>www.opgisacoop.it</v>
      </c>
    </row>
    <row r="153" spans="1:6" ht="55.65" customHeight="1" x14ac:dyDescent="0.25">
      <c r="A153" s="6" t="s">
        <v>526</v>
      </c>
      <c r="B153" s="5" t="s">
        <v>527</v>
      </c>
      <c r="C153" s="5" t="s">
        <v>459</v>
      </c>
      <c r="D153" s="5" t="s">
        <v>528</v>
      </c>
      <c r="E153" s="5" t="s">
        <v>529</v>
      </c>
      <c r="F153" s="5" t="str">
        <f>HYPERLINK("http://op-soleerugiada.it/","op-soleerugiada.it")</f>
        <v>op-soleerugiada.it</v>
      </c>
    </row>
    <row r="154" spans="1:6" ht="16.95" customHeight="1" x14ac:dyDescent="0.25">
      <c r="A154" s="6" t="s">
        <v>530</v>
      </c>
      <c r="B154" s="5" t="s">
        <v>531</v>
      </c>
      <c r="C154" s="5" t="s">
        <v>478</v>
      </c>
      <c r="D154" s="5" t="s">
        <v>465</v>
      </c>
      <c r="E154" s="5" t="s">
        <v>466</v>
      </c>
      <c r="F154" s="5" t="str">
        <f>HYPERLINK("http://www.asprofrut.com/","www.asprofrut.com")</f>
        <v>www.asprofrut.com</v>
      </c>
    </row>
    <row r="155" spans="1:6" ht="43.05" customHeight="1" x14ac:dyDescent="0.25">
      <c r="A155" s="1" t="s">
        <v>532</v>
      </c>
      <c r="B155" s="7" t="s">
        <v>533</v>
      </c>
      <c r="C155" s="7" t="s">
        <v>459</v>
      </c>
      <c r="D155" s="7" t="s">
        <v>505</v>
      </c>
      <c r="E155" s="7" t="s">
        <v>497</v>
      </c>
      <c r="F155" s="7" t="str">
        <f>HYPERLINK("http://www.latteverona.it/","www.latteverona.it")</f>
        <v>www.latteverona.it</v>
      </c>
    </row>
    <row r="156" spans="1:6" ht="43.05" customHeight="1" x14ac:dyDescent="0.25">
      <c r="A156" s="6" t="s">
        <v>534</v>
      </c>
      <c r="B156" s="5" t="s">
        <v>535</v>
      </c>
      <c r="C156" s="5" t="s">
        <v>459</v>
      </c>
      <c r="D156" s="5" t="s">
        <v>512</v>
      </c>
      <c r="E156" s="5" t="s">
        <v>489</v>
      </c>
      <c r="F156" s="5" t="str">
        <f>HYPERLINK("http://www.vog.it/it/le-cooperative/coop-cafa-merano?id=38","www.vog.it/it/le-cooperative/coop-cafa-merano?id=38")</f>
        <v>www.vog.it/it/le-cooperative/coop-cafa-merano?id=38</v>
      </c>
    </row>
    <row r="157" spans="1:6" ht="29.55" customHeight="1" x14ac:dyDescent="0.25">
      <c r="A157" s="1" t="s">
        <v>536</v>
      </c>
      <c r="B157" s="7" t="s">
        <v>537</v>
      </c>
      <c r="C157" s="7" t="s">
        <v>538</v>
      </c>
      <c r="D157" s="7" t="s">
        <v>525</v>
      </c>
      <c r="E157" s="7" t="s">
        <v>483</v>
      </c>
      <c r="F157" s="7" t="str">
        <f>HYPERLINK("http://www.colledoro.com/","http://www.colledoro.com")</f>
        <v>http://www.colledoro.com</v>
      </c>
    </row>
    <row r="158" spans="1:6" ht="43.05" customHeight="1" x14ac:dyDescent="0.25">
      <c r="A158" s="1" t="s">
        <v>539</v>
      </c>
      <c r="B158" s="7" t="s">
        <v>540</v>
      </c>
      <c r="C158" s="7" t="s">
        <v>518</v>
      </c>
      <c r="D158" s="7" t="s">
        <v>541</v>
      </c>
      <c r="E158" s="7" t="s">
        <v>529</v>
      </c>
      <c r="F158" s="7" t="str">
        <f>HYPERLINK("http://www.ortonatura.org/","www.ortonatura.org")</f>
        <v>www.ortonatura.org</v>
      </c>
    </row>
    <row r="159" spans="1:6" ht="29.55" customHeight="1" x14ac:dyDescent="0.25">
      <c r="A159" s="1" t="s">
        <v>542</v>
      </c>
      <c r="B159" s="7" t="s">
        <v>543</v>
      </c>
      <c r="C159" s="7" t="s">
        <v>504</v>
      </c>
      <c r="D159" s="7" t="s">
        <v>544</v>
      </c>
      <c r="E159" s="7" t="s">
        <v>483</v>
      </c>
      <c r="F159" s="7" t="str">
        <f>HYPERLINK("http://www.siazsrl.com/","www.siazsrl.com")</f>
        <v>www.siazsrl.com</v>
      </c>
    </row>
    <row r="160" spans="1:6" ht="29.55" customHeight="1" x14ac:dyDescent="0.25">
      <c r="A160" s="6" t="s">
        <v>545</v>
      </c>
      <c r="B160" s="5" t="s">
        <v>546</v>
      </c>
      <c r="C160" s="5" t="s">
        <v>547</v>
      </c>
      <c r="D160" s="5" t="s">
        <v>474</v>
      </c>
      <c r="E160" s="5" t="s">
        <v>475</v>
      </c>
      <c r="F160" s="5" t="str">
        <f>HYPERLINK("http://www.mitaortofrutta.it/","www.mitaortofrutta.it")</f>
        <v>www.mitaortofrutta.it</v>
      </c>
    </row>
    <row r="161" spans="1:6" ht="16.95" customHeight="1" x14ac:dyDescent="0.25">
      <c r="A161" s="1" t="s">
        <v>548</v>
      </c>
      <c r="B161" s="7" t="s">
        <v>549</v>
      </c>
      <c r="C161" s="7" t="s">
        <v>459</v>
      </c>
      <c r="D161" s="7" t="s">
        <v>522</v>
      </c>
      <c r="E161" s="7" t="s">
        <v>497</v>
      </c>
      <c r="F161" s="7" t="str">
        <f>HYPERLINK("http://www.giardinolab.it/","www.giardinolab.it")</f>
        <v>www.giardinolab.it</v>
      </c>
    </row>
    <row r="162" spans="1:6" ht="29.55" customHeight="1" x14ac:dyDescent="0.25">
      <c r="A162" s="6" t="s">
        <v>550</v>
      </c>
      <c r="B162" s="5" t="s">
        <v>551</v>
      </c>
      <c r="C162" s="5" t="s">
        <v>518</v>
      </c>
      <c r="D162" s="5" t="s">
        <v>490</v>
      </c>
      <c r="E162" s="5" t="s">
        <v>466</v>
      </c>
      <c r="F162" s="5" t="str">
        <f>HYPERLINK("http://www.gsrcasteldelbosco.it/","www.gsrcasteldelbosco.it")</f>
        <v>www.gsrcasteldelbosco.it</v>
      </c>
    </row>
    <row r="163" spans="1:6" ht="29.55" customHeight="1" x14ac:dyDescent="0.25">
      <c r="A163" s="1" t="s">
        <v>552</v>
      </c>
      <c r="B163" s="7" t="s">
        <v>553</v>
      </c>
      <c r="C163" s="7" t="s">
        <v>554</v>
      </c>
      <c r="D163" s="7" t="s">
        <v>555</v>
      </c>
      <c r="E163" s="7" t="s">
        <v>556</v>
      </c>
      <c r="F163" s="7" t="str">
        <f>HYPERLINK("http://diva.aposcaligera.it/","diva.aposcaligera.it")</f>
        <v>diva.aposcaligera.it</v>
      </c>
    </row>
    <row r="164" spans="1:6" ht="29.55" customHeight="1" x14ac:dyDescent="0.25">
      <c r="A164" s="6" t="s">
        <v>557</v>
      </c>
      <c r="B164" s="5" t="s">
        <v>558</v>
      </c>
      <c r="C164" s="5" t="s">
        <v>554</v>
      </c>
      <c r="D164" s="5" t="s">
        <v>559</v>
      </c>
      <c r="E164" s="5" t="s">
        <v>560</v>
      </c>
      <c r="F164" s="5" t="str">
        <f>HYPERLINK("http://www.apora.it/","www.apora.it")</f>
        <v>www.apora.it</v>
      </c>
    </row>
    <row r="165" spans="1:6" ht="29.55" customHeight="1" x14ac:dyDescent="0.25">
      <c r="A165" s="1" t="s">
        <v>561</v>
      </c>
      <c r="B165" s="7" t="s">
        <v>562</v>
      </c>
      <c r="C165" s="7" t="s">
        <v>563</v>
      </c>
      <c r="D165" s="7" t="s">
        <v>564</v>
      </c>
      <c r="E165" s="7" t="s">
        <v>556</v>
      </c>
      <c r="F165" s="7" t="str">
        <f>HYPERLINK("http://cantinacona.it/","cantinacona.it")</f>
        <v>cantinacona.it</v>
      </c>
    </row>
    <row r="166" spans="1:6" ht="43.05" customHeight="1" x14ac:dyDescent="0.25">
      <c r="A166" s="1" t="s">
        <v>565</v>
      </c>
      <c r="B166" s="7" t="s">
        <v>566</v>
      </c>
      <c r="C166" s="7" t="s">
        <v>563</v>
      </c>
      <c r="D166" s="7" t="s">
        <v>567</v>
      </c>
      <c r="E166" s="7" t="s">
        <v>568</v>
      </c>
      <c r="F166" s="7" t="str">
        <f>HYPERLINK("http://cantinarauscedo.com/","cantinarauscedo.com")</f>
        <v>cantinarauscedo.com</v>
      </c>
    </row>
    <row r="167" spans="1:6" ht="29.55" customHeight="1" x14ac:dyDescent="0.25">
      <c r="A167" s="1" t="s">
        <v>570</v>
      </c>
      <c r="B167" s="7" t="s">
        <v>571</v>
      </c>
      <c r="C167" s="7" t="s">
        <v>572</v>
      </c>
      <c r="D167" s="7" t="s">
        <v>573</v>
      </c>
      <c r="E167" s="7" t="s">
        <v>574</v>
      </c>
      <c r="F167" s="7" t="str">
        <f>HYPERLINK("http://www.criver.com/","www.criver.com")</f>
        <v>www.criver.com</v>
      </c>
    </row>
    <row r="168" spans="1:6" ht="29.55" customHeight="1" x14ac:dyDescent="0.25">
      <c r="A168" s="6" t="s">
        <v>575</v>
      </c>
      <c r="B168" s="5" t="s">
        <v>576</v>
      </c>
      <c r="C168" s="5" t="s">
        <v>554</v>
      </c>
      <c r="D168" s="5" t="s">
        <v>577</v>
      </c>
      <c r="E168" s="5" t="s">
        <v>578</v>
      </c>
      <c r="F168" s="5" t="str">
        <f>HYPERLINK("http://www.agriverde.eu/","www.agriverde.eu")</f>
        <v>www.agriverde.eu</v>
      </c>
    </row>
    <row r="169" spans="1:6" ht="55.65" customHeight="1" x14ac:dyDescent="0.25">
      <c r="A169" s="1" t="s">
        <v>579</v>
      </c>
      <c r="B169" s="7" t="s">
        <v>580</v>
      </c>
      <c r="C169" s="7" t="s">
        <v>554</v>
      </c>
      <c r="D169" s="7" t="s">
        <v>581</v>
      </c>
      <c r="E169" s="7" t="s">
        <v>582</v>
      </c>
      <c r="F169" s="7" t="str">
        <f>HYPERLINK("http://www.vog.it/de/die-obstgenossenschaften/og-kurmark-unifrut","www.vog.it/de/die-obstgenossenschaften/og-kurmark-unifrut")</f>
        <v>www.vog.it/de/die-obstgenossenschaften/og-kurmark-unifrut</v>
      </c>
    </row>
    <row r="170" spans="1:6" ht="29.55" customHeight="1" x14ac:dyDescent="0.25">
      <c r="A170" s="6" t="s">
        <v>583</v>
      </c>
      <c r="B170" s="5" t="s">
        <v>584</v>
      </c>
      <c r="C170" s="5" t="s">
        <v>585</v>
      </c>
      <c r="D170" s="5" t="s">
        <v>586</v>
      </c>
      <c r="E170" s="5" t="s">
        <v>568</v>
      </c>
      <c r="F170" s="5" t="str">
        <f>HYPERLINK("http://cerealicolavieris.it/","cerealicolavieris.it")</f>
        <v>cerealicolavieris.it</v>
      </c>
    </row>
    <row r="171" spans="1:6" ht="16.95" customHeight="1" x14ac:dyDescent="0.25">
      <c r="A171" s="6" t="s">
        <v>587</v>
      </c>
      <c r="B171" s="5" t="s">
        <v>588</v>
      </c>
      <c r="C171" s="5" t="s">
        <v>563</v>
      </c>
      <c r="D171" s="5" t="s">
        <v>589</v>
      </c>
      <c r="E171" s="5" t="s">
        <v>590</v>
      </c>
      <c r="F171" s="5" t="str">
        <f>HYPERLINK("http://www.agrimessina.it/","www.agrimessina.it")</f>
        <v>www.agrimessina.it</v>
      </c>
    </row>
    <row r="172" spans="1:6" ht="43.05" customHeight="1" x14ac:dyDescent="0.25">
      <c r="A172" s="1" t="s">
        <v>591</v>
      </c>
      <c r="B172" s="7" t="s">
        <v>592</v>
      </c>
      <c r="C172" s="7" t="s">
        <v>554</v>
      </c>
      <c r="D172" s="7" t="s">
        <v>593</v>
      </c>
      <c r="E172" s="7" t="s">
        <v>594</v>
      </c>
      <c r="F172" s="7" t="str">
        <f>HYPERLINK("http://www.lattemaremma.it/","www.lattemaremma.it")</f>
        <v>www.lattemaremma.it</v>
      </c>
    </row>
    <row r="173" spans="1:6" ht="43.05" customHeight="1" x14ac:dyDescent="0.25">
      <c r="A173" s="6" t="s">
        <v>595</v>
      </c>
      <c r="B173" s="5" t="s">
        <v>596</v>
      </c>
      <c r="C173" s="5" t="s">
        <v>597</v>
      </c>
      <c r="D173" s="5" t="s">
        <v>598</v>
      </c>
      <c r="E173" s="5" t="s">
        <v>599</v>
      </c>
      <c r="F173" s="5" t="str">
        <f>HYPERLINK("http://florcoop.it/","florcoop.it")</f>
        <v>florcoop.it</v>
      </c>
    </row>
    <row r="174" spans="1:6" ht="132.75" customHeight="1" x14ac:dyDescent="0.25">
      <c r="A174" s="1" t="s">
        <v>600</v>
      </c>
      <c r="B174" s="7" t="s">
        <v>601</v>
      </c>
      <c r="C174" s="7" t="s">
        <v>563</v>
      </c>
      <c r="D174" s="7" t="s">
        <v>602</v>
      </c>
      <c r="E174" s="7" t="s">
        <v>603</v>
      </c>
      <c r="F174" s="7" t="str">
        <f>HYPERLINK("http://fazibattaglia.com/","fazibattaglia.com")</f>
        <v>fazibattaglia.com</v>
      </c>
    </row>
    <row r="175" spans="1:6" ht="43.05" customHeight="1" x14ac:dyDescent="0.25">
      <c r="A175" s="6" t="s">
        <v>604</v>
      </c>
      <c r="B175" s="5" t="s">
        <v>605</v>
      </c>
      <c r="C175" s="5" t="s">
        <v>554</v>
      </c>
      <c r="D175" s="5" t="s">
        <v>606</v>
      </c>
      <c r="E175" s="5" t="s">
        <v>607</v>
      </c>
      <c r="F175" s="5" t="str">
        <f>HYPERLINK("http://www.protab.it/","http://www.protab.it")</f>
        <v>http://www.protab.it</v>
      </c>
    </row>
    <row r="176" spans="1:6" ht="29.55" customHeight="1" x14ac:dyDescent="0.25">
      <c r="A176" s="1" t="s">
        <v>608</v>
      </c>
      <c r="B176" s="7" t="s">
        <v>609</v>
      </c>
      <c r="C176" s="7" t="s">
        <v>554</v>
      </c>
      <c r="D176" s="7" t="s">
        <v>555</v>
      </c>
      <c r="E176" s="7" t="s">
        <v>556</v>
      </c>
      <c r="F176" s="7" t="str">
        <f>HYPERLINK("http://www.ceradinigroup.com/","www.ceradinigroup.com")</f>
        <v>www.ceradinigroup.com</v>
      </c>
    </row>
    <row r="177" spans="1:6" ht="29.55" customHeight="1" x14ac:dyDescent="0.25">
      <c r="A177" s="1" t="s">
        <v>610</v>
      </c>
      <c r="B177" s="7" t="s">
        <v>611</v>
      </c>
      <c r="C177" s="7" t="s">
        <v>612</v>
      </c>
      <c r="D177" s="7" t="s">
        <v>559</v>
      </c>
      <c r="E177" s="7" t="s">
        <v>560</v>
      </c>
      <c r="F177" s="7" t="str">
        <f>HYPERLINK("http://www.amadori.it/","www.amadori.it")</f>
        <v>www.amadori.it</v>
      </c>
    </row>
    <row r="178" spans="1:6" ht="29.55" customHeight="1" x14ac:dyDescent="0.25">
      <c r="A178" s="6" t="s">
        <v>613</v>
      </c>
      <c r="B178" s="5" t="s">
        <v>614</v>
      </c>
      <c r="C178" s="5" t="s">
        <v>615</v>
      </c>
      <c r="D178" s="5" t="s">
        <v>616</v>
      </c>
      <c r="E178" s="5" t="s">
        <v>556</v>
      </c>
      <c r="F178" s="5" t="str">
        <f>HYPERLINK("http://www.agribagnolo.it/","www.agribagnolo.it")</f>
        <v>www.agribagnolo.it</v>
      </c>
    </row>
    <row r="179" spans="1:6" ht="29.55" customHeight="1" x14ac:dyDescent="0.25">
      <c r="A179" s="1" t="s">
        <v>617</v>
      </c>
      <c r="B179" s="7" t="s">
        <v>618</v>
      </c>
      <c r="C179" s="7" t="s">
        <v>563</v>
      </c>
      <c r="D179" s="7" t="s">
        <v>619</v>
      </c>
      <c r="E179" s="7" t="s">
        <v>578</v>
      </c>
      <c r="F179" s="7" t="str">
        <f>HYPERLINK("http://www.royalcontinental.it/","www.royalcontinental.it")</f>
        <v>www.royalcontinental.it</v>
      </c>
    </row>
    <row r="180" spans="1:6" ht="29.55" customHeight="1" x14ac:dyDescent="0.25">
      <c r="A180" s="6" t="s">
        <v>620</v>
      </c>
      <c r="B180" s="5" t="s">
        <v>621</v>
      </c>
      <c r="C180" s="5" t="s">
        <v>615</v>
      </c>
      <c r="D180" s="5" t="s">
        <v>622</v>
      </c>
      <c r="E180" s="5" t="s">
        <v>590</v>
      </c>
      <c r="F180" s="5" t="str">
        <f>HYPERLINK("http://www.caione.it/","www.caione.it")</f>
        <v>www.caione.it</v>
      </c>
    </row>
    <row r="181" spans="1:6" ht="16.95" customHeight="1" x14ac:dyDescent="0.25">
      <c r="A181" s="1" t="s">
        <v>623</v>
      </c>
      <c r="B181" s="7" t="s">
        <v>624</v>
      </c>
      <c r="C181" s="7" t="s">
        <v>569</v>
      </c>
      <c r="D181" s="7" t="s">
        <v>625</v>
      </c>
      <c r="E181" s="7" t="s">
        <v>574</v>
      </c>
      <c r="F181" s="7" t="str">
        <f>HYPERLINK("http://vallespluga.it/","vallespluga.it")</f>
        <v>vallespluga.it</v>
      </c>
    </row>
    <row r="182" spans="1:6" ht="29.55" customHeight="1" x14ac:dyDescent="0.25">
      <c r="A182" s="6" t="s">
        <v>626</v>
      </c>
      <c r="B182" s="5" t="s">
        <v>627</v>
      </c>
      <c r="C182" s="5" t="s">
        <v>628</v>
      </c>
      <c r="D182" s="5" t="s">
        <v>629</v>
      </c>
      <c r="E182" s="5" t="s">
        <v>630</v>
      </c>
      <c r="F182" s="5" t="str">
        <f>HYPERLINK("http://www.sicilioficodindia.com/","www.sicilioficodindia.com")</f>
        <v>www.sicilioficodindia.com</v>
      </c>
    </row>
    <row r="183" spans="1:6" ht="55.65" customHeight="1" x14ac:dyDescent="0.25">
      <c r="A183" s="1" t="s">
        <v>631</v>
      </c>
      <c r="B183" s="7" t="s">
        <v>632</v>
      </c>
      <c r="C183" s="7" t="s">
        <v>563</v>
      </c>
      <c r="D183" s="7" t="s">
        <v>581</v>
      </c>
      <c r="E183" s="7" t="s">
        <v>582</v>
      </c>
      <c r="F183" s="7" t="str">
        <f>HYPERLINK("http://stmichael.portal.kellereien.it/","stmichael.portal.kellereien.it")</f>
        <v>stmichael.portal.kellereien.it</v>
      </c>
    </row>
    <row r="184" spans="1:6" ht="29.55" customHeight="1" x14ac:dyDescent="0.25">
      <c r="A184" s="1" t="s">
        <v>633</v>
      </c>
      <c r="B184" s="7" t="s">
        <v>634</v>
      </c>
      <c r="C184" s="7" t="s">
        <v>554</v>
      </c>
      <c r="D184" s="7" t="s">
        <v>635</v>
      </c>
      <c r="E184" s="7" t="s">
        <v>578</v>
      </c>
      <c r="F184" s="7" t="str">
        <f>HYPERLINK("http://freshitaliansalad.it/","freshitaliansalad.it")</f>
        <v>freshitaliansalad.it</v>
      </c>
    </row>
    <row r="185" spans="1:6" ht="29.55" customHeight="1" x14ac:dyDescent="0.25">
      <c r="A185" s="1" t="s">
        <v>636</v>
      </c>
      <c r="B185" s="7" t="s">
        <v>637</v>
      </c>
      <c r="C185" s="7" t="s">
        <v>638</v>
      </c>
      <c r="D185" s="7" t="s">
        <v>639</v>
      </c>
      <c r="E185" s="7" t="s">
        <v>560</v>
      </c>
      <c r="F185" s="7" t="str">
        <f>HYPERLINK("http://www.h2orto.it/","www.h2orto.it")</f>
        <v>www.h2orto.it</v>
      </c>
    </row>
    <row r="186" spans="1:6" ht="55.65" customHeight="1" x14ac:dyDescent="0.25">
      <c r="A186" s="6" t="s">
        <v>640</v>
      </c>
      <c r="B186" s="5" t="s">
        <v>641</v>
      </c>
      <c r="C186" s="5" t="s">
        <v>563</v>
      </c>
      <c r="D186" s="5" t="s">
        <v>642</v>
      </c>
      <c r="E186" s="5" t="s">
        <v>578</v>
      </c>
      <c r="F186" s="5" t="str">
        <f>HYPERLINK("http://wineclub.tenutecapaldo.it/","wineclub.tenutecapaldo.it")</f>
        <v>wineclub.tenutecapaldo.it</v>
      </c>
    </row>
    <row r="187" spans="1:6" ht="29.55" customHeight="1" x14ac:dyDescent="0.25">
      <c r="A187" s="1" t="s">
        <v>643</v>
      </c>
      <c r="B187" s="7" t="s">
        <v>644</v>
      </c>
      <c r="C187" s="7" t="s">
        <v>645</v>
      </c>
      <c r="D187" s="7" t="s">
        <v>646</v>
      </c>
      <c r="E187" s="7" t="s">
        <v>647</v>
      </c>
      <c r="F187" s="7" t="str">
        <f>HYPERLINK("http://www.cantinavalledicembra.com/","www.cantinavalledicembra.com")</f>
        <v>www.cantinavalledicembra.com</v>
      </c>
    </row>
    <row r="188" spans="1:6" ht="55.65" customHeight="1" x14ac:dyDescent="0.25">
      <c r="A188" s="6" t="s">
        <v>648</v>
      </c>
      <c r="B188" s="5" t="s">
        <v>649</v>
      </c>
      <c r="C188" s="5" t="s">
        <v>650</v>
      </c>
      <c r="D188" s="5" t="s">
        <v>651</v>
      </c>
      <c r="E188" s="5" t="s">
        <v>652</v>
      </c>
      <c r="F188" s="5" t="str">
        <f>HYPERLINK("http://www.caseificioneviano.it/","www.caseificioneviano.it")</f>
        <v>www.caseificioneviano.it</v>
      </c>
    </row>
    <row r="189" spans="1:6" ht="68.099999999999994" customHeight="1" x14ac:dyDescent="0.25">
      <c r="A189" s="6" t="s">
        <v>655</v>
      </c>
      <c r="B189" s="5" t="s">
        <v>656</v>
      </c>
      <c r="C189" s="5" t="s">
        <v>645</v>
      </c>
      <c r="D189" s="5" t="s">
        <v>657</v>
      </c>
      <c r="E189" s="5" t="s">
        <v>647</v>
      </c>
      <c r="F189" s="5" t="str">
        <f>HYPERLINK("http://www.kellerei-terlan.com/","www.kellerei-terlan.com")</f>
        <v>www.kellerei-terlan.com</v>
      </c>
    </row>
    <row r="190" spans="1:6" ht="29.55" customHeight="1" x14ac:dyDescent="0.25">
      <c r="A190" s="1" t="s">
        <v>658</v>
      </c>
      <c r="B190" s="7" t="s">
        <v>659</v>
      </c>
      <c r="C190" s="7" t="s">
        <v>653</v>
      </c>
      <c r="D190" s="7" t="s">
        <v>660</v>
      </c>
      <c r="E190" s="7" t="s">
        <v>661</v>
      </c>
      <c r="F190" s="7" t="str">
        <f>HYPERLINK("http://www.eurocirce.it/","www.eurocirce.it")</f>
        <v>www.eurocirce.it</v>
      </c>
    </row>
    <row r="191" spans="1:6" ht="43.05" customHeight="1" x14ac:dyDescent="0.25">
      <c r="A191" s="6" t="s">
        <v>662</v>
      </c>
      <c r="B191" s="5" t="s">
        <v>663</v>
      </c>
      <c r="C191" s="5" t="s">
        <v>645</v>
      </c>
      <c r="D191" s="5" t="s">
        <v>664</v>
      </c>
      <c r="E191" s="5" t="s">
        <v>665</v>
      </c>
      <c r="F191" s="5" t="str">
        <f>HYPERLINK("http://www.frescobaldi.com/it/tenute/tenuta-castelgiocondo","www.frescobaldi.com/it/tenute/tenuta-castelgiocondo")</f>
        <v>www.frescobaldi.com/it/tenute/tenuta-castelgiocondo</v>
      </c>
    </row>
    <row r="192" spans="1:6" ht="29.55" customHeight="1" x14ac:dyDescent="0.25">
      <c r="A192" s="1" t="s">
        <v>666</v>
      </c>
      <c r="B192" s="7" t="s">
        <v>667</v>
      </c>
      <c r="C192" s="7" t="s">
        <v>668</v>
      </c>
      <c r="D192" s="7" t="s">
        <v>669</v>
      </c>
      <c r="E192" s="7" t="s">
        <v>670</v>
      </c>
      <c r="F192" s="7" t="str">
        <f>HYPERLINK("http://www.albabio.it/","www.albabio.it")</f>
        <v>www.albabio.it</v>
      </c>
    </row>
    <row r="193" spans="1:6" ht="29.55" customHeight="1" x14ac:dyDescent="0.25">
      <c r="A193" s="6" t="s">
        <v>671</v>
      </c>
      <c r="B193" s="5" t="s">
        <v>672</v>
      </c>
      <c r="C193" s="5" t="s">
        <v>673</v>
      </c>
      <c r="D193" s="5" t="s">
        <v>674</v>
      </c>
      <c r="E193" s="5" t="s">
        <v>675</v>
      </c>
      <c r="F193" s="5" t="str">
        <f>HYPERLINK("http://www.coopsementi.it/","http://www.coopsementi.it")</f>
        <v>http://www.coopsementi.it</v>
      </c>
    </row>
    <row r="194" spans="1:6" ht="29.55" customHeight="1" x14ac:dyDescent="0.25">
      <c r="A194" s="1" t="s">
        <v>676</v>
      </c>
      <c r="B194" s="7" t="s">
        <v>677</v>
      </c>
      <c r="C194" s="7" t="s">
        <v>678</v>
      </c>
      <c r="D194" s="7" t="s">
        <v>679</v>
      </c>
      <c r="E194" s="7" t="s">
        <v>680</v>
      </c>
      <c r="F194" s="7" t="str">
        <f>HYPERLINK("http://gallofrutta.it/","gallofrutta.it")</f>
        <v>gallofrutta.it</v>
      </c>
    </row>
    <row r="195" spans="1:6" ht="29.55" customHeight="1" x14ac:dyDescent="0.25">
      <c r="A195" s="6" t="s">
        <v>682</v>
      </c>
      <c r="B195" s="5" t="s">
        <v>683</v>
      </c>
      <c r="C195" s="5" t="s">
        <v>684</v>
      </c>
      <c r="D195" s="5" t="s">
        <v>685</v>
      </c>
      <c r="E195" s="5" t="s">
        <v>661</v>
      </c>
      <c r="F195" s="5" t="str">
        <f>HYPERLINK("http://www.zootecnicaviterbese.it/","www.zootecnicaviterbese.it")</f>
        <v>www.zootecnicaviterbese.it</v>
      </c>
    </row>
    <row r="196" spans="1:6" ht="29.55" customHeight="1" x14ac:dyDescent="0.25">
      <c r="A196" s="1" t="s">
        <v>686</v>
      </c>
      <c r="B196" s="7" t="s">
        <v>687</v>
      </c>
      <c r="C196" s="7" t="s">
        <v>678</v>
      </c>
      <c r="D196" s="7" t="s">
        <v>669</v>
      </c>
      <c r="E196" s="7" t="s">
        <v>670</v>
      </c>
      <c r="F196" s="7" t="str">
        <f>HYPERLINK("http://www.vittoriatomatoes.com/","http://www.vittoriatomatoes.com")</f>
        <v>http://www.vittoriatomatoes.com</v>
      </c>
    </row>
    <row r="197" spans="1:6" ht="43.05" customHeight="1" x14ac:dyDescent="0.25">
      <c r="A197" s="6" t="s">
        <v>688</v>
      </c>
      <c r="B197" s="5" t="s">
        <v>689</v>
      </c>
      <c r="C197" s="5" t="s">
        <v>645</v>
      </c>
      <c r="D197" s="5" t="s">
        <v>690</v>
      </c>
      <c r="E197" s="5" t="s">
        <v>675</v>
      </c>
      <c r="F197" s="5" t="str">
        <f>HYPERLINK("http://cantinaormelle.it/","cantinaormelle.it")</f>
        <v>cantinaormelle.it</v>
      </c>
    </row>
    <row r="198" spans="1:6" ht="29.55" customHeight="1" x14ac:dyDescent="0.25">
      <c r="A198" s="1" t="s">
        <v>691</v>
      </c>
      <c r="B198" s="7" t="s">
        <v>692</v>
      </c>
      <c r="C198" s="7" t="s">
        <v>693</v>
      </c>
      <c r="D198" s="7" t="s">
        <v>674</v>
      </c>
      <c r="E198" s="7" t="s">
        <v>675</v>
      </c>
      <c r="F198" s="7" t="str">
        <f>HYPERLINK("http://www.naturapollastre.com/","www.naturapollastre.com")</f>
        <v>www.naturapollastre.com</v>
      </c>
    </row>
    <row r="199" spans="1:6" ht="29.55" customHeight="1" x14ac:dyDescent="0.25">
      <c r="A199" s="6" t="s">
        <v>694</v>
      </c>
      <c r="B199" s="5" t="s">
        <v>695</v>
      </c>
      <c r="C199" s="5" t="s">
        <v>681</v>
      </c>
      <c r="D199" s="5" t="s">
        <v>696</v>
      </c>
      <c r="E199" s="5" t="s">
        <v>675</v>
      </c>
      <c r="F199" s="5" t="str">
        <f>HYPERLINK("http://www.lacalendula.it/","www.lacalendula.it")</f>
        <v>www.lacalendula.it</v>
      </c>
    </row>
    <row r="200" spans="1:6" ht="16.95" customHeight="1" x14ac:dyDescent="0.25">
      <c r="A200" s="1" t="s">
        <v>697</v>
      </c>
      <c r="B200" s="7" t="s">
        <v>698</v>
      </c>
      <c r="C200" s="7" t="s">
        <v>699</v>
      </c>
      <c r="D200" s="7" t="s">
        <v>700</v>
      </c>
      <c r="E200" s="7" t="s">
        <v>701</v>
      </c>
      <c r="F200" s="7" t="str">
        <f>HYPERLINK("http://wecup.it/","wecup.it")</f>
        <v>wecup.it</v>
      </c>
    </row>
    <row r="201" spans="1:6" ht="120.3" customHeight="1" x14ac:dyDescent="0.25">
      <c r="A201" s="6" t="s">
        <v>702</v>
      </c>
      <c r="B201" s="5" t="s">
        <v>703</v>
      </c>
      <c r="C201" s="5" t="s">
        <v>645</v>
      </c>
      <c r="D201" s="5" t="s">
        <v>646</v>
      </c>
      <c r="E201" s="5" t="s">
        <v>647</v>
      </c>
      <c r="F201" s="5" t="str">
        <f>HYPERLINK("http://www.cantinasocialetrento.it/","http://www.cantinasocialetrento.it")</f>
        <v>http://www.cantinasocialetrento.it</v>
      </c>
    </row>
    <row r="202" spans="1:6" ht="16.95" customHeight="1" x14ac:dyDescent="0.25">
      <c r="A202" s="6" t="s">
        <v>704</v>
      </c>
      <c r="B202" s="5" t="s">
        <v>705</v>
      </c>
      <c r="C202" s="5" t="s">
        <v>673</v>
      </c>
      <c r="D202" s="5" t="s">
        <v>706</v>
      </c>
      <c r="E202" s="5" t="s">
        <v>707</v>
      </c>
      <c r="F202" s="5" t="str">
        <f>HYPERLINK("http://www.tecnoseed.it/","www.tecnoseed.it")</f>
        <v>www.tecnoseed.it</v>
      </c>
    </row>
    <row r="203" spans="1:6" ht="29.55" customHeight="1" x14ac:dyDescent="0.25">
      <c r="A203" s="1" t="s">
        <v>708</v>
      </c>
      <c r="B203" s="7" t="s">
        <v>709</v>
      </c>
      <c r="C203" s="7" t="s">
        <v>678</v>
      </c>
      <c r="D203" s="7" t="s">
        <v>669</v>
      </c>
      <c r="E203" s="7" t="s">
        <v>670</v>
      </c>
      <c r="F203" s="7" t="str">
        <f>HYPERLINK("http://albaniop.it/","albaniop.it")</f>
        <v>albaniop.it</v>
      </c>
    </row>
    <row r="204" spans="1:6" ht="29.55" customHeight="1" x14ac:dyDescent="0.25">
      <c r="A204" s="1" t="s">
        <v>710</v>
      </c>
      <c r="B204" s="7" t="s">
        <v>711</v>
      </c>
      <c r="C204" s="7" t="s">
        <v>645</v>
      </c>
      <c r="D204" s="7" t="s">
        <v>657</v>
      </c>
      <c r="E204" s="7" t="s">
        <v>647</v>
      </c>
      <c r="F204" s="7" t="str">
        <f>HYPERLINK("http://www.kellereikaltern.com/","www.kellereikaltern.com")</f>
        <v>www.kellereikaltern.com</v>
      </c>
    </row>
    <row r="205" spans="1:6" ht="68.099999999999994" customHeight="1" x14ac:dyDescent="0.25">
      <c r="A205" s="6" t="s">
        <v>712</v>
      </c>
      <c r="B205" s="5" t="s">
        <v>713</v>
      </c>
      <c r="C205" s="5" t="s">
        <v>653</v>
      </c>
      <c r="D205" s="5" t="s">
        <v>714</v>
      </c>
      <c r="E205" s="5" t="s">
        <v>670</v>
      </c>
      <c r="F205" s="5" t="str">
        <f>HYPERLINK("http://www.leschettefruit.it/","www.leschettefruit.it")</f>
        <v>www.leschettefruit.it</v>
      </c>
    </row>
    <row r="206" spans="1:6" ht="55.65" customHeight="1" x14ac:dyDescent="0.25">
      <c r="A206" s="1" t="s">
        <v>715</v>
      </c>
      <c r="B206" s="7" t="s">
        <v>716</v>
      </c>
      <c r="C206" s="7" t="s">
        <v>650</v>
      </c>
      <c r="D206" s="7" t="s">
        <v>717</v>
      </c>
      <c r="E206" s="7" t="s">
        <v>652</v>
      </c>
      <c r="F206" s="7" t="str">
        <f>HYPERLINK("http://www.latteriasangiovanni.com/","www.latteriasangiovanni.com")</f>
        <v>www.latteriasangiovanni.com</v>
      </c>
    </row>
    <row r="207" spans="1:6" ht="68.099999999999994" customHeight="1" x14ac:dyDescent="0.25">
      <c r="A207" s="6" t="s">
        <v>718</v>
      </c>
      <c r="B207" s="5" t="s">
        <v>719</v>
      </c>
      <c r="C207" s="5" t="s">
        <v>678</v>
      </c>
      <c r="D207" s="5" t="s">
        <v>700</v>
      </c>
      <c r="E207" s="5" t="s">
        <v>701</v>
      </c>
      <c r="F207" s="5" t="str">
        <f>HYPERLINK("http://www.linegroup.it/pugliaviva","www.linegroup.it/pugliaviva")</f>
        <v>www.linegroup.it/pugliaviva</v>
      </c>
    </row>
    <row r="208" spans="1:6" ht="55.65" customHeight="1" x14ac:dyDescent="0.25">
      <c r="A208" s="1" t="s">
        <v>720</v>
      </c>
      <c r="B208" s="7" t="s">
        <v>721</v>
      </c>
      <c r="C208" s="7" t="s">
        <v>650</v>
      </c>
      <c r="D208" s="7" t="s">
        <v>722</v>
      </c>
      <c r="E208" s="7" t="s">
        <v>722</v>
      </c>
      <c r="F208" s="7" t="str">
        <f>HYPERLINK("http://www.fontina-valledaosta.it/","www.fontina-valledaosta.it")</f>
        <v>www.fontina-valledaosta.it</v>
      </c>
    </row>
    <row r="209" spans="1:6" ht="29.55" customHeight="1" x14ac:dyDescent="0.25">
      <c r="A209" s="6" t="s">
        <v>723</v>
      </c>
      <c r="B209" s="5" t="s">
        <v>724</v>
      </c>
      <c r="C209" s="5" t="s">
        <v>678</v>
      </c>
      <c r="D209" s="5" t="s">
        <v>725</v>
      </c>
      <c r="E209" s="5" t="s">
        <v>654</v>
      </c>
      <c r="F209" s="5" t="str">
        <f>HYPERLINK("http://www.giacciofrutta.it/","www.giacciofrutta.it/")</f>
        <v>www.giacciofrutta.it/</v>
      </c>
    </row>
    <row r="210" spans="1:6" ht="132.75" customHeight="1" x14ac:dyDescent="0.25">
      <c r="A210" s="1" t="s">
        <v>726</v>
      </c>
      <c r="B210" s="7" t="s">
        <v>727</v>
      </c>
      <c r="C210" s="7" t="s">
        <v>645</v>
      </c>
      <c r="D210" s="7" t="s">
        <v>728</v>
      </c>
      <c r="E210" s="7" t="s">
        <v>729</v>
      </c>
      <c r="F210" s="7" t="str">
        <f>HYPERLINK("http://www.sellaemosca.com/","http://www.sellaemosca.com")</f>
        <v>http://www.sellaemosca.com</v>
      </c>
    </row>
    <row r="211" spans="1:6" ht="43.05" customHeight="1" x14ac:dyDescent="0.25">
      <c r="A211" s="6" t="s">
        <v>730</v>
      </c>
      <c r="B211" s="5" t="s">
        <v>731</v>
      </c>
      <c r="C211" s="5" t="s">
        <v>645</v>
      </c>
      <c r="D211" s="5" t="s">
        <v>732</v>
      </c>
      <c r="E211" s="5" t="s">
        <v>675</v>
      </c>
      <c r="F211" s="5" t="str">
        <f>HYPERLINK("http://cantinaconselve.it/","cantinaconselve.it")</f>
        <v>cantinaconselve.it</v>
      </c>
    </row>
    <row r="212" spans="1:6" ht="132.75" customHeight="1" x14ac:dyDescent="0.25">
      <c r="A212" s="6" t="s">
        <v>733</v>
      </c>
      <c r="B212" s="5" t="s">
        <v>734</v>
      </c>
      <c r="C212" s="5" t="s">
        <v>735</v>
      </c>
      <c r="D212" s="5" t="s">
        <v>736</v>
      </c>
      <c r="E212" s="5" t="s">
        <v>665</v>
      </c>
      <c r="F212" s="5" t="str">
        <f>HYPERLINK("http://www.ricasoli.com/","www.ricasoli.com")</f>
        <v>www.ricasoli.com</v>
      </c>
    </row>
    <row r="213" spans="1:6" ht="29.55" customHeight="1" x14ac:dyDescent="0.25">
      <c r="A213" s="1" t="s">
        <v>737</v>
      </c>
      <c r="B213" s="7" t="s">
        <v>738</v>
      </c>
      <c r="C213" s="7" t="s">
        <v>739</v>
      </c>
      <c r="D213" s="7" t="s">
        <v>740</v>
      </c>
      <c r="E213" s="7" t="s">
        <v>741</v>
      </c>
      <c r="F213" s="7" t="str">
        <f>HYPERLINK("http://www.gruppoitalianovini.it/index.cfm","www.gruppoitalianovini.it/index.cfm")</f>
        <v>www.gruppoitalianovini.it/index.cfm</v>
      </c>
    </row>
    <row r="214" spans="1:6" ht="55.65" customHeight="1" x14ac:dyDescent="0.25">
      <c r="A214" s="6" t="s">
        <v>742</v>
      </c>
      <c r="B214" s="5" t="s">
        <v>743</v>
      </c>
      <c r="C214" s="5" t="s">
        <v>739</v>
      </c>
      <c r="D214" s="5" t="s">
        <v>744</v>
      </c>
      <c r="E214" s="5" t="s">
        <v>745</v>
      </c>
      <c r="F214" s="5" t="str">
        <f>HYPERLINK("http://secondulfo.com/","secondulfo.com")</f>
        <v>secondulfo.com</v>
      </c>
    </row>
    <row r="215" spans="1:6" ht="16.95" customHeight="1" x14ac:dyDescent="0.25">
      <c r="A215" s="6" t="s">
        <v>746</v>
      </c>
      <c r="B215" s="5" t="s">
        <v>747</v>
      </c>
      <c r="C215" s="5" t="s">
        <v>748</v>
      </c>
      <c r="D215" s="5" t="s">
        <v>749</v>
      </c>
      <c r="E215" s="5" t="s">
        <v>750</v>
      </c>
      <c r="F215" s="5" t="str">
        <f>HYPERLINK("http://www.cantinelecastella.com/","www.cantinelecastella.com")</f>
        <v>www.cantinelecastella.com</v>
      </c>
    </row>
    <row r="216" spans="1:6" ht="16.95" customHeight="1" x14ac:dyDescent="0.25">
      <c r="A216" s="1" t="s">
        <v>751</v>
      </c>
      <c r="B216" s="7" t="s">
        <v>752</v>
      </c>
      <c r="C216" s="7" t="s">
        <v>753</v>
      </c>
      <c r="D216" s="7" t="s">
        <v>754</v>
      </c>
      <c r="E216" s="7" t="s">
        <v>754</v>
      </c>
      <c r="F216" s="7" t="str">
        <f>HYPERLINK("http://www.casar1962.com/","www.casar1962.com")</f>
        <v>www.casar1962.com</v>
      </c>
    </row>
    <row r="217" spans="1:6" ht="16.95" customHeight="1" x14ac:dyDescent="0.25">
      <c r="A217" s="1" t="s">
        <v>757</v>
      </c>
      <c r="B217" s="7" t="s">
        <v>758</v>
      </c>
      <c r="C217" s="7" t="s">
        <v>759</v>
      </c>
      <c r="D217" s="7" t="s">
        <v>760</v>
      </c>
      <c r="E217" s="7" t="s">
        <v>756</v>
      </c>
      <c r="F217" s="7" t="str">
        <f>HYPERLINK("http://www.sesvanderhave.it/","www.sesvanderhave.it")</f>
        <v>www.sesvanderhave.it</v>
      </c>
    </row>
    <row r="218" spans="1:6" ht="29.55" customHeight="1" x14ac:dyDescent="0.25">
      <c r="A218" s="6" t="s">
        <v>761</v>
      </c>
      <c r="B218" s="5" t="s">
        <v>762</v>
      </c>
      <c r="C218" s="5" t="s">
        <v>748</v>
      </c>
      <c r="D218" s="5" t="s">
        <v>763</v>
      </c>
      <c r="E218" s="5" t="s">
        <v>741</v>
      </c>
      <c r="F218" s="5" t="str">
        <f>HYPERLINK("http://www.cantinaoderzo.it/","www.cantinaoderzo.it")</f>
        <v>www.cantinaoderzo.it</v>
      </c>
    </row>
    <row r="219" spans="1:6" ht="29.55" customHeight="1" x14ac:dyDescent="0.25">
      <c r="A219" s="1" t="s">
        <v>764</v>
      </c>
      <c r="B219" s="7" t="s">
        <v>765</v>
      </c>
      <c r="C219" s="7" t="s">
        <v>739</v>
      </c>
      <c r="D219" s="7" t="s">
        <v>766</v>
      </c>
      <c r="E219" s="7" t="s">
        <v>767</v>
      </c>
      <c r="F219" s="7" t="str">
        <f>HYPERLINK("http://www.pastalalucana.it/","www.pastalalucana.it")</f>
        <v>www.pastalalucana.it</v>
      </c>
    </row>
    <row r="220" spans="1:6" ht="68.099999999999994" customHeight="1" x14ac:dyDescent="0.25">
      <c r="A220" s="6" t="s">
        <v>768</v>
      </c>
      <c r="B220" s="5" t="s">
        <v>769</v>
      </c>
      <c r="C220" s="5" t="s">
        <v>739</v>
      </c>
      <c r="D220" s="5" t="s">
        <v>770</v>
      </c>
      <c r="E220" s="5" t="s">
        <v>771</v>
      </c>
      <c r="F220" s="5" t="str">
        <f>HYPERLINK("http://www.rivoira.it/","www.rivoira.it")</f>
        <v>www.rivoira.it</v>
      </c>
    </row>
    <row r="221" spans="1:6" ht="55.65" customHeight="1" x14ac:dyDescent="0.25">
      <c r="A221" s="1" t="s">
        <v>774</v>
      </c>
      <c r="B221" s="7" t="s">
        <v>775</v>
      </c>
      <c r="C221" s="7" t="s">
        <v>739</v>
      </c>
      <c r="D221" s="7" t="s">
        <v>776</v>
      </c>
      <c r="E221" s="7" t="s">
        <v>777</v>
      </c>
      <c r="F221" s="7" t="str">
        <f>HYPERLINK("http://spozentrum.it/","spozentrum.it")</f>
        <v>spozentrum.it</v>
      </c>
    </row>
    <row r="222" spans="1:6" ht="55.65" customHeight="1" x14ac:dyDescent="0.25">
      <c r="A222" s="6" t="s">
        <v>778</v>
      </c>
      <c r="B222" s="5" t="s">
        <v>779</v>
      </c>
      <c r="C222" s="5" t="s">
        <v>780</v>
      </c>
      <c r="D222" s="5" t="s">
        <v>781</v>
      </c>
      <c r="E222" s="5" t="s">
        <v>756</v>
      </c>
      <c r="F222" s="5" t="str">
        <f>HYPERLINK("http://conapibees.it/","conapibees.it")</f>
        <v>conapibees.it</v>
      </c>
    </row>
    <row r="223" spans="1:6" ht="145.19999999999999" customHeight="1" x14ac:dyDescent="0.25">
      <c r="A223" s="6" t="s">
        <v>782</v>
      </c>
      <c r="B223" s="5" t="s">
        <v>783</v>
      </c>
      <c r="C223" s="5" t="s">
        <v>748</v>
      </c>
      <c r="D223" s="5" t="s">
        <v>763</v>
      </c>
      <c r="E223" s="5" t="s">
        <v>741</v>
      </c>
      <c r="F223" s="5" t="str">
        <f>HYPERLINK("http://www.ilproseccobiologico.com/","www.ilproseccobiologico.com")</f>
        <v>www.ilproseccobiologico.com</v>
      </c>
    </row>
    <row r="224" spans="1:6" ht="94.2" customHeight="1" x14ac:dyDescent="0.25">
      <c r="A224" s="6" t="s">
        <v>784</v>
      </c>
      <c r="B224" s="5" t="s">
        <v>785</v>
      </c>
      <c r="C224" s="5" t="s">
        <v>748</v>
      </c>
      <c r="D224" s="5" t="s">
        <v>786</v>
      </c>
      <c r="E224" s="5" t="s">
        <v>787</v>
      </c>
      <c r="F224" s="5" t="str">
        <f>HYPERLINK("http://www.cantinabolzano.com/","www.cantinabolzano.com")</f>
        <v>www.cantinabolzano.com</v>
      </c>
    </row>
    <row r="225" spans="1:6" ht="16.95" customHeight="1" x14ac:dyDescent="0.25">
      <c r="A225" s="6" t="s">
        <v>788</v>
      </c>
      <c r="B225" s="5" t="s">
        <v>789</v>
      </c>
      <c r="C225" s="5" t="s">
        <v>739</v>
      </c>
      <c r="D225" s="5" t="s">
        <v>790</v>
      </c>
      <c r="E225" s="5" t="s">
        <v>791</v>
      </c>
      <c r="F225" s="5" t="str">
        <f>HYPERLINK("http://www.agrifort.it/","www.agrifort.it")</f>
        <v>www.agrifort.it</v>
      </c>
    </row>
    <row r="226" spans="1:6" ht="29.55" customHeight="1" x14ac:dyDescent="0.25">
      <c r="A226" s="6" t="s">
        <v>792</v>
      </c>
      <c r="B226" s="5" t="s">
        <v>793</v>
      </c>
      <c r="C226" s="5" t="s">
        <v>753</v>
      </c>
      <c r="D226" s="5" t="s">
        <v>794</v>
      </c>
      <c r="E226" s="5" t="s">
        <v>795</v>
      </c>
      <c r="F226" s="5" t="str">
        <f>HYPERLINK("http://www.agruva.com/","www.agruva.com")</f>
        <v>www.agruva.com</v>
      </c>
    </row>
    <row r="227" spans="1:6" ht="29.55" customHeight="1" x14ac:dyDescent="0.25">
      <c r="A227" s="6" t="s">
        <v>797</v>
      </c>
      <c r="B227" s="5" t="s">
        <v>798</v>
      </c>
      <c r="C227" s="5" t="s">
        <v>739</v>
      </c>
      <c r="D227" s="5" t="s">
        <v>772</v>
      </c>
      <c r="E227" s="5" t="s">
        <v>773</v>
      </c>
      <c r="F227" s="5" t="str">
        <f>HYPERLINK("http://www.campisitalia.com/","www.campisitalia.com")</f>
        <v>www.campisitalia.com</v>
      </c>
    </row>
    <row r="228" spans="1:6" ht="29.55" customHeight="1" x14ac:dyDescent="0.25">
      <c r="A228" s="6" t="s">
        <v>799</v>
      </c>
      <c r="B228" s="5" t="s">
        <v>800</v>
      </c>
      <c r="C228" s="5" t="s">
        <v>739</v>
      </c>
      <c r="D228" s="5" t="s">
        <v>770</v>
      </c>
      <c r="E228" s="5" t="s">
        <v>771</v>
      </c>
      <c r="F228" s="5" t="str">
        <f>HYPERLINK("http://www.carnidepetris.com/","www.carnidepetris.com")</f>
        <v>www.carnidepetris.com</v>
      </c>
    </row>
    <row r="229" spans="1:6" ht="29.55" customHeight="1" x14ac:dyDescent="0.25">
      <c r="A229" s="6" t="s">
        <v>801</v>
      </c>
      <c r="B229" s="5" t="s">
        <v>802</v>
      </c>
      <c r="C229" s="5" t="s">
        <v>755</v>
      </c>
      <c r="D229" s="5" t="s">
        <v>770</v>
      </c>
      <c r="E229" s="5" t="s">
        <v>771</v>
      </c>
      <c r="F229" s="5" t="str">
        <f>HYPERLINK("http://www.avigel.it/","www.avigel.it")</f>
        <v>www.avigel.it</v>
      </c>
    </row>
    <row r="230" spans="1:6" ht="29.55" customHeight="1" x14ac:dyDescent="0.25">
      <c r="A230" s="1" t="s">
        <v>803</v>
      </c>
      <c r="B230" s="7" t="s">
        <v>804</v>
      </c>
      <c r="C230" s="7" t="s">
        <v>748</v>
      </c>
      <c r="D230" s="7" t="s">
        <v>805</v>
      </c>
      <c r="E230" s="7" t="s">
        <v>756</v>
      </c>
      <c r="F230" s="7" t="str">
        <f>HYPERLINK("http://emiliawine.eu/","emiliawine.eu")</f>
        <v>emiliawine.eu</v>
      </c>
    </row>
    <row r="231" spans="1:6" ht="29.55" customHeight="1" x14ac:dyDescent="0.25">
      <c r="A231" s="6" t="s">
        <v>806</v>
      </c>
      <c r="B231" s="5" t="s">
        <v>807</v>
      </c>
      <c r="C231" s="5" t="s">
        <v>808</v>
      </c>
      <c r="D231" s="5" t="s">
        <v>809</v>
      </c>
      <c r="E231" s="5" t="s">
        <v>756</v>
      </c>
      <c r="F231" s="5" t="str">
        <f>HYPERLINK("http://www.igtoniolo.it/","www.igtoniolo.it")</f>
        <v>www.igtoniolo.it</v>
      </c>
    </row>
    <row r="232" spans="1:6" ht="16.95" customHeight="1" x14ac:dyDescent="0.25">
      <c r="A232" s="6" t="s">
        <v>810</v>
      </c>
      <c r="B232" s="5" t="s">
        <v>811</v>
      </c>
      <c r="C232" s="5" t="s">
        <v>796</v>
      </c>
      <c r="D232" s="5" t="s">
        <v>744</v>
      </c>
      <c r="E232" s="5" t="s">
        <v>745</v>
      </c>
      <c r="F232" s="5" t="str">
        <f>HYPERLINK("http://www.apocampania.it/","www.apocampania.it")</f>
        <v>www.apocampania.it</v>
      </c>
    </row>
    <row r="233" spans="1:6" ht="29.55" customHeight="1" x14ac:dyDescent="0.25">
      <c r="A233" s="1" t="s">
        <v>812</v>
      </c>
      <c r="B233" s="7" t="s">
        <v>813</v>
      </c>
      <c r="C233" s="7" t="s">
        <v>814</v>
      </c>
      <c r="D233" s="7" t="s">
        <v>815</v>
      </c>
      <c r="E233" s="7" t="s">
        <v>816</v>
      </c>
      <c r="F233" s="7" t="str">
        <f>HYPERLINK("http://www.cooplaflacca.it/","www.cooplaflacca.it")</f>
        <v>www.cooplaflacca.it</v>
      </c>
    </row>
    <row r="234" spans="1:6" ht="29.55" customHeight="1" x14ac:dyDescent="0.25">
      <c r="A234" s="6" t="s">
        <v>817</v>
      </c>
      <c r="B234" s="5" t="s">
        <v>818</v>
      </c>
      <c r="C234" s="5" t="s">
        <v>819</v>
      </c>
      <c r="D234" s="5" t="s">
        <v>820</v>
      </c>
      <c r="E234" s="5" t="s">
        <v>821</v>
      </c>
      <c r="F234" s="5" t="str">
        <f>HYPERLINK("http://www.solfrutta.com/","www.solfrutta.com")</f>
        <v>www.solfrutta.com</v>
      </c>
    </row>
    <row r="235" spans="1:6" ht="68.099999999999994" customHeight="1" x14ac:dyDescent="0.25">
      <c r="A235" s="1" t="s">
        <v>822</v>
      </c>
      <c r="B235" s="7" t="s">
        <v>823</v>
      </c>
      <c r="C235" s="7" t="s">
        <v>824</v>
      </c>
      <c r="D235" s="7" t="s">
        <v>825</v>
      </c>
      <c r="E235" s="7" t="s">
        <v>826</v>
      </c>
      <c r="F235" s="7" t="str">
        <f>HYPERLINK("http://www.consorziofrutteto.it/","www.consorziofrutteto.it")</f>
        <v>www.consorziofrutteto.it</v>
      </c>
    </row>
    <row r="236" spans="1:6" ht="94.2" customHeight="1" x14ac:dyDescent="0.25">
      <c r="A236" s="1" t="s">
        <v>828</v>
      </c>
      <c r="B236" s="7" t="s">
        <v>829</v>
      </c>
      <c r="C236" s="7" t="s">
        <v>830</v>
      </c>
      <c r="D236" s="7" t="s">
        <v>831</v>
      </c>
      <c r="E236" s="7" t="s">
        <v>832</v>
      </c>
      <c r="F236" s="7" t="str">
        <f>HYPERLINK("http://mazzei.it/","mazzei.it")</f>
        <v>mazzei.it</v>
      </c>
    </row>
    <row r="237" spans="1:6" ht="55.65" customHeight="1" x14ac:dyDescent="0.25">
      <c r="A237" s="1" t="s">
        <v>834</v>
      </c>
      <c r="B237" s="7" t="s">
        <v>835</v>
      </c>
      <c r="C237" s="7" t="s">
        <v>836</v>
      </c>
      <c r="D237" s="7" t="s">
        <v>837</v>
      </c>
      <c r="E237" s="7" t="s">
        <v>838</v>
      </c>
      <c r="F237" s="7" t="str">
        <f>HYPERLINK("http://www.opjonica.it/","www.opjonica.it")</f>
        <v>www.opjonica.it</v>
      </c>
    </row>
    <row r="238" spans="1:6" ht="132.75" customHeight="1" x14ac:dyDescent="0.25">
      <c r="A238" s="6" t="s">
        <v>839</v>
      </c>
      <c r="B238" s="5" t="s">
        <v>840</v>
      </c>
      <c r="C238" s="5" t="s">
        <v>824</v>
      </c>
      <c r="D238" s="5" t="s">
        <v>841</v>
      </c>
      <c r="E238" s="5" t="s">
        <v>842</v>
      </c>
      <c r="F238" s="5" t="str">
        <f>HYPERLINK("http://www.cantinasanzefferino.it/","www.cantinasanzefferino.it")</f>
        <v>www.cantinasanzefferino.it</v>
      </c>
    </row>
    <row r="239" spans="1:6" ht="29.55" customHeight="1" x14ac:dyDescent="0.25">
      <c r="A239" s="1" t="s">
        <v>844</v>
      </c>
      <c r="B239" s="7" t="s">
        <v>845</v>
      </c>
      <c r="C239" s="7" t="s">
        <v>824</v>
      </c>
      <c r="D239" s="7" t="s">
        <v>846</v>
      </c>
      <c r="E239" s="7" t="s">
        <v>847</v>
      </c>
      <c r="F239" s="7" t="str">
        <f>HYPERLINK("http://tipicosi.it/","tipicosi.it")</f>
        <v>tipicosi.it</v>
      </c>
    </row>
    <row r="240" spans="1:6" ht="55.65" customHeight="1" x14ac:dyDescent="0.25">
      <c r="A240" s="6" t="s">
        <v>848</v>
      </c>
      <c r="B240" s="5" t="s">
        <v>849</v>
      </c>
      <c r="C240" s="5" t="s">
        <v>824</v>
      </c>
      <c r="D240" s="5" t="s">
        <v>820</v>
      </c>
      <c r="E240" s="5" t="s">
        <v>821</v>
      </c>
      <c r="F240" s="5" t="str">
        <f>HYPERLINK("http://www.rivoira.it/","www.rivoira.it")</f>
        <v>www.rivoira.it</v>
      </c>
    </row>
    <row r="241" spans="1:6" ht="29.55" customHeight="1" x14ac:dyDescent="0.25">
      <c r="A241" s="6" t="s">
        <v>851</v>
      </c>
      <c r="B241" s="5" t="s">
        <v>852</v>
      </c>
      <c r="C241" s="5" t="s">
        <v>819</v>
      </c>
      <c r="D241" s="5" t="s">
        <v>850</v>
      </c>
      <c r="E241" s="5" t="s">
        <v>838</v>
      </c>
      <c r="F241" s="5" t="str">
        <f>HYPERLINK("http://shop.assoproli.it/","shop.assoproli.it")</f>
        <v>shop.assoproli.it</v>
      </c>
    </row>
    <row r="242" spans="1:6" ht="16.95" customHeight="1" x14ac:dyDescent="0.25">
      <c r="A242" s="1" t="s">
        <v>853</v>
      </c>
      <c r="B242" s="7" t="s">
        <v>854</v>
      </c>
      <c r="C242" s="7" t="s">
        <v>855</v>
      </c>
      <c r="D242" s="7" t="s">
        <v>856</v>
      </c>
      <c r="E242" s="7" t="s">
        <v>827</v>
      </c>
      <c r="F242" s="7" t="str">
        <f>HYPERLINK("http://www.agricolapuccia.com/","www.agricolapuccia.com")</f>
        <v>www.agricolapuccia.com</v>
      </c>
    </row>
    <row r="243" spans="1:6" ht="55.65" customHeight="1" x14ac:dyDescent="0.25">
      <c r="A243" s="6" t="s">
        <v>857</v>
      </c>
      <c r="B243" s="5" t="s">
        <v>858</v>
      </c>
      <c r="C243" s="5" t="s">
        <v>830</v>
      </c>
      <c r="D243" s="5" t="s">
        <v>859</v>
      </c>
      <c r="E243" s="5" t="s">
        <v>860</v>
      </c>
      <c r="F243" s="5" t="str">
        <f>HYPERLINK("http://www.cantinatezze.it/","www.cantinatezze.it")</f>
        <v>www.cantinatezze.it</v>
      </c>
    </row>
    <row r="244" spans="1:6" ht="55.65" customHeight="1" x14ac:dyDescent="0.25">
      <c r="A244" s="1" t="s">
        <v>861</v>
      </c>
      <c r="B244" s="7" t="s">
        <v>862</v>
      </c>
      <c r="C244" s="7" t="s">
        <v>863</v>
      </c>
      <c r="D244" s="7" t="s">
        <v>864</v>
      </c>
      <c r="E244" s="7" t="s">
        <v>860</v>
      </c>
      <c r="F244" s="7" t="str">
        <f>HYPERLINK("http://consorziomaiscoltoricerealicoltori.business.site/","http://consorziomaiscoltoricerealicoltori.business.site/")</f>
        <v>http://consorziomaiscoltoricerealicoltori.business.site/</v>
      </c>
    </row>
    <row r="245" spans="1:6" ht="29.55" customHeight="1" x14ac:dyDescent="0.25">
      <c r="A245" s="6" t="s">
        <v>865</v>
      </c>
      <c r="B245" s="5" t="s">
        <v>866</v>
      </c>
      <c r="C245" s="5" t="s">
        <v>867</v>
      </c>
      <c r="D245" s="5" t="s">
        <v>825</v>
      </c>
      <c r="E245" s="5" t="s">
        <v>826</v>
      </c>
      <c r="F245" s="5" t="str">
        <f>HYPERLINK("http://www.vitroplant.it/","www.vitroplant.it")</f>
        <v>www.vitroplant.it</v>
      </c>
    </row>
    <row r="246" spans="1:6" ht="29.55" customHeight="1" x14ac:dyDescent="0.25">
      <c r="A246" s="1" t="s">
        <v>868</v>
      </c>
      <c r="B246" s="7" t="s">
        <v>869</v>
      </c>
      <c r="C246" s="7" t="s">
        <v>824</v>
      </c>
      <c r="D246" s="7" t="s">
        <v>870</v>
      </c>
      <c r="E246" s="7" t="s">
        <v>871</v>
      </c>
      <c r="F246" s="7" t="str">
        <f>HYPERLINK("http://fondazionegirolomoni.it/","fondazionegirolomoni.it")</f>
        <v>fondazionegirolomoni.it</v>
      </c>
    </row>
    <row r="247" spans="1:6" ht="43.05" customHeight="1" x14ac:dyDescent="0.25">
      <c r="A247" s="6" t="s">
        <v>872</v>
      </c>
      <c r="B247" s="5" t="s">
        <v>873</v>
      </c>
      <c r="C247" s="5" t="s">
        <v>874</v>
      </c>
      <c r="D247" s="5" t="s">
        <v>875</v>
      </c>
      <c r="E247" s="5" t="s">
        <v>826</v>
      </c>
      <c r="F247" s="5" t="str">
        <f>HYPERLINK("http://www.fornacione.it/","www.fornacione.it")</f>
        <v>www.fornacione.it</v>
      </c>
    </row>
    <row r="248" spans="1:6" ht="43.05" customHeight="1" x14ac:dyDescent="0.25">
      <c r="A248" s="6" t="s">
        <v>876</v>
      </c>
      <c r="B248" s="5" t="s">
        <v>877</v>
      </c>
      <c r="C248" s="5" t="s">
        <v>824</v>
      </c>
      <c r="D248" s="5" t="s">
        <v>843</v>
      </c>
      <c r="E248" s="5" t="s">
        <v>838</v>
      </c>
      <c r="F248" s="5" t="str">
        <f>HYPERLINK("http://www.lafara.it/","www.lafara.it")</f>
        <v>www.lafara.it</v>
      </c>
    </row>
    <row r="249" spans="1:6" ht="29.55" customHeight="1" x14ac:dyDescent="0.25">
      <c r="A249" s="1" t="s">
        <v>878</v>
      </c>
      <c r="B249" s="7" t="s">
        <v>879</v>
      </c>
      <c r="C249" s="7" t="s">
        <v>880</v>
      </c>
      <c r="D249" s="7" t="s">
        <v>881</v>
      </c>
      <c r="E249" s="7" t="s">
        <v>833</v>
      </c>
      <c r="F249" s="7" t="str">
        <f>HYPERLINK("http://www.agricolamarchesina.it/","www.agricolamarchesina.it")</f>
        <v>www.agricolamarchesina.it</v>
      </c>
    </row>
    <row r="250" spans="1:6" ht="16.95" customHeight="1" x14ac:dyDescent="0.25">
      <c r="A250" s="6" t="s">
        <v>882</v>
      </c>
      <c r="B250" s="5" t="s">
        <v>883</v>
      </c>
      <c r="C250" s="5" t="s">
        <v>884</v>
      </c>
      <c r="D250" s="5" t="s">
        <v>881</v>
      </c>
      <c r="E250" s="5" t="s">
        <v>833</v>
      </c>
      <c r="F250" s="5" t="str">
        <f>HYPERLINK("http://www.giardineria.com/","www.giardineria.com")</f>
        <v>www.giardineria.com</v>
      </c>
    </row>
    <row r="251" spans="1:6" ht="68.099999999999994" customHeight="1" x14ac:dyDescent="0.25">
      <c r="A251" s="1" t="s">
        <v>885</v>
      </c>
      <c r="B251" s="7" t="s">
        <v>886</v>
      </c>
      <c r="C251" s="7" t="s">
        <v>824</v>
      </c>
      <c r="D251" s="7" t="s">
        <v>881</v>
      </c>
      <c r="E251" s="7" t="s">
        <v>833</v>
      </c>
      <c r="F251" s="7" t="str">
        <f>HYPERLINK("http://agricolasanrocco.it/","agricolasanrocco.it/")</f>
        <v>agricolasanrocco.it/</v>
      </c>
    </row>
    <row r="252" spans="1:6" ht="43.05" customHeight="1" x14ac:dyDescent="0.25">
      <c r="A252" s="6" t="s">
        <v>887</v>
      </c>
      <c r="B252" s="5" t="s">
        <v>888</v>
      </c>
      <c r="C252" s="5" t="s">
        <v>824</v>
      </c>
      <c r="D252" s="5" t="s">
        <v>889</v>
      </c>
      <c r="E252" s="5" t="s">
        <v>827</v>
      </c>
      <c r="F252" s="5" t="str">
        <f>HYPERLINK("http://www.opesperidio.it/","www.opesperidio.it")</f>
        <v>www.opesperidio.it</v>
      </c>
    </row>
    <row r="253" spans="1:6" ht="29.55" customHeight="1" x14ac:dyDescent="0.25">
      <c r="A253" s="1" t="s">
        <v>890</v>
      </c>
      <c r="B253" s="7" t="s">
        <v>891</v>
      </c>
      <c r="C253" s="7" t="s">
        <v>830</v>
      </c>
      <c r="D253" s="7" t="s">
        <v>892</v>
      </c>
      <c r="E253" s="7" t="s">
        <v>893</v>
      </c>
      <c r="F253" s="7" t="str">
        <f>HYPERLINK("http://www.jermann.it/","www.jermann.it")</f>
        <v>www.jermann.it</v>
      </c>
    </row>
    <row r="254" spans="1:6" ht="43.05" customHeight="1" x14ac:dyDescent="0.25">
      <c r="A254" s="6" t="s">
        <v>894</v>
      </c>
      <c r="B254" s="5" t="s">
        <v>895</v>
      </c>
      <c r="C254" s="5" t="s">
        <v>819</v>
      </c>
      <c r="D254" s="5" t="s">
        <v>896</v>
      </c>
      <c r="E254" s="5" t="s">
        <v>827</v>
      </c>
      <c r="F254" s="5" t="str">
        <f>HYPERLINK("http://www.caiarl.com/","www.caiarl.com")</f>
        <v>www.caiarl.com</v>
      </c>
    </row>
    <row r="255" spans="1:6" ht="94.2" customHeight="1" x14ac:dyDescent="0.25">
      <c r="A255" s="1" t="s">
        <v>897</v>
      </c>
      <c r="B255" s="7" t="s">
        <v>898</v>
      </c>
      <c r="C255" s="7" t="s">
        <v>830</v>
      </c>
      <c r="D255" s="7" t="s">
        <v>837</v>
      </c>
      <c r="E255" s="7" t="s">
        <v>838</v>
      </c>
      <c r="F255" s="7" t="str">
        <f>HYPERLINK("http://www.primitivoshop.it/","www.primitivoshop.it")</f>
        <v>www.primitivoshop.it</v>
      </c>
    </row>
    <row r="256" spans="1:6" ht="29.55" customHeight="1" x14ac:dyDescent="0.25">
      <c r="A256" s="6" t="s">
        <v>899</v>
      </c>
      <c r="B256" s="5" t="s">
        <v>900</v>
      </c>
      <c r="C256" s="5" t="s">
        <v>830</v>
      </c>
      <c r="D256" s="5" t="s">
        <v>901</v>
      </c>
      <c r="E256" s="5" t="s">
        <v>902</v>
      </c>
      <c r="F256" s="5" t="str">
        <f>HYPERLINK("http://www.vivallis.it/","www.vivallis.it")</f>
        <v>www.vivallis.it</v>
      </c>
    </row>
    <row r="257" spans="1:6" ht="29.55" customHeight="1" x14ac:dyDescent="0.25">
      <c r="A257" s="1" t="s">
        <v>903</v>
      </c>
      <c r="B257" s="7" t="s">
        <v>904</v>
      </c>
      <c r="C257" s="7" t="s">
        <v>905</v>
      </c>
      <c r="D257" s="7" t="s">
        <v>906</v>
      </c>
      <c r="E257" s="7" t="s">
        <v>907</v>
      </c>
      <c r="F257" s="7" t="str">
        <f>HYPERLINK("http://www.terredellaluce.it/","www.terredellaluce.it")</f>
        <v>www.terredellaluce.it</v>
      </c>
    </row>
    <row r="258" spans="1:6" ht="55.65" customHeight="1" x14ac:dyDescent="0.25">
      <c r="A258" s="6" t="s">
        <v>908</v>
      </c>
      <c r="B258" s="5" t="s">
        <v>909</v>
      </c>
      <c r="C258" s="5" t="s">
        <v>910</v>
      </c>
      <c r="D258" s="5" t="s">
        <v>911</v>
      </c>
      <c r="E258" s="5" t="s">
        <v>912</v>
      </c>
      <c r="F258" s="5" t="str">
        <f>HYPERLINK("http://www.colterenzio.it/","www.colterenzio.it")</f>
        <v>www.colterenzio.it</v>
      </c>
    </row>
    <row r="259" spans="1:6" ht="68.099999999999994" customHeight="1" x14ac:dyDescent="0.25">
      <c r="A259" s="1" t="s">
        <v>913</v>
      </c>
      <c r="B259" s="7" t="s">
        <v>914</v>
      </c>
      <c r="C259" s="7" t="s">
        <v>915</v>
      </c>
      <c r="D259" s="7" t="s">
        <v>916</v>
      </c>
      <c r="E259" s="7" t="s">
        <v>917</v>
      </c>
      <c r="F259" s="7" t="str">
        <f>HYPERLINK("http://www.poascpa.it/","www.poascpa.it")</f>
        <v>www.poascpa.it</v>
      </c>
    </row>
    <row r="260" spans="1:6" ht="55.65" customHeight="1" x14ac:dyDescent="0.25">
      <c r="A260" s="1" t="s">
        <v>919</v>
      </c>
      <c r="B260" s="7" t="s">
        <v>920</v>
      </c>
      <c r="C260" s="7" t="s">
        <v>918</v>
      </c>
      <c r="D260" s="7" t="s">
        <v>921</v>
      </c>
      <c r="E260" s="7" t="s">
        <v>922</v>
      </c>
      <c r="F260" s="7" t="str">
        <f>HYPERLINK("http://www.opas-sicilia.it/","www.opas-sicilia.it")</f>
        <v>www.opas-sicilia.it</v>
      </c>
    </row>
    <row r="261" spans="1:6" ht="43.05" customHeight="1" x14ac:dyDescent="0.25">
      <c r="A261" s="6" t="s">
        <v>924</v>
      </c>
      <c r="B261" s="5" t="s">
        <v>925</v>
      </c>
      <c r="C261" s="5" t="s">
        <v>910</v>
      </c>
      <c r="D261" s="5" t="s">
        <v>923</v>
      </c>
      <c r="E261" s="5" t="s">
        <v>912</v>
      </c>
      <c r="F261" s="5" t="str">
        <f>HYPERLINK("http://www.viticoltoriinavio.it/","www.viticoltoriinavio.it")</f>
        <v>www.viticoltoriinavio.it</v>
      </c>
    </row>
    <row r="262" spans="1:6" ht="68.099999999999994" customHeight="1" x14ac:dyDescent="0.25">
      <c r="A262" s="6" t="s">
        <v>927</v>
      </c>
      <c r="B262" s="5" t="s">
        <v>928</v>
      </c>
      <c r="C262" s="5" t="s">
        <v>915</v>
      </c>
      <c r="D262" s="5" t="s">
        <v>929</v>
      </c>
      <c r="E262" s="5" t="s">
        <v>930</v>
      </c>
      <c r="F262" s="5" t="str">
        <f>HYPERLINK("http://codma.it/","codma.it")</f>
        <v>codma.it</v>
      </c>
    </row>
    <row r="263" spans="1:6" ht="43.05" customHeight="1" x14ac:dyDescent="0.25">
      <c r="A263" s="1" t="s">
        <v>931</v>
      </c>
      <c r="B263" s="7" t="s">
        <v>932</v>
      </c>
      <c r="C263" s="7" t="s">
        <v>910</v>
      </c>
      <c r="D263" s="7" t="s">
        <v>911</v>
      </c>
      <c r="E263" s="7" t="s">
        <v>912</v>
      </c>
      <c r="F263" s="7" t="str">
        <f>HYPERLINK("http://cantinatramin.it/","cantinatramin.it")</f>
        <v>cantinatramin.it</v>
      </c>
    </row>
    <row r="264" spans="1:6" ht="43.05" customHeight="1" x14ac:dyDescent="0.25">
      <c r="A264" s="6" t="s">
        <v>933</v>
      </c>
      <c r="B264" s="5" t="s">
        <v>934</v>
      </c>
      <c r="C264" s="5" t="s">
        <v>935</v>
      </c>
      <c r="D264" s="5" t="s">
        <v>936</v>
      </c>
      <c r="E264" s="5" t="s">
        <v>937</v>
      </c>
      <c r="F264" s="5" t="str">
        <f>HYPERLINK("http://latteriaquistello.it/","latteriaquistello.it")</f>
        <v>latteriaquistello.it</v>
      </c>
    </row>
    <row r="265" spans="1:6" ht="29.55" customHeight="1" x14ac:dyDescent="0.25">
      <c r="A265" s="1" t="s">
        <v>938</v>
      </c>
      <c r="B265" s="7" t="s">
        <v>939</v>
      </c>
      <c r="C265" s="7" t="s">
        <v>910</v>
      </c>
      <c r="D265" s="7" t="s">
        <v>940</v>
      </c>
      <c r="E265" s="7" t="s">
        <v>922</v>
      </c>
      <c r="F265" s="7" t="str">
        <f>HYPERLINK("http://www.cantineeuropa.net/","www.cantineeuropa.net")</f>
        <v>www.cantineeuropa.net</v>
      </c>
    </row>
    <row r="266" spans="1:6" ht="55.65" customHeight="1" x14ac:dyDescent="0.25">
      <c r="A266" s="6" t="s">
        <v>941</v>
      </c>
      <c r="B266" s="5" t="s">
        <v>942</v>
      </c>
      <c r="C266" s="5" t="s">
        <v>943</v>
      </c>
      <c r="D266" s="5" t="s">
        <v>944</v>
      </c>
      <c r="E266" s="5" t="s">
        <v>945</v>
      </c>
      <c r="F266" s="5" t="str">
        <f>HYPERLINK("http://www.opcf.it/","www.opcf.it")</f>
        <v>www.opcf.it</v>
      </c>
    </row>
    <row r="267" spans="1:6" ht="29.55" customHeight="1" x14ac:dyDescent="0.25">
      <c r="A267" s="1" t="s">
        <v>946</v>
      </c>
      <c r="B267" s="7" t="s">
        <v>947</v>
      </c>
      <c r="C267" s="7" t="s">
        <v>948</v>
      </c>
      <c r="D267" s="7" t="s">
        <v>936</v>
      </c>
      <c r="E267" s="7" t="s">
        <v>937</v>
      </c>
      <c r="F267" s="7" t="str">
        <f>HYPERLINK("http://www.fienilnuovo1644.it/","www.fienilnuovo1644.it")</f>
        <v>www.fienilnuovo1644.it</v>
      </c>
    </row>
    <row r="268" spans="1:6" ht="43.05" customHeight="1" x14ac:dyDescent="0.25">
      <c r="A268" s="1" t="s">
        <v>949</v>
      </c>
      <c r="B268" s="7" t="s">
        <v>950</v>
      </c>
      <c r="C268" s="7" t="s">
        <v>915</v>
      </c>
      <c r="D268" s="7" t="s">
        <v>951</v>
      </c>
      <c r="E268" s="7" t="s">
        <v>917</v>
      </c>
      <c r="F268" s="7" t="str">
        <f>HYPERLINK("http://www.risicoltori.it/","www.risicoltori.it")</f>
        <v>www.risicoltori.it</v>
      </c>
    </row>
    <row r="269" spans="1:6" ht="43.05" customHeight="1" x14ac:dyDescent="0.25">
      <c r="A269" s="1" t="s">
        <v>953</v>
      </c>
      <c r="B269" s="7" t="s">
        <v>954</v>
      </c>
      <c r="C269" s="7" t="s">
        <v>918</v>
      </c>
      <c r="D269" s="7" t="s">
        <v>955</v>
      </c>
      <c r="E269" s="7" t="s">
        <v>917</v>
      </c>
      <c r="F269" s="7" t="str">
        <f>HYPERLINK("http://www.naturabox.it/","www.naturabox.it")</f>
        <v>www.naturabox.it</v>
      </c>
    </row>
    <row r="270" spans="1:6" ht="29.55" customHeight="1" x14ac:dyDescent="0.25">
      <c r="A270" s="6" t="s">
        <v>956</v>
      </c>
      <c r="B270" s="5" t="s">
        <v>957</v>
      </c>
      <c r="C270" s="5" t="s">
        <v>958</v>
      </c>
      <c r="D270" s="5" t="s">
        <v>959</v>
      </c>
      <c r="E270" s="5" t="s">
        <v>922</v>
      </c>
      <c r="F270" s="5" t="str">
        <f>HYPERLINK("http://www.avicolamediterranea.it/","www.avicolamediterranea.it")</f>
        <v>www.avicolamediterranea.it</v>
      </c>
    </row>
    <row r="271" spans="1:6" ht="68.099999999999994" customHeight="1" x14ac:dyDescent="0.25">
      <c r="A271" s="1" t="s">
        <v>960</v>
      </c>
      <c r="B271" s="7" t="s">
        <v>961</v>
      </c>
      <c r="C271" s="7" t="s">
        <v>952</v>
      </c>
      <c r="D271" s="7" t="s">
        <v>962</v>
      </c>
      <c r="E271" s="7" t="s">
        <v>963</v>
      </c>
      <c r="F271" s="7" t="str">
        <f>HYPERLINK("http://coopcila.it/","coopcila.it")</f>
        <v>coopcila.it</v>
      </c>
    </row>
    <row r="272" spans="1:6" ht="81.75" customHeight="1" x14ac:dyDescent="0.25">
      <c r="A272" s="6" t="s">
        <v>964</v>
      </c>
      <c r="B272" s="5" t="s">
        <v>965</v>
      </c>
      <c r="C272" s="5" t="s">
        <v>918</v>
      </c>
      <c r="D272" s="5" t="s">
        <v>966</v>
      </c>
      <c r="E272" s="5" t="s">
        <v>963</v>
      </c>
      <c r="F272" s="5" t="str">
        <f>HYPERLINK("http://www.agriteam.coop/","www.agriteam.coop")</f>
        <v>www.agriteam.coop</v>
      </c>
    </row>
    <row r="273" spans="1:6" ht="55.65" customHeight="1" x14ac:dyDescent="0.25">
      <c r="A273" s="1" t="s">
        <v>967</v>
      </c>
      <c r="B273" s="7" t="s">
        <v>968</v>
      </c>
      <c r="C273" s="7" t="s">
        <v>918</v>
      </c>
      <c r="D273" s="7" t="s">
        <v>969</v>
      </c>
      <c r="E273" s="7" t="s">
        <v>963</v>
      </c>
      <c r="F273" s="7" t="str">
        <f>HYPERLINK("http://biopconsortile.it/","biopconsortile.it")</f>
        <v>biopconsortile.it</v>
      </c>
    </row>
    <row r="274" spans="1:6" ht="29.55" customHeight="1" x14ac:dyDescent="0.25">
      <c r="A274" s="6" t="s">
        <v>970</v>
      </c>
      <c r="B274" s="5" t="s">
        <v>971</v>
      </c>
      <c r="C274" s="5" t="s">
        <v>915</v>
      </c>
      <c r="D274" s="5" t="s">
        <v>921</v>
      </c>
      <c r="E274" s="5" t="s">
        <v>922</v>
      </c>
      <c r="F274" s="5" t="str">
        <f>HYPERLINK("http://www.agrisicilia-op.it/","www.agrisicilia-op.it")</f>
        <v>www.agrisicilia-op.it</v>
      </c>
    </row>
    <row r="275" spans="1:6" ht="29.55" customHeight="1" x14ac:dyDescent="0.25">
      <c r="A275" s="1" t="s">
        <v>972</v>
      </c>
      <c r="B275" s="7" t="s">
        <v>973</v>
      </c>
      <c r="C275" s="7" t="s">
        <v>948</v>
      </c>
      <c r="D275" s="7" t="s">
        <v>974</v>
      </c>
      <c r="E275" s="7" t="s">
        <v>963</v>
      </c>
      <c r="F275" s="7" t="str">
        <f>HYPERLINK("http://www.ferrarini.com/","www.ferrarini.com")</f>
        <v>www.ferrarini.com</v>
      </c>
    </row>
    <row r="276" spans="1:6" ht="55.65" customHeight="1" x14ac:dyDescent="0.25">
      <c r="A276" s="6" t="s">
        <v>975</v>
      </c>
      <c r="B276" s="5" t="s">
        <v>976</v>
      </c>
      <c r="C276" s="5" t="s">
        <v>918</v>
      </c>
      <c r="D276" s="5" t="s">
        <v>977</v>
      </c>
      <c r="E276" s="5" t="s">
        <v>978</v>
      </c>
      <c r="F276" s="5" t="str">
        <f>HYPERLINK("http://www.vecchiacantinashop.com/","www.vecchiacantinashop.com")</f>
        <v>www.vecchiacantinashop.com</v>
      </c>
    </row>
    <row r="277" spans="1:6" ht="55.65" customHeight="1" x14ac:dyDescent="0.25">
      <c r="A277" s="1" t="s">
        <v>979</v>
      </c>
      <c r="B277" s="7" t="s">
        <v>980</v>
      </c>
      <c r="C277" s="7" t="s">
        <v>981</v>
      </c>
      <c r="D277" s="7" t="s">
        <v>982</v>
      </c>
      <c r="E277" s="7" t="s">
        <v>983</v>
      </c>
      <c r="F277" s="7" t="str">
        <f>HYPERLINK("http://genagricola1851.net/","genagricola1851.net")</f>
        <v>genagricola1851.net</v>
      </c>
    </row>
    <row r="278" spans="1:6" ht="43.05" customHeight="1" x14ac:dyDescent="0.25">
      <c r="A278" s="6" t="s">
        <v>984</v>
      </c>
      <c r="B278" s="5" t="s">
        <v>985</v>
      </c>
      <c r="C278" s="5" t="s">
        <v>915</v>
      </c>
      <c r="D278" s="5" t="s">
        <v>986</v>
      </c>
      <c r="E278" s="5" t="s">
        <v>926</v>
      </c>
      <c r="F278" s="5" t="str">
        <f>HYPERLINK("http://cultiva.global/","cultiva.global")</f>
        <v>cultiva.global</v>
      </c>
    </row>
    <row r="279" spans="1:6" ht="94.2" customHeight="1" x14ac:dyDescent="0.25">
      <c r="A279" s="1" t="s">
        <v>987</v>
      </c>
      <c r="B279" s="7" t="s">
        <v>988</v>
      </c>
      <c r="C279" s="7" t="s">
        <v>918</v>
      </c>
      <c r="D279" s="7" t="s">
        <v>916</v>
      </c>
      <c r="E279" s="7" t="s">
        <v>917</v>
      </c>
      <c r="F279" s="7" t="str">
        <f>HYPERLINK("http://casabertalero.it/","casabertalero.it")</f>
        <v>casabertalero.it</v>
      </c>
    </row>
    <row r="280" spans="1:6" ht="29.55" customHeight="1" x14ac:dyDescent="0.25">
      <c r="A280" s="6" t="s">
        <v>992</v>
      </c>
      <c r="B280" s="5" t="s">
        <v>993</v>
      </c>
      <c r="C280" s="5" t="s">
        <v>994</v>
      </c>
      <c r="D280" s="5" t="s">
        <v>995</v>
      </c>
      <c r="E280" s="5" t="s">
        <v>991</v>
      </c>
      <c r="F280" s="5" t="str">
        <f>HYPERLINK("http://www.paolillosrl.com/","www.paolillosrl.com")</f>
        <v>www.paolillosrl.com</v>
      </c>
    </row>
    <row r="281" spans="1:6" ht="68.099999999999994" customHeight="1" x14ac:dyDescent="0.25">
      <c r="A281" s="1" t="s">
        <v>996</v>
      </c>
      <c r="B281" s="7" t="s">
        <v>997</v>
      </c>
      <c r="C281" s="7" t="s">
        <v>989</v>
      </c>
      <c r="D281" s="7" t="s">
        <v>998</v>
      </c>
      <c r="E281" s="7" t="s">
        <v>999</v>
      </c>
      <c r="F281" s="7" t="str">
        <f>HYPERLINK("http://olivetiterradibari.it/","olivetiterradibari.it")</f>
        <v>olivetiterradibari.it</v>
      </c>
    </row>
    <row r="282" spans="1:6" ht="29.55" customHeight="1" x14ac:dyDescent="0.25">
      <c r="A282" s="6" t="s">
        <v>1000</v>
      </c>
      <c r="B282" s="5" t="s">
        <v>1001</v>
      </c>
      <c r="C282" s="5" t="s">
        <v>1002</v>
      </c>
      <c r="D282" s="5" t="s">
        <v>1003</v>
      </c>
      <c r="E282" s="5" t="s">
        <v>1004</v>
      </c>
      <c r="F282" s="5" t="str">
        <f>HYPERLINK("http://www.agrifap.com/","www.agrifap.com")</f>
        <v>www.agrifap.com</v>
      </c>
    </row>
    <row r="283" spans="1:6" ht="29.55" customHeight="1" x14ac:dyDescent="0.25">
      <c r="A283" s="1" t="s">
        <v>1005</v>
      </c>
      <c r="B283" s="7" t="s">
        <v>1006</v>
      </c>
      <c r="C283" s="7" t="s">
        <v>1007</v>
      </c>
      <c r="D283" s="7" t="s">
        <v>1008</v>
      </c>
      <c r="E283" s="7" t="s">
        <v>1009</v>
      </c>
      <c r="F283" s="7" t="str">
        <f>HYPERLINK("http://www.mirtillidisanvito.it/","www.mirtillidisanvito.it")</f>
        <v>www.mirtillidisanvito.it</v>
      </c>
    </row>
    <row r="284" spans="1:6" ht="43.05" customHeight="1" x14ac:dyDescent="0.25">
      <c r="A284" s="1" t="s">
        <v>1013</v>
      </c>
      <c r="B284" s="7" t="s">
        <v>1014</v>
      </c>
      <c r="C284" s="7" t="s">
        <v>989</v>
      </c>
      <c r="D284" s="7" t="s">
        <v>1015</v>
      </c>
      <c r="E284" s="7" t="s">
        <v>1016</v>
      </c>
      <c r="F284" s="7" t="str">
        <f>HYPERLINK("http://www.frutthera.com/","www.frutthera.com")</f>
        <v>www.frutthera.com</v>
      </c>
    </row>
    <row r="285" spans="1:6" ht="55.65" customHeight="1" x14ac:dyDescent="0.25">
      <c r="A285" s="6" t="s">
        <v>1017</v>
      </c>
      <c r="B285" s="5" t="s">
        <v>1018</v>
      </c>
      <c r="C285" s="5" t="s">
        <v>989</v>
      </c>
      <c r="D285" s="5" t="s">
        <v>1019</v>
      </c>
      <c r="E285" s="5" t="s">
        <v>1011</v>
      </c>
      <c r="F285" s="5" t="str">
        <f>HYPERLINK("http://www.fruitmodena.it/","www.fruitmodena.it")</f>
        <v>www.fruitmodena.it</v>
      </c>
    </row>
    <row r="286" spans="1:6" ht="106.65" customHeight="1" x14ac:dyDescent="0.25">
      <c r="A286" s="1" t="s">
        <v>1020</v>
      </c>
      <c r="B286" s="7" t="s">
        <v>1021</v>
      </c>
      <c r="C286" s="7" t="s">
        <v>1022</v>
      </c>
      <c r="D286" s="7" t="s">
        <v>1003</v>
      </c>
      <c r="E286" s="7" t="s">
        <v>1004</v>
      </c>
      <c r="F286" s="7" t="str">
        <f>HYPERLINK("http://www.cantinadimonteforte.it/","www.cantinadimonteforte.it")</f>
        <v>www.cantinadimonteforte.it</v>
      </c>
    </row>
    <row r="287" spans="1:6" ht="55.65" customHeight="1" x14ac:dyDescent="0.25">
      <c r="A287" s="6" t="s">
        <v>1023</v>
      </c>
      <c r="B287" s="5" t="s">
        <v>1024</v>
      </c>
      <c r="C287" s="5" t="s">
        <v>1025</v>
      </c>
      <c r="D287" s="5" t="s">
        <v>1026</v>
      </c>
      <c r="E287" s="5" t="s">
        <v>1027</v>
      </c>
      <c r="F287" s="5" t="str">
        <f>HYPERLINK("http://www.melinda.it/","http://www.melinda.it")</f>
        <v>http://www.melinda.it</v>
      </c>
    </row>
    <row r="288" spans="1:6" ht="29.55" customHeight="1" x14ac:dyDescent="0.25">
      <c r="A288" s="1" t="s">
        <v>1028</v>
      </c>
      <c r="B288" s="7" t="s">
        <v>1029</v>
      </c>
      <c r="C288" s="7" t="s">
        <v>989</v>
      </c>
      <c r="D288" s="7" t="s">
        <v>1030</v>
      </c>
      <c r="E288" s="7" t="s">
        <v>1012</v>
      </c>
      <c r="F288" s="7" t="str">
        <f>HYPERLINK("http://www.consorzioapam.it/","www.consorzioapam.it")</f>
        <v>www.consorzioapam.it</v>
      </c>
    </row>
    <row r="289" spans="1:6" ht="29.55" customHeight="1" x14ac:dyDescent="0.25">
      <c r="A289" s="1" t="s">
        <v>1031</v>
      </c>
      <c r="B289" s="7" t="s">
        <v>1032</v>
      </c>
      <c r="C289" s="7" t="s">
        <v>1022</v>
      </c>
      <c r="D289" s="7" t="s">
        <v>1033</v>
      </c>
      <c r="E289" s="7" t="s">
        <v>1034</v>
      </c>
      <c r="F289" s="7" t="str">
        <f>HYPERLINK("http://www.ilborro.it/","www.ilborro.it")</f>
        <v>www.ilborro.it</v>
      </c>
    </row>
    <row r="290" spans="1:6" ht="29.55" customHeight="1" x14ac:dyDescent="0.25">
      <c r="A290" s="6" t="s">
        <v>1035</v>
      </c>
      <c r="B290" s="5" t="s">
        <v>1036</v>
      </c>
      <c r="C290" s="5" t="s">
        <v>989</v>
      </c>
      <c r="D290" s="5" t="s">
        <v>990</v>
      </c>
      <c r="E290" s="5" t="s">
        <v>991</v>
      </c>
      <c r="F290" s="5" t="str">
        <f>HYPERLINK("http://www.italiaterrabuona.it/","www.italiaterrabuona.it")</f>
        <v>www.italiaterrabuona.it</v>
      </c>
    </row>
    <row r="291" spans="1:6" ht="68.099999999999994" customHeight="1" x14ac:dyDescent="0.25">
      <c r="A291" s="1" t="s">
        <v>1037</v>
      </c>
      <c r="B291" s="7" t="s">
        <v>1038</v>
      </c>
      <c r="C291" s="7" t="s">
        <v>1039</v>
      </c>
      <c r="D291" s="7" t="s">
        <v>1040</v>
      </c>
      <c r="E291" s="7" t="s">
        <v>1011</v>
      </c>
      <c r="F291" s="7" t="str">
        <f>HYPERLINK("http://www.conase.it/","http://www.conase.it")</f>
        <v>http://www.conase.it</v>
      </c>
    </row>
    <row r="292" spans="1:6" ht="29.55" customHeight="1" x14ac:dyDescent="0.25">
      <c r="A292" s="6" t="s">
        <v>1041</v>
      </c>
      <c r="B292" s="5" t="s">
        <v>1042</v>
      </c>
      <c r="C292" s="5" t="s">
        <v>989</v>
      </c>
      <c r="D292" s="5" t="s">
        <v>1043</v>
      </c>
      <c r="E292" s="5" t="s">
        <v>999</v>
      </c>
      <c r="F292" s="5" t="str">
        <f>HYPERLINK("http://www.lapalmacoop.it/","www.lapalmacoop.it")</f>
        <v>www.lapalmacoop.it</v>
      </c>
    </row>
    <row r="293" spans="1:6" ht="29.55" customHeight="1" x14ac:dyDescent="0.25">
      <c r="A293" s="1" t="s">
        <v>1044</v>
      </c>
      <c r="B293" s="7" t="s">
        <v>1045</v>
      </c>
      <c r="C293" s="7" t="s">
        <v>1025</v>
      </c>
      <c r="D293" s="7" t="s">
        <v>1046</v>
      </c>
      <c r="E293" s="7" t="s">
        <v>1009</v>
      </c>
      <c r="F293" s="7" t="str">
        <f>HYPERLINK("http://www.opguidizzolo.it/","www.opguidizzolo.it")</f>
        <v>www.opguidizzolo.it</v>
      </c>
    </row>
    <row r="294" spans="1:6" ht="120.3" customHeight="1" x14ac:dyDescent="0.25">
      <c r="A294" s="6" t="s">
        <v>1047</v>
      </c>
      <c r="B294" s="5" t="s">
        <v>1048</v>
      </c>
      <c r="C294" s="5" t="s">
        <v>1022</v>
      </c>
      <c r="D294" s="5" t="s">
        <v>1010</v>
      </c>
      <c r="E294" s="5" t="s">
        <v>1004</v>
      </c>
      <c r="F294" s="5" t="str">
        <f>HYPERLINK("http://cantinacollieuganei.it/","cantinacollieuganei.it")</f>
        <v>cantinacollieuganei.it</v>
      </c>
    </row>
    <row r="295" spans="1:6" ht="29.55" customHeight="1" x14ac:dyDescent="0.25">
      <c r="A295" s="1" t="s">
        <v>1049</v>
      </c>
      <c r="B295" s="7" t="s">
        <v>1050</v>
      </c>
      <c r="C295" s="7" t="s">
        <v>1002</v>
      </c>
      <c r="D295" s="7" t="s">
        <v>1051</v>
      </c>
      <c r="E295" s="7" t="s">
        <v>1052</v>
      </c>
      <c r="F295" s="7" t="str">
        <f>HYPERLINK("http://fattoriadellapiana.it/","fattoriadellapiana.it")</f>
        <v>fattoriadellapiana.it</v>
      </c>
    </row>
    <row r="296" spans="1:6" ht="43.05" customHeight="1" x14ac:dyDescent="0.25">
      <c r="A296" s="6" t="s">
        <v>1053</v>
      </c>
      <c r="B296" s="5" t="s">
        <v>1054</v>
      </c>
      <c r="C296" s="5" t="s">
        <v>1022</v>
      </c>
      <c r="D296" s="5" t="s">
        <v>1055</v>
      </c>
      <c r="E296" s="5" t="s">
        <v>1011</v>
      </c>
      <c r="F296" s="5" t="str">
        <f>HYPERLINK("http://www.cantinesanmartino.it/","http://www.cantinesanmartino.it")</f>
        <v>http://www.cantinesanmartino.it</v>
      </c>
    </row>
    <row r="297" spans="1:6" ht="43.05" customHeight="1" x14ac:dyDescent="0.25">
      <c r="A297" s="1" t="s">
        <v>1056</v>
      </c>
      <c r="B297" s="7" t="s">
        <v>1057</v>
      </c>
      <c r="C297" s="7" t="s">
        <v>989</v>
      </c>
      <c r="D297" s="7" t="s">
        <v>1003</v>
      </c>
      <c r="E297" s="7" t="s">
        <v>1004</v>
      </c>
      <c r="F297" s="7" t="str">
        <f>HYPERLINK("http://geofur.it/","geofur.it")</f>
        <v>geofur.it</v>
      </c>
    </row>
    <row r="298" spans="1:6" ht="29.55" customHeight="1" x14ac:dyDescent="0.25">
      <c r="A298" s="6" t="s">
        <v>1058</v>
      </c>
      <c r="B298" s="5" t="s">
        <v>1059</v>
      </c>
      <c r="C298" s="5" t="s">
        <v>1060</v>
      </c>
      <c r="D298" s="5" t="s">
        <v>1061</v>
      </c>
      <c r="E298" s="5" t="s">
        <v>1016</v>
      </c>
      <c r="F298" s="5" t="str">
        <f>HYPERLINK("http://www.fiordagerola.eu/","www.fiordagerola.eu")</f>
        <v>www.fiordagerola.eu</v>
      </c>
    </row>
    <row r="299" spans="1:6" ht="43.05" customHeight="1" x14ac:dyDescent="0.25">
      <c r="A299" s="1" t="s">
        <v>1062</v>
      </c>
      <c r="B299" s="7" t="s">
        <v>1063</v>
      </c>
      <c r="C299" s="7" t="s">
        <v>1025</v>
      </c>
      <c r="D299" s="7" t="s">
        <v>1064</v>
      </c>
      <c r="E299" s="7" t="s">
        <v>1012</v>
      </c>
      <c r="F299" s="7" t="str">
        <f>HYPERLINK("http://fonteverde.com/","fonteverde.com")</f>
        <v>fonteverde.com</v>
      </c>
    </row>
    <row r="300" spans="1:6" ht="81.75" customHeight="1" x14ac:dyDescent="0.25">
      <c r="A300" s="6" t="s">
        <v>1065</v>
      </c>
      <c r="B300" s="5" t="s">
        <v>1066</v>
      </c>
      <c r="C300" s="5" t="s">
        <v>1067</v>
      </c>
      <c r="D300" s="5" t="s">
        <v>1068</v>
      </c>
      <c r="E300" s="5" t="s">
        <v>1012</v>
      </c>
      <c r="F300" s="5" t="str">
        <f>HYPERLINK("http://www.opacampisi.biz/","www.opacampisi.biz")</f>
        <v>www.opacampisi.biz</v>
      </c>
    </row>
    <row r="301" spans="1:6" ht="29.55" customHeight="1" x14ac:dyDescent="0.25">
      <c r="A301" s="6" t="s">
        <v>1069</v>
      </c>
      <c r="B301" s="5" t="s">
        <v>1070</v>
      </c>
      <c r="C301" s="5" t="s">
        <v>989</v>
      </c>
      <c r="D301" s="5" t="s">
        <v>1068</v>
      </c>
      <c r="E301" s="5" t="s">
        <v>1012</v>
      </c>
      <c r="F301" s="5" t="str">
        <f>HYPERLINK("http://redcop.it/","redcop.it")</f>
        <v>redcop.it</v>
      </c>
    </row>
    <row r="302" spans="1:6" ht="29.55" customHeight="1" x14ac:dyDescent="0.25">
      <c r="A302" s="1" t="s">
        <v>1071</v>
      </c>
      <c r="B302" s="7" t="s">
        <v>1072</v>
      </c>
      <c r="C302" s="7" t="s">
        <v>1073</v>
      </c>
      <c r="D302" s="7" t="s">
        <v>1003</v>
      </c>
      <c r="E302" s="7" t="s">
        <v>1004</v>
      </c>
      <c r="F302" s="7" t="str">
        <f>HYPERLINK("http://www.fungamico.it/","www.fungamico.it")</f>
        <v>www.fungamico.it</v>
      </c>
    </row>
    <row r="303" spans="1:6" ht="145.19999999999999" customHeight="1" x14ac:dyDescent="0.25">
      <c r="A303" s="1" t="s">
        <v>1074</v>
      </c>
      <c r="B303" s="7" t="s">
        <v>1075</v>
      </c>
      <c r="C303" s="7" t="s">
        <v>1022</v>
      </c>
      <c r="D303" s="7" t="s">
        <v>1026</v>
      </c>
      <c r="E303" s="7" t="s">
        <v>1027</v>
      </c>
      <c r="F303" s="7" t="str">
        <f>HYPERLINK("http://www.toblinovent.it/","www.toblinovent.it")</f>
        <v>www.toblinovent.it</v>
      </c>
    </row>
    <row r="304" spans="1:6" ht="29.55" customHeight="1" x14ac:dyDescent="0.25">
      <c r="A304" s="6" t="s">
        <v>1076</v>
      </c>
      <c r="B304" s="5" t="s">
        <v>1077</v>
      </c>
      <c r="C304" s="5" t="s">
        <v>989</v>
      </c>
      <c r="D304" s="5" t="s">
        <v>1078</v>
      </c>
      <c r="E304" s="5" t="s">
        <v>1004</v>
      </c>
      <c r="F304" s="5" t="str">
        <f>HYPERLINK("http://www.coop1maggio.it/","www.coop1maggio.it")</f>
        <v>www.coop1maggio.it</v>
      </c>
    </row>
    <row r="305" spans="1:6" ht="29.55" customHeight="1" x14ac:dyDescent="0.25">
      <c r="A305" s="6" t="s">
        <v>1080</v>
      </c>
      <c r="B305" s="5" t="s">
        <v>1081</v>
      </c>
      <c r="C305" s="5" t="s">
        <v>1082</v>
      </c>
      <c r="D305" s="5" t="s">
        <v>1083</v>
      </c>
      <c r="E305" s="5" t="s">
        <v>1084</v>
      </c>
      <c r="F305" s="5" t="str">
        <f>HYPERLINK("http://www.opcot.it/","http://www.opcot.it")</f>
        <v>http://www.opcot.it</v>
      </c>
    </row>
    <row r="306" spans="1:6" ht="43.05" customHeight="1" x14ac:dyDescent="0.25">
      <c r="A306" s="1" t="s">
        <v>1085</v>
      </c>
      <c r="B306" s="7" t="s">
        <v>1086</v>
      </c>
      <c r="C306" s="7" t="s">
        <v>1087</v>
      </c>
      <c r="D306" s="7" t="s">
        <v>1088</v>
      </c>
      <c r="E306" s="7" t="s">
        <v>1089</v>
      </c>
      <c r="F306" s="7" t="str">
        <f>HYPERLINK("http://shop.cantinadimontalcino.it/","shop.cantinadimontalcino.it")</f>
        <v>shop.cantinadimontalcino.it</v>
      </c>
    </row>
    <row r="307" spans="1:6" ht="29.55" customHeight="1" x14ac:dyDescent="0.25">
      <c r="A307" s="6" t="s">
        <v>1090</v>
      </c>
      <c r="B307" s="5" t="s">
        <v>1091</v>
      </c>
      <c r="C307" s="5" t="s">
        <v>1087</v>
      </c>
      <c r="D307" s="5" t="s">
        <v>1092</v>
      </c>
      <c r="E307" s="5" t="s">
        <v>1093</v>
      </c>
      <c r="F307" s="5" t="str">
        <f>HYPERLINK("http://www.agricolapiovese.it/","http://www.agricolapiovese.it")</f>
        <v>http://www.agricolapiovese.it</v>
      </c>
    </row>
    <row r="308" spans="1:6" ht="29.55" customHeight="1" x14ac:dyDescent="0.25">
      <c r="A308" s="1" t="s">
        <v>1094</v>
      </c>
      <c r="B308" s="7" t="s">
        <v>1095</v>
      </c>
      <c r="C308" s="7" t="s">
        <v>1096</v>
      </c>
      <c r="D308" s="7" t="s">
        <v>1097</v>
      </c>
      <c r="E308" s="7" t="s">
        <v>1084</v>
      </c>
      <c r="F308" s="7" t="str">
        <f>HYPERLINK("http://agrocirce2000.it/","agrocirce2000.it")</f>
        <v>agrocirce2000.it</v>
      </c>
    </row>
    <row r="309" spans="1:6" ht="29.55" customHeight="1" x14ac:dyDescent="0.25">
      <c r="A309" s="6" t="s">
        <v>1098</v>
      </c>
      <c r="B309" s="5" t="s">
        <v>1099</v>
      </c>
      <c r="C309" s="5" t="s">
        <v>1100</v>
      </c>
      <c r="D309" s="5" t="s">
        <v>1101</v>
      </c>
      <c r="E309" s="5" t="s">
        <v>1102</v>
      </c>
      <c r="F309" s="5" t="str">
        <f>HYPERLINK("http://www.saporediromagna.it/","www.saporediromagna.it")</f>
        <v>www.saporediromagna.it</v>
      </c>
    </row>
    <row r="310" spans="1:6" ht="43.05" customHeight="1" x14ac:dyDescent="0.25">
      <c r="A310" s="6" t="s">
        <v>1104</v>
      </c>
      <c r="B310" s="5" t="s">
        <v>1105</v>
      </c>
      <c r="C310" s="5" t="s">
        <v>1106</v>
      </c>
      <c r="D310" s="5" t="s">
        <v>1107</v>
      </c>
      <c r="E310" s="5" t="s">
        <v>1102</v>
      </c>
      <c r="F310" s="5" t="str">
        <f>HYPERLINK("http://www.latteriavillacurta.it/","www.latteriavillacurta.it")</f>
        <v>www.latteriavillacurta.it</v>
      </c>
    </row>
    <row r="311" spans="1:6" ht="16.95" customHeight="1" x14ac:dyDescent="0.25">
      <c r="A311" s="1" t="s">
        <v>1108</v>
      </c>
      <c r="B311" s="7" t="s">
        <v>1109</v>
      </c>
      <c r="C311" s="7" t="s">
        <v>1110</v>
      </c>
      <c r="D311" s="7" t="s">
        <v>1111</v>
      </c>
      <c r="E311" s="7" t="s">
        <v>1112</v>
      </c>
      <c r="F311" s="7" t="str">
        <f>HYPERLINK("http://www.agrisemi.com/","www.agrisemi.com")</f>
        <v>www.agrisemi.com</v>
      </c>
    </row>
    <row r="312" spans="1:6" ht="29.55" customHeight="1" x14ac:dyDescent="0.25">
      <c r="A312" s="6" t="s">
        <v>1113</v>
      </c>
      <c r="B312" s="5" t="s">
        <v>1114</v>
      </c>
      <c r="C312" s="5" t="s">
        <v>1087</v>
      </c>
      <c r="D312" s="5" t="s">
        <v>1083</v>
      </c>
      <c r="E312" s="5" t="s">
        <v>1084</v>
      </c>
      <c r="F312" s="5" t="str">
        <f>HYPERLINK("http://www.assofrutti.com/","www.assofrutti.com")</f>
        <v>www.assofrutti.com</v>
      </c>
    </row>
    <row r="313" spans="1:6" ht="68.099999999999994" customHeight="1" x14ac:dyDescent="0.25">
      <c r="A313" s="1" t="s">
        <v>1119</v>
      </c>
      <c r="B313" s="7" t="s">
        <v>1120</v>
      </c>
      <c r="C313" s="7" t="s">
        <v>1121</v>
      </c>
      <c r="D313" s="7" t="s">
        <v>1122</v>
      </c>
      <c r="E313" s="7" t="s">
        <v>1117</v>
      </c>
      <c r="F313" s="7" t="str">
        <f>HYPERLINK("http://www.tormaresca.it/","http://www.tormaresca.it")</f>
        <v>http://www.tormaresca.it</v>
      </c>
    </row>
    <row r="314" spans="1:6" ht="68.099999999999994" customHeight="1" x14ac:dyDescent="0.25">
      <c r="A314" s="6" t="s">
        <v>1123</v>
      </c>
      <c r="B314" s="5" t="s">
        <v>1124</v>
      </c>
      <c r="C314" s="5" t="s">
        <v>1087</v>
      </c>
      <c r="D314" s="5" t="s">
        <v>1125</v>
      </c>
      <c r="E314" s="5" t="s">
        <v>1126</v>
      </c>
      <c r="F314" s="5" t="str">
        <f>HYPERLINK("http://www.sft.tn.it/","www.sft.tn.it")</f>
        <v>www.sft.tn.it</v>
      </c>
    </row>
    <row r="315" spans="1:6" ht="29.55" customHeight="1" x14ac:dyDescent="0.25">
      <c r="A315" s="1" t="s">
        <v>1127</v>
      </c>
      <c r="B315" s="7" t="s">
        <v>1128</v>
      </c>
      <c r="C315" s="7" t="s">
        <v>1129</v>
      </c>
      <c r="D315" s="7" t="s">
        <v>1130</v>
      </c>
      <c r="E315" s="7" t="s">
        <v>1079</v>
      </c>
      <c r="F315" s="7" t="str">
        <f>HYPERLINK("http://isolagrande.com/","isolagrande.com")</f>
        <v>isolagrande.com</v>
      </c>
    </row>
    <row r="316" spans="1:6" ht="43.05" customHeight="1" x14ac:dyDescent="0.25">
      <c r="A316" s="6" t="s">
        <v>1131</v>
      </c>
      <c r="B316" s="5" t="s">
        <v>1132</v>
      </c>
      <c r="C316" s="5" t="s">
        <v>1087</v>
      </c>
      <c r="D316" s="5" t="s">
        <v>1083</v>
      </c>
      <c r="E316" s="5" t="s">
        <v>1084</v>
      </c>
      <c r="F316" s="5" t="str">
        <f>HYPERLINK("http://www.cooperativapantano.eu/","www.cooperativapantano.eu")</f>
        <v>www.cooperativapantano.eu</v>
      </c>
    </row>
    <row r="317" spans="1:6" ht="16.95" customHeight="1" x14ac:dyDescent="0.25">
      <c r="A317" s="1" t="s">
        <v>1133</v>
      </c>
      <c r="B317" s="7" t="s">
        <v>1134</v>
      </c>
      <c r="C317" s="7" t="s">
        <v>1110</v>
      </c>
      <c r="D317" s="7" t="s">
        <v>1116</v>
      </c>
      <c r="E317" s="7" t="s">
        <v>1117</v>
      </c>
      <c r="F317" s="7" t="str">
        <f>HYPERLINK("http://www.semidaunia.it/","www.semidaunia.it")</f>
        <v>www.semidaunia.it</v>
      </c>
    </row>
    <row r="318" spans="1:6" ht="29.55" customHeight="1" x14ac:dyDescent="0.25">
      <c r="A318" s="6" t="s">
        <v>1135</v>
      </c>
      <c r="B318" s="5" t="s">
        <v>1136</v>
      </c>
      <c r="C318" s="5" t="s">
        <v>1137</v>
      </c>
      <c r="D318" s="5" t="s">
        <v>1138</v>
      </c>
      <c r="E318" s="5" t="s">
        <v>1093</v>
      </c>
      <c r="F318" s="5" t="str">
        <f>HYPERLINK("http://agrifung.it/","agrifung.it")</f>
        <v>agrifung.it</v>
      </c>
    </row>
    <row r="319" spans="1:6" ht="29.55" customHeight="1" x14ac:dyDescent="0.25">
      <c r="A319" s="1" t="s">
        <v>1139</v>
      </c>
      <c r="B319" s="7" t="s">
        <v>1140</v>
      </c>
      <c r="C319" s="7" t="s">
        <v>1141</v>
      </c>
      <c r="D319" s="7" t="s">
        <v>1142</v>
      </c>
      <c r="E319" s="7" t="s">
        <v>1084</v>
      </c>
      <c r="F319" s="7" t="str">
        <f>HYPERLINK("http://www.maccaresespa.com/","www.maccaresespa.com")</f>
        <v>www.maccaresespa.com</v>
      </c>
    </row>
    <row r="320" spans="1:6" ht="43.05" customHeight="1" x14ac:dyDescent="0.25">
      <c r="A320" s="1" t="s">
        <v>1143</v>
      </c>
      <c r="B320" s="7" t="s">
        <v>1144</v>
      </c>
      <c r="C320" s="7" t="s">
        <v>1145</v>
      </c>
      <c r="D320" s="7" t="s">
        <v>1146</v>
      </c>
      <c r="E320" s="7" t="s">
        <v>1147</v>
      </c>
      <c r="F320" s="7" t="str">
        <f>HYPERLINK("http://www.gruppoagricooper.it/","www.gruppoagricooper.it")</f>
        <v>www.gruppoagricooper.it</v>
      </c>
    </row>
    <row r="321" spans="1:6" ht="29.55" customHeight="1" x14ac:dyDescent="0.25">
      <c r="A321" s="6" t="s">
        <v>1148</v>
      </c>
      <c r="B321" s="5" t="s">
        <v>1149</v>
      </c>
      <c r="C321" s="5" t="s">
        <v>1103</v>
      </c>
      <c r="D321" s="5" t="s">
        <v>1150</v>
      </c>
      <c r="E321" s="5" t="s">
        <v>1151</v>
      </c>
      <c r="F321" s="5" t="str">
        <f>HYPERLINK("http://www.fileni.it/","www.fileni.it")</f>
        <v>www.fileni.it</v>
      </c>
    </row>
    <row r="322" spans="1:6" ht="43.05" customHeight="1" x14ac:dyDescent="0.25">
      <c r="A322" s="1" t="s">
        <v>1152</v>
      </c>
      <c r="B322" s="7" t="s">
        <v>1153</v>
      </c>
      <c r="C322" s="7" t="s">
        <v>1082</v>
      </c>
      <c r="D322" s="7" t="s">
        <v>1146</v>
      </c>
      <c r="E322" s="7" t="s">
        <v>1147</v>
      </c>
      <c r="F322" s="7" t="str">
        <f>HYPERLINK("http://www.topmelon.it/","www.topmelon.it")</f>
        <v>www.topmelon.it</v>
      </c>
    </row>
    <row r="323" spans="1:6" ht="29.55" customHeight="1" x14ac:dyDescent="0.25">
      <c r="A323" s="1" t="s">
        <v>1154</v>
      </c>
      <c r="B323" s="7" t="s">
        <v>1155</v>
      </c>
      <c r="C323" s="7" t="s">
        <v>1156</v>
      </c>
      <c r="D323" s="7" t="s">
        <v>1157</v>
      </c>
      <c r="E323" s="7" t="s">
        <v>1118</v>
      </c>
      <c r="F323" s="7" t="str">
        <f>HYPERLINK("http://www.biohortusag.com/","www.biohortusag.com")</f>
        <v>www.biohortusag.com</v>
      </c>
    </row>
    <row r="324" spans="1:6" ht="29.55" customHeight="1" x14ac:dyDescent="0.25">
      <c r="A324" s="6" t="s">
        <v>1158</v>
      </c>
      <c r="B324" s="5" t="s">
        <v>1159</v>
      </c>
      <c r="C324" s="5" t="s">
        <v>1087</v>
      </c>
      <c r="D324" s="5" t="s">
        <v>1160</v>
      </c>
      <c r="E324" s="5" t="s">
        <v>1161</v>
      </c>
      <c r="F324" s="5" t="str">
        <f>HYPERLINK("http://www.coltor.it/","http://www.coltor.it")</f>
        <v>http://www.coltor.it</v>
      </c>
    </row>
    <row r="325" spans="1:6" ht="16.95" customHeight="1" x14ac:dyDescent="0.25">
      <c r="A325" s="1" t="s">
        <v>1162</v>
      </c>
      <c r="B325" s="7" t="s">
        <v>1163</v>
      </c>
      <c r="C325" s="7" t="s">
        <v>1164</v>
      </c>
      <c r="D325" s="7" t="s">
        <v>1165</v>
      </c>
      <c r="E325" s="7" t="s">
        <v>1102</v>
      </c>
      <c r="F325" s="7" t="str">
        <f>HYPERLINK("http://www.isisementi.com/","www.isisementi.com")</f>
        <v>www.isisementi.com</v>
      </c>
    </row>
    <row r="326" spans="1:6" ht="43.05" customHeight="1" x14ac:dyDescent="0.25">
      <c r="A326" s="6" t="s">
        <v>1166</v>
      </c>
      <c r="B326" s="5" t="s">
        <v>1167</v>
      </c>
      <c r="C326" s="5" t="s">
        <v>1115</v>
      </c>
      <c r="D326" s="5" t="s">
        <v>1168</v>
      </c>
      <c r="E326" s="5" t="s">
        <v>1112</v>
      </c>
      <c r="F326" s="5" t="str">
        <f>HYPERLINK("http://www.agrifondo.com/","www.agrifondo.com")</f>
        <v>www.agrifondo.com</v>
      </c>
    </row>
    <row r="327" spans="1:6" ht="29.55" customHeight="1" x14ac:dyDescent="0.25">
      <c r="A327" s="1" t="s">
        <v>1169</v>
      </c>
      <c r="B327" s="7" t="s">
        <v>1170</v>
      </c>
      <c r="C327" s="7" t="s">
        <v>1141</v>
      </c>
      <c r="D327" s="7" t="s">
        <v>1171</v>
      </c>
      <c r="E327" s="7" t="s">
        <v>1112</v>
      </c>
      <c r="F327" s="7" t="str">
        <f>HYPERLINK("http://cirioagricola.it/","cirioagricola.it")</f>
        <v>cirioagricola.it</v>
      </c>
    </row>
    <row r="328" spans="1:6" ht="106.65" customHeight="1" x14ac:dyDescent="0.25">
      <c r="A328" s="6" t="s">
        <v>1172</v>
      </c>
      <c r="B328" s="5" t="s">
        <v>1173</v>
      </c>
      <c r="C328" s="5" t="s">
        <v>1087</v>
      </c>
      <c r="D328" s="5" t="s">
        <v>1174</v>
      </c>
      <c r="E328" s="5" t="s">
        <v>1102</v>
      </c>
      <c r="F328" s="5" t="str">
        <f>HYPERLINK("http://www.cantinebacchini.it/","www.cantinebacchini.it")</f>
        <v>www.cantinebacchini.it</v>
      </c>
    </row>
    <row r="329" spans="1:6" ht="120.3" customHeight="1" x14ac:dyDescent="0.25">
      <c r="A329" s="1" t="s">
        <v>1175</v>
      </c>
      <c r="B329" s="7" t="s">
        <v>1176</v>
      </c>
      <c r="C329" s="7" t="s">
        <v>1121</v>
      </c>
      <c r="D329" s="7" t="s">
        <v>1177</v>
      </c>
      <c r="E329" s="7" t="s">
        <v>1147</v>
      </c>
      <c r="F329" s="7" t="str">
        <f>HYPERLINK("http://www.falesco.it/","www.falesco.it")</f>
        <v>www.falesco.it</v>
      </c>
    </row>
    <row r="330" spans="1:6" ht="68.099999999999994" customHeight="1" x14ac:dyDescent="0.25">
      <c r="A330" s="6" t="s">
        <v>1178</v>
      </c>
      <c r="B330" s="5" t="s">
        <v>1179</v>
      </c>
      <c r="C330" s="5" t="s">
        <v>1121</v>
      </c>
      <c r="D330" s="5" t="s">
        <v>1180</v>
      </c>
      <c r="E330" s="5" t="s">
        <v>1093</v>
      </c>
      <c r="F330" s="5" t="str">
        <f>HYPERLINK("http://www.ilbosco.com/","www.ilbosco.com")</f>
        <v>www.ilbosco.com</v>
      </c>
    </row>
    <row r="331" spans="1:6" ht="29.55" customHeight="1" x14ac:dyDescent="0.25">
      <c r="A331" s="1" t="s">
        <v>1181</v>
      </c>
      <c r="B331" s="7" t="s">
        <v>1182</v>
      </c>
      <c r="C331" s="7" t="s">
        <v>1183</v>
      </c>
      <c r="D331" s="7" t="s">
        <v>1184</v>
      </c>
      <c r="E331" s="7" t="s">
        <v>1185</v>
      </c>
      <c r="F331" s="7" t="str">
        <f>HYPERLINK("http://www.palumbopiu.it/","www.palumbopiu.it")</f>
        <v>www.palumbopiu.it</v>
      </c>
    </row>
    <row r="332" spans="1:6" ht="55.65" customHeight="1" x14ac:dyDescent="0.25">
      <c r="A332" s="6" t="s">
        <v>1186</v>
      </c>
      <c r="B332" s="5" t="s">
        <v>1187</v>
      </c>
      <c r="C332" s="5" t="s">
        <v>1188</v>
      </c>
      <c r="D332" s="5" t="s">
        <v>1189</v>
      </c>
      <c r="E332" s="5" t="s">
        <v>1190</v>
      </c>
      <c r="F332" s="5" t="str">
        <f>HYPERLINK("http://www.collemassariwines.it/","www.collemassariwines.it")</f>
        <v>www.collemassariwines.it</v>
      </c>
    </row>
    <row r="333" spans="1:6" ht="43.05" customHeight="1" x14ac:dyDescent="0.25">
      <c r="A333" s="1" t="s">
        <v>1191</v>
      </c>
      <c r="B333" s="7" t="s">
        <v>1192</v>
      </c>
      <c r="C333" s="7" t="s">
        <v>1193</v>
      </c>
      <c r="D333" s="7" t="s">
        <v>1194</v>
      </c>
      <c r="E333" s="7" t="s">
        <v>1195</v>
      </c>
      <c r="F333" s="7" t="str">
        <f>HYPERLINK("http://www.italianorganicvegetables.com/","www.italianorganicvegetables.com")</f>
        <v>www.italianorganicvegetables.com</v>
      </c>
    </row>
    <row r="334" spans="1:6" ht="55.65" customHeight="1" x14ac:dyDescent="0.25">
      <c r="A334" s="6" t="s">
        <v>1196</v>
      </c>
      <c r="B334" s="5" t="s">
        <v>1197</v>
      </c>
      <c r="C334" s="5" t="s">
        <v>1188</v>
      </c>
      <c r="D334" s="5" t="s">
        <v>1198</v>
      </c>
      <c r="E334" s="5" t="s">
        <v>1185</v>
      </c>
      <c r="F334" s="5" t="str">
        <f>HYPERLINK("http://lightland.cusumano.it/","lightland.cusumano.it")</f>
        <v>lightland.cusumano.it</v>
      </c>
    </row>
    <row r="335" spans="1:6" ht="29.55" customHeight="1" x14ac:dyDescent="0.25">
      <c r="A335" s="1" t="s">
        <v>1199</v>
      </c>
      <c r="B335" s="7" t="s">
        <v>1200</v>
      </c>
      <c r="C335" s="7" t="s">
        <v>1201</v>
      </c>
      <c r="D335" s="7" t="s">
        <v>1202</v>
      </c>
      <c r="E335" s="7" t="s">
        <v>1203</v>
      </c>
      <c r="F335" s="7" t="str">
        <f>HYPERLINK("http://www.opventrone.it/","www.opventrone.it")</f>
        <v>www.opventrone.it</v>
      </c>
    </row>
    <row r="336" spans="1:6" ht="68.099999999999994" customHeight="1" x14ac:dyDescent="0.25">
      <c r="A336" s="6" t="s">
        <v>1204</v>
      </c>
      <c r="B336" s="5" t="s">
        <v>1205</v>
      </c>
      <c r="C336" s="5" t="s">
        <v>1188</v>
      </c>
      <c r="D336" s="5" t="s">
        <v>1206</v>
      </c>
      <c r="E336" s="5" t="s">
        <v>1207</v>
      </c>
      <c r="F336" s="5" t="str">
        <f>HYPERLINK("http://www.cantinamoricollizugna.it/","www.cantinamoricollizugna.it")</f>
        <v>www.cantinamoricollizugna.it</v>
      </c>
    </row>
    <row r="337" spans="1:6" ht="55.65" customHeight="1" x14ac:dyDescent="0.25">
      <c r="A337" s="1" t="s">
        <v>1208</v>
      </c>
      <c r="B337" s="7" t="s">
        <v>1209</v>
      </c>
      <c r="C337" s="7" t="s">
        <v>1201</v>
      </c>
      <c r="D337" s="7" t="s">
        <v>1210</v>
      </c>
      <c r="E337" s="7" t="s">
        <v>1211</v>
      </c>
      <c r="F337" s="7" t="str">
        <f>HYPERLINK("http://www.coab.it/","www.coab.it")</f>
        <v>www.coab.it</v>
      </c>
    </row>
    <row r="338" spans="1:6" ht="16.95" customHeight="1" x14ac:dyDescent="0.25">
      <c r="A338" s="6" t="s">
        <v>1212</v>
      </c>
      <c r="B338" s="5" t="s">
        <v>1213</v>
      </c>
      <c r="C338" s="5" t="s">
        <v>1214</v>
      </c>
      <c r="D338" s="5" t="s">
        <v>1215</v>
      </c>
      <c r="E338" s="5" t="s">
        <v>1216</v>
      </c>
      <c r="F338" s="5" t="str">
        <f>HYPERLINK("http://www.esasem.com/","www.esasem.com")</f>
        <v>www.esasem.com</v>
      </c>
    </row>
    <row r="339" spans="1:6" ht="68.099999999999994" customHeight="1" x14ac:dyDescent="0.25">
      <c r="A339" s="1" t="s">
        <v>1217</v>
      </c>
      <c r="B339" s="7" t="s">
        <v>1218</v>
      </c>
      <c r="C339" s="7" t="s">
        <v>1201</v>
      </c>
      <c r="D339" s="7" t="s">
        <v>1219</v>
      </c>
      <c r="E339" s="7" t="s">
        <v>1220</v>
      </c>
      <c r="F339" s="7" t="str">
        <f>HYPERLINK("http://primosoleortofrutta.com/","primosoleortofrutta.com")</f>
        <v>primosoleortofrutta.com</v>
      </c>
    </row>
    <row r="340" spans="1:6" ht="29.55" customHeight="1" x14ac:dyDescent="0.25">
      <c r="A340" s="6" t="s">
        <v>1221</v>
      </c>
      <c r="B340" s="5" t="s">
        <v>1222</v>
      </c>
      <c r="C340" s="5" t="s">
        <v>1223</v>
      </c>
      <c r="D340" s="5" t="s">
        <v>1224</v>
      </c>
      <c r="E340" s="5" t="s">
        <v>1225</v>
      </c>
      <c r="F340" s="5" t="str">
        <f>HYPERLINK("http://www.canecorsodeinegroni.com/","www.canecorsodeinegroni.com")</f>
        <v>www.canecorsodeinegroni.com</v>
      </c>
    </row>
    <row r="341" spans="1:6" ht="29.55" customHeight="1" x14ac:dyDescent="0.25">
      <c r="A341" s="1" t="s">
        <v>1226</v>
      </c>
      <c r="B341" s="7" t="s">
        <v>1227</v>
      </c>
      <c r="C341" s="7" t="s">
        <v>1193</v>
      </c>
      <c r="D341" s="7" t="s">
        <v>1202</v>
      </c>
      <c r="E341" s="7" t="s">
        <v>1203</v>
      </c>
      <c r="F341" s="7" t="str">
        <f>HYPERLINK("http://www.ortoprimizie.it/","www.ortoprimizie.it")</f>
        <v>www.ortoprimizie.it</v>
      </c>
    </row>
    <row r="342" spans="1:6" ht="68.099999999999994" customHeight="1" x14ac:dyDescent="0.25">
      <c r="A342" s="6" t="s">
        <v>1228</v>
      </c>
      <c r="B342" s="5" t="s">
        <v>1229</v>
      </c>
      <c r="C342" s="5" t="s">
        <v>1201</v>
      </c>
      <c r="D342" s="5" t="s">
        <v>1230</v>
      </c>
      <c r="E342" s="5" t="s">
        <v>1185</v>
      </c>
      <c r="F342" s="5" t="str">
        <f>HYPERLINK("http://opcosentino.it/","opcosentino.it")</f>
        <v>opcosentino.it</v>
      </c>
    </row>
    <row r="343" spans="1:6" ht="29.55" customHeight="1" x14ac:dyDescent="0.25">
      <c r="A343" s="1" t="s">
        <v>1231</v>
      </c>
      <c r="B343" s="7" t="s">
        <v>1232</v>
      </c>
      <c r="C343" s="7" t="s">
        <v>1183</v>
      </c>
      <c r="D343" s="7" t="s">
        <v>1233</v>
      </c>
      <c r="E343" s="7" t="s">
        <v>1185</v>
      </c>
      <c r="F343" s="7" t="str">
        <f>HYPERLINK("http://www.ilmarchiodorosrl.it/","www.ilmarchiodorosrl.it")</f>
        <v>www.ilmarchiodorosrl.it</v>
      </c>
    </row>
    <row r="344" spans="1:6" ht="29.55" customHeight="1" x14ac:dyDescent="0.25">
      <c r="A344" s="6" t="s">
        <v>1234</v>
      </c>
      <c r="B344" s="5" t="s">
        <v>1235</v>
      </c>
      <c r="C344" s="5" t="s">
        <v>1201</v>
      </c>
      <c r="D344" s="5" t="s">
        <v>1236</v>
      </c>
      <c r="E344" s="5" t="s">
        <v>1237</v>
      </c>
      <c r="F344" s="5" t="str">
        <f>HYPERLINK("http://www.soledimontagna.it/","http://www.soledimontagna.it")</f>
        <v>http://www.soledimontagna.it</v>
      </c>
    </row>
    <row r="345" spans="1:6" ht="55.65" customHeight="1" x14ac:dyDescent="0.25">
      <c r="A345" s="1" t="s">
        <v>1238</v>
      </c>
      <c r="B345" s="7" t="s">
        <v>1239</v>
      </c>
      <c r="C345" s="7" t="s">
        <v>1201</v>
      </c>
      <c r="D345" s="7" t="s">
        <v>1240</v>
      </c>
      <c r="E345" s="7" t="s">
        <v>1216</v>
      </c>
      <c r="F345" s="7" t="str">
        <f>HYPERLINK("http://cooperativaagricolasanbiagio.business.site/","cooperativaagricolasanbiagio.business.site")</f>
        <v>cooperativaagricolasanbiagio.business.site</v>
      </c>
    </row>
    <row r="346" spans="1:6" ht="43.05" customHeight="1" x14ac:dyDescent="0.25">
      <c r="A346" s="6" t="s">
        <v>1241</v>
      </c>
      <c r="B346" s="5" t="s">
        <v>1242</v>
      </c>
      <c r="C346" s="5" t="s">
        <v>1243</v>
      </c>
      <c r="D346" s="5" t="s">
        <v>1244</v>
      </c>
      <c r="E346" s="5" t="s">
        <v>1207</v>
      </c>
      <c r="F346" s="5" t="str">
        <f>HYPERLINK("http://www.mondolattetrecime.com/","www.mondolattetrecime.com")</f>
        <v>www.mondolattetrecime.com</v>
      </c>
    </row>
    <row r="347" spans="1:6" ht="43.05" customHeight="1" x14ac:dyDescent="0.25">
      <c r="A347" s="1" t="s">
        <v>1245</v>
      </c>
      <c r="B347" s="7" t="s">
        <v>1246</v>
      </c>
      <c r="C347" s="7" t="s">
        <v>1243</v>
      </c>
      <c r="D347" s="7" t="s">
        <v>1247</v>
      </c>
      <c r="E347" s="7" t="s">
        <v>1216</v>
      </c>
      <c r="F347" s="7" t="str">
        <f>HYPERLINK("http://www.stallasocialemonastier.it/","www.stallasocialemonastier.it")</f>
        <v>www.stallasocialemonastier.it</v>
      </c>
    </row>
    <row r="348" spans="1:6" ht="68.099999999999994" customHeight="1" x14ac:dyDescent="0.25">
      <c r="A348" s="1" t="s">
        <v>1248</v>
      </c>
      <c r="B348" s="7" t="s">
        <v>1249</v>
      </c>
      <c r="C348" s="7" t="s">
        <v>1193</v>
      </c>
      <c r="D348" s="7" t="s">
        <v>1206</v>
      </c>
      <c r="E348" s="7" t="s">
        <v>1207</v>
      </c>
      <c r="F348" s="7" t="str">
        <f>HYPERLINK("http://www.melinda.it/il-consorzio","www.melinda.it/il-consorzio")</f>
        <v>www.melinda.it/il-consorzio</v>
      </c>
    </row>
    <row r="349" spans="1:6" ht="29.55" customHeight="1" x14ac:dyDescent="0.25">
      <c r="A349" s="6" t="s">
        <v>1250</v>
      </c>
      <c r="B349" s="5" t="s">
        <v>1251</v>
      </c>
      <c r="C349" s="5" t="s">
        <v>1252</v>
      </c>
      <c r="D349" s="5" t="s">
        <v>1253</v>
      </c>
      <c r="E349" s="5" t="s">
        <v>1237</v>
      </c>
      <c r="F349" s="5" t="str">
        <f>HYPERLINK("http://filieraunoagricola.it/","filieraunoagricola.it")</f>
        <v>filieraunoagricola.it</v>
      </c>
    </row>
    <row r="350" spans="1:6" ht="29.55" customHeight="1" x14ac:dyDescent="0.25">
      <c r="A350" s="1" t="s">
        <v>1254</v>
      </c>
      <c r="B350" s="7" t="s">
        <v>1255</v>
      </c>
      <c r="C350" s="7" t="s">
        <v>1201</v>
      </c>
      <c r="D350" s="7" t="s">
        <v>1230</v>
      </c>
      <c r="E350" s="7" t="s">
        <v>1185</v>
      </c>
      <c r="F350" s="7" t="str">
        <f>HYPERLINK("http://www.coopaurora.com/","www.coopaurora.com")</f>
        <v>www.coopaurora.com</v>
      </c>
    </row>
    <row r="351" spans="1:6" ht="29.55" customHeight="1" x14ac:dyDescent="0.25">
      <c r="A351" s="1" t="s">
        <v>1256</v>
      </c>
      <c r="B351" s="7" t="s">
        <v>1257</v>
      </c>
      <c r="C351" s="7" t="s">
        <v>1183</v>
      </c>
      <c r="D351" s="7" t="s">
        <v>1258</v>
      </c>
      <c r="E351" s="7" t="s">
        <v>1190</v>
      </c>
      <c r="F351" s="7" t="str">
        <f>HYPERLINK("http://www.digirolamo.biz/","www.digirolamo.biz")</f>
        <v>www.digirolamo.biz</v>
      </c>
    </row>
    <row r="352" spans="1:6" ht="29.55" customHeight="1" x14ac:dyDescent="0.25">
      <c r="A352" s="6" t="s">
        <v>1259</v>
      </c>
      <c r="B352" s="5" t="s">
        <v>1260</v>
      </c>
      <c r="C352" s="5" t="s">
        <v>1201</v>
      </c>
      <c r="D352" s="5" t="s">
        <v>1210</v>
      </c>
      <c r="E352" s="5" t="s">
        <v>1211</v>
      </c>
      <c r="F352" s="5" t="str">
        <f>HYPERLINK("http://shop.campoverdeagricola.it/","shop.campoverdeagricola.it")</f>
        <v>shop.campoverdeagricola.it</v>
      </c>
    </row>
    <row r="353" spans="1:6" ht="43.05" customHeight="1" x14ac:dyDescent="0.25">
      <c r="A353" s="6" t="s">
        <v>1261</v>
      </c>
      <c r="B353" s="5" t="s">
        <v>1262</v>
      </c>
      <c r="C353" s="5" t="s">
        <v>1188</v>
      </c>
      <c r="D353" s="5" t="s">
        <v>1263</v>
      </c>
      <c r="E353" s="5" t="s">
        <v>1264</v>
      </c>
      <c r="F353" s="5" t="str">
        <f>HYPERLINK("http://www.vivito.it/","www.vivito.it")</f>
        <v>www.vivito.it</v>
      </c>
    </row>
    <row r="354" spans="1:6" ht="16.95" customHeight="1" x14ac:dyDescent="0.25">
      <c r="A354" s="6" t="s">
        <v>1265</v>
      </c>
      <c r="B354" s="5" t="s">
        <v>1266</v>
      </c>
      <c r="C354" s="5" t="s">
        <v>1223</v>
      </c>
      <c r="D354" s="5" t="s">
        <v>1267</v>
      </c>
      <c r="E354" s="5" t="s">
        <v>1237</v>
      </c>
      <c r="F354" s="5" t="str">
        <f>HYPERLINK("http://www.alilohmann.com/","www.alilohmann.com")</f>
        <v>www.alilohmann.com</v>
      </c>
    </row>
    <row r="355" spans="1:6" ht="43.05" customHeight="1" x14ac:dyDescent="0.25">
      <c r="A355" s="1" t="s">
        <v>1268</v>
      </c>
      <c r="B355" s="7" t="s">
        <v>1269</v>
      </c>
      <c r="C355" s="7" t="s">
        <v>1270</v>
      </c>
      <c r="D355" s="7" t="s">
        <v>1271</v>
      </c>
      <c r="E355" s="7" t="s">
        <v>1272</v>
      </c>
      <c r="F355" s="7" t="str">
        <f>HYPERLINK("http://www.casaledelgiglio.it/","www.casaledelgiglio.it")</f>
        <v>www.casaledelgiglio.it</v>
      </c>
    </row>
    <row r="356" spans="1:6" ht="55.65" customHeight="1" x14ac:dyDescent="0.25">
      <c r="A356" s="6" t="s">
        <v>1273</v>
      </c>
      <c r="B356" s="5" t="s">
        <v>1274</v>
      </c>
      <c r="C356" s="5" t="s">
        <v>1275</v>
      </c>
      <c r="D356" s="5" t="s">
        <v>1276</v>
      </c>
      <c r="E356" s="5" t="s">
        <v>1277</v>
      </c>
      <c r="F356" s="5" t="str">
        <f>HYPERLINK("http://www.rarebonta.it/","www.rarebonta.it")</f>
        <v>www.rarebonta.it</v>
      </c>
    </row>
    <row r="357" spans="1:6" ht="16.95" customHeight="1" x14ac:dyDescent="0.25">
      <c r="A357" s="1" t="s">
        <v>1278</v>
      </c>
      <c r="B357" s="7" t="s">
        <v>1279</v>
      </c>
      <c r="C357" s="7" t="s">
        <v>1280</v>
      </c>
      <c r="D357" s="7" t="s">
        <v>1281</v>
      </c>
      <c r="E357" s="7" t="s">
        <v>1272</v>
      </c>
      <c r="F357" s="7" t="str">
        <f>HYPERLINK("http://www.bioitalynature.com/","www.bioitalynature.com")</f>
        <v>www.bioitalynature.com</v>
      </c>
    </row>
    <row r="358" spans="1:6" ht="16.95" customHeight="1" x14ac:dyDescent="0.25">
      <c r="A358" s="6" t="s">
        <v>1282</v>
      </c>
      <c r="B358" s="5" t="s">
        <v>1283</v>
      </c>
      <c r="C358" s="5" t="s">
        <v>1270</v>
      </c>
      <c r="D358" s="5" t="s">
        <v>1284</v>
      </c>
      <c r="E358" s="5" t="s">
        <v>1285</v>
      </c>
      <c r="F358" s="5" t="str">
        <f>HYPERLINK("http://www.tenutaulisse.it/","www.tenutaulisse.it")</f>
        <v>www.tenutaulisse.it</v>
      </c>
    </row>
    <row r="359" spans="1:6" ht="29.55" customHeight="1" x14ac:dyDescent="0.25">
      <c r="A359" s="1" t="s">
        <v>1286</v>
      </c>
      <c r="B359" s="7" t="s">
        <v>1287</v>
      </c>
      <c r="C359" s="7" t="s">
        <v>1275</v>
      </c>
      <c r="D359" s="7" t="s">
        <v>1288</v>
      </c>
      <c r="E359" s="7" t="s">
        <v>1289</v>
      </c>
      <c r="F359" s="7" t="str">
        <f>HYPERLINK("http://www.oporizzonte.it/","www.oporizzonte.it")</f>
        <v>www.oporizzonte.it</v>
      </c>
    </row>
    <row r="360" spans="1:6" ht="29.55" customHeight="1" x14ac:dyDescent="0.25">
      <c r="A360" s="6" t="s">
        <v>1290</v>
      </c>
      <c r="B360" s="5" t="s">
        <v>1291</v>
      </c>
      <c r="C360" s="5" t="s">
        <v>1292</v>
      </c>
      <c r="D360" s="5" t="s">
        <v>1293</v>
      </c>
      <c r="E360" s="5" t="s">
        <v>1294</v>
      </c>
      <c r="F360" s="5" t="str">
        <f>HYPERLINK("http://agricoladante.it/","agricoladante.it")</f>
        <v>agricoladante.it</v>
      </c>
    </row>
    <row r="361" spans="1:6" ht="55.65" customHeight="1" x14ac:dyDescent="0.25">
      <c r="A361" s="1" t="s">
        <v>1295</v>
      </c>
      <c r="B361" s="7" t="s">
        <v>1296</v>
      </c>
      <c r="C361" s="7" t="s">
        <v>1297</v>
      </c>
      <c r="D361" s="7" t="s">
        <v>1293</v>
      </c>
      <c r="E361" s="7" t="s">
        <v>1294</v>
      </c>
      <c r="F361" s="7" t="str">
        <f>HYPERLINK("http://www.tenutaugusta.it/","www.tenutaugusta.it")</f>
        <v>www.tenutaugusta.it</v>
      </c>
    </row>
    <row r="362" spans="1:6" ht="43.05" customHeight="1" x14ac:dyDescent="0.25">
      <c r="A362" s="6" t="s">
        <v>1298</v>
      </c>
      <c r="B362" s="5" t="s">
        <v>1299</v>
      </c>
      <c r="C362" s="5" t="s">
        <v>1270</v>
      </c>
      <c r="D362" s="5" t="s">
        <v>1300</v>
      </c>
      <c r="E362" s="5" t="s">
        <v>1301</v>
      </c>
      <c r="F362" s="5" t="str">
        <f>HYPERLINK("http://www.girlan.it/","www.girlan.it")</f>
        <v>www.girlan.it</v>
      </c>
    </row>
    <row r="363" spans="1:6" ht="55.65" customHeight="1" x14ac:dyDescent="0.25">
      <c r="A363" s="1" t="s">
        <v>1302</v>
      </c>
      <c r="B363" s="7" t="s">
        <v>1303</v>
      </c>
      <c r="C363" s="7" t="s">
        <v>1275</v>
      </c>
      <c r="D363" s="7" t="s">
        <v>1304</v>
      </c>
      <c r="E363" s="7" t="s">
        <v>1305</v>
      </c>
      <c r="F363" s="7" t="str">
        <f>HYPERLINK("http://www.laitservice.it/","www.laitservice.it")</f>
        <v>www.laitservice.it</v>
      </c>
    </row>
    <row r="364" spans="1:6" ht="68.099999999999994" customHeight="1" x14ac:dyDescent="0.25">
      <c r="A364" s="6" t="s">
        <v>1306</v>
      </c>
      <c r="B364" s="5" t="s">
        <v>1307</v>
      </c>
      <c r="C364" s="5" t="s">
        <v>1270</v>
      </c>
      <c r="D364" s="5" t="s">
        <v>1308</v>
      </c>
      <c r="E364" s="5" t="s">
        <v>1309</v>
      </c>
      <c r="F364" s="5" t="str">
        <f>HYPERLINK("http://www.collifiorentini.it/","www.collifiorentini.it")</f>
        <v>www.collifiorentini.it</v>
      </c>
    </row>
    <row r="365" spans="1:6" ht="106.65" customHeight="1" x14ac:dyDescent="0.25">
      <c r="A365" s="1" t="s">
        <v>1310</v>
      </c>
      <c r="B365" s="7" t="s">
        <v>1311</v>
      </c>
      <c r="C365" s="7" t="s">
        <v>1270</v>
      </c>
      <c r="D365" s="7" t="s">
        <v>1312</v>
      </c>
      <c r="E365" s="7" t="s">
        <v>1294</v>
      </c>
      <c r="F365" s="7" t="str">
        <f>HYPERLINK("http://www.poderidalnespoli.com/","www.poderidalnespoli.com")</f>
        <v>www.poderidalnespoli.com</v>
      </c>
    </row>
    <row r="366" spans="1:6" ht="16.95" customHeight="1" x14ac:dyDescent="0.25">
      <c r="A366" s="1" t="s">
        <v>1313</v>
      </c>
      <c r="B366" s="7" t="s">
        <v>1314</v>
      </c>
      <c r="C366" s="7" t="s">
        <v>1315</v>
      </c>
      <c r="D366" s="7" t="s">
        <v>1316</v>
      </c>
      <c r="E366" s="7" t="s">
        <v>1317</v>
      </c>
      <c r="F366" s="7" t="str">
        <f>HYPERLINK("http://www.agrifuturafiesse.it/","www.agrifuturafiesse.it")</f>
        <v>www.agrifuturafiesse.it</v>
      </c>
    </row>
    <row r="367" spans="1:6" ht="29.55" customHeight="1" x14ac:dyDescent="0.25">
      <c r="A367" s="1" t="s">
        <v>1319</v>
      </c>
      <c r="B367" s="7" t="s">
        <v>1320</v>
      </c>
      <c r="C367" s="7" t="s">
        <v>1321</v>
      </c>
      <c r="D367" s="7" t="s">
        <v>1271</v>
      </c>
      <c r="E367" s="7" t="s">
        <v>1272</v>
      </c>
      <c r="F367" s="7" t="str">
        <f>HYPERLINK("http://www.sotea.biz/","www.sotea.biz")</f>
        <v>www.sotea.biz</v>
      </c>
    </row>
    <row r="368" spans="1:6" ht="29.55" customHeight="1" x14ac:dyDescent="0.25">
      <c r="A368" s="6" t="s">
        <v>1322</v>
      </c>
      <c r="B368" s="5" t="s">
        <v>1323</v>
      </c>
      <c r="C368" s="5" t="s">
        <v>1315</v>
      </c>
      <c r="D368" s="5" t="s">
        <v>1324</v>
      </c>
      <c r="E368" s="5" t="s">
        <v>1317</v>
      </c>
      <c r="F368" s="5" t="str">
        <f>HYPERLINK("http://www.coprovi.it/","www.coprovi.it")</f>
        <v>www.coprovi.it</v>
      </c>
    </row>
    <row r="369" spans="1:6" ht="29.55" customHeight="1" x14ac:dyDescent="0.25">
      <c r="A369" s="1" t="s">
        <v>1325</v>
      </c>
      <c r="B369" s="7" t="s">
        <v>1326</v>
      </c>
      <c r="C369" s="7" t="s">
        <v>1270</v>
      </c>
      <c r="D369" s="7" t="s">
        <v>1327</v>
      </c>
      <c r="E369" s="7" t="s">
        <v>1277</v>
      </c>
      <c r="F369" s="7" t="str">
        <f>HYPERLINK("http://www.valledorofruit.com/","www.valledorofruit.com")</f>
        <v>www.valledorofruit.com</v>
      </c>
    </row>
    <row r="370" spans="1:6" ht="29.55" customHeight="1" x14ac:dyDescent="0.25">
      <c r="A370" s="6" t="s">
        <v>1328</v>
      </c>
      <c r="B370" s="5" t="s">
        <v>1329</v>
      </c>
      <c r="C370" s="5" t="s">
        <v>1315</v>
      </c>
      <c r="D370" s="5" t="s">
        <v>1330</v>
      </c>
      <c r="E370" s="5" t="s">
        <v>1317</v>
      </c>
      <c r="F370" s="5" t="str">
        <f>HYPERLINK("http://www.enostaff.it/","www.enostaff.it")</f>
        <v>www.enostaff.it</v>
      </c>
    </row>
    <row r="371" spans="1:6" ht="55.65" customHeight="1" x14ac:dyDescent="0.25">
      <c r="A371" s="1" t="s">
        <v>1331</v>
      </c>
      <c r="B371" s="7" t="s">
        <v>1332</v>
      </c>
      <c r="C371" s="7" t="s">
        <v>1318</v>
      </c>
      <c r="D371" s="7" t="s">
        <v>1333</v>
      </c>
      <c r="E371" s="7" t="s">
        <v>1294</v>
      </c>
      <c r="F371" s="7" t="str">
        <f>HYPERLINK("http://www.caseificioboiardo.it/","www.caseificioboiardo.it")</f>
        <v>www.caseificioboiardo.it</v>
      </c>
    </row>
    <row r="372" spans="1:6" ht="68.099999999999994" customHeight="1" x14ac:dyDescent="0.25">
      <c r="A372" s="1" t="s">
        <v>1336</v>
      </c>
      <c r="B372" s="7" t="s">
        <v>1337</v>
      </c>
      <c r="C372" s="7" t="s">
        <v>1338</v>
      </c>
      <c r="D372" s="7" t="s">
        <v>1339</v>
      </c>
      <c r="E372" s="7" t="s">
        <v>1305</v>
      </c>
      <c r="F372" s="7" t="str">
        <f>HYPERLINK("http://sapise.it/","sapise.it")</f>
        <v>sapise.it</v>
      </c>
    </row>
    <row r="373" spans="1:6" ht="29.55" customHeight="1" x14ac:dyDescent="0.25">
      <c r="A373" s="1" t="s">
        <v>1340</v>
      </c>
      <c r="B373" s="7" t="s">
        <v>1341</v>
      </c>
      <c r="C373" s="7" t="s">
        <v>1315</v>
      </c>
      <c r="D373" s="7" t="s">
        <v>1342</v>
      </c>
      <c r="E373" s="7" t="s">
        <v>1294</v>
      </c>
      <c r="F373" s="7" t="str">
        <f>HYPERLINK("http://www.afe.it/","www.afe.it")</f>
        <v>www.afe.it</v>
      </c>
    </row>
    <row r="374" spans="1:6" ht="29.55" customHeight="1" x14ac:dyDescent="0.25">
      <c r="A374" s="6" t="s">
        <v>1343</v>
      </c>
      <c r="B374" s="5" t="s">
        <v>1344</v>
      </c>
      <c r="C374" s="5" t="s">
        <v>1270</v>
      </c>
      <c r="D374" s="5" t="s">
        <v>1345</v>
      </c>
      <c r="E374" s="5" t="s">
        <v>1335</v>
      </c>
      <c r="F374" s="5" t="str">
        <f>HYPERLINK("http://www.opisicula.it/","www.opisicula.it")</f>
        <v>www.opisicula.it</v>
      </c>
    </row>
    <row r="375" spans="1:6" ht="29.55" customHeight="1" x14ac:dyDescent="0.25">
      <c r="A375" s="1" t="s">
        <v>1346</v>
      </c>
      <c r="B375" s="7" t="s">
        <v>1347</v>
      </c>
      <c r="C375" s="7" t="s">
        <v>1348</v>
      </c>
      <c r="D375" s="7" t="s">
        <v>1349</v>
      </c>
      <c r="E375" s="7" t="s">
        <v>1350</v>
      </c>
      <c r="F375" s="7" t="str">
        <f>HYPERLINK("http://www.agrifuturcoop.it/","www.agrifuturcoop.it")</f>
        <v>www.agrifuturcoop.it</v>
      </c>
    </row>
    <row r="376" spans="1:6" ht="16.95" customHeight="1" x14ac:dyDescent="0.25">
      <c r="A376" s="6" t="s">
        <v>1351</v>
      </c>
      <c r="B376" s="5" t="s">
        <v>1352</v>
      </c>
      <c r="C376" s="5" t="s">
        <v>1275</v>
      </c>
      <c r="D376" s="5" t="s">
        <v>1353</v>
      </c>
      <c r="E376" s="5" t="s">
        <v>1335</v>
      </c>
      <c r="F376" s="5" t="str">
        <f>HYPERLINK("http://ecofarmitalia.com/","ecofarmitalia.com")</f>
        <v>ecofarmitalia.com</v>
      </c>
    </row>
    <row r="377" spans="1:6" ht="145.19999999999999" customHeight="1" x14ac:dyDescent="0.25">
      <c r="A377" s="1" t="s">
        <v>1354</v>
      </c>
      <c r="B377" s="7" t="s">
        <v>1355</v>
      </c>
      <c r="C377" s="7" t="s">
        <v>1321</v>
      </c>
      <c r="D377" s="7" t="s">
        <v>1293</v>
      </c>
      <c r="E377" s="7" t="s">
        <v>1294</v>
      </c>
      <c r="F377" s="7" t="str">
        <f>HYPERLINK("http://www.cantinafaenza.it/","www.cantinafaenza.it")</f>
        <v>www.cantinafaenza.it</v>
      </c>
    </row>
    <row r="378" spans="1:6" ht="29.55" customHeight="1" x14ac:dyDescent="0.25">
      <c r="A378" s="1" t="s">
        <v>1356</v>
      </c>
      <c r="B378" s="7" t="s">
        <v>1357</v>
      </c>
      <c r="C378" s="7" t="s">
        <v>1275</v>
      </c>
      <c r="D378" s="7" t="s">
        <v>1334</v>
      </c>
      <c r="E378" s="7" t="s">
        <v>1335</v>
      </c>
      <c r="F378" s="7" t="str">
        <f>HYPERLINK("http://www.coopairone.com/","www.coopairone.com")</f>
        <v>www.coopairone.com</v>
      </c>
    </row>
    <row r="379" spans="1:6" ht="29.55" customHeight="1" x14ac:dyDescent="0.25">
      <c r="A379" s="6" t="s">
        <v>1358</v>
      </c>
      <c r="B379" s="5" t="s">
        <v>1359</v>
      </c>
      <c r="C379" s="5" t="s">
        <v>1275</v>
      </c>
      <c r="D379" s="5" t="s">
        <v>1312</v>
      </c>
      <c r="E379" s="5" t="s">
        <v>1294</v>
      </c>
      <c r="F379" s="5" t="str">
        <f>HYPERLINK("http://www.virano19.it/","www.virano19.it")</f>
        <v>www.virano19.it</v>
      </c>
    </row>
    <row r="380" spans="1:6" ht="43.05" customHeight="1" x14ac:dyDescent="0.25">
      <c r="A380" s="1" t="s">
        <v>1360</v>
      </c>
      <c r="B380" s="7" t="s">
        <v>1361</v>
      </c>
      <c r="C380" s="7" t="s">
        <v>1362</v>
      </c>
      <c r="D380" s="7" t="s">
        <v>1363</v>
      </c>
      <c r="E380" s="7" t="s">
        <v>1364</v>
      </c>
      <c r="F380" s="7" t="str">
        <f>HYPERLINK("http://agricolaautentica.it/","agricolaautentica.it")</f>
        <v>agricolaautentica.it</v>
      </c>
    </row>
    <row r="381" spans="1:6" ht="29.55" customHeight="1" x14ac:dyDescent="0.25">
      <c r="A381" s="1" t="s">
        <v>1365</v>
      </c>
      <c r="B381" s="7" t="s">
        <v>1366</v>
      </c>
      <c r="C381" s="7" t="s">
        <v>1367</v>
      </c>
      <c r="D381" s="7" t="s">
        <v>1368</v>
      </c>
      <c r="E381" s="7" t="s">
        <v>1369</v>
      </c>
      <c r="F381" s="7" t="str">
        <f>HYPERLINK("http://experience.ruffino.it/","experience.ruffino.it")</f>
        <v>experience.ruffino.it</v>
      </c>
    </row>
    <row r="382" spans="1:6" ht="29.55" customHeight="1" x14ac:dyDescent="0.25">
      <c r="A382" s="6" t="s">
        <v>1370</v>
      </c>
      <c r="B382" s="5" t="s">
        <v>1371</v>
      </c>
      <c r="C382" s="5" t="s">
        <v>1362</v>
      </c>
      <c r="D382" s="5" t="s">
        <v>1372</v>
      </c>
      <c r="E382" s="5" t="s">
        <v>1373</v>
      </c>
      <c r="F382" s="5" t="str">
        <f>HYPERLINK("http://agritaliacoop.com/","agritaliacoop.com")</f>
        <v>agritaliacoop.com</v>
      </c>
    </row>
    <row r="383" spans="1:6" ht="29.55" customHeight="1" x14ac:dyDescent="0.25">
      <c r="A383" s="1" t="s">
        <v>1374</v>
      </c>
      <c r="B383" s="7" t="s">
        <v>1375</v>
      </c>
      <c r="C383" s="7" t="s">
        <v>1362</v>
      </c>
      <c r="D383" s="7" t="s">
        <v>1376</v>
      </c>
      <c r="E383" s="7" t="s">
        <v>1377</v>
      </c>
      <c r="F383" s="7" t="str">
        <f>HYPERLINK("http://rheaura.it/","rheaura.it")</f>
        <v>rheaura.it</v>
      </c>
    </row>
    <row r="384" spans="1:6" ht="43.05" customHeight="1" x14ac:dyDescent="0.25">
      <c r="A384" s="6" t="s">
        <v>1378</v>
      </c>
      <c r="B384" s="5" t="s">
        <v>1379</v>
      </c>
      <c r="C384" s="5" t="s">
        <v>1380</v>
      </c>
      <c r="D384" s="5" t="s">
        <v>1381</v>
      </c>
      <c r="E384" s="5" t="s">
        <v>1382</v>
      </c>
      <c r="F384" s="5" t="str">
        <f>HYPERLINK("http://terrabio.eu/","terrabio.eu")</f>
        <v>terrabio.eu</v>
      </c>
    </row>
    <row r="385" spans="1:6" ht="81.75" customHeight="1" x14ac:dyDescent="0.25">
      <c r="A385" s="1" t="s">
        <v>1383</v>
      </c>
      <c r="B385" s="7" t="s">
        <v>1384</v>
      </c>
      <c r="C385" s="7" t="s">
        <v>1367</v>
      </c>
      <c r="D385" s="7" t="s">
        <v>1385</v>
      </c>
      <c r="E385" s="7" t="s">
        <v>1386</v>
      </c>
      <c r="F385" s="7" t="str">
        <f>HYPERLINK("http://cantinedellabardulia.it/","cantinedellabardulia.it")</f>
        <v>cantinedellabardulia.it</v>
      </c>
    </row>
    <row r="386" spans="1:6" ht="16.95" customHeight="1" x14ac:dyDescent="0.25">
      <c r="A386" s="6" t="s">
        <v>1387</v>
      </c>
      <c r="B386" s="5" t="s">
        <v>1388</v>
      </c>
      <c r="C386" s="5" t="s">
        <v>1362</v>
      </c>
      <c r="D386" s="5" t="s">
        <v>1389</v>
      </c>
      <c r="E386" s="5" t="s">
        <v>1386</v>
      </c>
      <c r="F386" s="5" t="str">
        <f>HYPERLINK("http://arditosrl.it/","arditosrl.it")</f>
        <v>arditosrl.it</v>
      </c>
    </row>
    <row r="387" spans="1:6" ht="55.65" customHeight="1" x14ac:dyDescent="0.25">
      <c r="A387" s="1" t="s">
        <v>1390</v>
      </c>
      <c r="B387" s="7" t="s">
        <v>1391</v>
      </c>
      <c r="C387" s="7" t="s">
        <v>1367</v>
      </c>
      <c r="D387" s="7" t="s">
        <v>1392</v>
      </c>
      <c r="E387" s="7" t="s">
        <v>1393</v>
      </c>
      <c r="F387" s="7" t="str">
        <f>HYPERLINK("http://www.elenawalch.com/","www.elenawalch.com")</f>
        <v>www.elenawalch.com</v>
      </c>
    </row>
    <row r="388" spans="1:6" ht="81.75" customHeight="1" x14ac:dyDescent="0.25">
      <c r="A388" s="6" t="s">
        <v>1394</v>
      </c>
      <c r="B388" s="5" t="s">
        <v>1395</v>
      </c>
      <c r="C388" s="5" t="s">
        <v>1367</v>
      </c>
      <c r="D388" s="5" t="s">
        <v>1396</v>
      </c>
      <c r="E388" s="5" t="s">
        <v>1397</v>
      </c>
      <c r="F388" s="5" t="str">
        <f>HYPERLINK("http://www.mastroberardinoexperience.it/","www.mastroberardinoexperience.it")</f>
        <v>www.mastroberardinoexperience.it</v>
      </c>
    </row>
    <row r="389" spans="1:6" ht="16.95" customHeight="1" x14ac:dyDescent="0.25">
      <c r="A389" s="1" t="s">
        <v>1398</v>
      </c>
      <c r="B389" s="7" t="s">
        <v>1399</v>
      </c>
      <c r="C389" s="7" t="s">
        <v>1380</v>
      </c>
      <c r="D389" s="7" t="s">
        <v>1400</v>
      </c>
      <c r="E389" s="7" t="s">
        <v>1397</v>
      </c>
      <c r="F389" s="7" t="str">
        <f>HYPERLINK("http://www.sanlazzaro92.it/","www.sanlazzaro92.it")</f>
        <v>www.sanlazzaro92.it</v>
      </c>
    </row>
    <row r="390" spans="1:6" ht="68.099999999999994" customHeight="1" x14ac:dyDescent="0.25">
      <c r="A390" s="1" t="s">
        <v>1401</v>
      </c>
      <c r="B390" s="7" t="s">
        <v>1402</v>
      </c>
      <c r="C390" s="7" t="s">
        <v>1367</v>
      </c>
      <c r="D390" s="7" t="s">
        <v>1392</v>
      </c>
      <c r="E390" s="7" t="s">
        <v>1393</v>
      </c>
      <c r="F390" s="7" t="str">
        <f>HYPERLINK("http://www.kellereimeran.it/","www.kellereimeran.it")</f>
        <v>www.kellereimeran.it</v>
      </c>
    </row>
    <row r="391" spans="1:6" ht="68.099999999999994" customHeight="1" x14ac:dyDescent="0.25">
      <c r="A391" s="6" t="s">
        <v>1403</v>
      </c>
      <c r="B391" s="5" t="s">
        <v>1404</v>
      </c>
      <c r="C391" s="5" t="s">
        <v>1405</v>
      </c>
      <c r="D391" s="5" t="s">
        <v>1406</v>
      </c>
      <c r="E391" s="5" t="s">
        <v>1407</v>
      </c>
      <c r="F391" s="5" t="str">
        <f>HYPERLINK("http://www.latterialagrande.it/","www.latterialagrande.it")</f>
        <v>www.latterialagrande.it</v>
      </c>
    </row>
    <row r="392" spans="1:6" ht="43.05" customHeight="1" x14ac:dyDescent="0.25">
      <c r="A392" s="1" t="s">
        <v>1408</v>
      </c>
      <c r="B392" s="7" t="s">
        <v>1409</v>
      </c>
      <c r="C392" s="7" t="s">
        <v>1367</v>
      </c>
      <c r="D392" s="7" t="s">
        <v>1410</v>
      </c>
      <c r="E392" s="7" t="s">
        <v>1369</v>
      </c>
      <c r="F392" s="7" t="str">
        <f>HYPERLINK("http://www.biserno.it/","www.biserno.it")</f>
        <v>www.biserno.it</v>
      </c>
    </row>
    <row r="393" spans="1:6" ht="81.75" customHeight="1" x14ac:dyDescent="0.25">
      <c r="A393" s="6" t="s">
        <v>1411</v>
      </c>
      <c r="B393" s="5" t="s">
        <v>1412</v>
      </c>
      <c r="C393" s="5" t="s">
        <v>1362</v>
      </c>
      <c r="D393" s="5" t="s">
        <v>1413</v>
      </c>
      <c r="E393" s="5" t="s">
        <v>1373</v>
      </c>
      <c r="F393" s="5" t="str">
        <f>HYPERLINK("http://ccorav.it/","ccorav.it")</f>
        <v>ccorav.it</v>
      </c>
    </row>
    <row r="394" spans="1:6" ht="29.55" customHeight="1" x14ac:dyDescent="0.25">
      <c r="A394" s="1" t="s">
        <v>1414</v>
      </c>
      <c r="B394" s="7" t="s">
        <v>1415</v>
      </c>
      <c r="C394" s="7" t="s">
        <v>1362</v>
      </c>
      <c r="D394" s="7" t="s">
        <v>1372</v>
      </c>
      <c r="E394" s="7" t="s">
        <v>1373</v>
      </c>
      <c r="F394" s="7" t="str">
        <f>HYPERLINK("http://ortolanda.com/","ortolanda.com")</f>
        <v>ortolanda.com</v>
      </c>
    </row>
    <row r="395" spans="1:6" ht="29.55" customHeight="1" x14ac:dyDescent="0.25">
      <c r="A395" s="6" t="s">
        <v>1416</v>
      </c>
      <c r="B395" s="5" t="s">
        <v>1417</v>
      </c>
      <c r="C395" s="5" t="s">
        <v>1418</v>
      </c>
      <c r="D395" s="5" t="s">
        <v>1419</v>
      </c>
      <c r="E395" s="5" t="s">
        <v>1420</v>
      </c>
      <c r="F395" s="5" t="str">
        <f>HYPERLINK("http://www.opplatinum.it/","www.opplatinum.it")</f>
        <v>www.opplatinum.it</v>
      </c>
    </row>
    <row r="396" spans="1:6" ht="29.55" customHeight="1" x14ac:dyDescent="0.25">
      <c r="A396" s="1" t="s">
        <v>1421</v>
      </c>
      <c r="B396" s="7" t="s">
        <v>1422</v>
      </c>
      <c r="C396" s="7" t="s">
        <v>1362</v>
      </c>
      <c r="D396" s="7" t="s">
        <v>1372</v>
      </c>
      <c r="E396" s="7" t="s">
        <v>1373</v>
      </c>
      <c r="F396" s="7" t="str">
        <f>HYPERLINK("http://www.agripeppe.it/","www.agripeppe.it")</f>
        <v>www.agripeppe.it</v>
      </c>
    </row>
    <row r="397" spans="1:6" ht="29.55" customHeight="1" x14ac:dyDescent="0.25">
      <c r="A397" s="6" t="s">
        <v>1423</v>
      </c>
      <c r="B397" s="5" t="s">
        <v>1424</v>
      </c>
      <c r="C397" s="5" t="s">
        <v>1425</v>
      </c>
      <c r="D397" s="5" t="s">
        <v>1426</v>
      </c>
      <c r="E397" s="5" t="s">
        <v>1407</v>
      </c>
      <c r="F397" s="5" t="str">
        <f>HYPERLINK("http://www.sativa.it/","www.sativa.it")</f>
        <v>www.sativa.it</v>
      </c>
    </row>
    <row r="398" spans="1:6" ht="55.65" customHeight="1" x14ac:dyDescent="0.25">
      <c r="A398" s="1" t="s">
        <v>1427</v>
      </c>
      <c r="B398" s="7" t="s">
        <v>1428</v>
      </c>
      <c r="C398" s="7" t="s">
        <v>1362</v>
      </c>
      <c r="D398" s="7" t="s">
        <v>1429</v>
      </c>
      <c r="E398" s="7" t="s">
        <v>1430</v>
      </c>
      <c r="F398" s="7" t="str">
        <f>HYPERLINK("http://rivesecar.wixsite.com/rivesecar","rivesecar.wixsite.com/rivesecar")</f>
        <v>rivesecar.wixsite.com/rivesecar</v>
      </c>
    </row>
    <row r="399" spans="1:6" ht="29.55" customHeight="1" x14ac:dyDescent="0.25">
      <c r="A399" s="6" t="s">
        <v>1431</v>
      </c>
      <c r="B399" s="5" t="s">
        <v>1432</v>
      </c>
      <c r="C399" s="5" t="s">
        <v>1433</v>
      </c>
      <c r="D399" s="5" t="s">
        <v>1392</v>
      </c>
      <c r="E399" s="5" t="s">
        <v>1393</v>
      </c>
      <c r="F399" s="5" t="str">
        <f>HYPERLINK("http://www.lazzeri.com/","www.lazzeri.com")</f>
        <v>www.lazzeri.com</v>
      </c>
    </row>
    <row r="400" spans="1:6" ht="43.05" customHeight="1" x14ac:dyDescent="0.25">
      <c r="A400" s="1" t="s">
        <v>1434</v>
      </c>
      <c r="B400" s="7" t="s">
        <v>1435</v>
      </c>
      <c r="C400" s="7" t="s">
        <v>1362</v>
      </c>
      <c r="D400" s="7" t="s">
        <v>1436</v>
      </c>
      <c r="E400" s="7" t="s">
        <v>1364</v>
      </c>
      <c r="F400" s="7" t="str">
        <f>HYPERLINK("http://www.opconsorziopadano.it/","www.opconsorziopadano.it")</f>
        <v>www.opconsorziopadano.it</v>
      </c>
    </row>
    <row r="401" spans="1:6" ht="43.05" customHeight="1" x14ac:dyDescent="0.25">
      <c r="A401" s="6" t="s">
        <v>1438</v>
      </c>
      <c r="B401" s="5" t="s">
        <v>1439</v>
      </c>
      <c r="C401" s="5" t="s">
        <v>1440</v>
      </c>
      <c r="D401" s="5" t="s">
        <v>1389</v>
      </c>
      <c r="E401" s="5" t="s">
        <v>1386</v>
      </c>
      <c r="F401" s="5" t="str">
        <f>HYPERLINK("http://www.coopdifesapuglia.it/","www.coopdifesapuglia.it")</f>
        <v>www.coopdifesapuglia.it</v>
      </c>
    </row>
    <row r="402" spans="1:6" ht="29.55" customHeight="1" x14ac:dyDescent="0.25">
      <c r="A402" s="1" t="s">
        <v>1441</v>
      </c>
      <c r="B402" s="7" t="s">
        <v>1442</v>
      </c>
      <c r="C402" s="7" t="s">
        <v>1443</v>
      </c>
      <c r="D402" s="7" t="s">
        <v>1444</v>
      </c>
      <c r="E402" s="7" t="s">
        <v>1445</v>
      </c>
      <c r="F402" s="7" t="str">
        <f>HYPERLINK("http://coccodi.it/","coccodi.it")</f>
        <v>coccodi.it</v>
      </c>
    </row>
    <row r="403" spans="1:6" ht="43.05" customHeight="1" x14ac:dyDescent="0.25">
      <c r="A403" s="6" t="s">
        <v>1446</v>
      </c>
      <c r="B403" s="5" t="s">
        <v>1447</v>
      </c>
      <c r="C403" s="5" t="s">
        <v>1362</v>
      </c>
      <c r="D403" s="5" t="s">
        <v>1448</v>
      </c>
      <c r="E403" s="5" t="s">
        <v>1373</v>
      </c>
      <c r="F403" s="5" t="str">
        <f>HYPERLINK("http://www.vineadomini.it/","www.vineadomini.it")</f>
        <v>www.vineadomini.it</v>
      </c>
    </row>
    <row r="404" spans="1:6" ht="55.65" customHeight="1" x14ac:dyDescent="0.25">
      <c r="A404" s="1" t="s">
        <v>1449</v>
      </c>
      <c r="B404" s="7" t="s">
        <v>1450</v>
      </c>
      <c r="C404" s="7" t="s">
        <v>1437</v>
      </c>
      <c r="D404" s="7" t="s">
        <v>1451</v>
      </c>
      <c r="E404" s="7" t="s">
        <v>1369</v>
      </c>
      <c r="F404" s="7" t="str">
        <f>HYPERLINK("http://www.laselva-bio.it/","www.laselva-bio.it")</f>
        <v>www.laselva-bio.it</v>
      </c>
    </row>
    <row r="405" spans="1:6" ht="94.2" customHeight="1" x14ac:dyDescent="0.25">
      <c r="A405" s="1" t="s">
        <v>1452</v>
      </c>
      <c r="B405" s="7" t="s">
        <v>1453</v>
      </c>
      <c r="C405" s="7" t="s">
        <v>1454</v>
      </c>
      <c r="D405" s="7" t="s">
        <v>1455</v>
      </c>
      <c r="E405" s="7" t="s">
        <v>1456</v>
      </c>
      <c r="F405" s="7" t="str">
        <f>HYPERLINK("http://www.agricoleforte.com/","www.agricoleforte.com")</f>
        <v>www.agricoleforte.com</v>
      </c>
    </row>
    <row r="406" spans="1:6" ht="29.55" customHeight="1" x14ac:dyDescent="0.25">
      <c r="A406" s="6" t="s">
        <v>1457</v>
      </c>
      <c r="B406" s="5" t="s">
        <v>1458</v>
      </c>
      <c r="C406" s="5" t="s">
        <v>1459</v>
      </c>
      <c r="D406" s="5" t="s">
        <v>1460</v>
      </c>
      <c r="E406" s="5" t="s">
        <v>1461</v>
      </c>
      <c r="F406" s="5" t="str">
        <f>HYPERLINK("http://www.sferaagricola.it/","www.sferaagricola.it")</f>
        <v>www.sferaagricola.it</v>
      </c>
    </row>
    <row r="407" spans="1:6" ht="81.75" customHeight="1" x14ac:dyDescent="0.25">
      <c r="A407" s="1" t="s">
        <v>1462</v>
      </c>
      <c r="B407" s="7" t="s">
        <v>1463</v>
      </c>
      <c r="C407" s="7" t="s">
        <v>1464</v>
      </c>
      <c r="D407" s="7" t="s">
        <v>1465</v>
      </c>
      <c r="E407" s="7" t="s">
        <v>1466</v>
      </c>
      <c r="F407" s="7" t="str">
        <f>HYPERLINK("http://vinideltrentino.com/azienda/cantina-sociale-di-ala/","vinideltrentino.com/azienda/cantina-sociale-di-ala/")</f>
        <v>vinideltrentino.com/azienda/cantina-sociale-di-ala/</v>
      </c>
    </row>
    <row r="408" spans="1:6" ht="43.05" customHeight="1" x14ac:dyDescent="0.25">
      <c r="A408" s="1" t="s">
        <v>1467</v>
      </c>
      <c r="B408" s="7" t="s">
        <v>1468</v>
      </c>
      <c r="C408" s="7" t="s">
        <v>1464</v>
      </c>
      <c r="D408" s="7" t="s">
        <v>1465</v>
      </c>
      <c r="E408" s="7" t="s">
        <v>1466</v>
      </c>
      <c r="F408" s="7" t="str">
        <f>HYPERLINK("http://www.agririva.it/","www.agririva.it")</f>
        <v>www.agririva.it</v>
      </c>
    </row>
    <row r="409" spans="1:6" ht="29.55" customHeight="1" x14ac:dyDescent="0.25">
      <c r="A409" s="1" t="s">
        <v>1470</v>
      </c>
      <c r="B409" s="7" t="s">
        <v>1471</v>
      </c>
      <c r="C409" s="7" t="s">
        <v>1472</v>
      </c>
      <c r="D409" s="7" t="s">
        <v>1473</v>
      </c>
      <c r="E409" s="7" t="s">
        <v>1474</v>
      </c>
      <c r="F409" s="7" t="str">
        <f>HYPERLINK("http://www.noschesesrl.com/","www.noschesesrl.com")</f>
        <v>www.noschesesrl.com</v>
      </c>
    </row>
    <row r="410" spans="1:6" ht="16.95" customHeight="1" x14ac:dyDescent="0.25">
      <c r="A410" s="6" t="s">
        <v>1475</v>
      </c>
      <c r="B410" s="5" t="s">
        <v>1476</v>
      </c>
      <c r="C410" s="5" t="s">
        <v>1477</v>
      </c>
      <c r="D410" s="5" t="s">
        <v>1478</v>
      </c>
      <c r="E410" s="5" t="s">
        <v>1461</v>
      </c>
      <c r="F410" s="5" t="str">
        <f>HYPERLINK("http://www.rovagnati.it/","www.rovagnati.it")</f>
        <v>www.rovagnati.it</v>
      </c>
    </row>
    <row r="411" spans="1:6" ht="29.55" customHeight="1" x14ac:dyDescent="0.25">
      <c r="A411" s="1" t="s">
        <v>1479</v>
      </c>
      <c r="B411" s="7" t="s">
        <v>1480</v>
      </c>
      <c r="C411" s="7" t="s">
        <v>1481</v>
      </c>
      <c r="D411" s="7" t="s">
        <v>1482</v>
      </c>
      <c r="E411" s="7" t="s">
        <v>1456</v>
      </c>
      <c r="F411" s="7" t="str">
        <f>HYPERLINK("http://www.aveposac.it/","www.aveposac.it")</f>
        <v>www.aveposac.it</v>
      </c>
    </row>
    <row r="412" spans="1:6" ht="68.099999999999994" customHeight="1" x14ac:dyDescent="0.25">
      <c r="A412" s="1" t="s">
        <v>1484</v>
      </c>
      <c r="B412" s="7" t="s">
        <v>1485</v>
      </c>
      <c r="C412" s="7" t="s">
        <v>1464</v>
      </c>
      <c r="D412" s="7" t="s">
        <v>1482</v>
      </c>
      <c r="E412" s="7" t="s">
        <v>1456</v>
      </c>
      <c r="F412" s="7" t="str">
        <f>HYPERLINK("http://www.valpolicellaclassico.it/","www.valpolicellaclassico.it")</f>
        <v>www.valpolicellaclassico.it</v>
      </c>
    </row>
    <row r="413" spans="1:6" ht="68.099999999999994" customHeight="1" x14ac:dyDescent="0.25">
      <c r="A413" s="6" t="s">
        <v>1486</v>
      </c>
      <c r="B413" s="5" t="s">
        <v>1487</v>
      </c>
      <c r="C413" s="5" t="s">
        <v>1464</v>
      </c>
      <c r="D413" s="5" t="s">
        <v>1465</v>
      </c>
      <c r="E413" s="5" t="s">
        <v>1466</v>
      </c>
      <c r="F413" s="5" t="str">
        <f>HYPERLINK("http://pay.cantinarotaliana.it/","pay.cantinarotaliana.it")</f>
        <v>pay.cantinarotaliana.it</v>
      </c>
    </row>
    <row r="414" spans="1:6" ht="29.55" customHeight="1" x14ac:dyDescent="0.25">
      <c r="A414" s="1" t="s">
        <v>1488</v>
      </c>
      <c r="B414" s="7" t="s">
        <v>1489</v>
      </c>
      <c r="C414" s="7" t="s">
        <v>1490</v>
      </c>
      <c r="D414" s="7" t="s">
        <v>1491</v>
      </c>
      <c r="E414" s="7" t="s">
        <v>1492</v>
      </c>
      <c r="F414" s="7" t="str">
        <f>HYPERLINK("http://agricolaponzio.it/","agricolaponzio.it")</f>
        <v>agricolaponzio.it</v>
      </c>
    </row>
    <row r="415" spans="1:6" ht="68.099999999999994" customHeight="1" x14ac:dyDescent="0.25">
      <c r="A415" s="6" t="s">
        <v>1493</v>
      </c>
      <c r="B415" s="5" t="s">
        <v>1494</v>
      </c>
      <c r="C415" s="5" t="s">
        <v>1481</v>
      </c>
      <c r="D415" s="5" t="s">
        <v>1495</v>
      </c>
      <c r="E415" s="5" t="s">
        <v>1496</v>
      </c>
      <c r="F415" s="5" t="str">
        <f>HYPERLINK("http://www.minguzzi.it/","http://www.minguzzi.it")</f>
        <v>http://www.minguzzi.it</v>
      </c>
    </row>
    <row r="416" spans="1:6" ht="55.65" customHeight="1" x14ac:dyDescent="0.25">
      <c r="A416" s="6" t="s">
        <v>1497</v>
      </c>
      <c r="B416" s="5" t="s">
        <v>1498</v>
      </c>
      <c r="C416" s="5" t="s">
        <v>1481</v>
      </c>
      <c r="D416" s="5" t="s">
        <v>1499</v>
      </c>
      <c r="E416" s="5" t="s">
        <v>1496</v>
      </c>
      <c r="F416" s="5" t="str">
        <f>HYPERLINK("http://www.sagradeifunghidiromagna.it/","www.sagradeifunghidiromagna.it")</f>
        <v>www.sagradeifunghidiromagna.it</v>
      </c>
    </row>
    <row r="417" spans="1:6" ht="29.55" customHeight="1" x14ac:dyDescent="0.25">
      <c r="A417" s="1" t="s">
        <v>1500</v>
      </c>
      <c r="B417" s="7" t="s">
        <v>1501</v>
      </c>
      <c r="C417" s="7" t="s">
        <v>1490</v>
      </c>
      <c r="D417" s="7" t="s">
        <v>1502</v>
      </c>
      <c r="E417" s="7" t="s">
        <v>1461</v>
      </c>
      <c r="F417" s="7" t="str">
        <f>HYPERLINK("http://ortoverde.com/","ortoverde.com")</f>
        <v>ortoverde.com</v>
      </c>
    </row>
    <row r="418" spans="1:6" ht="43.05" customHeight="1" x14ac:dyDescent="0.25">
      <c r="A418" s="6" t="s">
        <v>1503</v>
      </c>
      <c r="B418" s="5" t="s">
        <v>1504</v>
      </c>
      <c r="C418" s="5" t="s">
        <v>1464</v>
      </c>
      <c r="D418" s="5" t="s">
        <v>1505</v>
      </c>
      <c r="E418" s="5" t="s">
        <v>1506</v>
      </c>
      <c r="F418" s="5" t="str">
        <f>HYPERLINK("http://oppalmieri.it/","oppalmieri.it")</f>
        <v>oppalmieri.it</v>
      </c>
    </row>
    <row r="419" spans="1:6" ht="29.55" customHeight="1" x14ac:dyDescent="0.25">
      <c r="A419" s="1" t="s">
        <v>1507</v>
      </c>
      <c r="B419" s="7" t="s">
        <v>1508</v>
      </c>
      <c r="C419" s="7" t="s">
        <v>1481</v>
      </c>
      <c r="D419" s="7" t="s">
        <v>1509</v>
      </c>
      <c r="E419" s="7" t="s">
        <v>1469</v>
      </c>
      <c r="F419" s="7" t="str">
        <f>HYPERLINK("http://www.naturmind.it/","www.naturmind.it")</f>
        <v>www.naturmind.it</v>
      </c>
    </row>
    <row r="420" spans="1:6" ht="29.55" customHeight="1" x14ac:dyDescent="0.25">
      <c r="A420" s="6" t="s">
        <v>1510</v>
      </c>
      <c r="B420" s="5" t="s">
        <v>1511</v>
      </c>
      <c r="C420" s="5" t="s">
        <v>1512</v>
      </c>
      <c r="D420" s="5" t="s">
        <v>1473</v>
      </c>
      <c r="E420" s="5" t="s">
        <v>1474</v>
      </c>
      <c r="F420" s="5" t="str">
        <f>HYPERLINK("http://www.lemonsud.it/","www.lemonsud.it")</f>
        <v>www.lemonsud.it</v>
      </c>
    </row>
    <row r="421" spans="1:6" ht="55.65" customHeight="1" x14ac:dyDescent="0.25">
      <c r="A421" s="1" t="s">
        <v>1513</v>
      </c>
      <c r="B421" s="7" t="s">
        <v>1514</v>
      </c>
      <c r="C421" s="7" t="s">
        <v>1483</v>
      </c>
      <c r="D421" s="7" t="s">
        <v>1515</v>
      </c>
      <c r="E421" s="7" t="s">
        <v>1456</v>
      </c>
      <c r="F421" s="7" t="str">
        <f>HYPERLINK("http://www.cabolani.it/","www.cabolani.it")</f>
        <v>www.cabolani.it</v>
      </c>
    </row>
    <row r="422" spans="1:6" ht="43.05" customHeight="1" x14ac:dyDescent="0.25">
      <c r="A422" s="1" t="s">
        <v>1516</v>
      </c>
      <c r="B422" s="7" t="s">
        <v>1517</v>
      </c>
      <c r="C422" s="7" t="s">
        <v>1464</v>
      </c>
      <c r="D422" s="7" t="s">
        <v>1499</v>
      </c>
      <c r="E422" s="7" t="s">
        <v>1496</v>
      </c>
      <c r="F422" s="7" t="str">
        <f>HYPERLINK("http://www.ristorantevite.it/","www.ristorantevite.it")</f>
        <v>www.ristorantevite.it</v>
      </c>
    </row>
    <row r="423" spans="1:6" ht="29.55" customHeight="1" x14ac:dyDescent="0.25">
      <c r="A423" s="6" t="s">
        <v>1518</v>
      </c>
      <c r="B423" s="5" t="s">
        <v>1519</v>
      </c>
      <c r="C423" s="5" t="s">
        <v>1481</v>
      </c>
      <c r="D423" s="5" t="s">
        <v>1520</v>
      </c>
      <c r="E423" s="5" t="s">
        <v>1461</v>
      </c>
      <c r="F423" s="5" t="str">
        <f>HYPERLINK("http://www.melavivaltellina.it/","www.melavivaltellina.it")</f>
        <v>www.melavivaltellina.it</v>
      </c>
    </row>
    <row r="424" spans="1:6" ht="29.55" customHeight="1" x14ac:dyDescent="0.25">
      <c r="A424" s="1" t="s">
        <v>1521</v>
      </c>
      <c r="B424" s="7" t="s">
        <v>1522</v>
      </c>
      <c r="C424" s="7" t="s">
        <v>1481</v>
      </c>
      <c r="D424" s="7" t="s">
        <v>1523</v>
      </c>
      <c r="E424" s="7" t="s">
        <v>1506</v>
      </c>
      <c r="F424" s="7" t="str">
        <f>HYPERLINK("http://it.bio-orto.com/","it.bio-orto.com")</f>
        <v>it.bio-orto.com</v>
      </c>
    </row>
    <row r="425" spans="1:6" ht="43.05" customHeight="1" x14ac:dyDescent="0.25">
      <c r="A425" s="6" t="s">
        <v>1524</v>
      </c>
      <c r="B425" s="5" t="s">
        <v>1525</v>
      </c>
      <c r="C425" s="5" t="s">
        <v>1490</v>
      </c>
      <c r="D425" s="5" t="s">
        <v>1526</v>
      </c>
      <c r="E425" s="5" t="s">
        <v>1456</v>
      </c>
      <c r="F425" s="5" t="str">
        <f>HYPERLINK("http://bioferrandes.it/","bioferrandes.it")</f>
        <v>bioferrandes.it</v>
      </c>
    </row>
    <row r="426" spans="1:6" ht="68.099999999999994" customHeight="1" x14ac:dyDescent="0.25">
      <c r="A426" s="1" t="s">
        <v>1527</v>
      </c>
      <c r="B426" s="7" t="s">
        <v>1528</v>
      </c>
      <c r="C426" s="7" t="s">
        <v>1481</v>
      </c>
      <c r="D426" s="7" t="s">
        <v>1529</v>
      </c>
      <c r="E426" s="7" t="s">
        <v>1496</v>
      </c>
      <c r="F426" s="7" t="str">
        <f>HYPERLINK("http://www.peruginifrutta.com/","www.peruginifrutta.com")</f>
        <v>www.peruginifrutta.com</v>
      </c>
    </row>
    <row r="427" spans="1:6" ht="68.099999999999994" customHeight="1" x14ac:dyDescent="0.25">
      <c r="A427" s="1" t="s">
        <v>1530</v>
      </c>
      <c r="B427" s="7" t="s">
        <v>1531</v>
      </c>
      <c r="C427" s="7" t="s">
        <v>1464</v>
      </c>
      <c r="D427" s="7" t="s">
        <v>1532</v>
      </c>
      <c r="E427" s="7" t="s">
        <v>1469</v>
      </c>
      <c r="F427" s="7" t="str">
        <f>HYPERLINK("http://www.cantinebirgi.it/","www.cantinebirgi.it")</f>
        <v>www.cantinebirgi.it</v>
      </c>
    </row>
    <row r="428" spans="1:6" ht="132.75" customHeight="1" x14ac:dyDescent="0.25">
      <c r="A428" s="1" t="s">
        <v>1533</v>
      </c>
      <c r="B428" s="7" t="s">
        <v>1534</v>
      </c>
      <c r="C428" s="7" t="s">
        <v>1464</v>
      </c>
      <c r="D428" s="7" t="s">
        <v>1535</v>
      </c>
      <c r="E428" s="7" t="s">
        <v>1536</v>
      </c>
      <c r="F428" s="7" t="str">
        <f>HYPERLINK("http://www.cantinaramuscello.it/","www.cantinaramuscello.it")</f>
        <v>www.cantinaramuscello.it</v>
      </c>
    </row>
    <row r="429" spans="1:6" ht="94.2" customHeight="1" x14ac:dyDescent="0.25">
      <c r="A429" s="6" t="s">
        <v>1538</v>
      </c>
      <c r="B429" s="5" t="s">
        <v>1539</v>
      </c>
      <c r="C429" s="5" t="s">
        <v>1540</v>
      </c>
      <c r="D429" s="5" t="s">
        <v>1541</v>
      </c>
      <c r="E429" s="5" t="s">
        <v>1542</v>
      </c>
      <c r="F429" s="5" t="str">
        <f>HYPERLINK("http://www.montere.it/?lang=it","www.montere.it/?lang=it")</f>
        <v>www.montere.it/?lang=it</v>
      </c>
    </row>
    <row r="430" spans="1:6" ht="29.55" customHeight="1" x14ac:dyDescent="0.25">
      <c r="A430" s="6" t="s">
        <v>1543</v>
      </c>
      <c r="B430" s="5" t="s">
        <v>1544</v>
      </c>
      <c r="C430" s="5" t="s">
        <v>1545</v>
      </c>
      <c r="D430" s="5" t="s">
        <v>1546</v>
      </c>
      <c r="E430" s="5" t="s">
        <v>1547</v>
      </c>
      <c r="F430" s="5" t="str">
        <f>HYPERLINK("http://www.coopsanrocco.it/","www.coopsanrocco.it")</f>
        <v>www.coopsanrocco.it</v>
      </c>
    </row>
    <row r="431" spans="1:6" ht="81.75" customHeight="1" x14ac:dyDescent="0.25">
      <c r="A431" s="1" t="s">
        <v>1548</v>
      </c>
      <c r="B431" s="7" t="s">
        <v>1549</v>
      </c>
      <c r="C431" s="7" t="s">
        <v>1550</v>
      </c>
      <c r="D431" s="7" t="s">
        <v>1551</v>
      </c>
      <c r="E431" s="7" t="s">
        <v>1552</v>
      </c>
      <c r="F431" s="7" t="str">
        <f>HYPERLINK("http://www.kellerei-kurtatsch.it/","www.kellerei-kurtatsch.it")</f>
        <v>www.kellerei-kurtatsch.it</v>
      </c>
    </row>
    <row r="432" spans="1:6" ht="43.05" customHeight="1" x14ac:dyDescent="0.25">
      <c r="A432" s="6" t="s">
        <v>1553</v>
      </c>
      <c r="B432" s="5" t="s">
        <v>1554</v>
      </c>
      <c r="C432" s="5" t="s">
        <v>1555</v>
      </c>
      <c r="D432" s="5" t="s">
        <v>1556</v>
      </c>
      <c r="E432" s="5" t="s">
        <v>1557</v>
      </c>
      <c r="F432" s="5" t="str">
        <f>HYPERLINK("http://www.masterfruitsrl.com/","www.masterfruitsrl.com")</f>
        <v>www.masterfruitsrl.com</v>
      </c>
    </row>
    <row r="433" spans="1:6" ht="29.55" customHeight="1" x14ac:dyDescent="0.25">
      <c r="A433" s="1" t="s">
        <v>1558</v>
      </c>
      <c r="B433" s="7" t="s">
        <v>1559</v>
      </c>
      <c r="C433" s="7" t="s">
        <v>1560</v>
      </c>
      <c r="D433" s="7" t="s">
        <v>1561</v>
      </c>
      <c r="E433" s="7" t="s">
        <v>1542</v>
      </c>
      <c r="F433" s="7" t="str">
        <f>HYPERLINK("http://www.verdepieno.com/","www.verdepieno.com")</f>
        <v>www.verdepieno.com</v>
      </c>
    </row>
    <row r="434" spans="1:6" ht="29.55" customHeight="1" x14ac:dyDescent="0.25">
      <c r="A434" s="6" t="s">
        <v>1563</v>
      </c>
      <c r="B434" s="5" t="s">
        <v>1564</v>
      </c>
      <c r="C434" s="5" t="s">
        <v>1565</v>
      </c>
      <c r="D434" s="5" t="s">
        <v>1566</v>
      </c>
      <c r="E434" s="5" t="s">
        <v>1567</v>
      </c>
      <c r="F434" s="5" t="str">
        <f>HYPERLINK("http://www.agricolafelice.it/","www.agricolafelice.it")</f>
        <v>www.agricolafelice.it</v>
      </c>
    </row>
    <row r="435" spans="1:6" ht="29.55" customHeight="1" x14ac:dyDescent="0.25">
      <c r="A435" s="1" t="s">
        <v>1568</v>
      </c>
      <c r="B435" s="7" t="s">
        <v>1569</v>
      </c>
      <c r="C435" s="7" t="s">
        <v>1540</v>
      </c>
      <c r="D435" s="7" t="s">
        <v>1570</v>
      </c>
      <c r="E435" s="7" t="s">
        <v>1571</v>
      </c>
      <c r="F435" s="7" t="str">
        <f>HYPERLINK("http://www.selenaturacoop.it/","www.selenaturacoop.it")</f>
        <v>www.selenaturacoop.it</v>
      </c>
    </row>
    <row r="436" spans="1:6" ht="16.95" customHeight="1" x14ac:dyDescent="0.25">
      <c r="A436" s="6" t="s">
        <v>1572</v>
      </c>
      <c r="B436" s="5" t="s">
        <v>1573</v>
      </c>
      <c r="C436" s="5" t="s">
        <v>1574</v>
      </c>
      <c r="D436" s="5" t="s">
        <v>1575</v>
      </c>
      <c r="E436" s="5" t="s">
        <v>1557</v>
      </c>
      <c r="F436" s="5" t="str">
        <f>HYPERLINK("http://www.gilmac.it/","www.gilmac.it")</f>
        <v>www.gilmac.it</v>
      </c>
    </row>
    <row r="437" spans="1:6" ht="68.099999999999994" customHeight="1" x14ac:dyDescent="0.25">
      <c r="A437" s="6" t="s">
        <v>1576</v>
      </c>
      <c r="B437" s="5" t="s">
        <v>1577</v>
      </c>
      <c r="C437" s="5" t="s">
        <v>1550</v>
      </c>
      <c r="D437" s="5" t="s">
        <v>1578</v>
      </c>
      <c r="E437" s="5" t="s">
        <v>1579</v>
      </c>
      <c r="F437" s="5" t="str">
        <f>HYPERLINK("http://vermentinomonti.it/","vermentinomonti.it")</f>
        <v>vermentinomonti.it</v>
      </c>
    </row>
    <row r="438" spans="1:6" ht="29.55" customHeight="1" x14ac:dyDescent="0.25">
      <c r="A438" s="1" t="s">
        <v>1580</v>
      </c>
      <c r="B438" s="7" t="s">
        <v>1581</v>
      </c>
      <c r="C438" s="7" t="s">
        <v>1550</v>
      </c>
      <c r="D438" s="7" t="s">
        <v>1582</v>
      </c>
      <c r="E438" s="7" t="s">
        <v>1583</v>
      </c>
      <c r="F438" s="7" t="str">
        <f>HYPERLINK("http://www.felsina.it/","www.felsina.it")</f>
        <v>www.felsina.it</v>
      </c>
    </row>
    <row r="439" spans="1:6" ht="29.55" customHeight="1" x14ac:dyDescent="0.25">
      <c r="A439" s="6" t="s">
        <v>1584</v>
      </c>
      <c r="B439" s="5" t="s">
        <v>1585</v>
      </c>
      <c r="C439" s="5" t="s">
        <v>1586</v>
      </c>
      <c r="D439" s="5" t="s">
        <v>1562</v>
      </c>
      <c r="E439" s="5" t="s">
        <v>1552</v>
      </c>
      <c r="F439" s="5" t="str">
        <f>HYPERLINK("http://www.titospeck.it/","http://www.titospeck.it")</f>
        <v>http://www.titospeck.it</v>
      </c>
    </row>
    <row r="440" spans="1:6" ht="43.05" customHeight="1" x14ac:dyDescent="0.25">
      <c r="A440" s="1" t="s">
        <v>1587</v>
      </c>
      <c r="B440" s="7" t="s">
        <v>1588</v>
      </c>
      <c r="C440" s="7" t="s">
        <v>1540</v>
      </c>
      <c r="D440" s="7" t="s">
        <v>1589</v>
      </c>
      <c r="E440" s="7" t="s">
        <v>1590</v>
      </c>
      <c r="F440" s="7" t="str">
        <f>HYPERLINK("http://www.cantinaccddtollo.it/","www.cantinaccddtollo.it")</f>
        <v>www.cantinaccddtollo.it</v>
      </c>
    </row>
    <row r="441" spans="1:6" ht="55.65" customHeight="1" x14ac:dyDescent="0.25">
      <c r="A441" s="6" t="s">
        <v>1591</v>
      </c>
      <c r="B441" s="5" t="s">
        <v>1592</v>
      </c>
      <c r="C441" s="5" t="s">
        <v>1550</v>
      </c>
      <c r="D441" s="5" t="s">
        <v>1593</v>
      </c>
      <c r="E441" s="5" t="s">
        <v>1594</v>
      </c>
      <c r="F441" s="5" t="str">
        <f>HYPERLINK("http://sanfiorenzo.it/","sanfiorenzo.it")</f>
        <v>sanfiorenzo.it</v>
      </c>
    </row>
    <row r="442" spans="1:6" ht="43.05" customHeight="1" x14ac:dyDescent="0.25">
      <c r="A442" s="6" t="s">
        <v>1595</v>
      </c>
      <c r="B442" s="5" t="s">
        <v>1596</v>
      </c>
      <c r="C442" s="5" t="s">
        <v>1586</v>
      </c>
      <c r="D442" s="5" t="s">
        <v>1597</v>
      </c>
      <c r="E442" s="5" t="s">
        <v>1537</v>
      </c>
      <c r="F442" s="5" t="str">
        <f>HYPERLINK("http://www.granapadano.it/it-itx","www.granapadano.it/it-itx")</f>
        <v>www.granapadano.it/it-itx</v>
      </c>
    </row>
    <row r="443" spans="1:6" ht="43.05" customHeight="1" x14ac:dyDescent="0.25">
      <c r="A443" s="6" t="s">
        <v>1600</v>
      </c>
      <c r="B443" s="5" t="s">
        <v>1601</v>
      </c>
      <c r="C443" s="5" t="s">
        <v>1550</v>
      </c>
      <c r="D443" s="5" t="s">
        <v>1562</v>
      </c>
      <c r="E443" s="5" t="s">
        <v>1552</v>
      </c>
      <c r="F443" s="5" t="str">
        <f>HYPERLINK("http://csrovere1919.adunmetro.it/","csrovere1919.adunmetro.it")</f>
        <v>csrovere1919.adunmetro.it</v>
      </c>
    </row>
    <row r="444" spans="1:6" ht="29.55" customHeight="1" x14ac:dyDescent="0.25">
      <c r="A444" s="1" t="s">
        <v>1602</v>
      </c>
      <c r="B444" s="7" t="s">
        <v>1603</v>
      </c>
      <c r="C444" s="7" t="s">
        <v>1604</v>
      </c>
      <c r="D444" s="7" t="s">
        <v>1582</v>
      </c>
      <c r="E444" s="7" t="s">
        <v>1583</v>
      </c>
      <c r="F444" s="7" t="str">
        <f>HYPERLINK("http://shop.tenutedelcerro.it/","shop.tenutedelcerro.it")</f>
        <v>shop.tenutedelcerro.it</v>
      </c>
    </row>
    <row r="445" spans="1:6" ht="16.95" customHeight="1" x14ac:dyDescent="0.25">
      <c r="A445" s="1" t="s">
        <v>1605</v>
      </c>
      <c r="B445" s="7" t="s">
        <v>1606</v>
      </c>
      <c r="C445" s="7" t="s">
        <v>1565</v>
      </c>
      <c r="D445" s="7" t="s">
        <v>1607</v>
      </c>
      <c r="E445" s="7" t="s">
        <v>1608</v>
      </c>
      <c r="F445" s="7" t="str">
        <f>HYPERLINK("http://www.infragestsrl.it/","www.infragestsrl.it")</f>
        <v>www.infragestsrl.it</v>
      </c>
    </row>
    <row r="446" spans="1:6" ht="43.05" customHeight="1" x14ac:dyDescent="0.25">
      <c r="A446" s="1" t="s">
        <v>1609</v>
      </c>
      <c r="B446" s="7" t="s">
        <v>1610</v>
      </c>
      <c r="C446" s="7" t="s">
        <v>1540</v>
      </c>
      <c r="D446" s="7" t="s">
        <v>1611</v>
      </c>
      <c r="E446" s="7" t="s">
        <v>1542</v>
      </c>
      <c r="F446" s="7" t="str">
        <f>HYPERLINK("http://www.opcostea.com/","www.opcostea.com")</f>
        <v>www.opcostea.com</v>
      </c>
    </row>
    <row r="447" spans="1:6" ht="43.05" customHeight="1" x14ac:dyDescent="0.25">
      <c r="A447" s="1" t="s">
        <v>1612</v>
      </c>
      <c r="B447" s="7" t="s">
        <v>1613</v>
      </c>
      <c r="C447" s="7" t="s">
        <v>1614</v>
      </c>
      <c r="D447" s="7" t="s">
        <v>1615</v>
      </c>
      <c r="E447" s="7" t="s">
        <v>1542</v>
      </c>
      <c r="F447" s="7" t="str">
        <f>HYPERLINK("http://paverazzi.com/","paverazzi.com")</f>
        <v>paverazzi.com</v>
      </c>
    </row>
    <row r="448" spans="1:6" ht="55.65" customHeight="1" x14ac:dyDescent="0.25">
      <c r="A448" s="6" t="s">
        <v>1616</v>
      </c>
      <c r="B448" s="5" t="s">
        <v>1617</v>
      </c>
      <c r="C448" s="5" t="s">
        <v>1586</v>
      </c>
      <c r="D448" s="5" t="s">
        <v>1618</v>
      </c>
      <c r="E448" s="5" t="s">
        <v>1594</v>
      </c>
      <c r="F448" s="5" t="str">
        <f>HYPERLINK("http://www.csacooperativa.it/","www.csacooperativa.it")</f>
        <v>www.csacooperativa.it</v>
      </c>
    </row>
    <row r="449" spans="1:6" ht="29.55" customHeight="1" x14ac:dyDescent="0.25">
      <c r="A449" s="6" t="s">
        <v>1619</v>
      </c>
      <c r="B449" s="5" t="s">
        <v>1620</v>
      </c>
      <c r="C449" s="5" t="s">
        <v>1565</v>
      </c>
      <c r="D449" s="5" t="s">
        <v>1598</v>
      </c>
      <c r="E449" s="5" t="s">
        <v>1599</v>
      </c>
      <c r="F449" s="5" t="str">
        <f>HYPERLINK("http://www.topmelon.it/","www.topmelon.it")</f>
        <v>www.topmelon.it</v>
      </c>
    </row>
    <row r="450" spans="1:6" ht="29.55" customHeight="1" x14ac:dyDescent="0.25">
      <c r="A450" s="1" t="s">
        <v>1621</v>
      </c>
      <c r="B450" s="7" t="s">
        <v>1622</v>
      </c>
      <c r="C450" s="7" t="s">
        <v>1623</v>
      </c>
      <c r="D450" s="7" t="s">
        <v>1624</v>
      </c>
      <c r="E450" s="7" t="s">
        <v>1625</v>
      </c>
      <c r="F450" s="7" t="str">
        <f>HYPERLINK("http://www.terramore.net/","www.terramore.net")</f>
        <v>www.terramore.net</v>
      </c>
    </row>
    <row r="451" spans="1:6" ht="29.55" customHeight="1" x14ac:dyDescent="0.25">
      <c r="A451" s="1" t="s">
        <v>1627</v>
      </c>
      <c r="B451" s="7" t="s">
        <v>1628</v>
      </c>
      <c r="C451" s="7" t="s">
        <v>1629</v>
      </c>
      <c r="D451" s="7" t="s">
        <v>1630</v>
      </c>
      <c r="E451" s="7" t="s">
        <v>1631</v>
      </c>
      <c r="F451" s="7" t="str">
        <f>HYPERLINK("http://www.raccoltidautore.it/","www.raccoltidautore.it")</f>
        <v>www.raccoltidautore.it</v>
      </c>
    </row>
    <row r="452" spans="1:6" ht="29.55" customHeight="1" x14ac:dyDescent="0.25">
      <c r="A452" s="6" t="s">
        <v>1632</v>
      </c>
      <c r="B452" s="5" t="s">
        <v>1633</v>
      </c>
      <c r="C452" s="5" t="s">
        <v>1623</v>
      </c>
      <c r="D452" s="5" t="s">
        <v>1634</v>
      </c>
      <c r="E452" s="5" t="s">
        <v>1635</v>
      </c>
      <c r="F452" s="5" t="str">
        <f>HYPERLINK("http://biosikelia.com/","biosikelia.com")</f>
        <v>biosikelia.com</v>
      </c>
    </row>
    <row r="453" spans="1:6" ht="43.05" customHeight="1" x14ac:dyDescent="0.25">
      <c r="A453" s="1" t="s">
        <v>1636</v>
      </c>
      <c r="B453" s="7" t="s">
        <v>1637</v>
      </c>
      <c r="C453" s="7" t="s">
        <v>1638</v>
      </c>
      <c r="D453" s="7" t="s">
        <v>1639</v>
      </c>
      <c r="E453" s="7" t="s">
        <v>1640</v>
      </c>
      <c r="F453" s="7" t="str">
        <f>HYPERLINK("http://www.stpauls.wine/","www.stpauls.wine")</f>
        <v>www.stpauls.wine</v>
      </c>
    </row>
    <row r="454" spans="1:6" ht="43.05" customHeight="1" x14ac:dyDescent="0.25">
      <c r="A454" s="6" t="s">
        <v>1641</v>
      </c>
      <c r="B454" s="5" t="s">
        <v>1642</v>
      </c>
      <c r="C454" s="5" t="s">
        <v>1643</v>
      </c>
      <c r="D454" s="5" t="s">
        <v>1644</v>
      </c>
      <c r="E454" s="5" t="s">
        <v>1645</v>
      </c>
      <c r="F454" s="5" t="str">
        <f>HYPERLINK("http://www.latteriasocialebolzanovicentino.it/","www.latteriasocialebolzanovicentino.it")</f>
        <v>www.latteriasocialebolzanovicentino.it</v>
      </c>
    </row>
    <row r="455" spans="1:6" ht="43.05" customHeight="1" x14ac:dyDescent="0.25">
      <c r="A455" s="1" t="s">
        <v>1646</v>
      </c>
      <c r="B455" s="7" t="s">
        <v>1647</v>
      </c>
      <c r="C455" s="7" t="s">
        <v>1623</v>
      </c>
      <c r="D455" s="7" t="s">
        <v>1648</v>
      </c>
      <c r="E455" s="7" t="s">
        <v>1649</v>
      </c>
      <c r="F455" s="7" t="str">
        <f>HYPERLINK("http://forteto.vudoo.shop/","forteto.vudoo.shop")</f>
        <v>forteto.vudoo.shop</v>
      </c>
    </row>
    <row r="456" spans="1:6" ht="43.05" customHeight="1" x14ac:dyDescent="0.25">
      <c r="A456" s="1" t="s">
        <v>1651</v>
      </c>
      <c r="B456" s="7" t="s">
        <v>1652</v>
      </c>
      <c r="C456" s="7" t="s">
        <v>1650</v>
      </c>
      <c r="D456" s="7" t="s">
        <v>1653</v>
      </c>
      <c r="E456" s="7" t="s">
        <v>1654</v>
      </c>
      <c r="F456" s="7" t="str">
        <f>HYPERLINK("http://www.proagri.eu/","www.proagri.eu")</f>
        <v>www.proagri.eu</v>
      </c>
    </row>
    <row r="457" spans="1:6" ht="43.05" customHeight="1" x14ac:dyDescent="0.25">
      <c r="A457" s="6" t="s">
        <v>1655</v>
      </c>
      <c r="B457" s="5" t="s">
        <v>1656</v>
      </c>
      <c r="C457" s="5" t="s">
        <v>1657</v>
      </c>
      <c r="D457" s="5" t="s">
        <v>1658</v>
      </c>
      <c r="E457" s="5" t="s">
        <v>1659</v>
      </c>
      <c r="F457" s="5" t="str">
        <f>HYPERLINK("http://www.latteriefriulane.com/","www.latteriefriulane.com")</f>
        <v>www.latteriefriulane.com</v>
      </c>
    </row>
    <row r="458" spans="1:6" ht="120.3" customHeight="1" x14ac:dyDescent="0.25">
      <c r="A458" s="1" t="s">
        <v>1660</v>
      </c>
      <c r="B458" s="7" t="s">
        <v>1661</v>
      </c>
      <c r="C458" s="7" t="s">
        <v>1638</v>
      </c>
      <c r="D458" s="7" t="s">
        <v>1648</v>
      </c>
      <c r="E458" s="7" t="s">
        <v>1649</v>
      </c>
      <c r="F458" s="7" t="str">
        <f>HYPERLINK("http://www.tenutefolonari.com/","http://www.tenutefolonari.com/")</f>
        <v>http://www.tenutefolonari.com/</v>
      </c>
    </row>
    <row r="459" spans="1:6" ht="29.55" customHeight="1" x14ac:dyDescent="0.25">
      <c r="A459" s="1" t="s">
        <v>1663</v>
      </c>
      <c r="B459" s="7" t="s">
        <v>1664</v>
      </c>
      <c r="C459" s="7" t="s">
        <v>1623</v>
      </c>
      <c r="D459" s="7" t="s">
        <v>1665</v>
      </c>
      <c r="E459" s="7" t="s">
        <v>1635</v>
      </c>
      <c r="F459" s="7" t="str">
        <f>HYPERLINK("http://www.opopens.it/","www.opopens.it")</f>
        <v>www.opopens.it</v>
      </c>
    </row>
    <row r="460" spans="1:6" ht="43.05" customHeight="1" x14ac:dyDescent="0.25">
      <c r="A460" s="6" t="s">
        <v>1666</v>
      </c>
      <c r="B460" s="5" t="s">
        <v>1667</v>
      </c>
      <c r="C460" s="5" t="s">
        <v>1623</v>
      </c>
      <c r="D460" s="5" t="s">
        <v>1668</v>
      </c>
      <c r="E460" s="5" t="s">
        <v>1649</v>
      </c>
      <c r="F460" s="5" t="str">
        <f>HYPERLINK("http://www.lunitaria.it/","www.lunitaria.it")</f>
        <v>www.lunitaria.it</v>
      </c>
    </row>
    <row r="461" spans="1:6" ht="29.55" customHeight="1" x14ac:dyDescent="0.25">
      <c r="A461" s="1" t="s">
        <v>1669</v>
      </c>
      <c r="B461" s="7" t="s">
        <v>1670</v>
      </c>
      <c r="C461" s="7" t="s">
        <v>1638</v>
      </c>
      <c r="D461" s="7" t="s">
        <v>1671</v>
      </c>
      <c r="E461" s="7" t="s">
        <v>1659</v>
      </c>
      <c r="F461" s="7" t="str">
        <f>HYPERLINK("http://www.leonealato.net/","www.leonealato.net")</f>
        <v>www.leonealato.net</v>
      </c>
    </row>
    <row r="462" spans="1:6" ht="43.05" customHeight="1" x14ac:dyDescent="0.25">
      <c r="A462" s="1" t="s">
        <v>1672</v>
      </c>
      <c r="B462" s="7" t="s">
        <v>1673</v>
      </c>
      <c r="C462" s="7" t="s">
        <v>1643</v>
      </c>
      <c r="D462" s="7" t="s">
        <v>1674</v>
      </c>
      <c r="E462" s="7" t="s">
        <v>1626</v>
      </c>
      <c r="F462" s="7" t="str">
        <f>HYPERLINK("http://www.consorziovaccherosse.it/","www.consorziovaccherosse.it")</f>
        <v>www.consorziovaccherosse.it</v>
      </c>
    </row>
    <row r="463" spans="1:6" ht="68.099999999999994" customHeight="1" x14ac:dyDescent="0.25">
      <c r="A463" s="6" t="s">
        <v>1675</v>
      </c>
      <c r="B463" s="5" t="s">
        <v>1676</v>
      </c>
      <c r="C463" s="5" t="s">
        <v>1638</v>
      </c>
      <c r="D463" s="5" t="s">
        <v>1644</v>
      </c>
      <c r="E463" s="5" t="s">
        <v>1645</v>
      </c>
      <c r="F463" s="5" t="str">
        <f>HYPERLINK("http://albola.it/","albola.it")</f>
        <v>albola.it</v>
      </c>
    </row>
    <row r="464" spans="1:6" ht="16.95" customHeight="1" x14ac:dyDescent="0.25">
      <c r="A464" s="1" t="s">
        <v>1677</v>
      </c>
      <c r="B464" s="7" t="s">
        <v>1678</v>
      </c>
      <c r="C464" s="7" t="s">
        <v>1679</v>
      </c>
      <c r="D464" s="7" t="s">
        <v>1680</v>
      </c>
      <c r="E464" s="7" t="s">
        <v>1681</v>
      </c>
      <c r="F464" s="7" t="str">
        <f>HYPERLINK("http://www.rivagiardini.com/","http://www.rivagiardini.com")</f>
        <v>http://www.rivagiardini.com</v>
      </c>
    </row>
    <row r="465" spans="1:6" ht="29.55" customHeight="1" x14ac:dyDescent="0.25">
      <c r="A465" s="6" t="s">
        <v>1682</v>
      </c>
      <c r="B465" s="5" t="s">
        <v>1683</v>
      </c>
      <c r="C465" s="5" t="s">
        <v>1662</v>
      </c>
      <c r="D465" s="5" t="s">
        <v>1684</v>
      </c>
      <c r="E465" s="5" t="s">
        <v>1626</v>
      </c>
      <c r="F465" s="5" t="str">
        <f>HYPERLINK("http://www.agrimola.it/","www.agrimola.it")</f>
        <v>www.agrimola.it</v>
      </c>
    </row>
    <row r="466" spans="1:6" ht="29.55" customHeight="1" x14ac:dyDescent="0.25">
      <c r="A466" s="6" t="s">
        <v>1685</v>
      </c>
      <c r="B466" s="5" t="s">
        <v>1686</v>
      </c>
      <c r="C466" s="5" t="s">
        <v>1650</v>
      </c>
      <c r="D466" s="5" t="s">
        <v>1687</v>
      </c>
      <c r="E466" s="5" t="s">
        <v>1688</v>
      </c>
      <c r="F466" s="5" t="str">
        <f>HYPERLINK("http://www.circeortofrutta.it/","www.circeortofrutta.it")</f>
        <v>www.circeortofrutta.it</v>
      </c>
    </row>
    <row r="467" spans="1:6" ht="29.55" customHeight="1" x14ac:dyDescent="0.25">
      <c r="A467" s="1" t="s">
        <v>1689</v>
      </c>
      <c r="B467" s="7" t="s">
        <v>1690</v>
      </c>
      <c r="C467" s="7" t="s">
        <v>1623</v>
      </c>
      <c r="D467" s="7" t="s">
        <v>1687</v>
      </c>
      <c r="E467" s="7" t="s">
        <v>1688</v>
      </c>
      <c r="F467" s="7" t="str">
        <f>HYPERLINK("http://www.campagnamica.it/","www.campagnamica.it")</f>
        <v>www.campagnamica.it</v>
      </c>
    </row>
    <row r="468" spans="1:6" ht="43.05" customHeight="1" x14ac:dyDescent="0.25">
      <c r="A468" s="6" t="s">
        <v>1691</v>
      </c>
      <c r="B468" s="5" t="s">
        <v>1692</v>
      </c>
      <c r="C468" s="5" t="s">
        <v>1693</v>
      </c>
      <c r="D468" s="5" t="s">
        <v>1694</v>
      </c>
      <c r="E468" s="5" t="s">
        <v>1695</v>
      </c>
      <c r="F468" s="5" t="str">
        <f>HYPERLINK("http://www.compagniadelleprimizie.com/","www.compagniadelleprimizie.com")</f>
        <v>www.compagniadelleprimizie.com</v>
      </c>
    </row>
    <row r="469" spans="1:6" ht="68.099999999999994" customHeight="1" x14ac:dyDescent="0.25">
      <c r="A469" s="6" t="s">
        <v>1697</v>
      </c>
      <c r="B469" s="5" t="s">
        <v>1698</v>
      </c>
      <c r="C469" s="5" t="s">
        <v>1699</v>
      </c>
      <c r="D469" s="5" t="s">
        <v>1700</v>
      </c>
      <c r="E469" s="5" t="s">
        <v>1701</v>
      </c>
      <c r="F469" s="5" t="str">
        <f>HYPERLINK("http://caspbrasimone.it/","caspbrasimone.it")</f>
        <v>caspbrasimone.it</v>
      </c>
    </row>
    <row r="470" spans="1:6" ht="68.099999999999994" customHeight="1" x14ac:dyDescent="0.25">
      <c r="A470" s="6" t="s">
        <v>1702</v>
      </c>
      <c r="B470" s="5" t="s">
        <v>1703</v>
      </c>
      <c r="C470" s="5" t="s">
        <v>1704</v>
      </c>
      <c r="D470" s="5" t="s">
        <v>1705</v>
      </c>
      <c r="E470" s="5" t="s">
        <v>1701</v>
      </c>
      <c r="F470" s="5" t="str">
        <f>HYPERLINK("http://www.cioparma.it/","www.cioparma.it")</f>
        <v>www.cioparma.it</v>
      </c>
    </row>
    <row r="471" spans="1:6" ht="68.099999999999994" customHeight="1" x14ac:dyDescent="0.25">
      <c r="A471" s="1" t="s">
        <v>1706</v>
      </c>
      <c r="B471" s="7" t="s">
        <v>1707</v>
      </c>
      <c r="C471" s="7" t="s">
        <v>1708</v>
      </c>
      <c r="D471" s="7" t="s">
        <v>1709</v>
      </c>
      <c r="E471" s="7" t="s">
        <v>1701</v>
      </c>
      <c r="F471" s="7" t="str">
        <f>HYPERLINK("http://www.commerciofrutta.com/","www.commerciofrutta.com")</f>
        <v>www.commerciofrutta.com</v>
      </c>
    </row>
    <row r="472" spans="1:6" ht="55.65" customHeight="1" x14ac:dyDescent="0.25">
      <c r="A472" s="1" t="s">
        <v>1712</v>
      </c>
      <c r="B472" s="7" t="s">
        <v>1713</v>
      </c>
      <c r="C472" s="7" t="s">
        <v>1714</v>
      </c>
      <c r="D472" s="7" t="s">
        <v>1715</v>
      </c>
      <c r="E472" s="7" t="s">
        <v>1716</v>
      </c>
      <c r="F472" s="7" t="str">
        <f>HYPERLINK("http://www.opsibarit.it/","www.opsibarit.it")</f>
        <v>www.opsibarit.it</v>
      </c>
    </row>
    <row r="473" spans="1:6" ht="29.55" customHeight="1" x14ac:dyDescent="0.25">
      <c r="A473" s="1" t="s">
        <v>1717</v>
      </c>
      <c r="B473" s="7" t="s">
        <v>1718</v>
      </c>
      <c r="C473" s="7" t="s">
        <v>1719</v>
      </c>
      <c r="D473" s="7" t="s">
        <v>1720</v>
      </c>
      <c r="E473" s="7" t="s">
        <v>1721</v>
      </c>
      <c r="F473" s="7" t="str">
        <f>HYPERLINK("http://www.griba.it/","www.griba.it")</f>
        <v>www.griba.it</v>
      </c>
    </row>
    <row r="474" spans="1:6" ht="16.95" customHeight="1" x14ac:dyDescent="0.25">
      <c r="A474" s="6" t="s">
        <v>1722</v>
      </c>
      <c r="B474" s="5" t="s">
        <v>1723</v>
      </c>
      <c r="C474" s="5" t="s">
        <v>1724</v>
      </c>
      <c r="D474" s="5" t="s">
        <v>1725</v>
      </c>
      <c r="E474" s="5" t="s">
        <v>1726</v>
      </c>
      <c r="F474" s="5" t="str">
        <f>HYPERLINK("http://www.villamassa.com/","www.villamassa.com")</f>
        <v>www.villamassa.com</v>
      </c>
    </row>
    <row r="475" spans="1:6" ht="29.55" customHeight="1" x14ac:dyDescent="0.25">
      <c r="A475" s="1" t="s">
        <v>1728</v>
      </c>
      <c r="B475" s="7" t="s">
        <v>1729</v>
      </c>
      <c r="C475" s="7" t="s">
        <v>1708</v>
      </c>
      <c r="D475" s="7" t="s">
        <v>1730</v>
      </c>
      <c r="E475" s="7" t="s">
        <v>1731</v>
      </c>
      <c r="F475" s="7" t="str">
        <f>HYPERLINK("http://www.lemonsnack.it/","www.lemonsnack.it")</f>
        <v>www.lemonsnack.it</v>
      </c>
    </row>
    <row r="476" spans="1:6" ht="55.65" customHeight="1" x14ac:dyDescent="0.25">
      <c r="A476" s="6" t="s">
        <v>1732</v>
      </c>
      <c r="B476" s="5" t="s">
        <v>1733</v>
      </c>
      <c r="C476" s="5" t="s">
        <v>1704</v>
      </c>
      <c r="D476" s="5" t="s">
        <v>1734</v>
      </c>
      <c r="E476" s="5" t="s">
        <v>1735</v>
      </c>
      <c r="F476" s="5" t="str">
        <f>HYPERLINK("http://www.marchiatofresco.it/ita","www.marchiatofresco.it/ita")</f>
        <v>www.marchiatofresco.it/ita</v>
      </c>
    </row>
    <row r="477" spans="1:6" ht="55.65" customHeight="1" x14ac:dyDescent="0.25">
      <c r="A477" s="6" t="s">
        <v>1736</v>
      </c>
      <c r="B477" s="5" t="s">
        <v>1737</v>
      </c>
      <c r="C477" s="5" t="s">
        <v>1708</v>
      </c>
      <c r="D477" s="5" t="s">
        <v>1738</v>
      </c>
      <c r="E477" s="5" t="s">
        <v>1739</v>
      </c>
      <c r="F477" s="5" t="str">
        <f>HYPERLINK("http://ortofruititalia.it/","ortofruititalia.it")</f>
        <v>ortofruititalia.it</v>
      </c>
    </row>
    <row r="478" spans="1:6" ht="55.65" customHeight="1" x14ac:dyDescent="0.25">
      <c r="A478" s="1" t="s">
        <v>1740</v>
      </c>
      <c r="B478" s="7" t="s">
        <v>1741</v>
      </c>
      <c r="C478" s="7" t="s">
        <v>1708</v>
      </c>
      <c r="D478" s="7" t="s">
        <v>1742</v>
      </c>
      <c r="E478" s="7" t="s">
        <v>1716</v>
      </c>
      <c r="F478" s="7" t="str">
        <f>HYPERLINK("http://www.pianagri.it/chi-siamo","www.pianagri.it/chi-siamo")</f>
        <v>www.pianagri.it/chi-siamo</v>
      </c>
    </row>
    <row r="479" spans="1:6" ht="43.05" customHeight="1" x14ac:dyDescent="0.25">
      <c r="A479" s="1" t="s">
        <v>1743</v>
      </c>
      <c r="B479" s="7" t="s">
        <v>1744</v>
      </c>
      <c r="C479" s="7" t="s">
        <v>1704</v>
      </c>
      <c r="D479" s="7" t="s">
        <v>1745</v>
      </c>
      <c r="E479" s="7" t="s">
        <v>1721</v>
      </c>
      <c r="F479" s="7" t="str">
        <f>HYPERLINK("http://www.melinda.it/","www.melinda.it")</f>
        <v>www.melinda.it</v>
      </c>
    </row>
    <row r="480" spans="1:6" ht="29.55" customHeight="1" x14ac:dyDescent="0.25">
      <c r="A480" s="6" t="s">
        <v>1746</v>
      </c>
      <c r="B480" s="5" t="s">
        <v>1747</v>
      </c>
      <c r="C480" s="5" t="s">
        <v>1708</v>
      </c>
      <c r="D480" s="5" t="s">
        <v>1738</v>
      </c>
      <c r="E480" s="5" t="s">
        <v>1739</v>
      </c>
      <c r="F480" s="5" t="str">
        <f>HYPERLINK("http://edenfruit.eu/","edenfruit.eu")</f>
        <v>edenfruit.eu</v>
      </c>
    </row>
    <row r="481" spans="1:6" ht="43.05" customHeight="1" x14ac:dyDescent="0.25">
      <c r="A481" s="1" t="s">
        <v>1748</v>
      </c>
      <c r="B481" s="7" t="s">
        <v>1749</v>
      </c>
      <c r="C481" s="7" t="s">
        <v>1727</v>
      </c>
      <c r="D481" s="7" t="s">
        <v>1750</v>
      </c>
      <c r="E481" s="7" t="s">
        <v>1696</v>
      </c>
      <c r="F481" s="7" t="str">
        <f>HYPERLINK("http://www.cortescaligera.it/","http://www.cortescaligera.it/")</f>
        <v>http://www.cortescaligera.it/</v>
      </c>
    </row>
    <row r="482" spans="1:6" ht="55.65" customHeight="1" x14ac:dyDescent="0.25">
      <c r="A482" s="6" t="s">
        <v>1751</v>
      </c>
      <c r="B482" s="5" t="s">
        <v>1752</v>
      </c>
      <c r="C482" s="5" t="s">
        <v>1704</v>
      </c>
      <c r="D482" s="5" t="s">
        <v>1753</v>
      </c>
      <c r="E482" s="5" t="s">
        <v>1701</v>
      </c>
      <c r="F482" s="5" t="str">
        <f>HYPERLINK("http://www.coopcsm.com/","www.coopcsm.com")</f>
        <v>www.coopcsm.com</v>
      </c>
    </row>
    <row r="483" spans="1:6" ht="29.55" customHeight="1" x14ac:dyDescent="0.25">
      <c r="A483" s="1" t="s">
        <v>1754</v>
      </c>
      <c r="B483" s="7" t="s">
        <v>1755</v>
      </c>
      <c r="C483" s="7" t="s">
        <v>1708</v>
      </c>
      <c r="D483" s="7" t="s">
        <v>1756</v>
      </c>
      <c r="E483" s="7" t="s">
        <v>1701</v>
      </c>
      <c r="F483" s="7" t="str">
        <f>HYPERLINK("http://ital-frutta.it/","ital-frutta.it")</f>
        <v>ital-frutta.it</v>
      </c>
    </row>
    <row r="484" spans="1:6" ht="29.55" customHeight="1" x14ac:dyDescent="0.25">
      <c r="A484" s="6" t="s">
        <v>1757</v>
      </c>
      <c r="B484" s="5" t="s">
        <v>1758</v>
      </c>
      <c r="C484" s="5" t="s">
        <v>1708</v>
      </c>
      <c r="D484" s="5" t="s">
        <v>1738</v>
      </c>
      <c r="E484" s="5" t="s">
        <v>1739</v>
      </c>
      <c r="F484" s="5" t="str">
        <f>HYPERLINK("http://ponsofrutta.it/","ponsofrutta.it")</f>
        <v>ponsofrutta.it</v>
      </c>
    </row>
    <row r="485" spans="1:6" ht="29.55" customHeight="1" x14ac:dyDescent="0.25">
      <c r="A485" s="1" t="s">
        <v>1759</v>
      </c>
      <c r="B485" s="7" t="s">
        <v>1760</v>
      </c>
      <c r="C485" s="7" t="s">
        <v>1761</v>
      </c>
      <c r="D485" s="7" t="s">
        <v>1762</v>
      </c>
      <c r="E485" s="7" t="s">
        <v>1763</v>
      </c>
      <c r="F485" s="7" t="str">
        <f>HYPERLINK("http://poggioallevigne.it/","poggioallevigne.it")</f>
        <v>poggioallevigne.it</v>
      </c>
    </row>
    <row r="486" spans="1:6" ht="29.55" customHeight="1" x14ac:dyDescent="0.25">
      <c r="A486" s="1" t="s">
        <v>1764</v>
      </c>
      <c r="B486" s="7" t="s">
        <v>1765</v>
      </c>
      <c r="C486" s="7" t="s">
        <v>1708</v>
      </c>
      <c r="D486" s="7" t="s">
        <v>1766</v>
      </c>
      <c r="E486" s="7" t="s">
        <v>1767</v>
      </c>
      <c r="F486" s="7" t="str">
        <f>HYPERLINK("http://www.biocereals.it/","www.biocereals.it")</f>
        <v>www.biocereals.it</v>
      </c>
    </row>
    <row r="487" spans="1:6" ht="43.05" customHeight="1" x14ac:dyDescent="0.25">
      <c r="A487" s="1" t="s">
        <v>1769</v>
      </c>
      <c r="B487" s="7" t="s">
        <v>1770</v>
      </c>
      <c r="C487" s="7" t="s">
        <v>1768</v>
      </c>
      <c r="D487" s="7" t="s">
        <v>1711</v>
      </c>
      <c r="E487" s="7" t="s">
        <v>1710</v>
      </c>
      <c r="F487" s="7" t="str">
        <f>HYPERLINK("http://www.latteriasocialeroverbella.it/","http://www.latteriasocialeroverbella.it/")</f>
        <v>http://www.latteriasocialeroverbella.it/</v>
      </c>
    </row>
    <row r="488" spans="1:6" ht="29.55" customHeight="1" x14ac:dyDescent="0.25">
      <c r="A488" s="1" t="s">
        <v>1771</v>
      </c>
      <c r="B488" s="7" t="s">
        <v>1772</v>
      </c>
      <c r="C488" s="7" t="s">
        <v>1773</v>
      </c>
      <c r="D488" s="7" t="s">
        <v>1774</v>
      </c>
      <c r="E488" s="7" t="s">
        <v>1775</v>
      </c>
      <c r="F488" s="7" t="str">
        <f>HYPERLINK("http://www.opagrologica.it/","www.opagrologica.it")</f>
        <v>www.opagrologica.it</v>
      </c>
    </row>
    <row r="489" spans="1:6" ht="43.05" customHeight="1" x14ac:dyDescent="0.25">
      <c r="A489" s="6" t="s">
        <v>1776</v>
      </c>
      <c r="B489" s="5" t="s">
        <v>1777</v>
      </c>
      <c r="C489" s="5" t="s">
        <v>1778</v>
      </c>
      <c r="D489" s="5" t="s">
        <v>1779</v>
      </c>
      <c r="E489" s="5" t="s">
        <v>1780</v>
      </c>
      <c r="F489" s="5" t="str">
        <f>HYPERLINK("http://pironda.it/","pironda.it")</f>
        <v>pironda.it</v>
      </c>
    </row>
    <row r="490" spans="1:6" ht="29.55" customHeight="1" x14ac:dyDescent="0.25">
      <c r="A490" s="1" t="s">
        <v>1781</v>
      </c>
      <c r="B490" s="7" t="s">
        <v>1782</v>
      </c>
      <c r="C490" s="7" t="s">
        <v>1773</v>
      </c>
      <c r="D490" s="7" t="s">
        <v>1783</v>
      </c>
      <c r="E490" s="7" t="s">
        <v>1784</v>
      </c>
      <c r="F490" s="7" t="str">
        <f>HYPERLINK("http://www.opfuturo.com/","www.opfuturo.com")</f>
        <v>www.opfuturo.com</v>
      </c>
    </row>
    <row r="491" spans="1:6" ht="29.55" customHeight="1" x14ac:dyDescent="0.25">
      <c r="A491" s="6" t="s">
        <v>1785</v>
      </c>
      <c r="B491" s="5" t="s">
        <v>1786</v>
      </c>
      <c r="C491" s="5" t="s">
        <v>1787</v>
      </c>
      <c r="D491" s="5" t="s">
        <v>1788</v>
      </c>
      <c r="E491" s="5" t="s">
        <v>1789</v>
      </c>
      <c r="F491" s="5" t="str">
        <f>HYPERLINK("http://www.agriberica.it/","www.agriberica.it")</f>
        <v>www.agriberica.it</v>
      </c>
    </row>
    <row r="492" spans="1:6" ht="16.95" customHeight="1" x14ac:dyDescent="0.25">
      <c r="A492" s="1" t="s">
        <v>1790</v>
      </c>
      <c r="B492" s="7" t="s">
        <v>1791</v>
      </c>
      <c r="C492" s="7" t="s">
        <v>1792</v>
      </c>
      <c r="D492" s="7" t="s">
        <v>1793</v>
      </c>
      <c r="E492" s="7" t="s">
        <v>1794</v>
      </c>
      <c r="F492" s="7" t="str">
        <f>HYPERLINK("http://www.itlservizi.it/","www.itlservizi.it")</f>
        <v>www.itlservizi.it</v>
      </c>
    </row>
    <row r="493" spans="1:6" ht="29.55" customHeight="1" x14ac:dyDescent="0.25">
      <c r="A493" s="6" t="s">
        <v>1795</v>
      </c>
      <c r="B493" s="5" t="s">
        <v>1796</v>
      </c>
      <c r="C493" s="5" t="s">
        <v>1797</v>
      </c>
      <c r="D493" s="5" t="s">
        <v>1798</v>
      </c>
      <c r="E493" s="5" t="s">
        <v>1799</v>
      </c>
      <c r="F493" s="5" t="str">
        <f>HYPERLINK("http://www.argentiera.eu/","www.argentiera.eu")</f>
        <v>www.argentiera.eu</v>
      </c>
    </row>
    <row r="494" spans="1:6" ht="29.55" customHeight="1" x14ac:dyDescent="0.25">
      <c r="A494" s="1" t="s">
        <v>1800</v>
      </c>
      <c r="B494" s="7" t="s">
        <v>1801</v>
      </c>
      <c r="C494" s="7" t="s">
        <v>1773</v>
      </c>
      <c r="D494" s="7" t="s">
        <v>1802</v>
      </c>
      <c r="E494" s="7" t="s">
        <v>1802</v>
      </c>
      <c r="F494" s="7" t="str">
        <f>HYPERLINK("http://www.lacollettiva.it/","www.lacollettiva.it")</f>
        <v>www.lacollettiva.it</v>
      </c>
    </row>
    <row r="495" spans="1:6" ht="29.55" customHeight="1" x14ac:dyDescent="0.25">
      <c r="A495" s="6" t="s">
        <v>1803</v>
      </c>
      <c r="B495" s="5" t="s">
        <v>1804</v>
      </c>
      <c r="C495" s="5" t="s">
        <v>1805</v>
      </c>
      <c r="D495" s="5" t="s">
        <v>1783</v>
      </c>
      <c r="E495" s="5" t="s">
        <v>1784</v>
      </c>
      <c r="F495" s="5" t="str">
        <f>HYPERLINK("http://ortodicampo.com/","ortodicampo.com")</f>
        <v>ortodicampo.com</v>
      </c>
    </row>
    <row r="496" spans="1:6" ht="29.55" customHeight="1" x14ac:dyDescent="0.25">
      <c r="A496" s="1" t="s">
        <v>1806</v>
      </c>
      <c r="B496" s="7" t="s">
        <v>1807</v>
      </c>
      <c r="C496" s="7" t="s">
        <v>1808</v>
      </c>
      <c r="D496" s="7" t="s">
        <v>1802</v>
      </c>
      <c r="E496" s="7" t="s">
        <v>1802</v>
      </c>
      <c r="F496" s="7" t="str">
        <f>HYPERLINK("http://www.agricolamediocampidano.it/","www.agricolamediocampidano.it")</f>
        <v>www.agricolamediocampidano.it</v>
      </c>
    </row>
    <row r="497" spans="1:6" ht="29.55" customHeight="1" x14ac:dyDescent="0.25">
      <c r="A497" s="6" t="s">
        <v>1809</v>
      </c>
      <c r="B497" s="5" t="s">
        <v>1810</v>
      </c>
      <c r="C497" s="5" t="s">
        <v>1773</v>
      </c>
      <c r="D497" s="5" t="s">
        <v>1811</v>
      </c>
      <c r="E497" s="5" t="s">
        <v>1812</v>
      </c>
      <c r="F497" s="5" t="str">
        <f>HYPERLINK("http://www.svalagricoltura.it/","http://www.svalagricoltura.it")</f>
        <v>http://www.svalagricoltura.it</v>
      </c>
    </row>
    <row r="498" spans="1:6" ht="120.3" customHeight="1" x14ac:dyDescent="0.25">
      <c r="A498" s="6" t="s">
        <v>1813</v>
      </c>
      <c r="B498" s="5" t="s">
        <v>1814</v>
      </c>
      <c r="C498" s="5" t="s">
        <v>1797</v>
      </c>
      <c r="D498" s="5" t="s">
        <v>1815</v>
      </c>
      <c r="E498" s="5" t="s">
        <v>1799</v>
      </c>
      <c r="F498" s="5" t="str">
        <f>HYPERLINK("http://www.elisabettagnudiangelini.com/","www.elisabettagnudiangelini.com")</f>
        <v>www.elisabettagnudiangelini.com</v>
      </c>
    </row>
    <row r="499" spans="1:6" ht="29.55" customHeight="1" x14ac:dyDescent="0.25">
      <c r="A499" s="1" t="s">
        <v>1816</v>
      </c>
      <c r="B499" s="7" t="s">
        <v>1817</v>
      </c>
      <c r="C499" s="7" t="s">
        <v>1773</v>
      </c>
      <c r="D499" s="7" t="s">
        <v>1774</v>
      </c>
      <c r="E499" s="7" t="s">
        <v>1775</v>
      </c>
      <c r="F499" s="7" t="str">
        <f>HYPERLINK("http://www.econaturagroup.it/","www.econaturagroup.it")</f>
        <v>www.econaturagroup.it</v>
      </c>
    </row>
    <row r="500" spans="1:6" ht="29.55" customHeight="1" x14ac:dyDescent="0.25">
      <c r="A500" s="6" t="s">
        <v>1818</v>
      </c>
      <c r="B500" s="5" t="s">
        <v>1819</v>
      </c>
      <c r="C500" s="5" t="s">
        <v>1820</v>
      </c>
      <c r="D500" s="5" t="s">
        <v>1821</v>
      </c>
      <c r="E500" s="5" t="s">
        <v>1822</v>
      </c>
      <c r="F500" s="5" t="str">
        <f>HYPERLINK("http://www.studiolvma.it/","www.studiolvma.it")</f>
        <v>www.studiolvma.it</v>
      </c>
    </row>
    <row r="501" spans="1:6" ht="55.65" customHeight="1" x14ac:dyDescent="0.25">
      <c r="A501" s="1" t="s">
        <v>1823</v>
      </c>
      <c r="B501" s="7" t="s">
        <v>1824</v>
      </c>
      <c r="C501" s="7" t="s">
        <v>1825</v>
      </c>
      <c r="D501" s="7" t="s">
        <v>1826</v>
      </c>
      <c r="E501" s="7" t="s">
        <v>1794</v>
      </c>
      <c r="F501" s="7" t="str">
        <f>HYPERLINK("http://www.cabmassari.it/","www.cabmassari.it")</f>
        <v>www.cabmassari.it</v>
      </c>
    </row>
    <row r="502" spans="1:6" ht="55.65" customHeight="1" x14ac:dyDescent="0.25">
      <c r="A502" s="6" t="s">
        <v>1827</v>
      </c>
      <c r="B502" s="5" t="s">
        <v>1828</v>
      </c>
      <c r="C502" s="5" t="s">
        <v>1797</v>
      </c>
      <c r="D502" s="5" t="s">
        <v>1829</v>
      </c>
      <c r="E502" s="5" t="s">
        <v>1822</v>
      </c>
      <c r="F502" s="5" t="str">
        <f>HYPERLINK("http://vinisangiorgio.com/","vinisangiorgio.com")</f>
        <v>vinisangiorgio.com</v>
      </c>
    </row>
    <row r="503" spans="1:6" ht="43.05" customHeight="1" x14ac:dyDescent="0.25">
      <c r="A503" s="1" t="s">
        <v>1830</v>
      </c>
      <c r="B503" s="7" t="s">
        <v>1831</v>
      </c>
      <c r="C503" s="7" t="s">
        <v>1832</v>
      </c>
      <c r="D503" s="7" t="s">
        <v>1833</v>
      </c>
      <c r="E503" s="7" t="s">
        <v>1834</v>
      </c>
      <c r="F503" s="7" t="str">
        <f>HYPERLINK("http://www.coopdelgolfo.com/","www.coopdelgolfo.com/")</f>
        <v>www.coopdelgolfo.com/</v>
      </c>
    </row>
    <row r="504" spans="1:6" ht="29.55" customHeight="1" x14ac:dyDescent="0.25">
      <c r="A504" s="6" t="s">
        <v>1835</v>
      </c>
      <c r="B504" s="5" t="s">
        <v>1836</v>
      </c>
      <c r="C504" s="5" t="s">
        <v>1837</v>
      </c>
      <c r="D504" s="5" t="s">
        <v>1833</v>
      </c>
      <c r="E504" s="5" t="s">
        <v>1834</v>
      </c>
      <c r="F504" s="5" t="str">
        <f>HYPERLINK("http://www.cavallaroprodottiortofrutticoli.it/","www.cavallaroprodottiortofrutticoli.it")</f>
        <v>www.cavallaroprodottiortofrutticoli.it</v>
      </c>
    </row>
    <row r="505" spans="1:6" ht="29.55" customHeight="1" x14ac:dyDescent="0.25">
      <c r="A505" s="1" t="s">
        <v>1838</v>
      </c>
      <c r="B505" s="7" t="s">
        <v>1839</v>
      </c>
      <c r="C505" s="7" t="s">
        <v>1840</v>
      </c>
      <c r="D505" s="7" t="s">
        <v>1811</v>
      </c>
      <c r="E505" s="7" t="s">
        <v>1812</v>
      </c>
      <c r="F505" s="7" t="str">
        <f>HYPERLINK("http://www.deugeniosementifabio.it/","www.deugeniosementifabio.it")</f>
        <v>www.deugeniosementifabio.it</v>
      </c>
    </row>
    <row r="506" spans="1:6" ht="132.75" customHeight="1" x14ac:dyDescent="0.25">
      <c r="A506" s="6" t="s">
        <v>1841</v>
      </c>
      <c r="B506" s="5" t="s">
        <v>1842</v>
      </c>
      <c r="C506" s="5" t="s">
        <v>1797</v>
      </c>
      <c r="D506" s="5" t="s">
        <v>1843</v>
      </c>
      <c r="E506" s="5" t="s">
        <v>1789</v>
      </c>
      <c r="F506" s="5" t="str">
        <f>HYPERLINK("http://www.cantinavaldadige.it/","http://www.cantinavaldadige.it")</f>
        <v>http://www.cantinavaldadige.it</v>
      </c>
    </row>
    <row r="507" spans="1:6" ht="55.65" customHeight="1" x14ac:dyDescent="0.25">
      <c r="A507" s="1" t="s">
        <v>1844</v>
      </c>
      <c r="B507" s="7" t="s">
        <v>1845</v>
      </c>
      <c r="C507" s="7" t="s">
        <v>1773</v>
      </c>
      <c r="D507" s="7" t="s">
        <v>1846</v>
      </c>
      <c r="E507" s="7" t="s">
        <v>1847</v>
      </c>
      <c r="F507" s="7" t="str">
        <f>HYPERLINK("http://opfrujt.it/","opfrujt.it")</f>
        <v>opfrujt.it</v>
      </c>
    </row>
    <row r="508" spans="1:6" ht="29.55" customHeight="1" x14ac:dyDescent="0.25">
      <c r="A508" s="1" t="s">
        <v>1848</v>
      </c>
      <c r="B508" s="7" t="s">
        <v>1849</v>
      </c>
      <c r="C508" s="7" t="s">
        <v>1773</v>
      </c>
      <c r="D508" s="7" t="s">
        <v>1829</v>
      </c>
      <c r="E508" s="7" t="s">
        <v>1822</v>
      </c>
      <c r="F508" s="7" t="str">
        <f>HYPERLINK("http://www.friulfruct.com/","www.friulfruct.com")</f>
        <v>www.friulfruct.com</v>
      </c>
    </row>
    <row r="509" spans="1:6" ht="29.55" customHeight="1" x14ac:dyDescent="0.25">
      <c r="A509" s="6" t="s">
        <v>1850</v>
      </c>
      <c r="B509" s="5" t="s">
        <v>1851</v>
      </c>
      <c r="C509" s="5" t="s">
        <v>1852</v>
      </c>
      <c r="D509" s="5" t="s">
        <v>1853</v>
      </c>
      <c r="E509" s="5" t="s">
        <v>1794</v>
      </c>
      <c r="F509" s="5" t="str">
        <f>HYPERLINK("http://www.alboforaggi.it/","www.alboforaggi.it")</f>
        <v>www.alboforaggi.it</v>
      </c>
    </row>
    <row r="510" spans="1:6" ht="29.55" customHeight="1" x14ac:dyDescent="0.25">
      <c r="A510" s="1" t="s">
        <v>1854</v>
      </c>
      <c r="B510" s="7" t="s">
        <v>1855</v>
      </c>
      <c r="C510" s="7" t="s">
        <v>1797</v>
      </c>
      <c r="D510" s="7" t="s">
        <v>1815</v>
      </c>
      <c r="E510" s="7" t="s">
        <v>1799</v>
      </c>
      <c r="F510" s="7" t="str">
        <f>HYPERLINK("http://castellodiama.com/","castellodiama.com")</f>
        <v>castellodiama.com</v>
      </c>
    </row>
    <row r="511" spans="1:6" ht="29.55" customHeight="1" x14ac:dyDescent="0.25">
      <c r="A511" s="1" t="s">
        <v>1856</v>
      </c>
      <c r="B511" s="7" t="s">
        <v>1857</v>
      </c>
      <c r="C511" s="7" t="s">
        <v>1820</v>
      </c>
      <c r="D511" s="7" t="s">
        <v>1858</v>
      </c>
      <c r="E511" s="7" t="s">
        <v>1775</v>
      </c>
      <c r="F511" s="7" t="str">
        <f>HYPERLINK("http://www.avicolarattenuti.eu/","www.avicolarattenuti.eu")</f>
        <v>www.avicolarattenuti.eu</v>
      </c>
    </row>
    <row r="512" spans="1:6" ht="29.55" customHeight="1" x14ac:dyDescent="0.25">
      <c r="A512" s="1" t="s">
        <v>1859</v>
      </c>
      <c r="B512" s="7" t="s">
        <v>1860</v>
      </c>
      <c r="C512" s="7" t="s">
        <v>1861</v>
      </c>
      <c r="D512" s="7" t="s">
        <v>1862</v>
      </c>
      <c r="E512" s="7" t="s">
        <v>1863</v>
      </c>
      <c r="F512" s="7" t="str">
        <f>HYPERLINK("http://www.grecoalimentare.it/","www.grecoalimentare.it")</f>
        <v>www.grecoalimentare.it</v>
      </c>
    </row>
    <row r="513" spans="1:6" ht="43.05" customHeight="1" x14ac:dyDescent="0.25">
      <c r="A513" s="6" t="s">
        <v>1864</v>
      </c>
      <c r="B513" s="5" t="s">
        <v>1865</v>
      </c>
      <c r="C513" s="5" t="s">
        <v>1866</v>
      </c>
      <c r="D513" s="5" t="s">
        <v>1867</v>
      </c>
      <c r="E513" s="5" t="s">
        <v>1847</v>
      </c>
      <c r="F513" s="5" t="str">
        <f>HYPERLINK("http://www.opsibarit.it/","www.opsibarit.it")</f>
        <v>www.opsibarit.it</v>
      </c>
    </row>
    <row r="514" spans="1:6" ht="81.75" customHeight="1" x14ac:dyDescent="0.25">
      <c r="A514" s="1" t="s">
        <v>1868</v>
      </c>
      <c r="B514" s="7" t="s">
        <v>1869</v>
      </c>
      <c r="C514" s="7" t="s">
        <v>1797</v>
      </c>
      <c r="D514" s="7" t="s">
        <v>1815</v>
      </c>
      <c r="E514" s="7" t="s">
        <v>1799</v>
      </c>
      <c r="F514" s="7" t="str">
        <f>HYPERLINK("http://dievole.it/","dievole.it")</f>
        <v>dievole.it</v>
      </c>
    </row>
    <row r="515" spans="1:6" ht="29.55" customHeight="1" x14ac:dyDescent="0.25">
      <c r="A515" s="6" t="s">
        <v>1870</v>
      </c>
      <c r="B515" s="5" t="s">
        <v>1871</v>
      </c>
      <c r="C515" s="5" t="s">
        <v>1872</v>
      </c>
      <c r="D515" s="5" t="s">
        <v>1873</v>
      </c>
      <c r="E515" s="5" t="s">
        <v>1780</v>
      </c>
      <c r="F515" s="5" t="str">
        <f>HYPERLINK("http://societa-agricola-del-lago-srl-01876110154.quantofattura.com/","societa-agricola-del-lago-srl-01876110154.quantofattura.com")</f>
        <v>societa-agricola-del-lago-srl-01876110154.quantofattura.com</v>
      </c>
    </row>
    <row r="516" spans="1:6" ht="29.55" customHeight="1" x14ac:dyDescent="0.25">
      <c r="A516" s="6" t="s">
        <v>1876</v>
      </c>
      <c r="B516" s="5" t="s">
        <v>1877</v>
      </c>
      <c r="C516" s="5" t="s">
        <v>1878</v>
      </c>
      <c r="D516" s="5" t="s">
        <v>1879</v>
      </c>
      <c r="E516" s="5" t="s">
        <v>1880</v>
      </c>
      <c r="F516" s="5" t="str">
        <f>HYPERLINK("http://www.caione.it/","www.caione.it")</f>
        <v>www.caione.it</v>
      </c>
    </row>
    <row r="517" spans="1:6" ht="43.05" customHeight="1" x14ac:dyDescent="0.25">
      <c r="A517" s="1" t="s">
        <v>1881</v>
      </c>
      <c r="B517" s="7" t="s">
        <v>1882</v>
      </c>
      <c r="C517" s="7" t="s">
        <v>1874</v>
      </c>
      <c r="D517" s="7" t="s">
        <v>1883</v>
      </c>
      <c r="E517" s="7" t="s">
        <v>1875</v>
      </c>
      <c r="F517" s="7" t="str">
        <f>HYPERLINK("http://www.agronaturasca.it/","www.agronaturasca.it")</f>
        <v>www.agronaturasca.it</v>
      </c>
    </row>
    <row r="518" spans="1:6" ht="43.05" customHeight="1" x14ac:dyDescent="0.25">
      <c r="A518" s="1" t="s">
        <v>1889</v>
      </c>
      <c r="B518" s="7" t="s">
        <v>1890</v>
      </c>
      <c r="C518" s="7" t="s">
        <v>1874</v>
      </c>
      <c r="D518" s="7" t="s">
        <v>1891</v>
      </c>
      <c r="E518" s="7" t="s">
        <v>1880</v>
      </c>
      <c r="F518" s="7" t="str">
        <f>HYPERLINK("http://www.progressoagricolo.com/","www.progressoagricolo.com")</f>
        <v>www.progressoagricolo.com</v>
      </c>
    </row>
    <row r="519" spans="1:6" ht="43.05" customHeight="1" x14ac:dyDescent="0.25">
      <c r="A519" s="6" t="s">
        <v>1892</v>
      </c>
      <c r="B519" s="5" t="s">
        <v>1893</v>
      </c>
      <c r="C519" s="5" t="s">
        <v>1894</v>
      </c>
      <c r="D519" s="5" t="s">
        <v>1895</v>
      </c>
      <c r="E519" s="5" t="s">
        <v>1880</v>
      </c>
      <c r="F519" s="5" t="str">
        <f>HYPERLINK("http://www.generali.it/trova-agenzia/","www.generali.it/trova-agenzia/")</f>
        <v>www.generali.it/trova-agenzia/</v>
      </c>
    </row>
    <row r="520" spans="1:6" ht="29.55" customHeight="1" x14ac:dyDescent="0.25">
      <c r="A520" s="1" t="s">
        <v>1896</v>
      </c>
      <c r="B520" s="7" t="s">
        <v>1897</v>
      </c>
      <c r="C520" s="7" t="s">
        <v>1898</v>
      </c>
      <c r="D520" s="7" t="s">
        <v>1899</v>
      </c>
      <c r="E520" s="7" t="s">
        <v>1900</v>
      </c>
      <c r="F520" s="7" t="str">
        <f>HYPERLINK("http://www.coop3ponti.com/","www.coop3ponti.com")</f>
        <v>www.coop3ponti.com</v>
      </c>
    </row>
    <row r="521" spans="1:6" ht="132.75" customHeight="1" x14ac:dyDescent="0.25">
      <c r="A521" s="1" t="s">
        <v>1902</v>
      </c>
      <c r="B521" s="7" t="s">
        <v>1903</v>
      </c>
      <c r="C521" s="7" t="s">
        <v>1884</v>
      </c>
      <c r="D521" s="7" t="s">
        <v>1904</v>
      </c>
      <c r="E521" s="7" t="s">
        <v>1905</v>
      </c>
      <c r="F521" s="7" t="str">
        <f>HYPERLINK("http://www.cormons.com/","http://www.cormons.com")</f>
        <v>http://www.cormons.com</v>
      </c>
    </row>
    <row r="522" spans="1:6" ht="68.099999999999994" customHeight="1" x14ac:dyDescent="0.25">
      <c r="A522" s="6" t="s">
        <v>1906</v>
      </c>
      <c r="B522" s="5" t="s">
        <v>1907</v>
      </c>
      <c r="C522" s="5" t="s">
        <v>1908</v>
      </c>
      <c r="D522" s="5" t="s">
        <v>1909</v>
      </c>
      <c r="E522" s="5" t="s">
        <v>1887</v>
      </c>
      <c r="F522" s="5" t="str">
        <f>HYPERLINK("http://www.cantinavillafranca.it/","www.cantinavillafranca.it")</f>
        <v>www.cantinavillafranca.it</v>
      </c>
    </row>
    <row r="523" spans="1:6" ht="29.55" customHeight="1" x14ac:dyDescent="0.25">
      <c r="A523" s="6" t="s">
        <v>1911</v>
      </c>
      <c r="B523" s="5" t="s">
        <v>1912</v>
      </c>
      <c r="C523" s="5" t="s">
        <v>1908</v>
      </c>
      <c r="D523" s="5" t="s">
        <v>1913</v>
      </c>
      <c r="E523" s="5" t="s">
        <v>1914</v>
      </c>
      <c r="F523" s="5" t="str">
        <f>HYPERLINK("http://www.camaiol.it/","www.camaiol.it")</f>
        <v>www.camaiol.it</v>
      </c>
    </row>
    <row r="524" spans="1:6" ht="68.099999999999994" customHeight="1" x14ac:dyDescent="0.25">
      <c r="A524" s="1" t="s">
        <v>1915</v>
      </c>
      <c r="B524" s="7" t="s">
        <v>1916</v>
      </c>
      <c r="C524" s="7" t="s">
        <v>1874</v>
      </c>
      <c r="D524" s="7" t="s">
        <v>1917</v>
      </c>
      <c r="E524" s="7" t="s">
        <v>1888</v>
      </c>
      <c r="F524" s="7" t="str">
        <f>HYPERLINK("http://www.promarche.it/","www.promarche.it")</f>
        <v>www.promarche.it</v>
      </c>
    </row>
    <row r="525" spans="1:6" ht="29.55" customHeight="1" x14ac:dyDescent="0.25">
      <c r="A525" s="6" t="s">
        <v>1918</v>
      </c>
      <c r="B525" s="5" t="s">
        <v>1919</v>
      </c>
      <c r="C525" s="5" t="s">
        <v>1884</v>
      </c>
      <c r="D525" s="5" t="s">
        <v>1920</v>
      </c>
      <c r="E525" s="5" t="s">
        <v>1901</v>
      </c>
      <c r="F525" s="5" t="str">
        <f>HYPERLINK("http://www.fruttidorocoop.it/","www.fruttidorocoop.it")</f>
        <v>www.fruttidorocoop.it</v>
      </c>
    </row>
    <row r="526" spans="1:6" ht="43.05" customHeight="1" x14ac:dyDescent="0.25">
      <c r="A526" s="1" t="s">
        <v>1921</v>
      </c>
      <c r="B526" s="7" t="s">
        <v>1922</v>
      </c>
      <c r="C526" s="7" t="s">
        <v>1884</v>
      </c>
      <c r="D526" s="7" t="s">
        <v>1923</v>
      </c>
      <c r="E526" s="7" t="s">
        <v>1887</v>
      </c>
      <c r="F526" s="7" t="str">
        <f>HYPERLINK("http://www.vilmaverde.it/","www.vilmaverde.it")</f>
        <v>www.vilmaverde.it</v>
      </c>
    </row>
    <row r="527" spans="1:6" ht="29.55" customHeight="1" x14ac:dyDescent="0.25">
      <c r="A527" s="6" t="s">
        <v>1924</v>
      </c>
      <c r="B527" s="5" t="s">
        <v>1925</v>
      </c>
      <c r="C527" s="5" t="s">
        <v>1910</v>
      </c>
      <c r="D527" s="5" t="s">
        <v>1926</v>
      </c>
      <c r="E527" s="5" t="s">
        <v>1880</v>
      </c>
      <c r="F527" s="5" t="str">
        <f>HYPERLINK("http://www.jentu.it/","www.jentu.it")</f>
        <v>www.jentu.it</v>
      </c>
    </row>
    <row r="528" spans="1:6" ht="43.05" customHeight="1" x14ac:dyDescent="0.25">
      <c r="A528" s="6" t="s">
        <v>1928</v>
      </c>
      <c r="B528" s="5" t="s">
        <v>1929</v>
      </c>
      <c r="C528" s="5" t="s">
        <v>1898</v>
      </c>
      <c r="D528" s="5" t="s">
        <v>1885</v>
      </c>
      <c r="E528" s="5" t="s">
        <v>1886</v>
      </c>
      <c r="F528" s="5" t="str">
        <f>HYPERLINK("http://www.citrosol.it/","www.citrosol.it")</f>
        <v>www.citrosol.it</v>
      </c>
    </row>
    <row r="529" spans="1:6" ht="43.05" customHeight="1" x14ac:dyDescent="0.25">
      <c r="A529" s="6" t="s">
        <v>1930</v>
      </c>
      <c r="B529" s="5" t="s">
        <v>1931</v>
      </c>
      <c r="C529" s="5" t="s">
        <v>1910</v>
      </c>
      <c r="D529" s="5" t="s">
        <v>1927</v>
      </c>
      <c r="E529" s="5" t="s">
        <v>1880</v>
      </c>
      <c r="F529" s="5" t="str">
        <f>HYPERLINK("http://www.agricoladino.it/","www.agricoladino.it")</f>
        <v>www.agricoladino.it</v>
      </c>
    </row>
    <row r="530" spans="1:6" ht="29.55" customHeight="1" x14ac:dyDescent="0.25">
      <c r="A530" s="6" t="s">
        <v>1932</v>
      </c>
      <c r="B530" s="5" t="s">
        <v>1933</v>
      </c>
      <c r="C530" s="5" t="s">
        <v>1884</v>
      </c>
      <c r="D530" s="5" t="s">
        <v>1934</v>
      </c>
      <c r="E530" s="5" t="s">
        <v>1935</v>
      </c>
      <c r="F530" s="5" t="str">
        <f>HYPERLINK("http://www.aziendaprimavera.com/","www.aziendaprimavera.com")</f>
        <v>www.aziendaprimavera.com</v>
      </c>
    </row>
    <row r="531" spans="1:6" ht="55.65" customHeight="1" x14ac:dyDescent="0.25">
      <c r="A531" s="1" t="s">
        <v>1936</v>
      </c>
      <c r="B531" s="7" t="s">
        <v>1937</v>
      </c>
      <c r="C531" s="7" t="s">
        <v>1908</v>
      </c>
      <c r="D531" s="7" t="s">
        <v>1938</v>
      </c>
      <c r="E531" s="7" t="s">
        <v>1886</v>
      </c>
      <c r="F531" s="7" t="str">
        <f>HYPERLINK("http://www.milazzovini.com/","www.milazzovini.com")</f>
        <v>www.milazzovini.com</v>
      </c>
    </row>
    <row r="532" spans="1:6" ht="68.099999999999994" customHeight="1" x14ac:dyDescent="0.25">
      <c r="A532" s="1" t="s">
        <v>1939</v>
      </c>
      <c r="B532" s="7" t="s">
        <v>1940</v>
      </c>
      <c r="C532" s="7" t="s">
        <v>1941</v>
      </c>
      <c r="D532" s="7" t="s">
        <v>1942</v>
      </c>
      <c r="E532" s="7" t="s">
        <v>1943</v>
      </c>
      <c r="F532" s="7" t="str">
        <f>HYPERLINK("http://www.collemoro.it/","www.collemoro.it")</f>
        <v>www.collemoro.it</v>
      </c>
    </row>
    <row r="533" spans="1:6" ht="16.95" customHeight="1" x14ac:dyDescent="0.25">
      <c r="A533" s="1" t="s">
        <v>1945</v>
      </c>
      <c r="B533" s="7" t="s">
        <v>1946</v>
      </c>
      <c r="C533" s="7" t="s">
        <v>1947</v>
      </c>
      <c r="D533" s="7" t="s">
        <v>1948</v>
      </c>
      <c r="E533" s="7" t="s">
        <v>1949</v>
      </c>
      <c r="F533" s="7" t="str">
        <f>HYPERLINK("http://www.limagrain-italia.it/","www.limagrain-italia.it")</f>
        <v>www.limagrain-italia.it</v>
      </c>
    </row>
    <row r="534" spans="1:6" ht="43.05" customHeight="1" x14ac:dyDescent="0.25">
      <c r="A534" s="6" t="s">
        <v>1950</v>
      </c>
      <c r="B534" s="5" t="s">
        <v>1951</v>
      </c>
      <c r="C534" s="5" t="s">
        <v>1952</v>
      </c>
      <c r="D534" s="5" t="s">
        <v>1953</v>
      </c>
      <c r="E534" s="5" t="s">
        <v>1954</v>
      </c>
      <c r="F534" s="5" t="str">
        <f>HYPERLINK("http://www.laterradegliorti.it/","www.laterradegliorti.it")</f>
        <v>www.laterradegliorti.it</v>
      </c>
    </row>
    <row r="535" spans="1:6" ht="29.55" customHeight="1" x14ac:dyDescent="0.25">
      <c r="A535" s="1" t="s">
        <v>1955</v>
      </c>
      <c r="B535" s="7" t="s">
        <v>1956</v>
      </c>
      <c r="C535" s="7" t="s">
        <v>1952</v>
      </c>
      <c r="D535" s="7" t="s">
        <v>1957</v>
      </c>
      <c r="E535" s="7" t="s">
        <v>1954</v>
      </c>
      <c r="F535" s="7" t="str">
        <f>HYPERLINK("http://www.doganella.net/","www.doganella.net")</f>
        <v>www.doganella.net</v>
      </c>
    </row>
    <row r="536" spans="1:6" ht="43.05" customHeight="1" x14ac:dyDescent="0.25">
      <c r="A536" s="6" t="s">
        <v>1958</v>
      </c>
      <c r="B536" s="5" t="s">
        <v>1959</v>
      </c>
      <c r="C536" s="5" t="s">
        <v>1944</v>
      </c>
      <c r="D536" s="5" t="s">
        <v>1960</v>
      </c>
      <c r="E536" s="5" t="s">
        <v>1961</v>
      </c>
      <c r="F536" s="5" t="str">
        <f>HYPERLINK("http://www.lafiorida.com/","www.lafiorida.com")</f>
        <v>www.lafiorida.com</v>
      </c>
    </row>
    <row r="537" spans="1:6" ht="68.099999999999994" customHeight="1" x14ac:dyDescent="0.25">
      <c r="A537" s="6" t="s">
        <v>1962</v>
      </c>
      <c r="B537" s="5" t="s">
        <v>1963</v>
      </c>
      <c r="C537" s="5" t="s">
        <v>1964</v>
      </c>
      <c r="D537" s="5" t="s">
        <v>1965</v>
      </c>
      <c r="E537" s="5" t="s">
        <v>1966</v>
      </c>
      <c r="F537" s="5" t="str">
        <f>HYPERLINK("http://www.vicopad.it/","www.vicopad.it")</f>
        <v>www.vicopad.it</v>
      </c>
    </row>
    <row r="538" spans="1:6" ht="43.05" customHeight="1" x14ac:dyDescent="0.25">
      <c r="A538" s="1" t="s">
        <v>1967</v>
      </c>
      <c r="B538" s="7" t="s">
        <v>1968</v>
      </c>
      <c r="C538" s="7" t="s">
        <v>1944</v>
      </c>
      <c r="D538" s="7" t="s">
        <v>1969</v>
      </c>
      <c r="E538" s="7" t="s">
        <v>1949</v>
      </c>
      <c r="F538" s="7" t="str">
        <f>HYPERLINK("http://www.latteriasocialesangirolamo.it/","www.latteriasocialesangirolamo.it")</f>
        <v>www.latteriasocialesangirolamo.it</v>
      </c>
    </row>
    <row r="539" spans="1:6" ht="68.099999999999994" customHeight="1" x14ac:dyDescent="0.25">
      <c r="A539" s="1" t="s">
        <v>1970</v>
      </c>
      <c r="B539" s="7" t="s">
        <v>1971</v>
      </c>
      <c r="C539" s="7" t="s">
        <v>1972</v>
      </c>
      <c r="D539" s="7" t="s">
        <v>1973</v>
      </c>
      <c r="E539" s="7" t="s">
        <v>1966</v>
      </c>
      <c r="F539" s="7" t="str">
        <f>HYPERLINK("http://www.vstz.it/","www.vstz.it")</f>
        <v>www.vstz.it</v>
      </c>
    </row>
    <row r="540" spans="1:6" ht="55.65" customHeight="1" x14ac:dyDescent="0.25">
      <c r="A540" s="6" t="s">
        <v>1974</v>
      </c>
      <c r="B540" s="5" t="s">
        <v>1975</v>
      </c>
      <c r="C540" s="5" t="s">
        <v>1941</v>
      </c>
      <c r="D540" s="5" t="s">
        <v>1976</v>
      </c>
      <c r="E540" s="5" t="s">
        <v>1977</v>
      </c>
      <c r="F540" s="5" t="str">
        <f>HYPERLINK("http://colliripani.com/","colliripani.com")</f>
        <v>colliripani.com</v>
      </c>
    </row>
    <row r="541" spans="1:6" ht="106.65" customHeight="1" x14ac:dyDescent="0.25">
      <c r="A541" s="6" t="s">
        <v>1978</v>
      </c>
      <c r="B541" s="5" t="s">
        <v>1979</v>
      </c>
      <c r="C541" s="5" t="s">
        <v>1941</v>
      </c>
      <c r="D541" s="5" t="s">
        <v>1980</v>
      </c>
      <c r="E541" s="5" t="s">
        <v>1949</v>
      </c>
      <c r="F541" s="5" t="str">
        <f>HYPERLINK("http://www.cantinasantacroce.it/","www.cantinasantacroce.it")</f>
        <v>www.cantinasantacroce.it</v>
      </c>
    </row>
    <row r="542" spans="1:6" ht="29.55" customHeight="1" x14ac:dyDescent="0.25">
      <c r="A542" s="1" t="s">
        <v>1981</v>
      </c>
      <c r="B542" s="7" t="s">
        <v>1982</v>
      </c>
      <c r="C542" s="7" t="s">
        <v>1952</v>
      </c>
      <c r="D542" s="7" t="s">
        <v>1983</v>
      </c>
      <c r="E542" s="7" t="s">
        <v>1984</v>
      </c>
      <c r="F542" s="7" t="str">
        <f>HYPERLINK("http://www.agricolatreemme.it/","www.agricolatreemme.it")</f>
        <v>www.agricolatreemme.it</v>
      </c>
    </row>
    <row r="543" spans="1:6" ht="29.55" customHeight="1" x14ac:dyDescent="0.25">
      <c r="A543" s="6" t="s">
        <v>1985</v>
      </c>
      <c r="B543" s="5" t="s">
        <v>1986</v>
      </c>
      <c r="C543" s="5" t="s">
        <v>1987</v>
      </c>
      <c r="D543" s="5" t="s">
        <v>1988</v>
      </c>
      <c r="E543" s="5" t="s">
        <v>1954</v>
      </c>
      <c r="F543" s="5" t="str">
        <f>HYPERLINK("http://www.leghiottone.it/","www.leghiottone.it")</f>
        <v>www.leghiottone.it</v>
      </c>
    </row>
    <row r="544" spans="1:6" ht="43.05" customHeight="1" x14ac:dyDescent="0.25">
      <c r="A544" s="1" t="s">
        <v>1989</v>
      </c>
      <c r="B544" s="7" t="s">
        <v>1990</v>
      </c>
      <c r="C544" s="7" t="s">
        <v>1941</v>
      </c>
      <c r="D544" s="7" t="s">
        <v>1973</v>
      </c>
      <c r="E544" s="7" t="s">
        <v>1966</v>
      </c>
      <c r="F544" s="7" t="str">
        <f>HYPERLINK("http://www.kellerei.it/","www.kellerei.it")</f>
        <v>www.kellerei.it</v>
      </c>
    </row>
    <row r="545" spans="1:6" ht="29.55" customHeight="1" x14ac:dyDescent="0.25">
      <c r="A545" s="6" t="s">
        <v>1991</v>
      </c>
      <c r="B545" s="5" t="s">
        <v>1992</v>
      </c>
      <c r="C545" s="5" t="s">
        <v>1993</v>
      </c>
      <c r="D545" s="5" t="s">
        <v>1953</v>
      </c>
      <c r="E545" s="5" t="s">
        <v>1954</v>
      </c>
      <c r="F545" s="5" t="str">
        <f>HYPERLINK("http://www.coopfondana.com/","www.coopfondana.com")</f>
        <v>www.coopfondana.com</v>
      </c>
    </row>
    <row r="546" spans="1:6" ht="43.05" customHeight="1" x14ac:dyDescent="0.25">
      <c r="A546" s="1" t="s">
        <v>1994</v>
      </c>
      <c r="B546" s="7" t="s">
        <v>1995</v>
      </c>
      <c r="C546" s="7" t="s">
        <v>1993</v>
      </c>
      <c r="D546" s="7" t="s">
        <v>1996</v>
      </c>
      <c r="E546" s="7" t="s">
        <v>1997</v>
      </c>
      <c r="F546" s="7" t="str">
        <f>HYPERLINK("http://www.patateppas.it/","www.patateppas.it")</f>
        <v>www.patateppas.it</v>
      </c>
    </row>
    <row r="547" spans="1:6" ht="29.55" customHeight="1" x14ac:dyDescent="0.25">
      <c r="A547" s="6" t="s">
        <v>1998</v>
      </c>
      <c r="B547" s="5" t="s">
        <v>1999</v>
      </c>
      <c r="C547" s="5" t="s">
        <v>1952</v>
      </c>
      <c r="D547" s="5" t="s">
        <v>1953</v>
      </c>
      <c r="E547" s="5" t="s">
        <v>1954</v>
      </c>
      <c r="F547" s="5" t="str">
        <f>HYPERLINK("http://www.btagroservizi.it/","www.btagroservizi.it")</f>
        <v>www.btagroservizi.it</v>
      </c>
    </row>
    <row r="548" spans="1:6" ht="43.05" customHeight="1" x14ac:dyDescent="0.25">
      <c r="A548" s="1" t="s">
        <v>2000</v>
      </c>
      <c r="B548" s="7" t="s">
        <v>2001</v>
      </c>
      <c r="C548" s="7" t="s">
        <v>1941</v>
      </c>
      <c r="D548" s="7" t="s">
        <v>1965</v>
      </c>
      <c r="E548" s="7" t="s">
        <v>1966</v>
      </c>
      <c r="F548" s="7" t="str">
        <f>HYPERLINK("http://www.gruppomezzacorona.it/","www.gruppomezzacorona.it")</f>
        <v>www.gruppomezzacorona.it</v>
      </c>
    </row>
    <row r="549" spans="1:6" ht="29.55" customHeight="1" x14ac:dyDescent="0.25">
      <c r="A549" s="1" t="s">
        <v>2002</v>
      </c>
      <c r="B549" s="7" t="s">
        <v>2003</v>
      </c>
      <c r="C549" s="7" t="s">
        <v>1941</v>
      </c>
      <c r="D549" s="7" t="s">
        <v>2004</v>
      </c>
      <c r="E549" s="7" t="s">
        <v>2005</v>
      </c>
      <c r="F549" s="7" t="str">
        <f>HYPERLINK("http://www.castellodibossi.it/","www.castellodibossi.it")</f>
        <v>www.castellodibossi.it</v>
      </c>
    </row>
    <row r="550" spans="1:6" ht="43.05" customHeight="1" x14ac:dyDescent="0.25">
      <c r="A550" s="6" t="s">
        <v>2006</v>
      </c>
      <c r="B550" s="5" t="s">
        <v>2007</v>
      </c>
      <c r="C550" s="5" t="s">
        <v>1941</v>
      </c>
      <c r="D550" s="5" t="s">
        <v>2008</v>
      </c>
      <c r="E550" s="5" t="s">
        <v>1961</v>
      </c>
      <c r="F550" s="5" t="str">
        <f>HYPERLINK("http://www.monterossa.com/","www.monterossa.com")</f>
        <v>www.monterossa.com</v>
      </c>
    </row>
    <row r="551" spans="1:6" ht="55.65" customHeight="1" x14ac:dyDescent="0.25">
      <c r="A551" s="6" t="s">
        <v>2009</v>
      </c>
      <c r="B551" s="5" t="s">
        <v>2010</v>
      </c>
      <c r="C551" s="5" t="s">
        <v>1944</v>
      </c>
      <c r="D551" s="5" t="s">
        <v>1969</v>
      </c>
      <c r="E551" s="5" t="s">
        <v>1949</v>
      </c>
      <c r="F551" s="5" t="str">
        <f>HYPERLINK("http://caseificiovillafogliano.it/","caseificiovillafogliano.it")</f>
        <v>caseificiovillafogliano.it</v>
      </c>
    </row>
    <row r="552" spans="1:6" ht="43.05" customHeight="1" x14ac:dyDescent="0.25">
      <c r="A552" s="1" t="s">
        <v>2011</v>
      </c>
      <c r="B552" s="7" t="s">
        <v>2012</v>
      </c>
      <c r="C552" s="7" t="s">
        <v>1952</v>
      </c>
      <c r="D552" s="7" t="s">
        <v>2013</v>
      </c>
      <c r="E552" s="7" t="s">
        <v>2013</v>
      </c>
      <c r="F552" s="7" t="str">
        <f>HYPERLINK("http://www.villacidresi.it/","www.villacidresi.it")</f>
        <v>www.villacidresi.it</v>
      </c>
    </row>
    <row r="553" spans="1:6" ht="29.55" customHeight="1" x14ac:dyDescent="0.25">
      <c r="A553" s="6" t="s">
        <v>2014</v>
      </c>
      <c r="B553" s="5" t="s">
        <v>2015</v>
      </c>
      <c r="C553" s="5" t="s">
        <v>2016</v>
      </c>
      <c r="D553" s="5" t="s">
        <v>1953</v>
      </c>
      <c r="E553" s="5" t="s">
        <v>1954</v>
      </c>
      <c r="F553" s="5" t="str">
        <f>HYPERLINK("http://www.ifioridiroma.com/","www.ifioridiroma.com")</f>
        <v>www.ifioridiroma.com</v>
      </c>
    </row>
    <row r="554" spans="1:6" ht="43.05" customHeight="1" x14ac:dyDescent="0.25">
      <c r="A554" s="1" t="s">
        <v>2017</v>
      </c>
      <c r="B554" s="7" t="s">
        <v>2018</v>
      </c>
      <c r="C554" s="7" t="s">
        <v>2019</v>
      </c>
      <c r="D554" s="7" t="s">
        <v>2020</v>
      </c>
      <c r="E554" s="7" t="s">
        <v>2021</v>
      </c>
      <c r="F554" s="7" t="str">
        <f>HYPERLINK("http://www.latteriasocialecastelnovo.it/","www.latteriasocialecastelnovo.it")</f>
        <v>www.latteriasocialecastelnovo.it</v>
      </c>
    </row>
    <row r="555" spans="1:6" ht="29.55" customHeight="1" x14ac:dyDescent="0.25">
      <c r="A555" s="1" t="s">
        <v>2023</v>
      </c>
      <c r="B555" s="7" t="s">
        <v>2024</v>
      </c>
      <c r="C555" s="7" t="s">
        <v>2025</v>
      </c>
      <c r="D555" s="7" t="s">
        <v>2026</v>
      </c>
      <c r="E555" s="7" t="s">
        <v>2027</v>
      </c>
      <c r="F555" s="7" t="str">
        <f>HYPERLINK("http://www.dorilli.eu/","www.dorilli.eu")</f>
        <v>www.dorilli.eu</v>
      </c>
    </row>
    <row r="556" spans="1:6" ht="29.55" customHeight="1" x14ac:dyDescent="0.25">
      <c r="A556" s="6" t="s">
        <v>2031</v>
      </c>
      <c r="B556" s="5" t="s">
        <v>2032</v>
      </c>
      <c r="C556" s="5" t="s">
        <v>2033</v>
      </c>
      <c r="D556" s="5" t="s">
        <v>2034</v>
      </c>
      <c r="E556" s="5" t="s">
        <v>2035</v>
      </c>
      <c r="F556" s="5" t="str">
        <f>HYPERLINK("http://www.cantinaaldeno.com/","www.cantinaaldeno.com")</f>
        <v>www.cantinaaldeno.com</v>
      </c>
    </row>
    <row r="557" spans="1:6" ht="29.55" customHeight="1" x14ac:dyDescent="0.25">
      <c r="A557" s="1" t="s">
        <v>2036</v>
      </c>
      <c r="B557" s="7" t="s">
        <v>2037</v>
      </c>
      <c r="C557" s="7" t="s">
        <v>2022</v>
      </c>
      <c r="D557" s="7" t="s">
        <v>2038</v>
      </c>
      <c r="E557" s="7" t="s">
        <v>2039</v>
      </c>
      <c r="F557" s="7" t="str">
        <f>HYPERLINK("http://www.vitisrauscedo.com/","www.vitisrauscedo.com")</f>
        <v>www.vitisrauscedo.com</v>
      </c>
    </row>
    <row r="558" spans="1:6" ht="29.55" customHeight="1" x14ac:dyDescent="0.25">
      <c r="A558" s="6" t="s">
        <v>2040</v>
      </c>
      <c r="B558" s="5" t="s">
        <v>2041</v>
      </c>
      <c r="C558" s="5" t="s">
        <v>2033</v>
      </c>
      <c r="D558" s="5" t="s">
        <v>2042</v>
      </c>
      <c r="E558" s="5" t="s">
        <v>2043</v>
      </c>
      <c r="F558" s="5" t="str">
        <f>HYPERLINK("http://www.cantinacliternia.it/","www.cantinacliternia.it")</f>
        <v>www.cantinacliternia.it</v>
      </c>
    </row>
    <row r="559" spans="1:6" ht="29.55" customHeight="1" x14ac:dyDescent="0.25">
      <c r="A559" s="1" t="s">
        <v>2044</v>
      </c>
      <c r="B559" s="7" t="s">
        <v>2045</v>
      </c>
      <c r="C559" s="7" t="s">
        <v>2022</v>
      </c>
      <c r="D559" s="7" t="s">
        <v>2046</v>
      </c>
      <c r="E559" s="7" t="s">
        <v>2047</v>
      </c>
      <c r="F559" s="7" t="str">
        <f>HYPERLINK("http://www.speedygarden.it/","www.speedygarden.it")</f>
        <v>www.speedygarden.it</v>
      </c>
    </row>
    <row r="560" spans="1:6" ht="43.05" customHeight="1" x14ac:dyDescent="0.25">
      <c r="A560" s="6" t="s">
        <v>2048</v>
      </c>
      <c r="B560" s="5" t="s">
        <v>2049</v>
      </c>
      <c r="C560" s="5" t="s">
        <v>2019</v>
      </c>
      <c r="D560" s="5" t="s">
        <v>2050</v>
      </c>
      <c r="E560" s="5" t="s">
        <v>2035</v>
      </c>
      <c r="F560" s="5" t="str">
        <f>HYPERLINK("http://www.hafena.com/","www.hafena.com")</f>
        <v>www.hafena.com</v>
      </c>
    </row>
    <row r="561" spans="1:6" ht="132.75" customHeight="1" x14ac:dyDescent="0.25">
      <c r="A561" s="1" t="s">
        <v>2051</v>
      </c>
      <c r="B561" s="7" t="s">
        <v>2052</v>
      </c>
      <c r="C561" s="7" t="s">
        <v>2033</v>
      </c>
      <c r="D561" s="7" t="s">
        <v>2053</v>
      </c>
      <c r="E561" s="7" t="s">
        <v>2054</v>
      </c>
      <c r="F561" s="7" t="str">
        <f>HYPERLINK("http://www.lamole.com/","www.lamole.com")</f>
        <v>www.lamole.com</v>
      </c>
    </row>
    <row r="562" spans="1:6" ht="29.55" customHeight="1" x14ac:dyDescent="0.25">
      <c r="A562" s="6" t="s">
        <v>2055</v>
      </c>
      <c r="B562" s="5" t="s">
        <v>2056</v>
      </c>
      <c r="C562" s="5" t="s">
        <v>2022</v>
      </c>
      <c r="D562" s="5" t="s">
        <v>2034</v>
      </c>
      <c r="E562" s="5" t="s">
        <v>2035</v>
      </c>
      <c r="F562" s="5" t="str">
        <f>HYPERLINK("http://www.melinda.it/","www.melinda.it")</f>
        <v>www.melinda.it</v>
      </c>
    </row>
    <row r="563" spans="1:6" ht="29.55" customHeight="1" x14ac:dyDescent="0.25">
      <c r="A563" s="1" t="s">
        <v>2058</v>
      </c>
      <c r="B563" s="7" t="s">
        <v>2059</v>
      </c>
      <c r="C563" s="7" t="s">
        <v>2022</v>
      </c>
      <c r="D563" s="7" t="s">
        <v>2060</v>
      </c>
      <c r="E563" s="7" t="s">
        <v>2061</v>
      </c>
      <c r="F563" s="7" t="str">
        <f>HYPERLINK("http://ortodomitio.it/","ortodomitio.it")</f>
        <v>ortodomitio.it</v>
      </c>
    </row>
    <row r="564" spans="1:6" ht="29.55" customHeight="1" x14ac:dyDescent="0.25">
      <c r="A564" s="6" t="s">
        <v>2062</v>
      </c>
      <c r="B564" s="5" t="s">
        <v>2063</v>
      </c>
      <c r="C564" s="5" t="s">
        <v>2030</v>
      </c>
      <c r="D564" s="5" t="s">
        <v>2064</v>
      </c>
      <c r="E564" s="5" t="s">
        <v>2027</v>
      </c>
      <c r="F564" s="5" t="str">
        <f>HYPERLINK("http://apalsocietaagricola.myadj.it/v/apalsocietaagricola","apalsocietaagricola.myadj.it/v/apalsocietaagricola")</f>
        <v>apalsocietaagricola.myadj.it/v/apalsocietaagricola</v>
      </c>
    </row>
    <row r="565" spans="1:6" ht="29.55" customHeight="1" x14ac:dyDescent="0.25">
      <c r="A565" s="1" t="s">
        <v>2065</v>
      </c>
      <c r="B565" s="7" t="s">
        <v>2066</v>
      </c>
      <c r="C565" s="7" t="s">
        <v>2022</v>
      </c>
      <c r="D565" s="7" t="s">
        <v>2067</v>
      </c>
      <c r="E565" s="7" t="s">
        <v>2057</v>
      </c>
      <c r="F565" s="7" t="str">
        <f>HYPERLINK("http://www.cantinaalicebc.it/","www.cantinaalicebc.it")</f>
        <v>www.cantinaalicebc.it</v>
      </c>
    </row>
    <row r="566" spans="1:6" ht="43.05" customHeight="1" x14ac:dyDescent="0.25">
      <c r="A566" s="6" t="s">
        <v>2068</v>
      </c>
      <c r="B566" s="5" t="s">
        <v>2069</v>
      </c>
      <c r="C566" s="5" t="s">
        <v>2022</v>
      </c>
      <c r="D566" s="5" t="s">
        <v>2070</v>
      </c>
      <c r="E566" s="5" t="s">
        <v>2071</v>
      </c>
      <c r="F566" s="5" t="str">
        <f>HYPERLINK("http://rinascitalancianese.it/","rinascitalancianese.it")</f>
        <v>rinascitalancianese.it</v>
      </c>
    </row>
    <row r="567" spans="1:6" ht="29.55" customHeight="1" x14ac:dyDescent="0.25">
      <c r="A567" s="1" t="s">
        <v>2073</v>
      </c>
      <c r="B567" s="7" t="s">
        <v>2074</v>
      </c>
      <c r="C567" s="7" t="s">
        <v>2033</v>
      </c>
      <c r="D567" s="7" t="s">
        <v>2075</v>
      </c>
      <c r="E567" s="7" t="s">
        <v>2054</v>
      </c>
      <c r="F567" s="7" t="str">
        <f>HYPERLINK("http://www.coldorcia.it/","www.coldorcia.it")</f>
        <v>www.coldorcia.it</v>
      </c>
    </row>
    <row r="568" spans="1:6" ht="43.05" customHeight="1" x14ac:dyDescent="0.25">
      <c r="A568" s="1" t="s">
        <v>2076</v>
      </c>
      <c r="B568" s="7" t="s">
        <v>2077</v>
      </c>
      <c r="C568" s="7" t="s">
        <v>2078</v>
      </c>
      <c r="D568" s="7" t="s">
        <v>2060</v>
      </c>
      <c r="E568" s="7" t="s">
        <v>2061</v>
      </c>
      <c r="F568" s="7" t="str">
        <f>HYPERLINK("http://www.fattoriegarofalo.it/","www.fattoriegarofalo.it")</f>
        <v>www.fattoriegarofalo.it</v>
      </c>
    </row>
    <row r="569" spans="1:6" ht="29.55" customHeight="1" x14ac:dyDescent="0.25">
      <c r="A569" s="6" t="s">
        <v>2079</v>
      </c>
      <c r="B569" s="5" t="s">
        <v>2080</v>
      </c>
      <c r="C569" s="5" t="s">
        <v>2081</v>
      </c>
      <c r="D569" s="5" t="s">
        <v>2082</v>
      </c>
      <c r="E569" s="5" t="s">
        <v>2054</v>
      </c>
      <c r="F569" s="5" t="str">
        <f>HYPERLINK("http://www.agripomonte.it/","www.agripomonte.it")</f>
        <v>www.agripomonte.it</v>
      </c>
    </row>
    <row r="570" spans="1:6" ht="29.55" customHeight="1" x14ac:dyDescent="0.25">
      <c r="A570" s="1" t="s">
        <v>2083</v>
      </c>
      <c r="B570" s="7" t="s">
        <v>2084</v>
      </c>
      <c r="C570" s="7" t="s">
        <v>2085</v>
      </c>
      <c r="D570" s="7" t="s">
        <v>2086</v>
      </c>
      <c r="E570" s="7" t="s">
        <v>2029</v>
      </c>
      <c r="F570" s="7" t="str">
        <f>HYPERLINK("http://www.amadori.it/","www.amadori.it")</f>
        <v>www.amadori.it</v>
      </c>
    </row>
    <row r="571" spans="1:6" ht="29.55" customHeight="1" x14ac:dyDescent="0.25">
      <c r="A571" s="6" t="s">
        <v>2087</v>
      </c>
      <c r="B571" s="5" t="s">
        <v>2088</v>
      </c>
      <c r="C571" s="5" t="s">
        <v>2081</v>
      </c>
      <c r="D571" s="5" t="s">
        <v>2089</v>
      </c>
      <c r="E571" s="5" t="s">
        <v>2054</v>
      </c>
      <c r="F571" s="5" t="str">
        <f>HYPERLINK("http://www.tenutasetteponti.it/","www.tenutasetteponti.it")</f>
        <v>www.tenutasetteponti.it</v>
      </c>
    </row>
    <row r="572" spans="1:6" ht="43.05" customHeight="1" x14ac:dyDescent="0.25">
      <c r="A572" s="1" t="s">
        <v>2090</v>
      </c>
      <c r="B572" s="7" t="s">
        <v>2091</v>
      </c>
      <c r="C572" s="7" t="s">
        <v>2078</v>
      </c>
      <c r="D572" s="7" t="s">
        <v>2028</v>
      </c>
      <c r="E572" s="7" t="s">
        <v>2029</v>
      </c>
      <c r="F572" s="7" t="str">
        <f>HYPERLINK("http://www.allegro575.com/","www.allegro575.com")</f>
        <v>www.allegro575.com</v>
      </c>
    </row>
    <row r="573" spans="1:6" ht="29.55" customHeight="1" x14ac:dyDescent="0.25">
      <c r="A573" s="6" t="s">
        <v>2092</v>
      </c>
      <c r="B573" s="5" t="s">
        <v>2093</v>
      </c>
      <c r="C573" s="5" t="s">
        <v>2072</v>
      </c>
      <c r="D573" s="5" t="s">
        <v>2026</v>
      </c>
      <c r="E573" s="5" t="s">
        <v>2027</v>
      </c>
      <c r="F573" s="5" t="str">
        <f>HYPERLINK("http://www.ortonatura.eu/","www.ortonatura.eu")</f>
        <v>www.ortonatura.eu</v>
      </c>
    </row>
    <row r="574" spans="1:6" ht="43.05" customHeight="1" x14ac:dyDescent="0.25">
      <c r="A574" s="1" t="s">
        <v>2094</v>
      </c>
      <c r="B574" s="7" t="s">
        <v>2095</v>
      </c>
      <c r="C574" s="7" t="s">
        <v>2078</v>
      </c>
      <c r="D574" s="7" t="s">
        <v>2060</v>
      </c>
      <c r="E574" s="7" t="s">
        <v>2061</v>
      </c>
      <c r="F574" s="7" t="str">
        <f>HYPERLINK("http://www.tenutapontoni.it/","www.tenutapontoni.it")</f>
        <v>www.tenutapontoni.it</v>
      </c>
    </row>
    <row r="575" spans="1:6" ht="29.55" customHeight="1" x14ac:dyDescent="0.25">
      <c r="A575" s="6" t="s">
        <v>2096</v>
      </c>
      <c r="B575" s="5" t="s">
        <v>2097</v>
      </c>
      <c r="C575" s="5" t="s">
        <v>2098</v>
      </c>
      <c r="D575" s="5" t="s">
        <v>2060</v>
      </c>
      <c r="E575" s="5" t="s">
        <v>2061</v>
      </c>
      <c r="F575" s="5" t="str">
        <f>HYPERLINK("http://agercalenus.com/","agercalenus.com")</f>
        <v>agercalenus.com</v>
      </c>
    </row>
    <row r="576" spans="1:6" ht="43.05" customHeight="1" x14ac:dyDescent="0.25">
      <c r="A576" s="6" t="s">
        <v>2099</v>
      </c>
      <c r="B576" s="5" t="s">
        <v>2100</v>
      </c>
      <c r="C576" s="5" t="s">
        <v>2022</v>
      </c>
      <c r="D576" s="5" t="s">
        <v>2101</v>
      </c>
      <c r="E576" s="5" t="s">
        <v>2061</v>
      </c>
      <c r="F576" s="5" t="str">
        <f>HYPERLINK("http://patata-piu-societa-cooperativa-agricola-08241381212.quantofattura.com/","patata-piu-societa-cooperativa-agricola-08241381212.quantofattura.com")</f>
        <v>patata-piu-societa-cooperativa-agricola-08241381212.quantofattura.com</v>
      </c>
    </row>
    <row r="577" spans="1:6" ht="106.65" customHeight="1" x14ac:dyDescent="0.25">
      <c r="A577" s="6" t="s">
        <v>2105</v>
      </c>
      <c r="B577" s="5" t="s">
        <v>2106</v>
      </c>
      <c r="C577" s="5" t="s">
        <v>2102</v>
      </c>
      <c r="D577" s="5" t="s">
        <v>2107</v>
      </c>
      <c r="E577" s="5" t="s">
        <v>2108</v>
      </c>
      <c r="F577" s="5" t="str">
        <f>HYPERLINK("http://www.cantinadelnebbiolo.com/","www.cantinadelnebbiolo.com")</f>
        <v>www.cantinadelnebbiolo.com</v>
      </c>
    </row>
    <row r="578" spans="1:6" ht="29.55" customHeight="1" x14ac:dyDescent="0.25">
      <c r="A578" s="1" t="s">
        <v>2109</v>
      </c>
      <c r="B578" s="7" t="s">
        <v>2110</v>
      </c>
      <c r="C578" s="7" t="s">
        <v>2111</v>
      </c>
      <c r="D578" s="7" t="s">
        <v>2103</v>
      </c>
      <c r="E578" s="7" t="s">
        <v>2104</v>
      </c>
      <c r="F578" s="7" t="str">
        <f>HYPERLINK("http://www.coopsanleone.it/","www.coopsanleone.it")</f>
        <v>www.coopsanleone.it</v>
      </c>
    </row>
    <row r="579" spans="1:6" ht="29.55" customHeight="1" x14ac:dyDescent="0.25">
      <c r="A579" s="1" t="s">
        <v>2114</v>
      </c>
      <c r="B579" s="7" t="s">
        <v>2115</v>
      </c>
      <c r="C579" s="7" t="s">
        <v>2102</v>
      </c>
      <c r="D579" s="7" t="s">
        <v>2116</v>
      </c>
      <c r="E579" s="7" t="s">
        <v>2117</v>
      </c>
      <c r="F579" s="7" t="str">
        <f>HYPERLINK("http://www.melinda.it/","www.melinda.it")</f>
        <v>www.melinda.it</v>
      </c>
    </row>
    <row r="580" spans="1:6" ht="43.05" customHeight="1" x14ac:dyDescent="0.25">
      <c r="A580" s="6" t="s">
        <v>2118</v>
      </c>
      <c r="B580" s="5" t="s">
        <v>2119</v>
      </c>
      <c r="C580" s="5" t="s">
        <v>2102</v>
      </c>
      <c r="D580" s="5" t="s">
        <v>2120</v>
      </c>
      <c r="E580" s="5" t="s">
        <v>2121</v>
      </c>
      <c r="F580" s="5" t="str">
        <f>HYPERLINK("http://www.celat.it/","www.celat.it")</f>
        <v>www.celat.it</v>
      </c>
    </row>
    <row r="581" spans="1:6" ht="16.95" customHeight="1" x14ac:dyDescent="0.25">
      <c r="A581" s="1" t="s">
        <v>2122</v>
      </c>
      <c r="B581" s="7" t="s">
        <v>2123</v>
      </c>
      <c r="C581" s="7" t="s">
        <v>2111</v>
      </c>
      <c r="D581" s="7" t="s">
        <v>2124</v>
      </c>
      <c r="E581" s="7" t="s">
        <v>2125</v>
      </c>
      <c r="F581" s="7" t="str">
        <f>HYPERLINK("http://www.vignafiorita.com/","www.vignafiorita.com")</f>
        <v>www.vignafiorita.com</v>
      </c>
    </row>
    <row r="582" spans="1:6" ht="68.099999999999994" customHeight="1" x14ac:dyDescent="0.25">
      <c r="A582" s="1" t="s">
        <v>2126</v>
      </c>
      <c r="B582" s="7" t="s">
        <v>2127</v>
      </c>
      <c r="C582" s="7" t="s">
        <v>2111</v>
      </c>
      <c r="D582" s="7" t="s">
        <v>2128</v>
      </c>
      <c r="E582" s="7" t="s">
        <v>2129</v>
      </c>
      <c r="F582" s="7" t="str">
        <f>HYPERLINK("http://www.ciemsanquirino.it/","www.ciemsanquirino.it")</f>
        <v>www.ciemsanquirino.it</v>
      </c>
    </row>
    <row r="583" spans="1:6" ht="94.2" customHeight="1" x14ac:dyDescent="0.25">
      <c r="A583" s="1" t="s">
        <v>2132</v>
      </c>
      <c r="B583" s="7" t="s">
        <v>2133</v>
      </c>
      <c r="C583" s="7" t="s">
        <v>2134</v>
      </c>
      <c r="D583" s="7" t="s">
        <v>2130</v>
      </c>
      <c r="E583" s="7" t="s">
        <v>2131</v>
      </c>
      <c r="F583" s="7" t="str">
        <f>HYPERLINK("http://www.capannelle.it/","www.capannelle.it")</f>
        <v>www.capannelle.it</v>
      </c>
    </row>
    <row r="584" spans="1:6" ht="43.05" customHeight="1" x14ac:dyDescent="0.25">
      <c r="A584" s="6" t="s">
        <v>2135</v>
      </c>
      <c r="B584" s="5" t="s">
        <v>2136</v>
      </c>
      <c r="C584" s="5" t="s">
        <v>2137</v>
      </c>
      <c r="D584" s="5" t="s">
        <v>2138</v>
      </c>
      <c r="E584" s="5" t="s">
        <v>2113</v>
      </c>
      <c r="F584" s="5" t="str">
        <f>HYPERLINK("http://www.lamiaagricolturacoop.it/","www.lamiaagricolturacoop.it")</f>
        <v>www.lamiaagricolturacoop.it</v>
      </c>
    </row>
    <row r="585" spans="1:6" ht="16.95" customHeight="1" x14ac:dyDescent="0.25">
      <c r="A585" s="1" t="s">
        <v>2139</v>
      </c>
      <c r="B585" s="7" t="s">
        <v>2140</v>
      </c>
      <c r="C585" s="7" t="s">
        <v>2112</v>
      </c>
      <c r="D585" s="7" t="s">
        <v>2116</v>
      </c>
      <c r="E585" s="7" t="s">
        <v>2117</v>
      </c>
      <c r="F585" s="7" t="str">
        <f>HYPERLINK("http://www.confagricolturatn.it/","www.confagricolturatn.it")</f>
        <v>www.confagricolturatn.it</v>
      </c>
    </row>
    <row r="586" spans="1:6" ht="29.55" customHeight="1" x14ac:dyDescent="0.25">
      <c r="A586" s="6" t="s">
        <v>2141</v>
      </c>
      <c r="B586" s="5" t="s">
        <v>2142</v>
      </c>
      <c r="C586" s="5" t="s">
        <v>2143</v>
      </c>
      <c r="D586" s="5" t="s">
        <v>2144</v>
      </c>
      <c r="E586" s="5" t="s">
        <v>2145</v>
      </c>
      <c r="F586" s="5" t="str">
        <f>HYPERLINK("http://www.arnaldocaprai.it/","www.arnaldocaprai.it")</f>
        <v>www.arnaldocaprai.it</v>
      </c>
    </row>
    <row r="587" spans="1:6" ht="55.65" customHeight="1" x14ac:dyDescent="0.25">
      <c r="A587" s="6" t="s">
        <v>2146</v>
      </c>
      <c r="B587" s="5" t="s">
        <v>2147</v>
      </c>
      <c r="C587" s="5" t="s">
        <v>2143</v>
      </c>
      <c r="D587" s="5" t="s">
        <v>2148</v>
      </c>
      <c r="E587" s="5" t="s">
        <v>2149</v>
      </c>
      <c r="F587" s="5" t="str">
        <f>HYPERLINK("http://poderidighiaccioforte.it/","poderidighiaccioforte.it")</f>
        <v>poderidighiaccioforte.it</v>
      </c>
    </row>
    <row r="588" spans="1:6" ht="55.65" customHeight="1" x14ac:dyDescent="0.25">
      <c r="A588" s="6" t="s">
        <v>2150</v>
      </c>
      <c r="B588" s="5" t="s">
        <v>2151</v>
      </c>
      <c r="C588" s="5" t="s">
        <v>2143</v>
      </c>
      <c r="D588" s="5" t="s">
        <v>2152</v>
      </c>
      <c r="E588" s="5" t="s">
        <v>2117</v>
      </c>
      <c r="F588" s="5" t="str">
        <f>HYPERLINK("http://www.eisacktalerkellerei.it/","www.eisacktalerkellerei.it")</f>
        <v>www.eisacktalerkellerei.it</v>
      </c>
    </row>
    <row r="589" spans="1:6" ht="29.55" customHeight="1" x14ac:dyDescent="0.25">
      <c r="A589" s="1" t="s">
        <v>2153</v>
      </c>
      <c r="B589" s="7" t="s">
        <v>2154</v>
      </c>
      <c r="C589" s="7" t="s">
        <v>2102</v>
      </c>
      <c r="D589" s="7" t="s">
        <v>2155</v>
      </c>
      <c r="E589" s="7" t="s">
        <v>2156</v>
      </c>
      <c r="F589" s="7" t="str">
        <f>HYPERLINK("http://www.fruttain.com/","www.fruttain.com")</f>
        <v>www.fruttain.com</v>
      </c>
    </row>
    <row r="590" spans="1:6" ht="43.05" customHeight="1" x14ac:dyDescent="0.25">
      <c r="A590" s="6" t="s">
        <v>2157</v>
      </c>
      <c r="B590" s="5" t="s">
        <v>2158</v>
      </c>
      <c r="C590" s="5" t="s">
        <v>2159</v>
      </c>
      <c r="D590" s="5" t="s">
        <v>2160</v>
      </c>
      <c r="E590" s="5" t="s">
        <v>2149</v>
      </c>
      <c r="F590" s="5" t="str">
        <f>HYPERLINK("http://www.opcorma.it/","www.opcorma.it")</f>
        <v>www.opcorma.it</v>
      </c>
    </row>
    <row r="591" spans="1:6" ht="16.95" customHeight="1" x14ac:dyDescent="0.25">
      <c r="A591" s="1" t="s">
        <v>2161</v>
      </c>
      <c r="B591" s="7" t="s">
        <v>2162</v>
      </c>
      <c r="C591" s="7" t="s">
        <v>2111</v>
      </c>
      <c r="D591" s="7" t="s">
        <v>2163</v>
      </c>
      <c r="E591" s="7" t="s">
        <v>2125</v>
      </c>
      <c r="F591" s="7" t="str">
        <f>HYPERLINK("http://emac.es/","emac.es")</f>
        <v>emac.es</v>
      </c>
    </row>
    <row r="592" spans="1:6" ht="43.05" customHeight="1" x14ac:dyDescent="0.25">
      <c r="A592" s="1" t="s">
        <v>2164</v>
      </c>
      <c r="B592" s="7" t="s">
        <v>2165</v>
      </c>
      <c r="C592" s="7" t="s">
        <v>2166</v>
      </c>
      <c r="D592" s="7" t="s">
        <v>2116</v>
      </c>
      <c r="E592" s="7" t="s">
        <v>2117</v>
      </c>
      <c r="F592" s="7" t="str">
        <f>HYPERLINK("http://www.puzzonedop.it/","www.puzzonedop.it")</f>
        <v>www.puzzonedop.it</v>
      </c>
    </row>
    <row r="593" spans="1:6" ht="29.55" customHeight="1" x14ac:dyDescent="0.25">
      <c r="A593" s="6" t="s">
        <v>2167</v>
      </c>
      <c r="B593" s="5" t="s">
        <v>2168</v>
      </c>
      <c r="C593" s="5" t="s">
        <v>2134</v>
      </c>
      <c r="D593" s="5" t="s">
        <v>2169</v>
      </c>
      <c r="E593" s="5" t="s">
        <v>2169</v>
      </c>
      <c r="F593" s="5" t="str">
        <f>HYPERLINK("http://sunfarm.it/","sunfarm.it")</f>
        <v>sunfarm.it</v>
      </c>
    </row>
    <row r="594" spans="1:6" ht="68.099999999999994" customHeight="1" x14ac:dyDescent="0.25">
      <c r="A594" s="1" t="s">
        <v>2170</v>
      </c>
      <c r="B594" s="7" t="s">
        <v>2171</v>
      </c>
      <c r="C594" s="7" t="s">
        <v>2111</v>
      </c>
      <c r="D594" s="7" t="s">
        <v>2172</v>
      </c>
      <c r="E594" s="7" t="s">
        <v>2169</v>
      </c>
      <c r="F594" s="7" t="str">
        <f>HYPERLINK("http://www.satrasardigna.it/","www.satrasardigna.it")</f>
        <v>www.satrasardigna.it</v>
      </c>
    </row>
    <row r="595" spans="1:6" ht="81.75" customHeight="1" x14ac:dyDescent="0.25">
      <c r="A595" s="1" t="s">
        <v>2173</v>
      </c>
      <c r="B595" s="7" t="s">
        <v>2174</v>
      </c>
      <c r="C595" s="7" t="s">
        <v>2175</v>
      </c>
      <c r="D595" s="7" t="s">
        <v>2176</v>
      </c>
      <c r="E595" s="7" t="s">
        <v>2131</v>
      </c>
      <c r="F595" s="7" t="str">
        <f>HYPERLINK("http://bristolgroup.it/","bristolgroup.it")</f>
        <v>bristolgroup.it</v>
      </c>
    </row>
    <row r="596" spans="1:6" ht="29.55" customHeight="1" x14ac:dyDescent="0.25">
      <c r="A596" s="6" t="s">
        <v>2177</v>
      </c>
      <c r="B596" s="5" t="s">
        <v>2178</v>
      </c>
      <c r="C596" s="5" t="s">
        <v>2179</v>
      </c>
      <c r="D596" s="5" t="s">
        <v>2180</v>
      </c>
      <c r="E596" s="5" t="s">
        <v>2156</v>
      </c>
      <c r="F596" s="5" t="str">
        <f>HYPERLINK("http://www.latinodoc.it/","www.latinodoc.it")</f>
        <v>www.latinodoc.it</v>
      </c>
    </row>
    <row r="597" spans="1:6" ht="81.75" customHeight="1" x14ac:dyDescent="0.25">
      <c r="A597" s="1" t="s">
        <v>2181</v>
      </c>
      <c r="B597" s="7" t="s">
        <v>2182</v>
      </c>
      <c r="C597" s="7" t="s">
        <v>2102</v>
      </c>
      <c r="D597" s="7" t="s">
        <v>2183</v>
      </c>
      <c r="E597" s="7" t="s">
        <v>2121</v>
      </c>
      <c r="F597" s="7" t="str">
        <f>HYPERLINK("http://www.cantinasb.it/","www.cantinasb.it")</f>
        <v>www.cantinasb.it</v>
      </c>
    </row>
    <row r="598" spans="1:6" ht="29.55" customHeight="1" x14ac:dyDescent="0.25">
      <c r="A598" s="1" t="s">
        <v>2188</v>
      </c>
      <c r="B598" s="7" t="s">
        <v>2189</v>
      </c>
      <c r="C598" s="7" t="s">
        <v>2190</v>
      </c>
      <c r="D598" s="7" t="s">
        <v>2191</v>
      </c>
      <c r="E598" s="7" t="s">
        <v>2187</v>
      </c>
      <c r="F598" s="7" t="str">
        <f>HYPERLINK("http://www.giancarloceci.com/","www.giancarloceci.com")</f>
        <v>www.giancarloceci.com</v>
      </c>
    </row>
    <row r="599" spans="1:6" ht="29.55" customHeight="1" x14ac:dyDescent="0.25">
      <c r="A599" s="6" t="s">
        <v>2192</v>
      </c>
      <c r="B599" s="5" t="s">
        <v>2193</v>
      </c>
      <c r="C599" s="5" t="s">
        <v>2194</v>
      </c>
      <c r="D599" s="5" t="s">
        <v>2195</v>
      </c>
      <c r="E599" s="5" t="s">
        <v>2196</v>
      </c>
      <c r="F599" s="5" t="str">
        <f>HYPERLINK("http://www.ortolanicofri.it/","www.ortolanicofri.it")</f>
        <v>www.ortolanicofri.it</v>
      </c>
    </row>
    <row r="600" spans="1:6" ht="43.05" customHeight="1" x14ac:dyDescent="0.25">
      <c r="A600" s="1" t="s">
        <v>2197</v>
      </c>
      <c r="B600" s="7" t="s">
        <v>2198</v>
      </c>
      <c r="C600" s="7" t="s">
        <v>2194</v>
      </c>
      <c r="D600" s="7" t="s">
        <v>2199</v>
      </c>
      <c r="E600" s="7" t="s">
        <v>2187</v>
      </c>
      <c r="F600" s="7" t="str">
        <f>HYPERLINK("http://giardinetto.net/","giardinetto.net")</f>
        <v>giardinetto.net</v>
      </c>
    </row>
    <row r="601" spans="1:6" ht="43.05" customHeight="1" x14ac:dyDescent="0.25">
      <c r="A601" s="6" t="s">
        <v>2200</v>
      </c>
      <c r="B601" s="5" t="s">
        <v>2201</v>
      </c>
      <c r="C601" s="5" t="s">
        <v>2194</v>
      </c>
      <c r="D601" s="5" t="s">
        <v>2202</v>
      </c>
      <c r="E601" s="5" t="s">
        <v>2203</v>
      </c>
      <c r="F601" s="5" t="str">
        <f>HYPERLINK("http://www.pdpal.it/","www.pdpal.it")</f>
        <v>www.pdpal.it</v>
      </c>
    </row>
    <row r="602" spans="1:6" ht="81.75" customHeight="1" x14ac:dyDescent="0.25">
      <c r="A602" s="6" t="s">
        <v>2206</v>
      </c>
      <c r="B602" s="5" t="s">
        <v>2207</v>
      </c>
      <c r="C602" s="5" t="s">
        <v>2208</v>
      </c>
      <c r="D602" s="5" t="s">
        <v>2209</v>
      </c>
      <c r="E602" s="5" t="s">
        <v>2184</v>
      </c>
      <c r="F602" s="5" t="str">
        <f>HYPERLINK("http://www.apsovsementi.it/","www.apsovsementi.it")</f>
        <v>www.apsovsementi.it</v>
      </c>
    </row>
    <row r="603" spans="1:6" ht="29.55" customHeight="1" x14ac:dyDescent="0.25">
      <c r="A603" s="1" t="s">
        <v>2210</v>
      </c>
      <c r="B603" s="7" t="s">
        <v>2211</v>
      </c>
      <c r="C603" s="7" t="s">
        <v>2212</v>
      </c>
      <c r="D603" s="7" t="s">
        <v>2213</v>
      </c>
      <c r="E603" s="7" t="s">
        <v>2214</v>
      </c>
      <c r="F603" s="7" t="str">
        <f>HYPERLINK("http://montevibiano.it/","montevibiano.it")</f>
        <v>montevibiano.it</v>
      </c>
    </row>
    <row r="604" spans="1:6" ht="55.65" customHeight="1" x14ac:dyDescent="0.25">
      <c r="A604" s="6" t="s">
        <v>2215</v>
      </c>
      <c r="B604" s="5" t="s">
        <v>2216</v>
      </c>
      <c r="C604" s="5" t="s">
        <v>2217</v>
      </c>
      <c r="D604" s="5" t="s">
        <v>2218</v>
      </c>
      <c r="E604" s="5" t="s">
        <v>2214</v>
      </c>
      <c r="F604" s="5" t="str">
        <f>HYPERLINK("http://www.cosarl.it/","http://www.cosarl.it")</f>
        <v>http://www.cosarl.it</v>
      </c>
    </row>
    <row r="605" spans="1:6" ht="68.099999999999994" customHeight="1" x14ac:dyDescent="0.25">
      <c r="A605" s="1" t="s">
        <v>2219</v>
      </c>
      <c r="B605" s="7" t="s">
        <v>2220</v>
      </c>
      <c r="C605" s="7" t="s">
        <v>2204</v>
      </c>
      <c r="D605" s="7" t="s">
        <v>2221</v>
      </c>
      <c r="E605" s="7" t="s">
        <v>2203</v>
      </c>
      <c r="F605" s="7" t="str">
        <f>HYPERLINK("http://ascopiemonte.it/","ascopiemonte.it")</f>
        <v>ascopiemonte.it</v>
      </c>
    </row>
    <row r="606" spans="1:6" ht="43.05" customHeight="1" x14ac:dyDescent="0.25">
      <c r="A606" s="6" t="s">
        <v>2222</v>
      </c>
      <c r="B606" s="5" t="s">
        <v>2223</v>
      </c>
      <c r="C606" s="5" t="s">
        <v>2224</v>
      </c>
      <c r="D606" s="5" t="s">
        <v>2186</v>
      </c>
      <c r="E606" s="5" t="s">
        <v>2187</v>
      </c>
      <c r="F606" s="5" t="str">
        <f>HYPERLINK("http://agricolturagiovane.it/","agricolturagiovane.it")</f>
        <v>agricolturagiovane.it</v>
      </c>
    </row>
    <row r="607" spans="1:6" ht="16.95" customHeight="1" x14ac:dyDescent="0.25">
      <c r="A607" s="1" t="s">
        <v>2225</v>
      </c>
      <c r="B607" s="7" t="s">
        <v>2226</v>
      </c>
      <c r="C607" s="7" t="s">
        <v>2208</v>
      </c>
      <c r="D607" s="7" t="s">
        <v>2227</v>
      </c>
      <c r="E607" s="7" t="s">
        <v>2228</v>
      </c>
      <c r="F607" s="7" t="str">
        <f>HYPERLINK("http://www.riccasementi.it/","www.riccasementi.it")</f>
        <v>www.riccasementi.it</v>
      </c>
    </row>
    <row r="608" spans="1:6" ht="16.95" customHeight="1" x14ac:dyDescent="0.25">
      <c r="A608" s="1" t="s">
        <v>2230</v>
      </c>
      <c r="B608" s="7" t="s">
        <v>2231</v>
      </c>
      <c r="C608" s="7" t="s">
        <v>2229</v>
      </c>
      <c r="D608" s="7" t="s">
        <v>2232</v>
      </c>
      <c r="E608" s="7" t="s">
        <v>2228</v>
      </c>
      <c r="F608" s="7" t="str">
        <f>HYPERLINK("http://www.tardivodiciaculli.net/","www.tardivodiciaculli.net")</f>
        <v>www.tardivodiciaculli.net</v>
      </c>
    </row>
    <row r="609" spans="1:6" ht="29.55" customHeight="1" x14ac:dyDescent="0.25">
      <c r="A609" s="1" t="s">
        <v>2234</v>
      </c>
      <c r="B609" s="7" t="s">
        <v>2235</v>
      </c>
      <c r="C609" s="7" t="s">
        <v>2236</v>
      </c>
      <c r="D609" s="7" t="s">
        <v>2237</v>
      </c>
      <c r="E609" s="7" t="s">
        <v>2238</v>
      </c>
      <c r="F609" s="7" t="str">
        <f>HYPERLINK("http://www.carnisardegna.it/","www.carnisardegna.it")</f>
        <v>www.carnisardegna.it</v>
      </c>
    </row>
    <row r="610" spans="1:6" ht="120.3" customHeight="1" x14ac:dyDescent="0.25">
      <c r="A610" s="6" t="s">
        <v>2239</v>
      </c>
      <c r="B610" s="5" t="s">
        <v>2240</v>
      </c>
      <c r="C610" s="5" t="s">
        <v>2241</v>
      </c>
      <c r="D610" s="5" t="s">
        <v>2242</v>
      </c>
      <c r="E610" s="5" t="s">
        <v>2243</v>
      </c>
      <c r="F610" s="5" t="str">
        <f>HYPERLINK("http://cantinabreganze.it/","cantinabreganze.it")</f>
        <v>cantinabreganze.it</v>
      </c>
    </row>
    <row r="611" spans="1:6" ht="29.55" customHeight="1" x14ac:dyDescent="0.25">
      <c r="A611" s="1" t="s">
        <v>2244</v>
      </c>
      <c r="B611" s="7" t="s">
        <v>2245</v>
      </c>
      <c r="C611" s="7" t="s">
        <v>2204</v>
      </c>
      <c r="D611" s="7" t="s">
        <v>2246</v>
      </c>
      <c r="E611" s="7" t="s">
        <v>2247</v>
      </c>
      <c r="F611" s="7" t="str">
        <f>HYPERLINK("http://www.lortolano.org/","www.lortolano.org")</f>
        <v>www.lortolano.org</v>
      </c>
    </row>
    <row r="612" spans="1:6" ht="43.05" customHeight="1" x14ac:dyDescent="0.25">
      <c r="A612" s="6" t="s">
        <v>2248</v>
      </c>
      <c r="B612" s="5" t="s">
        <v>2249</v>
      </c>
      <c r="C612" s="5" t="s">
        <v>2250</v>
      </c>
      <c r="D612" s="5" t="s">
        <v>2251</v>
      </c>
      <c r="E612" s="5" t="s">
        <v>2205</v>
      </c>
      <c r="F612" s="5" t="str">
        <f>HYPERLINK("http://lanuovafloricoltura.com/","lanuovafloricoltura.com")</f>
        <v>lanuovafloricoltura.com</v>
      </c>
    </row>
    <row r="613" spans="1:6" ht="43.05" customHeight="1" x14ac:dyDescent="0.25">
      <c r="A613" s="1" t="s">
        <v>2252</v>
      </c>
      <c r="B613" s="7" t="s">
        <v>2253</v>
      </c>
      <c r="C613" s="7" t="s">
        <v>2194</v>
      </c>
      <c r="D613" s="7" t="s">
        <v>2254</v>
      </c>
      <c r="E613" s="7" t="s">
        <v>2255</v>
      </c>
      <c r="F613" s="7" t="str">
        <f>HYPERLINK("http://www.lattegranducato.net/","www.lattegranducato.net")</f>
        <v>www.lattegranducato.net</v>
      </c>
    </row>
    <row r="614" spans="1:6" ht="29.55" customHeight="1" x14ac:dyDescent="0.25">
      <c r="A614" s="6" t="s">
        <v>2256</v>
      </c>
      <c r="B614" s="5" t="s">
        <v>2257</v>
      </c>
      <c r="C614" s="5" t="s">
        <v>2185</v>
      </c>
      <c r="D614" s="5" t="s">
        <v>2254</v>
      </c>
      <c r="E614" s="5" t="s">
        <v>2255</v>
      </c>
      <c r="F614" s="5" t="str">
        <f>HYPERLINK("http://rovigouno.it/","rovigouno.it")</f>
        <v>rovigouno.it</v>
      </c>
    </row>
    <row r="615" spans="1:6" ht="29.55" customHeight="1" x14ac:dyDescent="0.25">
      <c r="A615" s="1" t="s">
        <v>2258</v>
      </c>
      <c r="B615" s="7" t="s">
        <v>2259</v>
      </c>
      <c r="C615" s="7" t="s">
        <v>2204</v>
      </c>
      <c r="D615" s="7" t="s">
        <v>2186</v>
      </c>
      <c r="E615" s="7" t="s">
        <v>2187</v>
      </c>
      <c r="F615" s="7" t="str">
        <f>HYPERLINK("http://aproli.it/","aproli.it")</f>
        <v>aproli.it</v>
      </c>
    </row>
    <row r="616" spans="1:6" ht="29.55" customHeight="1" x14ac:dyDescent="0.25">
      <c r="A616" s="6" t="s">
        <v>2260</v>
      </c>
      <c r="B616" s="5" t="s">
        <v>2261</v>
      </c>
      <c r="C616" s="5" t="s">
        <v>2204</v>
      </c>
      <c r="D616" s="5" t="s">
        <v>2262</v>
      </c>
      <c r="E616" s="5" t="s">
        <v>2205</v>
      </c>
      <c r="F616" s="5" t="str">
        <f>HYPERLINK("http://coopitalpomo.it/","coopitalpomo.it")</f>
        <v>coopitalpomo.it</v>
      </c>
    </row>
    <row r="617" spans="1:6" ht="43.05" customHeight="1" x14ac:dyDescent="0.25">
      <c r="A617" s="1" t="s">
        <v>2263</v>
      </c>
      <c r="B617" s="7" t="s">
        <v>2264</v>
      </c>
      <c r="C617" s="7" t="s">
        <v>2236</v>
      </c>
      <c r="D617" s="7" t="s">
        <v>2233</v>
      </c>
      <c r="E617" s="7" t="s">
        <v>2196</v>
      </c>
      <c r="F617" s="7" t="str">
        <f>HYPERLINK("http://www.cplparma.it/","www.cplparma.it")</f>
        <v>www.cplparma.it</v>
      </c>
    </row>
    <row r="618" spans="1:6" ht="43.05" customHeight="1" x14ac:dyDescent="0.25">
      <c r="A618" s="6" t="s">
        <v>2267</v>
      </c>
      <c r="B618" s="5" t="s">
        <v>2268</v>
      </c>
      <c r="C618" s="5" t="s">
        <v>2269</v>
      </c>
      <c r="D618" s="5" t="s">
        <v>2265</v>
      </c>
      <c r="E618" s="5" t="s">
        <v>2266</v>
      </c>
      <c r="F618" s="5" t="str">
        <f>HYPERLINK("http://www.caseificiocavalese.it/","www.caseificiocavalese.it")</f>
        <v>www.caseificiocavalese.it</v>
      </c>
    </row>
    <row r="619" spans="1:6" ht="29.55" customHeight="1" x14ac:dyDescent="0.25">
      <c r="A619" s="1" t="s">
        <v>2270</v>
      </c>
      <c r="B619" s="7" t="s">
        <v>2271</v>
      </c>
      <c r="C619" s="7" t="s">
        <v>2272</v>
      </c>
      <c r="D619" s="7" t="s">
        <v>2273</v>
      </c>
      <c r="E619" s="7" t="s">
        <v>2214</v>
      </c>
      <c r="F619" s="7" t="str">
        <f>HYPERLINK("http://pollosanbartolomeo.it/","pollosanbartolomeo.it")</f>
        <v>pollosanbartolomeo.it</v>
      </c>
    </row>
    <row r="620" spans="1:6" ht="29.55" customHeight="1" x14ac:dyDescent="0.25">
      <c r="A620" s="1" t="s">
        <v>2278</v>
      </c>
      <c r="B620" s="7" t="s">
        <v>2279</v>
      </c>
      <c r="C620" s="7" t="s">
        <v>2280</v>
      </c>
      <c r="D620" s="7" t="s">
        <v>2281</v>
      </c>
      <c r="E620" s="7" t="s">
        <v>2282</v>
      </c>
      <c r="F620" s="7" t="str">
        <f>HYPERLINK("http://funghivalbrenta.it/","funghivalbrenta.it")</f>
        <v>funghivalbrenta.it</v>
      </c>
    </row>
    <row r="621" spans="1:6" ht="29.55" customHeight="1" x14ac:dyDescent="0.25">
      <c r="A621" s="6" t="s">
        <v>2283</v>
      </c>
      <c r="B621" s="5" t="s">
        <v>2284</v>
      </c>
      <c r="C621" s="5" t="s">
        <v>2285</v>
      </c>
      <c r="D621" s="5" t="s">
        <v>2286</v>
      </c>
      <c r="E621" s="5" t="s">
        <v>2287</v>
      </c>
      <c r="F621" s="5" t="str">
        <f>HYPERLINK("http://www.fratellicafaro1989.it/","www.fratellicafaro1989.it")</f>
        <v>www.fratellicafaro1989.it</v>
      </c>
    </row>
    <row r="622" spans="1:6" ht="29.55" customHeight="1" x14ac:dyDescent="0.25">
      <c r="A622" s="1" t="s">
        <v>2292</v>
      </c>
      <c r="B622" s="7" t="s">
        <v>2293</v>
      </c>
      <c r="C622" s="7" t="s">
        <v>2294</v>
      </c>
      <c r="D622" s="7" t="s">
        <v>2295</v>
      </c>
      <c r="E622" s="7" t="s">
        <v>2288</v>
      </c>
      <c r="F622" s="7" t="str">
        <f>HYPERLINK("http://www.agricolazootecnica.it/","www.agricolazootecnica.it")</f>
        <v>www.agricolazootecnica.it</v>
      </c>
    </row>
    <row r="623" spans="1:6" ht="29.55" customHeight="1" x14ac:dyDescent="0.25">
      <c r="A623" s="1" t="s">
        <v>2296</v>
      </c>
      <c r="B623" s="7" t="s">
        <v>2297</v>
      </c>
      <c r="C623" s="7" t="s">
        <v>2274</v>
      </c>
      <c r="D623" s="7" t="s">
        <v>2286</v>
      </c>
      <c r="E623" s="7" t="s">
        <v>2287</v>
      </c>
      <c r="F623" s="7" t="str">
        <f>HYPERLINK("http://www.fruver.it/","www.fruver.it")</f>
        <v>www.fruver.it</v>
      </c>
    </row>
    <row r="624" spans="1:6" ht="16.95" customHeight="1" x14ac:dyDescent="0.25">
      <c r="A624" s="6" t="s">
        <v>2301</v>
      </c>
      <c r="B624" s="5" t="s">
        <v>2302</v>
      </c>
      <c r="C624" s="5" t="s">
        <v>2303</v>
      </c>
      <c r="D624" s="5" t="s">
        <v>2304</v>
      </c>
      <c r="E624" s="5" t="s">
        <v>2300</v>
      </c>
      <c r="F624" s="5" t="str">
        <f>HYPERLINK("http://www.agriserv.it/","www.agriserv.it")</f>
        <v>www.agriserv.it</v>
      </c>
    </row>
    <row r="625" spans="1:6" ht="43.05" customHeight="1" x14ac:dyDescent="0.25">
      <c r="A625" s="1" t="s">
        <v>2305</v>
      </c>
      <c r="B625" s="7" t="s">
        <v>2306</v>
      </c>
      <c r="C625" s="7" t="s">
        <v>2274</v>
      </c>
      <c r="D625" s="7" t="s">
        <v>2298</v>
      </c>
      <c r="E625" s="7" t="s">
        <v>2277</v>
      </c>
      <c r="F625" s="7" t="str">
        <f>HYPERLINK("http://www.caseificiodelparco.it/","www.caseificiodelparco.it")</f>
        <v>www.caseificiodelparco.it</v>
      </c>
    </row>
    <row r="626" spans="1:6" ht="55.65" customHeight="1" x14ac:dyDescent="0.25">
      <c r="A626" s="6" t="s">
        <v>2307</v>
      </c>
      <c r="B626" s="5" t="s">
        <v>2308</v>
      </c>
      <c r="C626" s="5" t="s">
        <v>2309</v>
      </c>
      <c r="D626" s="5" t="s">
        <v>2310</v>
      </c>
      <c r="E626" s="5" t="s">
        <v>2311</v>
      </c>
      <c r="F626" s="5" t="str">
        <f>HYPERLINK("http://www.facebook.com/cospalatfvg/photos/cospalat-fontanabonalo-spaccio-di-fontanabona-è-pronto-ad-accogliervi-con-i-suo","www.facebook.com/cospalatfvg/photos/cospalat-fontanabonalo-spaccio-di-fontanabona-%c3%a8-pronto-ad-accogliervi-con-i-suo")</f>
        <v>www.facebook.com/cospalatfvg/photos/cospalat-fontanabonalo-spaccio-di-fontanabona-%c3%a8-pronto-ad-accogliervi-con-i-suo</v>
      </c>
    </row>
    <row r="627" spans="1:6" ht="43.05" customHeight="1" x14ac:dyDescent="0.25">
      <c r="A627" s="1" t="s">
        <v>2312</v>
      </c>
      <c r="B627" s="7" t="s">
        <v>2313</v>
      </c>
      <c r="C627" s="7" t="s">
        <v>2309</v>
      </c>
      <c r="D627" s="7" t="s">
        <v>2276</v>
      </c>
      <c r="E627" s="7" t="s">
        <v>2277</v>
      </c>
      <c r="F627" s="7" t="str">
        <f>HYPERLINK("http://www.caseificiogennari.it/","http://www.caseificiogennari.it")</f>
        <v>http://www.caseificiogennari.it</v>
      </c>
    </row>
    <row r="628" spans="1:6" ht="29.55" customHeight="1" x14ac:dyDescent="0.25">
      <c r="A628" s="1" t="s">
        <v>2314</v>
      </c>
      <c r="B628" s="7" t="s">
        <v>2315</v>
      </c>
      <c r="C628" s="7" t="s">
        <v>2316</v>
      </c>
      <c r="D628" s="7" t="s">
        <v>2289</v>
      </c>
      <c r="E628" s="7" t="s">
        <v>2275</v>
      </c>
      <c r="F628" s="7" t="str">
        <f>HYPERLINK("http://www.lanormanna.it/","www.lanormanna.it")</f>
        <v>www.lanormanna.it</v>
      </c>
    </row>
    <row r="629" spans="1:6" ht="29.55" customHeight="1" x14ac:dyDescent="0.25">
      <c r="A629" s="1" t="s">
        <v>2318</v>
      </c>
      <c r="B629" s="7" t="s">
        <v>2319</v>
      </c>
      <c r="C629" s="7" t="s">
        <v>2299</v>
      </c>
      <c r="D629" s="7" t="s">
        <v>2286</v>
      </c>
      <c r="E629" s="7" t="s">
        <v>2287</v>
      </c>
      <c r="F629" s="7" t="str">
        <f>HYPERLINK("http://www.coragfoods.com/","www.coragfoods.com")</f>
        <v>www.coragfoods.com</v>
      </c>
    </row>
    <row r="630" spans="1:6" ht="29.55" customHeight="1" x14ac:dyDescent="0.25">
      <c r="A630" s="6" t="s">
        <v>2320</v>
      </c>
      <c r="B630" s="5" t="s">
        <v>2321</v>
      </c>
      <c r="C630" s="5" t="s">
        <v>2274</v>
      </c>
      <c r="D630" s="5" t="s">
        <v>2322</v>
      </c>
      <c r="E630" s="5" t="s">
        <v>2323</v>
      </c>
      <c r="F630" s="5" t="str">
        <f>HYPERLINK("http://www.piemontemiele.com/","www.piemontemiele.com")</f>
        <v>www.piemontemiele.com</v>
      </c>
    </row>
    <row r="631" spans="1:6" ht="29.55" customHeight="1" x14ac:dyDescent="0.25">
      <c r="A631" s="1" t="s">
        <v>2324</v>
      </c>
      <c r="B631" s="7" t="s">
        <v>2325</v>
      </c>
      <c r="C631" s="7" t="s">
        <v>2303</v>
      </c>
      <c r="D631" s="7" t="s">
        <v>2326</v>
      </c>
      <c r="E631" s="7" t="s">
        <v>2282</v>
      </c>
      <c r="F631" s="7" t="str">
        <f>HYPERLINK("http://www.verdeorto.it/","www.verdeorto.it")</f>
        <v>www.verdeorto.it</v>
      </c>
    </row>
    <row r="632" spans="1:6" ht="55.65" customHeight="1" x14ac:dyDescent="0.25">
      <c r="A632" s="6" t="s">
        <v>2327</v>
      </c>
      <c r="B632" s="5" t="s">
        <v>2328</v>
      </c>
      <c r="C632" s="5" t="s">
        <v>2329</v>
      </c>
      <c r="D632" s="5" t="s">
        <v>2290</v>
      </c>
      <c r="E632" s="5" t="s">
        <v>2291</v>
      </c>
      <c r="F632" s="5" t="str">
        <f>HYPERLINK("http://www.caseificioprimiero.com/","www.caseificioprimiero.com")</f>
        <v>www.caseificioprimiero.com</v>
      </c>
    </row>
    <row r="633" spans="1:6" ht="29.55" customHeight="1" x14ac:dyDescent="0.25">
      <c r="A633" s="6" t="s">
        <v>2330</v>
      </c>
      <c r="B633" s="5" t="s">
        <v>2331</v>
      </c>
      <c r="C633" s="5" t="s">
        <v>2309</v>
      </c>
      <c r="D633" s="5" t="s">
        <v>2332</v>
      </c>
      <c r="E633" s="5" t="s">
        <v>2317</v>
      </c>
      <c r="F633" s="5" t="str">
        <f>HYPERLINK("http://www.perladelgarda.it/","www.perladelgarda.it")</f>
        <v>www.perladelgarda.it</v>
      </c>
    </row>
    <row r="634" spans="1:6" ht="16.95" customHeight="1" x14ac:dyDescent="0.25">
      <c r="A634" s="1" t="s">
        <v>2333</v>
      </c>
      <c r="B634" s="7" t="s">
        <v>2334</v>
      </c>
      <c r="C634" s="7" t="s">
        <v>2335</v>
      </c>
      <c r="D634" s="7" t="s">
        <v>2336</v>
      </c>
      <c r="E634" s="7" t="s">
        <v>2317</v>
      </c>
      <c r="F634" s="7" t="str">
        <f>HYPERLINK("http://czagricola.com/","czagricola.com")</f>
        <v>czagricola.com</v>
      </c>
    </row>
    <row r="635" spans="1:6" ht="29.55" customHeight="1" x14ac:dyDescent="0.25">
      <c r="A635" s="1" t="s">
        <v>2340</v>
      </c>
      <c r="B635" s="7" t="s">
        <v>2341</v>
      </c>
      <c r="C635" s="7" t="s">
        <v>2342</v>
      </c>
      <c r="D635" s="7" t="s">
        <v>2343</v>
      </c>
      <c r="E635" s="7" t="s">
        <v>2339</v>
      </c>
      <c r="F635" s="7" t="str">
        <f>HYPERLINK("http://www.apuliaplants.eu/","www.apuliaplants.eu")</f>
        <v>www.apuliaplants.eu</v>
      </c>
    </row>
    <row r="636" spans="1:6" ht="68.099999999999994" customHeight="1" x14ac:dyDescent="0.25">
      <c r="A636" s="1" t="s">
        <v>2347</v>
      </c>
      <c r="B636" s="7" t="s">
        <v>2348</v>
      </c>
      <c r="C636" s="7" t="s">
        <v>2349</v>
      </c>
      <c r="D636" s="7" t="s">
        <v>2350</v>
      </c>
      <c r="E636" s="7" t="s">
        <v>2351</v>
      </c>
      <c r="F636" s="7" t="str">
        <f>HYPERLINK("http://oleificioolma.it/","oleificioolma.it")</f>
        <v>oleificioolma.it</v>
      </c>
    </row>
    <row r="637" spans="1:6" ht="43.05" customHeight="1" x14ac:dyDescent="0.25">
      <c r="A637" s="1" t="s">
        <v>2353</v>
      </c>
      <c r="B637" s="7" t="s">
        <v>2354</v>
      </c>
      <c r="C637" s="7" t="s">
        <v>2355</v>
      </c>
      <c r="D637" s="7" t="s">
        <v>2356</v>
      </c>
      <c r="E637" s="7" t="s">
        <v>2352</v>
      </c>
      <c r="F637" s="7" t="str">
        <f>HYPERLINK("http://shop.cantine-collalto.it/","shop.cantine-collalto.it")</f>
        <v>shop.cantine-collalto.it</v>
      </c>
    </row>
    <row r="638" spans="1:6" ht="29.55" customHeight="1" x14ac:dyDescent="0.25">
      <c r="A638" s="6" t="s">
        <v>2357</v>
      </c>
      <c r="B638" s="5" t="s">
        <v>2358</v>
      </c>
      <c r="C638" s="5" t="s">
        <v>2344</v>
      </c>
      <c r="D638" s="5" t="s">
        <v>2359</v>
      </c>
      <c r="E638" s="5" t="s">
        <v>2360</v>
      </c>
      <c r="F638" s="5" t="str">
        <f>HYPERLINK("http://lecerasare.it/","lecerasare.it")</f>
        <v>lecerasare.it</v>
      </c>
    </row>
    <row r="639" spans="1:6" ht="29.55" customHeight="1" x14ac:dyDescent="0.25">
      <c r="A639" s="1" t="s">
        <v>2361</v>
      </c>
      <c r="B639" s="7" t="s">
        <v>2362</v>
      </c>
      <c r="C639" s="7" t="s">
        <v>2363</v>
      </c>
      <c r="D639" s="7" t="s">
        <v>2364</v>
      </c>
      <c r="E639" s="7" t="s">
        <v>2351</v>
      </c>
      <c r="F639" s="7" t="str">
        <f>HYPERLINK("http://shop.floramiata.it/","shop.floramiata.it")</f>
        <v>shop.floramiata.it</v>
      </c>
    </row>
    <row r="640" spans="1:6" ht="81.75" customHeight="1" x14ac:dyDescent="0.25">
      <c r="A640" s="6" t="s">
        <v>2365</v>
      </c>
      <c r="B640" s="5" t="s">
        <v>2366</v>
      </c>
      <c r="C640" s="5" t="s">
        <v>2367</v>
      </c>
      <c r="D640" s="5" t="s">
        <v>2368</v>
      </c>
      <c r="E640" s="5" t="s">
        <v>2369</v>
      </c>
      <c r="F640" s="5" t="str">
        <f>HYPERLINK("http://www.confagricoltura.it/","www.confagricoltura.it")</f>
        <v>www.confagricoltura.it</v>
      </c>
    </row>
    <row r="641" spans="1:6" ht="29.55" customHeight="1" x14ac:dyDescent="0.25">
      <c r="A641" s="6" t="s">
        <v>2372</v>
      </c>
      <c r="B641" s="5" t="s">
        <v>2373</v>
      </c>
      <c r="C641" s="5" t="s">
        <v>2346</v>
      </c>
      <c r="D641" s="5" t="s">
        <v>2345</v>
      </c>
      <c r="E641" s="5" t="s">
        <v>2338</v>
      </c>
      <c r="F641" s="5" t="str">
        <f>HYPERLINK("http://www.alpivit.com/","www.alpivit.com")</f>
        <v>www.alpivit.com</v>
      </c>
    </row>
    <row r="642" spans="1:6" ht="43.05" customHeight="1" x14ac:dyDescent="0.25">
      <c r="A642" s="1" t="s">
        <v>2374</v>
      </c>
      <c r="B642" s="7" t="s">
        <v>2375</v>
      </c>
      <c r="C642" s="7" t="s">
        <v>2344</v>
      </c>
      <c r="D642" s="7" t="s">
        <v>2337</v>
      </c>
      <c r="E642" s="7" t="s">
        <v>2338</v>
      </c>
      <c r="F642" s="7" t="str">
        <f>HYPERLINK("http://www.fantolino.it/","www.fantolino.it")</f>
        <v>www.fantolino.it</v>
      </c>
    </row>
    <row r="643" spans="1:6" ht="55.65" customHeight="1" x14ac:dyDescent="0.25">
      <c r="A643" s="6" t="s">
        <v>2376</v>
      </c>
      <c r="B643" s="5" t="s">
        <v>2377</v>
      </c>
      <c r="C643" s="5" t="s">
        <v>2355</v>
      </c>
      <c r="D643" s="5" t="s">
        <v>2378</v>
      </c>
      <c r="E643" s="5" t="s">
        <v>2339</v>
      </c>
      <c r="F643" s="5" t="str">
        <f>HYPERLINK("http://www.cantinetorricella.it/","www.cantinetorricella.it")</f>
        <v>www.cantinetorricella.it</v>
      </c>
    </row>
    <row r="644" spans="1:6" ht="29.55" customHeight="1" x14ac:dyDescent="0.25">
      <c r="A644" s="6" t="s">
        <v>2379</v>
      </c>
      <c r="B644" s="5" t="s">
        <v>2380</v>
      </c>
      <c r="C644" s="5" t="s">
        <v>2355</v>
      </c>
      <c r="D644" s="5" t="s">
        <v>2381</v>
      </c>
      <c r="E644" s="5" t="s">
        <v>2351</v>
      </c>
      <c r="F644" s="5" t="str">
        <f>HYPERLINK("http://poggioaltesoro.it/","poggioaltesoro.it")</f>
        <v>poggioaltesoro.it</v>
      </c>
    </row>
    <row r="645" spans="1:6" ht="29.55" customHeight="1" x14ac:dyDescent="0.25">
      <c r="A645" s="6" t="s">
        <v>2382</v>
      </c>
      <c r="B645" s="5" t="s">
        <v>2383</v>
      </c>
      <c r="C645" s="5" t="s">
        <v>2344</v>
      </c>
      <c r="D645" s="5" t="s">
        <v>2370</v>
      </c>
      <c r="E645" s="5" t="s">
        <v>2371</v>
      </c>
      <c r="F645" s="5" t="str">
        <f>HYPERLINK("http://www.ideanatura.com/","http://www.ideanatura.com/")</f>
        <v>http://www.ideanatura.com/</v>
      </c>
    </row>
    <row r="646" spans="1:6" ht="29.55" customHeight="1" x14ac:dyDescent="0.25">
      <c r="A646" s="1" t="s">
        <v>2384</v>
      </c>
      <c r="B646" s="7" t="s">
        <v>2385</v>
      </c>
      <c r="C646" s="7" t="s">
        <v>2344</v>
      </c>
      <c r="D646" s="7" t="s">
        <v>2369</v>
      </c>
      <c r="E646" s="7" t="s">
        <v>2369</v>
      </c>
      <c r="F646" s="7" t="str">
        <f>HYPERLINK("http://www.opagrigest.com/","www.opagrigest.com")</f>
        <v>www.opagrigest.com</v>
      </c>
    </row>
    <row r="647" spans="1:6" ht="68.099999999999994" customHeight="1" x14ac:dyDescent="0.25">
      <c r="A647" s="1" t="s">
        <v>2386</v>
      </c>
      <c r="B647" s="7" t="s">
        <v>2387</v>
      </c>
      <c r="C647" s="7" t="s">
        <v>2388</v>
      </c>
      <c r="D647" s="7" t="s">
        <v>2389</v>
      </c>
      <c r="E647" s="7" t="s">
        <v>2390</v>
      </c>
      <c r="F647" s="7" t="str">
        <f>HYPERLINK("http://www.saporidifattoria.com/","www.saporidifattoria.com")</f>
        <v>www.saporidifattoria.com</v>
      </c>
    </row>
    <row r="648" spans="1:6" ht="29.55" customHeight="1" x14ac:dyDescent="0.25">
      <c r="A648" s="6" t="s">
        <v>2391</v>
      </c>
      <c r="B648" s="5" t="s">
        <v>2392</v>
      </c>
      <c r="C648" s="5" t="s">
        <v>2355</v>
      </c>
      <c r="D648" s="5" t="s">
        <v>2364</v>
      </c>
      <c r="E648" s="5" t="s">
        <v>2351</v>
      </c>
      <c r="F648" s="5" t="str">
        <f>HYPERLINK("http://brancaia.com/","brancaia.com")</f>
        <v>brancaia.com</v>
      </c>
    </row>
    <row r="649" spans="1:6" ht="43.05" customHeight="1" x14ac:dyDescent="0.25">
      <c r="A649" s="6" t="s">
        <v>2393</v>
      </c>
      <c r="B649" s="5" t="s">
        <v>2394</v>
      </c>
      <c r="C649" s="5" t="s">
        <v>2355</v>
      </c>
      <c r="D649" s="5" t="s">
        <v>2364</v>
      </c>
      <c r="E649" s="5" t="s">
        <v>2351</v>
      </c>
      <c r="F649" s="5" t="str">
        <f>HYPERLINK("http://wine.castigliondelbosco.com/","wine.castigliondelbosco.com")</f>
        <v>wine.castigliondelbosco.com</v>
      </c>
    </row>
    <row r="650" spans="1:6" ht="43.05" customHeight="1" x14ac:dyDescent="0.25">
      <c r="A650" s="1" t="s">
        <v>2395</v>
      </c>
      <c r="B650" s="7" t="s">
        <v>2396</v>
      </c>
      <c r="C650" s="7" t="s">
        <v>2397</v>
      </c>
      <c r="D650" s="7" t="s">
        <v>2398</v>
      </c>
      <c r="E650" s="7" t="s">
        <v>2399</v>
      </c>
      <c r="F650" s="7" t="str">
        <f>HYPERLINK("http://www.coopsanbiagio.it/","www.coopsanbiagio.it")</f>
        <v>www.coopsanbiagio.it</v>
      </c>
    </row>
    <row r="651" spans="1:6" ht="29.55" customHeight="1" x14ac:dyDescent="0.25">
      <c r="A651" s="1" t="s">
        <v>2402</v>
      </c>
      <c r="B651" s="7" t="s">
        <v>2403</v>
      </c>
      <c r="C651" s="7" t="s">
        <v>2400</v>
      </c>
      <c r="D651" s="7" t="s">
        <v>2404</v>
      </c>
      <c r="E651" s="7" t="s">
        <v>2405</v>
      </c>
      <c r="F651" s="7" t="str">
        <f>HYPERLINK("http://euronocciola.it/","euronocciola.it")</f>
        <v>euronocciola.it</v>
      </c>
    </row>
    <row r="652" spans="1:6" ht="55.65" customHeight="1" x14ac:dyDescent="0.25">
      <c r="A652" s="6" t="s">
        <v>2406</v>
      </c>
      <c r="B652" s="5" t="s">
        <v>2407</v>
      </c>
      <c r="C652" s="5" t="s">
        <v>2408</v>
      </c>
      <c r="D652" s="5" t="s">
        <v>2409</v>
      </c>
      <c r="E652" s="5" t="s">
        <v>2410</v>
      </c>
      <c r="F652" s="5" t="str">
        <f>HYPERLINK("http://www.italcer.it/","www.italcer.it")</f>
        <v>www.italcer.it</v>
      </c>
    </row>
    <row r="653" spans="1:6" ht="29.55" customHeight="1" x14ac:dyDescent="0.25">
      <c r="A653" s="1" t="s">
        <v>2411</v>
      </c>
      <c r="B653" s="7" t="s">
        <v>2412</v>
      </c>
      <c r="C653" s="7" t="s">
        <v>2408</v>
      </c>
      <c r="D653" s="7" t="s">
        <v>2413</v>
      </c>
      <c r="E653" s="7" t="s">
        <v>2399</v>
      </c>
      <c r="F653" s="7" t="str">
        <f>HYPERLINK("http://www.agrofertil.it/","www.agrofertil.it")</f>
        <v>www.agrofertil.it</v>
      </c>
    </row>
    <row r="654" spans="1:6" ht="43.05" customHeight="1" x14ac:dyDescent="0.25">
      <c r="A654" s="6" t="s">
        <v>2414</v>
      </c>
      <c r="B654" s="5" t="s">
        <v>2415</v>
      </c>
      <c r="C654" s="5" t="s">
        <v>2416</v>
      </c>
      <c r="D654" s="5" t="s">
        <v>2417</v>
      </c>
      <c r="E654" s="5" t="s">
        <v>2418</v>
      </c>
      <c r="F654" s="5" t="str">
        <f>HYPERLINK("http://www.brontegarden.it/","www.brontegarden.it")</f>
        <v>www.brontegarden.it</v>
      </c>
    </row>
    <row r="655" spans="1:6" ht="29.55" customHeight="1" x14ac:dyDescent="0.25">
      <c r="A655" s="1" t="s">
        <v>2421</v>
      </c>
      <c r="B655" s="7" t="s">
        <v>2422</v>
      </c>
      <c r="C655" s="7" t="s">
        <v>2423</v>
      </c>
      <c r="D655" s="7" t="s">
        <v>2424</v>
      </c>
      <c r="E655" s="7" t="s">
        <v>2425</v>
      </c>
      <c r="F655" s="7" t="str">
        <f>HYPERLINK("http://www.argiano.net/","www.argiano.net")</f>
        <v>www.argiano.net</v>
      </c>
    </row>
    <row r="656" spans="1:6" ht="43.05" customHeight="1" x14ac:dyDescent="0.25">
      <c r="A656" s="6" t="s">
        <v>2426</v>
      </c>
      <c r="B656" s="5" t="s">
        <v>2427</v>
      </c>
      <c r="C656" s="5" t="s">
        <v>2397</v>
      </c>
      <c r="D656" s="5" t="s">
        <v>2428</v>
      </c>
      <c r="E656" s="5" t="s">
        <v>2429</v>
      </c>
      <c r="F656" s="5" t="str">
        <f>HYPERLINK("http://www.rimfruit.com/","www.rimfruit.com")</f>
        <v>www.rimfruit.com</v>
      </c>
    </row>
    <row r="657" spans="1:6" ht="43.05" customHeight="1" x14ac:dyDescent="0.25">
      <c r="A657" s="1" t="s">
        <v>2430</v>
      </c>
      <c r="B657" s="7" t="s">
        <v>2431</v>
      </c>
      <c r="C657" s="7" t="s">
        <v>2416</v>
      </c>
      <c r="D657" s="7" t="s">
        <v>2432</v>
      </c>
      <c r="E657" s="7" t="s">
        <v>2399</v>
      </c>
      <c r="F657" s="7" t="str">
        <f>HYPERLINK("http://civ.it/","civ.it")</f>
        <v>civ.it</v>
      </c>
    </row>
    <row r="658" spans="1:6" ht="43.05" customHeight="1" x14ac:dyDescent="0.25">
      <c r="A658" s="6" t="s">
        <v>2434</v>
      </c>
      <c r="B658" s="5" t="s">
        <v>2435</v>
      </c>
      <c r="C658" s="5" t="s">
        <v>2400</v>
      </c>
      <c r="D658" s="5" t="s">
        <v>2436</v>
      </c>
      <c r="E658" s="5" t="s">
        <v>2437</v>
      </c>
      <c r="F658" s="5" t="str">
        <f>HYPERLINK("http://www.covida.it/","www.covida.it")</f>
        <v>www.covida.it</v>
      </c>
    </row>
    <row r="659" spans="1:6" ht="29.55" customHeight="1" x14ac:dyDescent="0.25">
      <c r="A659" s="1" t="s">
        <v>2438</v>
      </c>
      <c r="B659" s="7" t="s">
        <v>2439</v>
      </c>
      <c r="C659" s="7" t="s">
        <v>2400</v>
      </c>
      <c r="D659" s="7" t="s">
        <v>2440</v>
      </c>
      <c r="E659" s="7" t="s">
        <v>2433</v>
      </c>
      <c r="F659" s="7" t="str">
        <f>HYPERLINK("http://www.caposcalambri.com/","www.caposcalambri.com")</f>
        <v>www.caposcalambri.com</v>
      </c>
    </row>
    <row r="660" spans="1:6" ht="16.95" customHeight="1" x14ac:dyDescent="0.25">
      <c r="A660" s="6" t="s">
        <v>2441</v>
      </c>
      <c r="B660" s="5" t="s">
        <v>2442</v>
      </c>
      <c r="C660" s="5" t="s">
        <v>2419</v>
      </c>
      <c r="D660" s="5" t="s">
        <v>2443</v>
      </c>
      <c r="E660" s="5" t="s">
        <v>2437</v>
      </c>
      <c r="F660" s="5" t="str">
        <f>HYPERLINK("http://decoratosementi.it/","decoratosementi.it")</f>
        <v>decoratosementi.it</v>
      </c>
    </row>
    <row r="661" spans="1:6" ht="55.65" customHeight="1" x14ac:dyDescent="0.25">
      <c r="A661" s="1" t="s">
        <v>2444</v>
      </c>
      <c r="B661" s="7" t="s">
        <v>2445</v>
      </c>
      <c r="C661" s="7" t="s">
        <v>2423</v>
      </c>
      <c r="D661" s="7" t="s">
        <v>2446</v>
      </c>
      <c r="E661" s="7" t="s">
        <v>2447</v>
      </c>
      <c r="F661" s="7" t="str">
        <f>HYPERLINK("http://www.castellodispessa.it/vini-e-distillati/","www.castellodispessa.it/vini-e-distillati/")</f>
        <v>www.castellodispessa.it/vini-e-distillati/</v>
      </c>
    </row>
    <row r="662" spans="1:6" ht="29.55" customHeight="1" x14ac:dyDescent="0.25">
      <c r="A662" s="6" t="s">
        <v>2448</v>
      </c>
      <c r="B662" s="5" t="s">
        <v>2449</v>
      </c>
      <c r="C662" s="5" t="s">
        <v>2450</v>
      </c>
      <c r="D662" s="5" t="s">
        <v>2451</v>
      </c>
      <c r="E662" s="5" t="s">
        <v>2452</v>
      </c>
      <c r="F662" s="5" t="str">
        <f>HYPERLINK("http://www.birraflea.com/","www.birraflea.com")</f>
        <v>www.birraflea.com</v>
      </c>
    </row>
    <row r="663" spans="1:6" ht="43.05" customHeight="1" x14ac:dyDescent="0.25">
      <c r="A663" s="6" t="s">
        <v>2454</v>
      </c>
      <c r="B663" s="5" t="s">
        <v>2455</v>
      </c>
      <c r="C663" s="5" t="s">
        <v>2423</v>
      </c>
      <c r="D663" s="5" t="s">
        <v>2456</v>
      </c>
      <c r="E663" s="5" t="s">
        <v>2437</v>
      </c>
      <c r="F663" s="5" t="str">
        <f>HYPERLINK("http://www.poggiolevolpi.com/","www.poggiolevolpi.com")</f>
        <v>www.poggiolevolpi.com</v>
      </c>
    </row>
    <row r="664" spans="1:6" ht="43.05" customHeight="1" x14ac:dyDescent="0.25">
      <c r="A664" s="1" t="s">
        <v>2457</v>
      </c>
      <c r="B664" s="7" t="s">
        <v>2458</v>
      </c>
      <c r="C664" s="7" t="s">
        <v>2459</v>
      </c>
      <c r="D664" s="7" t="s">
        <v>2420</v>
      </c>
      <c r="E664" s="7" t="s">
        <v>2401</v>
      </c>
      <c r="F664" s="7" t="str">
        <f>HYPERLINK("http://www.opeurocom.it/","www.opeurocom.it")</f>
        <v>www.opeurocom.it</v>
      </c>
    </row>
    <row r="665" spans="1:6" ht="29.55" customHeight="1" x14ac:dyDescent="0.25">
      <c r="A665" s="6" t="s">
        <v>2460</v>
      </c>
      <c r="B665" s="5" t="s">
        <v>2461</v>
      </c>
      <c r="C665" s="5" t="s">
        <v>2462</v>
      </c>
      <c r="D665" s="5" t="s">
        <v>2463</v>
      </c>
      <c r="E665" s="5" t="s">
        <v>2453</v>
      </c>
      <c r="F665" s="5" t="str">
        <f>HYPERLINK("http://www.nuovacasealpi.it/","www.nuovacasealpi.it")</f>
        <v>www.nuovacasealpi.it</v>
      </c>
    </row>
    <row r="666" spans="1:6" ht="29.55" customHeight="1" x14ac:dyDescent="0.25">
      <c r="A666" s="6" t="s">
        <v>2464</v>
      </c>
      <c r="B666" s="5" t="s">
        <v>2465</v>
      </c>
      <c r="C666" s="5" t="s">
        <v>2400</v>
      </c>
      <c r="D666" s="5" t="s">
        <v>2466</v>
      </c>
      <c r="E666" s="5" t="s">
        <v>2410</v>
      </c>
      <c r="F666" s="5" t="str">
        <f>HYPERLINK("http://www.cantinedicastignano.com/","www.cantinedicastignano.com")</f>
        <v>www.cantinedicastignano.com</v>
      </c>
    </row>
    <row r="667" spans="1:6" ht="55.65" customHeight="1" x14ac:dyDescent="0.25">
      <c r="A667" s="1" t="s">
        <v>2467</v>
      </c>
      <c r="B667" s="7" t="s">
        <v>2468</v>
      </c>
      <c r="C667" s="7" t="s">
        <v>2423</v>
      </c>
      <c r="D667" s="7" t="s">
        <v>2469</v>
      </c>
      <c r="E667" s="7" t="s">
        <v>2425</v>
      </c>
      <c r="F667" s="7" t="str">
        <f>HYPERLINK("http://www.vinitipiciar.it/","www.vinitipiciar.it")</f>
        <v>www.vinitipiciar.it</v>
      </c>
    </row>
    <row r="668" spans="1:6" ht="55.65" customHeight="1" x14ac:dyDescent="0.25">
      <c r="A668" s="1" t="s">
        <v>2470</v>
      </c>
      <c r="B668" s="7" t="s">
        <v>2471</v>
      </c>
      <c r="C668" s="7" t="s">
        <v>2472</v>
      </c>
      <c r="D668" s="7" t="s">
        <v>2473</v>
      </c>
      <c r="E668" s="7" t="s">
        <v>2474</v>
      </c>
      <c r="F668" s="7" t="str">
        <f>HYPERLINK("http://www.ccpa.it/","www.ccpa.it")</f>
        <v>www.ccpa.it</v>
      </c>
    </row>
    <row r="669" spans="1:6" ht="43.05" customHeight="1" x14ac:dyDescent="0.25">
      <c r="A669" s="6" t="s">
        <v>2475</v>
      </c>
      <c r="B669" s="5" t="s">
        <v>2476</v>
      </c>
      <c r="C669" s="5" t="s">
        <v>2477</v>
      </c>
      <c r="D669" s="5" t="s">
        <v>2478</v>
      </c>
      <c r="E669" s="5" t="s">
        <v>2479</v>
      </c>
      <c r="F669" s="5" t="str">
        <f>HYPERLINK("http://www.facebook.com/latteriaditabiano/?ref=br_rs","www.facebook.com/latteriaditabiano/?ref=br_rs")</f>
        <v>www.facebook.com/latteriaditabiano/?ref=br_rs</v>
      </c>
    </row>
    <row r="670" spans="1:6" ht="29.55" customHeight="1" x14ac:dyDescent="0.25">
      <c r="A670" s="6" t="s">
        <v>2481</v>
      </c>
      <c r="B670" s="5" t="s">
        <v>2482</v>
      </c>
      <c r="C670" s="5" t="s">
        <v>2483</v>
      </c>
      <c r="D670" s="5" t="s">
        <v>2484</v>
      </c>
      <c r="E670" s="5" t="s">
        <v>2485</v>
      </c>
      <c r="F670" s="5" t="str">
        <f>HYPERLINK("http://www.opitaliacoop.com/","www.opitaliacoop.com")</f>
        <v>www.opitaliacoop.com</v>
      </c>
    </row>
    <row r="671" spans="1:6" ht="43.05" customHeight="1" x14ac:dyDescent="0.25">
      <c r="A671" s="1" t="s">
        <v>2486</v>
      </c>
      <c r="B671" s="7" t="s">
        <v>2487</v>
      </c>
      <c r="C671" s="7" t="s">
        <v>2483</v>
      </c>
      <c r="D671" s="7" t="s">
        <v>2488</v>
      </c>
      <c r="E671" s="7" t="s">
        <v>2479</v>
      </c>
      <c r="F671" s="7" t="str">
        <f>HYPERLINK("http://www.cuoredolce.it/","www.cuoredolce.it")</f>
        <v>www.cuoredolce.it</v>
      </c>
    </row>
    <row r="672" spans="1:6" ht="94.2" customHeight="1" x14ac:dyDescent="0.25">
      <c r="A672" s="6" t="s">
        <v>2489</v>
      </c>
      <c r="B672" s="5" t="s">
        <v>2490</v>
      </c>
      <c r="C672" s="5" t="s">
        <v>2491</v>
      </c>
      <c r="D672" s="5" t="s">
        <v>2492</v>
      </c>
      <c r="E672" s="5" t="s">
        <v>2493</v>
      </c>
      <c r="F672" s="5" t="str">
        <f>HYPERLINK("http://www.cantinamaranzana.it/","www.cantinamaranzana.it")</f>
        <v>www.cantinamaranzana.it</v>
      </c>
    </row>
    <row r="673" spans="1:6" ht="29.55" customHeight="1" x14ac:dyDescent="0.25">
      <c r="A673" s="6" t="s">
        <v>2496</v>
      </c>
      <c r="B673" s="5" t="s">
        <v>2497</v>
      </c>
      <c r="C673" s="5" t="s">
        <v>2480</v>
      </c>
      <c r="D673" s="5" t="s">
        <v>2498</v>
      </c>
      <c r="E673" s="5" t="s">
        <v>2499</v>
      </c>
      <c r="F673" s="5" t="str">
        <f>HYPERLINK("http://shop.giustiwine.com/","shop.giustiwine.com")</f>
        <v>shop.giustiwine.com</v>
      </c>
    </row>
    <row r="674" spans="1:6" ht="16.95" customHeight="1" x14ac:dyDescent="0.25">
      <c r="A674" s="1" t="s">
        <v>2500</v>
      </c>
      <c r="B674" s="7" t="s">
        <v>2501</v>
      </c>
      <c r="C674" s="7" t="s">
        <v>2502</v>
      </c>
      <c r="D674" s="7" t="s">
        <v>2503</v>
      </c>
      <c r="E674" s="7" t="s">
        <v>2504</v>
      </c>
      <c r="F674" s="7" t="str">
        <f>HYPERLINK("http://www.terrecoop.it/","www.terrecoop.it")</f>
        <v>www.terrecoop.it</v>
      </c>
    </row>
    <row r="675" spans="1:6" ht="29.55" customHeight="1" x14ac:dyDescent="0.25">
      <c r="A675" s="6" t="s">
        <v>2505</v>
      </c>
      <c r="B675" s="5" t="s">
        <v>2506</v>
      </c>
      <c r="C675" s="5" t="s">
        <v>2483</v>
      </c>
      <c r="D675" s="5" t="s">
        <v>2478</v>
      </c>
      <c r="E675" s="5" t="s">
        <v>2479</v>
      </c>
      <c r="F675" s="5" t="str">
        <f>HYPERLINK("http://agromeccanicacalzolari.it/","agromeccanicacalzolari.it")</f>
        <v>agromeccanicacalzolari.it</v>
      </c>
    </row>
    <row r="676" spans="1:6" ht="29.55" customHeight="1" x14ac:dyDescent="0.25">
      <c r="A676" s="1" t="s">
        <v>2507</v>
      </c>
      <c r="B676" s="7" t="s">
        <v>2508</v>
      </c>
      <c r="C676" s="7" t="s">
        <v>2491</v>
      </c>
      <c r="D676" s="7" t="s">
        <v>2509</v>
      </c>
      <c r="E676" s="7" t="s">
        <v>2510</v>
      </c>
      <c r="F676" s="7" t="str">
        <f>HYPERLINK("http://agrogens.it/","agrogens.it")</f>
        <v>agrogens.it</v>
      </c>
    </row>
    <row r="677" spans="1:6" ht="43.05" customHeight="1" x14ac:dyDescent="0.25">
      <c r="A677" s="6" t="s">
        <v>2511</v>
      </c>
      <c r="B677" s="5" t="s">
        <v>2512</v>
      </c>
      <c r="C677" s="5" t="s">
        <v>2491</v>
      </c>
      <c r="D677" s="5" t="s">
        <v>2513</v>
      </c>
      <c r="E677" s="5" t="s">
        <v>2514</v>
      </c>
      <c r="F677" s="5" t="str">
        <f>HYPERLINK("http://www.cardeto.com/","www.cardeto.com")</f>
        <v>www.cardeto.com</v>
      </c>
    </row>
    <row r="678" spans="1:6" ht="16.95" customHeight="1" x14ac:dyDescent="0.25">
      <c r="A678" s="6" t="s">
        <v>2515</v>
      </c>
      <c r="B678" s="5" t="s">
        <v>2516</v>
      </c>
      <c r="C678" s="5" t="s">
        <v>2502</v>
      </c>
      <c r="D678" s="5" t="s">
        <v>2517</v>
      </c>
      <c r="E678" s="5" t="s">
        <v>2495</v>
      </c>
      <c r="F678" s="5" t="str">
        <f>HYPERLINK("http://agrimpexfarming.it/","agrimpexfarming.it")</f>
        <v>agrimpexfarming.it</v>
      </c>
    </row>
    <row r="679" spans="1:6" ht="120.3" customHeight="1" x14ac:dyDescent="0.25">
      <c r="A679" s="6" t="s">
        <v>2518</v>
      </c>
      <c r="B679" s="5" t="s">
        <v>2519</v>
      </c>
      <c r="C679" s="5" t="s">
        <v>2480</v>
      </c>
      <c r="D679" s="5" t="s">
        <v>2520</v>
      </c>
      <c r="E679" s="5" t="s">
        <v>2504</v>
      </c>
      <c r="F679" s="5" t="str">
        <f>HYPERLINK("http://www.leonedecastris.com/","www.leonedecastris.com")</f>
        <v>www.leonedecastris.com</v>
      </c>
    </row>
    <row r="680" spans="1:6" ht="29.55" customHeight="1" x14ac:dyDescent="0.25">
      <c r="A680" s="1" t="s">
        <v>2521</v>
      </c>
      <c r="B680" s="7" t="s">
        <v>2522</v>
      </c>
      <c r="C680" s="7" t="s">
        <v>2523</v>
      </c>
      <c r="D680" s="7" t="s">
        <v>2524</v>
      </c>
      <c r="E680" s="7" t="s">
        <v>2485</v>
      </c>
      <c r="F680" s="7" t="str">
        <f>HYPERLINK("http://www.arrabito.it/","www.arrabito.it")</f>
        <v>www.arrabito.it</v>
      </c>
    </row>
    <row r="681" spans="1:6" ht="29.55" customHeight="1" x14ac:dyDescent="0.25">
      <c r="A681" s="6" t="s">
        <v>2525</v>
      </c>
      <c r="B681" s="5" t="s">
        <v>2526</v>
      </c>
      <c r="C681" s="5" t="s">
        <v>2491</v>
      </c>
      <c r="D681" s="5" t="s">
        <v>2527</v>
      </c>
      <c r="E681" s="5" t="s">
        <v>2528</v>
      </c>
      <c r="F681" s="5" t="str">
        <f>HYPERLINK("http://www.biolatina.it/","www.biolatina.it")</f>
        <v>www.biolatina.it</v>
      </c>
    </row>
    <row r="682" spans="1:6" ht="29.55" customHeight="1" x14ac:dyDescent="0.25">
      <c r="A682" s="6" t="s">
        <v>2529</v>
      </c>
      <c r="B682" s="5" t="s">
        <v>2530</v>
      </c>
      <c r="C682" s="5" t="s">
        <v>2483</v>
      </c>
      <c r="D682" s="5" t="s">
        <v>2531</v>
      </c>
      <c r="E682" s="5" t="s">
        <v>2499</v>
      </c>
      <c r="F682" s="5" t="str">
        <f>HYPERLINK("http://residence-pineda-bibione.hotelmix.it/","residence-pineda-bibione.hotelmix.it")</f>
        <v>residence-pineda-bibione.hotelmix.it</v>
      </c>
    </row>
    <row r="683" spans="1:6" ht="29.55" customHeight="1" x14ac:dyDescent="0.25">
      <c r="A683" s="6" t="s">
        <v>2532</v>
      </c>
      <c r="B683" s="5" t="s">
        <v>2533</v>
      </c>
      <c r="C683" s="5" t="s">
        <v>2534</v>
      </c>
      <c r="D683" s="5" t="s">
        <v>2535</v>
      </c>
      <c r="E683" s="5" t="s">
        <v>2499</v>
      </c>
      <c r="F683" s="5" t="str">
        <f>HYPERLINK("http://www.fioritalia.com/","www.fioritalia.com")</f>
        <v>www.fioritalia.com</v>
      </c>
    </row>
    <row r="684" spans="1:6" ht="16.95" customHeight="1" x14ac:dyDescent="0.25">
      <c r="A684" s="1" t="s">
        <v>2536</v>
      </c>
      <c r="B684" s="7" t="s">
        <v>2537</v>
      </c>
      <c r="C684" s="7" t="s">
        <v>2491</v>
      </c>
      <c r="D684" s="7" t="s">
        <v>2538</v>
      </c>
      <c r="E684" s="7" t="s">
        <v>2474</v>
      </c>
      <c r="F684" s="7" t="str">
        <f>HYPERLINK("http://www.pratorosso.com/","www.pratorosso.com")</f>
        <v>www.pratorosso.com</v>
      </c>
    </row>
    <row r="685" spans="1:6" ht="81.75" customHeight="1" x14ac:dyDescent="0.25">
      <c r="A685" s="6" t="s">
        <v>2539</v>
      </c>
      <c r="B685" s="5" t="s">
        <v>2540</v>
      </c>
      <c r="C685" s="5" t="s">
        <v>2494</v>
      </c>
      <c r="D685" s="5" t="s">
        <v>2535</v>
      </c>
      <c r="E685" s="5" t="s">
        <v>2499</v>
      </c>
      <c r="F685" s="5" t="str">
        <f>HYPERLINK("http://www.ortofrutticoltorilusia.it/","www.ortofrutticoltorilusia.it")</f>
        <v>www.ortofrutticoltorilusia.it</v>
      </c>
    </row>
    <row r="686" spans="1:6" ht="43.05" customHeight="1" x14ac:dyDescent="0.25">
      <c r="A686" s="6" t="s">
        <v>2541</v>
      </c>
      <c r="B686" s="5" t="s">
        <v>2542</v>
      </c>
      <c r="C686" s="5" t="s">
        <v>2491</v>
      </c>
      <c r="D686" s="5" t="s">
        <v>2520</v>
      </c>
      <c r="E686" s="5" t="s">
        <v>2504</v>
      </c>
      <c r="F686" s="5" t="str">
        <f>HYPERLINK("http://www.scholasarmenti.it/","www.scholasarmenti.it")</f>
        <v>www.scholasarmenti.it</v>
      </c>
    </row>
    <row r="687" spans="1:6" ht="29.55" customHeight="1" x14ac:dyDescent="0.25">
      <c r="A687" s="1" t="s">
        <v>2543</v>
      </c>
      <c r="B687" s="7" t="s">
        <v>2544</v>
      </c>
      <c r="C687" s="7" t="s">
        <v>2545</v>
      </c>
      <c r="D687" s="7" t="s">
        <v>2546</v>
      </c>
      <c r="E687" s="7" t="s">
        <v>2547</v>
      </c>
      <c r="F687" s="7" t="str">
        <f>HYPERLINK("http://www.cambise.it/","www.cambise.it")</f>
        <v>www.cambise.it</v>
      </c>
    </row>
    <row r="688" spans="1:6" ht="43.05" customHeight="1" x14ac:dyDescent="0.25">
      <c r="A688" s="1" t="s">
        <v>2551</v>
      </c>
      <c r="B688" s="7" t="s">
        <v>2552</v>
      </c>
      <c r="C688" s="7" t="s">
        <v>2553</v>
      </c>
      <c r="D688" s="7" t="s">
        <v>2554</v>
      </c>
      <c r="E688" s="7" t="s">
        <v>2550</v>
      </c>
      <c r="F688" s="7" t="str">
        <f>HYPERLINK("http://latteriasocialebazzano.parmanelmondo.com/","latteriasocialebazzano.parmanelmondo.com")</f>
        <v>latteriasocialebazzano.parmanelmondo.com</v>
      </c>
    </row>
    <row r="689" spans="1:6" ht="145.19999999999999" customHeight="1" x14ac:dyDescent="0.25">
      <c r="A689" s="6" t="s">
        <v>2555</v>
      </c>
      <c r="B689" s="5" t="s">
        <v>2556</v>
      </c>
      <c r="C689" s="5" t="s">
        <v>2548</v>
      </c>
      <c r="D689" s="5" t="s">
        <v>2549</v>
      </c>
      <c r="E689" s="5" t="s">
        <v>2550</v>
      </c>
      <c r="F689" s="5" t="str">
        <f>HYPERLINK("http://test-libertalavoro.evoluzioniweb.it/","test-libertalavoro.evoluzioniweb.it")</f>
        <v>test-libertalavoro.evoluzioniweb.it</v>
      </c>
    </row>
    <row r="690" spans="1:6" ht="43.05" customHeight="1" x14ac:dyDescent="0.25">
      <c r="A690" s="6" t="s">
        <v>2559</v>
      </c>
      <c r="B690" s="5" t="s">
        <v>2560</v>
      </c>
      <c r="C690" s="5" t="s">
        <v>2561</v>
      </c>
      <c r="D690" s="5" t="s">
        <v>2562</v>
      </c>
      <c r="E690" s="5" t="s">
        <v>2558</v>
      </c>
      <c r="F690" s="5" t="str">
        <f>HYPERLINK("http://prodottidelcontado.com/","prodottidelcontado.com")</f>
        <v>prodottidelcontado.com</v>
      </c>
    </row>
    <row r="691" spans="1:6" ht="55.65" customHeight="1" x14ac:dyDescent="0.25">
      <c r="A691" s="1" t="s">
        <v>2563</v>
      </c>
      <c r="B691" s="7" t="s">
        <v>2564</v>
      </c>
      <c r="C691" s="7" t="s">
        <v>2565</v>
      </c>
      <c r="D691" s="7" t="s">
        <v>2566</v>
      </c>
      <c r="E691" s="7" t="s">
        <v>2567</v>
      </c>
      <c r="F691" s="7" t="str">
        <f>HYPERLINK("http://www.ortocal.it/","www.ortocal.it")</f>
        <v>www.ortocal.it</v>
      </c>
    </row>
    <row r="692" spans="1:6" ht="16.95" customHeight="1" x14ac:dyDescent="0.25">
      <c r="A692" s="1" t="s">
        <v>2569</v>
      </c>
      <c r="B692" s="7" t="s">
        <v>2570</v>
      </c>
      <c r="C692" s="7" t="s">
        <v>2561</v>
      </c>
      <c r="D692" s="7" t="s">
        <v>2571</v>
      </c>
      <c r="E692" s="7" t="s">
        <v>2572</v>
      </c>
      <c r="F692" s="7" t="str">
        <f>HYPERLINK("http://www.opagronatura.it/","www.opagronatura.it")</f>
        <v>www.opagronatura.it</v>
      </c>
    </row>
    <row r="693" spans="1:6" ht="94.2" customHeight="1" x14ac:dyDescent="0.25">
      <c r="A693" s="6" t="s">
        <v>2573</v>
      </c>
      <c r="B693" s="5" t="s">
        <v>2574</v>
      </c>
      <c r="C693" s="5" t="s">
        <v>2553</v>
      </c>
      <c r="D693" s="5" t="s">
        <v>2575</v>
      </c>
      <c r="E693" s="5" t="s">
        <v>2576</v>
      </c>
      <c r="F693" s="5" t="str">
        <f>HYPERLINK("http://www.colavevvaltellina.it/","www.colavevvaltellina.it")</f>
        <v>www.colavevvaltellina.it</v>
      </c>
    </row>
    <row r="694" spans="1:6" ht="29.55" customHeight="1" x14ac:dyDescent="0.25">
      <c r="A694" s="1" t="s">
        <v>2577</v>
      </c>
      <c r="B694" s="7" t="s">
        <v>2578</v>
      </c>
      <c r="C694" s="7" t="s">
        <v>2579</v>
      </c>
      <c r="D694" s="7" t="s">
        <v>2580</v>
      </c>
      <c r="E694" s="7" t="s">
        <v>2550</v>
      </c>
      <c r="F694" s="7" t="str">
        <f>HYPERLINK("http://taglianivivai.it/","taglianivivai.it")</f>
        <v>taglianivivai.it</v>
      </c>
    </row>
    <row r="695" spans="1:6" ht="43.05" customHeight="1" x14ac:dyDescent="0.25">
      <c r="A695" s="6" t="s">
        <v>2581</v>
      </c>
      <c r="B695" s="5" t="s">
        <v>2582</v>
      </c>
      <c r="C695" s="5" t="s">
        <v>2561</v>
      </c>
      <c r="D695" s="5" t="s">
        <v>2583</v>
      </c>
      <c r="E695" s="5" t="s">
        <v>2572</v>
      </c>
      <c r="F695" s="5" t="str">
        <f>HYPERLINK("http://www.costadeisapori.it/","www.costadeisapori.it")</f>
        <v>www.costadeisapori.it</v>
      </c>
    </row>
    <row r="696" spans="1:6" ht="29.55" customHeight="1" x14ac:dyDescent="0.25">
      <c r="A696" s="6" t="s">
        <v>2584</v>
      </c>
      <c r="B696" s="5" t="s">
        <v>2585</v>
      </c>
      <c r="C696" s="5" t="s">
        <v>2586</v>
      </c>
      <c r="D696" s="5" t="s">
        <v>2587</v>
      </c>
      <c r="E696" s="5" t="s">
        <v>2558</v>
      </c>
      <c r="F696" s="5" t="str">
        <f>HYPERLINK("http://www.nuovacastelvini.com/","http://www.nuovacastelvini.com")</f>
        <v>http://www.nuovacastelvini.com</v>
      </c>
    </row>
    <row r="697" spans="1:6" ht="43.05" customHeight="1" x14ac:dyDescent="0.25">
      <c r="A697" s="1" t="s">
        <v>2588</v>
      </c>
      <c r="B697" s="7" t="s">
        <v>2589</v>
      </c>
      <c r="C697" s="7" t="s">
        <v>2553</v>
      </c>
      <c r="D697" s="7" t="s">
        <v>2554</v>
      </c>
      <c r="E697" s="7" t="s">
        <v>2550</v>
      </c>
      <c r="F697" s="7" t="str">
        <f>HYPERLINK("http://www.caseificiobassaparmense.it/","www.caseificiobassaparmense.it")</f>
        <v>www.caseificiobassaparmense.it</v>
      </c>
    </row>
    <row r="698" spans="1:6" ht="43.05" customHeight="1" x14ac:dyDescent="0.25">
      <c r="A698" s="6" t="s">
        <v>2590</v>
      </c>
      <c r="B698" s="5" t="s">
        <v>2591</v>
      </c>
      <c r="C698" s="5" t="s">
        <v>2561</v>
      </c>
      <c r="D698" s="5" t="s">
        <v>2592</v>
      </c>
      <c r="E698" s="5" t="s">
        <v>2547</v>
      </c>
      <c r="F698" s="5" t="str">
        <f>HYPERLINK("http://cantinavillamagna.it/","cantinavillamagna.it")</f>
        <v>cantinavillamagna.it</v>
      </c>
    </row>
    <row r="699" spans="1:6" ht="43.05" customHeight="1" x14ac:dyDescent="0.25">
      <c r="A699" s="1" t="s">
        <v>2593</v>
      </c>
      <c r="B699" s="7" t="s">
        <v>2594</v>
      </c>
      <c r="C699" s="7" t="s">
        <v>2561</v>
      </c>
      <c r="D699" s="7" t="s">
        <v>2566</v>
      </c>
      <c r="E699" s="7" t="s">
        <v>2567</v>
      </c>
      <c r="F699" s="7" t="str">
        <f>HYPERLINK("http://www.pomez.it/","www.pomez.it")</f>
        <v>www.pomez.it</v>
      </c>
    </row>
    <row r="700" spans="1:6" ht="145.19999999999999" customHeight="1" x14ac:dyDescent="0.25">
      <c r="A700" s="6" t="s">
        <v>2596</v>
      </c>
      <c r="B700" s="5" t="s">
        <v>2597</v>
      </c>
      <c r="C700" s="5" t="s">
        <v>2586</v>
      </c>
      <c r="D700" s="5" t="s">
        <v>2598</v>
      </c>
      <c r="E700" s="5" t="s">
        <v>2599</v>
      </c>
      <c r="F700" s="5" t="str">
        <f>HYPERLINK("http://www.riservadifizzano.com/","www.riservadifizzano.com")</f>
        <v>www.riservadifizzano.com</v>
      </c>
    </row>
    <row r="701" spans="1:6" ht="55.65" customHeight="1" x14ac:dyDescent="0.25">
      <c r="A701" s="1" t="s">
        <v>2602</v>
      </c>
      <c r="B701" s="7" t="s">
        <v>2603</v>
      </c>
      <c r="C701" s="7" t="s">
        <v>2604</v>
      </c>
      <c r="D701" s="7" t="s">
        <v>2595</v>
      </c>
      <c r="E701" s="7" t="s">
        <v>2568</v>
      </c>
      <c r="F701" s="7" t="str">
        <f>HYPERLINK("http://www.roccabernarda.com/","www.roccabernarda.com")</f>
        <v>www.roccabernarda.com</v>
      </c>
    </row>
    <row r="702" spans="1:6" ht="16.95" customHeight="1" x14ac:dyDescent="0.25">
      <c r="A702" s="6" t="s">
        <v>2605</v>
      </c>
      <c r="B702" s="5" t="s">
        <v>2606</v>
      </c>
      <c r="C702" s="5" t="s">
        <v>2607</v>
      </c>
      <c r="D702" s="5" t="s">
        <v>2608</v>
      </c>
      <c r="E702" s="5" t="s">
        <v>2550</v>
      </c>
      <c r="F702" s="5" t="str">
        <f>HYPERLINK("http://www.inseme.it/","http://www.inseme.it")</f>
        <v>http://www.inseme.it</v>
      </c>
    </row>
    <row r="703" spans="1:6" ht="43.05" customHeight="1" x14ac:dyDescent="0.25">
      <c r="A703" s="6" t="s">
        <v>2609</v>
      </c>
      <c r="B703" s="5" t="s">
        <v>2610</v>
      </c>
      <c r="C703" s="5" t="s">
        <v>2557</v>
      </c>
      <c r="D703" s="5" t="s">
        <v>2611</v>
      </c>
      <c r="E703" s="5" t="s">
        <v>2550</v>
      </c>
      <c r="F703" s="5" t="str">
        <f>HYPERLINK("http://www.cantinaduetorri.it/","www.cantinaduetorri.it")</f>
        <v>www.cantinaduetorri.it</v>
      </c>
    </row>
    <row r="704" spans="1:6" ht="43.05" customHeight="1" x14ac:dyDescent="0.25">
      <c r="A704" s="6" t="s">
        <v>2612</v>
      </c>
      <c r="B704" s="5" t="s">
        <v>2613</v>
      </c>
      <c r="C704" s="5" t="s">
        <v>2553</v>
      </c>
      <c r="D704" s="5" t="s">
        <v>2614</v>
      </c>
      <c r="E704" s="5" t="s">
        <v>2615</v>
      </c>
      <c r="F704" s="5" t="str">
        <f>HYPERLINK("http://www.lattsantandrea.com/","www.lattsantandrea.com")</f>
        <v>www.lattsantandrea.com</v>
      </c>
    </row>
    <row r="705" spans="1:6" ht="43.05" customHeight="1" x14ac:dyDescent="0.25">
      <c r="A705" s="1" t="s">
        <v>2616</v>
      </c>
      <c r="B705" s="7" t="s">
        <v>2617</v>
      </c>
      <c r="C705" s="7" t="s">
        <v>2553</v>
      </c>
      <c r="D705" s="7" t="s">
        <v>2614</v>
      </c>
      <c r="E705" s="7" t="s">
        <v>2615</v>
      </c>
      <c r="F705" s="7" t="str">
        <f>HYPERLINK("http://www.suffolk.it/","www.suffolk.it")</f>
        <v>www.suffolk.it</v>
      </c>
    </row>
    <row r="706" spans="1:6" ht="43.05" customHeight="1" x14ac:dyDescent="0.25">
      <c r="A706" s="6" t="s">
        <v>2618</v>
      </c>
      <c r="B706" s="5" t="s">
        <v>2619</v>
      </c>
      <c r="C706" s="5" t="s">
        <v>2553</v>
      </c>
      <c r="D706" s="5" t="s">
        <v>2600</v>
      </c>
      <c r="E706" s="5" t="s">
        <v>2601</v>
      </c>
      <c r="F706" s="5" t="str">
        <f>HYPERLINK("http://www.cfelix.it/","www.cfelix.it")</f>
        <v>www.cfelix.it</v>
      </c>
    </row>
    <row r="707" spans="1:6" ht="16.95" customHeight="1" x14ac:dyDescent="0.25">
      <c r="A707" s="1" t="s">
        <v>2620</v>
      </c>
      <c r="B707" s="7" t="s">
        <v>2621</v>
      </c>
      <c r="C707" s="7" t="s">
        <v>2622</v>
      </c>
      <c r="D707" s="7" t="s">
        <v>2595</v>
      </c>
      <c r="E707" s="7" t="s">
        <v>2568</v>
      </c>
      <c r="F707" s="7" t="str">
        <f>HYPERLINK("http://www.italservizisrl.com/","www.italservizisrl.com")</f>
        <v>www.italservizisrl.com</v>
      </c>
    </row>
    <row r="708" spans="1:6" ht="29.55" customHeight="1" x14ac:dyDescent="0.25">
      <c r="A708" s="1" t="s">
        <v>2623</v>
      </c>
      <c r="B708" s="7" t="s">
        <v>2624</v>
      </c>
      <c r="C708" s="7" t="s">
        <v>2625</v>
      </c>
      <c r="D708" s="7" t="s">
        <v>2626</v>
      </c>
      <c r="E708" s="7" t="s">
        <v>2627</v>
      </c>
      <c r="F708" s="7" t="str">
        <f>HYPERLINK("http://www.campaniapatate.com/","www.campaniapatate.com")</f>
        <v>www.campaniapatate.com</v>
      </c>
    </row>
    <row r="709" spans="1:6" ht="68.099999999999994" customHeight="1" x14ac:dyDescent="0.25">
      <c r="A709" s="1" t="s">
        <v>2628</v>
      </c>
      <c r="B709" s="7" t="s">
        <v>2629</v>
      </c>
      <c r="C709" s="7" t="s">
        <v>2630</v>
      </c>
      <c r="D709" s="7" t="s">
        <v>2631</v>
      </c>
      <c r="E709" s="7" t="s">
        <v>2632</v>
      </c>
      <c r="F709" s="7" t="str">
        <f>HYPERLINK("http://www.vebacoop.com/","www.vebacoop.com")</f>
        <v>www.vebacoop.com</v>
      </c>
    </row>
    <row r="710" spans="1:6" ht="94.2" customHeight="1" x14ac:dyDescent="0.25">
      <c r="A710" s="6" t="s">
        <v>2633</v>
      </c>
      <c r="B710" s="5" t="s">
        <v>2634</v>
      </c>
      <c r="C710" s="5" t="s">
        <v>2630</v>
      </c>
      <c r="D710" s="5" t="s">
        <v>2635</v>
      </c>
      <c r="E710" s="5" t="s">
        <v>2636</v>
      </c>
      <c r="F710" s="5" t="str">
        <f>HYPERLINK("http://www.flor-export.it/","www.flor-export.it")</f>
        <v>www.flor-export.it</v>
      </c>
    </row>
    <row r="711" spans="1:6" ht="29.55" customHeight="1" x14ac:dyDescent="0.25">
      <c r="A711" s="1" t="s">
        <v>2637</v>
      </c>
      <c r="B711" s="7" t="s">
        <v>2638</v>
      </c>
      <c r="C711" s="7" t="s">
        <v>2630</v>
      </c>
      <c r="D711" s="7" t="s">
        <v>2626</v>
      </c>
      <c r="E711" s="7" t="s">
        <v>2627</v>
      </c>
      <c r="F711" s="7" t="str">
        <f>HYPERLINK("http://www.coopruggiero.com/","www.coopruggiero.com")</f>
        <v>www.coopruggiero.com</v>
      </c>
    </row>
    <row r="712" spans="1:6" ht="29.55" customHeight="1" x14ac:dyDescent="0.25">
      <c r="A712" s="6" t="s">
        <v>2641</v>
      </c>
      <c r="B712" s="5" t="s">
        <v>2642</v>
      </c>
      <c r="C712" s="5" t="s">
        <v>2630</v>
      </c>
      <c r="D712" s="5" t="s">
        <v>2643</v>
      </c>
      <c r="E712" s="5" t="s">
        <v>2644</v>
      </c>
      <c r="F712" s="5" t="str">
        <f>HYPERLINK("http://www.ribottagroup.it/","www.ribottagroup.it")</f>
        <v>www.ribottagroup.it</v>
      </c>
    </row>
    <row r="713" spans="1:6" ht="29.55" customHeight="1" x14ac:dyDescent="0.25">
      <c r="A713" s="1" t="s">
        <v>2645</v>
      </c>
      <c r="B713" s="7" t="s">
        <v>2646</v>
      </c>
      <c r="C713" s="7" t="s">
        <v>2625</v>
      </c>
      <c r="D713" s="7" t="s">
        <v>2647</v>
      </c>
      <c r="E713" s="7" t="s">
        <v>2648</v>
      </c>
      <c r="F713" s="7" t="str">
        <f>HYPERLINK("http://www.zeroscarti.it/","www.zeroscarti.it")</f>
        <v>www.zeroscarti.it</v>
      </c>
    </row>
    <row r="714" spans="1:6" ht="55.65" customHeight="1" x14ac:dyDescent="0.25">
      <c r="A714" s="6" t="s">
        <v>2649</v>
      </c>
      <c r="B714" s="5" t="s">
        <v>2650</v>
      </c>
      <c r="C714" s="5" t="s">
        <v>2651</v>
      </c>
      <c r="D714" s="5" t="s">
        <v>2631</v>
      </c>
      <c r="E714" s="5" t="s">
        <v>2632</v>
      </c>
      <c r="F714" s="5" t="str">
        <f>HYPERLINK("http://www.afe.it/","www.afe.it")</f>
        <v>www.afe.it</v>
      </c>
    </row>
    <row r="715" spans="1:6" ht="29.55" customHeight="1" x14ac:dyDescent="0.25">
      <c r="A715" s="6" t="s">
        <v>2653</v>
      </c>
      <c r="B715" s="5" t="s">
        <v>2654</v>
      </c>
      <c r="C715" s="5" t="s">
        <v>2630</v>
      </c>
      <c r="D715" s="5" t="s">
        <v>2655</v>
      </c>
      <c r="E715" s="5" t="s">
        <v>2656</v>
      </c>
      <c r="F715" s="5" t="str">
        <f>HYPERLINK("http://primabio.farm/","primabio.farm")</f>
        <v>primabio.farm</v>
      </c>
    </row>
    <row r="716" spans="1:6" ht="29.55" customHeight="1" x14ac:dyDescent="0.25">
      <c r="A716" s="6" t="s">
        <v>2658</v>
      </c>
      <c r="B716" s="5" t="s">
        <v>2659</v>
      </c>
      <c r="C716" s="5" t="s">
        <v>2660</v>
      </c>
      <c r="D716" s="5" t="s">
        <v>2661</v>
      </c>
      <c r="E716" s="5" t="s">
        <v>2644</v>
      </c>
      <c r="F716" s="5" t="str">
        <f>HYPERLINK("http://www.borgocampagna.it/","www.borgocampagna.it")</f>
        <v>www.borgocampagna.it</v>
      </c>
    </row>
    <row r="717" spans="1:6" ht="68.099999999999994" customHeight="1" x14ac:dyDescent="0.25">
      <c r="A717" s="1" t="s">
        <v>2662</v>
      </c>
      <c r="B717" s="7" t="s">
        <v>2663</v>
      </c>
      <c r="C717" s="7" t="s">
        <v>2630</v>
      </c>
      <c r="D717" s="7" t="s">
        <v>2664</v>
      </c>
      <c r="E717" s="7" t="s">
        <v>2640</v>
      </c>
      <c r="F717" s="7" t="str">
        <f>HYPERLINK("http://www.copacanino.it/","www.copacanino.it")</f>
        <v>www.copacanino.it</v>
      </c>
    </row>
    <row r="718" spans="1:6" ht="55.65" customHeight="1" x14ac:dyDescent="0.25">
      <c r="A718" s="6" t="s">
        <v>2666</v>
      </c>
      <c r="B718" s="5" t="s">
        <v>2667</v>
      </c>
      <c r="C718" s="5" t="s">
        <v>2668</v>
      </c>
      <c r="D718" s="5" t="s">
        <v>2669</v>
      </c>
      <c r="E718" s="5" t="s">
        <v>2652</v>
      </c>
      <c r="F718" s="5" t="str">
        <f>HYPERLINK("http://www.cooperativailcontadino.it/","www.cooperativailcontadino.it")</f>
        <v>www.cooperativailcontadino.it</v>
      </c>
    </row>
    <row r="719" spans="1:6" ht="145.19999999999999" customHeight="1" x14ac:dyDescent="0.25">
      <c r="A719" s="1" t="s">
        <v>2670</v>
      </c>
      <c r="B719" s="7" t="s">
        <v>2671</v>
      </c>
      <c r="C719" s="7" t="s">
        <v>2672</v>
      </c>
      <c r="D719" s="7" t="s">
        <v>2673</v>
      </c>
      <c r="E719" s="7" t="s">
        <v>2674</v>
      </c>
      <c r="F719" s="7" t="str">
        <f>HYPERLINK("http://www.cantinaisera.it/","www.cantinaisera.it")</f>
        <v>www.cantinaisera.it</v>
      </c>
    </row>
    <row r="720" spans="1:6" ht="43.05" customHeight="1" x14ac:dyDescent="0.25">
      <c r="A720" s="6" t="s">
        <v>2675</v>
      </c>
      <c r="B720" s="5" t="s">
        <v>2676</v>
      </c>
      <c r="C720" s="5" t="s">
        <v>2677</v>
      </c>
      <c r="D720" s="5" t="s">
        <v>2678</v>
      </c>
      <c r="E720" s="5" t="s">
        <v>2657</v>
      </c>
      <c r="F720" s="5" t="str">
        <f>HYPERLINK("http://giardinaggiosanfruttuoso.it/","giardinaggiosanfruttuoso.it")</f>
        <v>giardinaggiosanfruttuoso.it</v>
      </c>
    </row>
    <row r="721" spans="1:6" ht="43.05" customHeight="1" x14ac:dyDescent="0.25">
      <c r="A721" s="1" t="s">
        <v>2679</v>
      </c>
      <c r="B721" s="7" t="s">
        <v>2680</v>
      </c>
      <c r="C721" s="7" t="s">
        <v>2672</v>
      </c>
      <c r="D721" s="7" t="s">
        <v>2639</v>
      </c>
      <c r="E721" s="7" t="s">
        <v>2632</v>
      </c>
      <c r="F721" s="7" t="str">
        <f>HYPERLINK("http://www.cantinasettecani.it/","www.cantinasettecani.it")</f>
        <v>www.cantinasettecani.it</v>
      </c>
    </row>
    <row r="722" spans="1:6" ht="68.099999999999994" customHeight="1" x14ac:dyDescent="0.25">
      <c r="A722" s="6" t="s">
        <v>2681</v>
      </c>
      <c r="B722" s="5" t="s">
        <v>2682</v>
      </c>
      <c r="C722" s="5" t="s">
        <v>2683</v>
      </c>
      <c r="D722" s="5" t="s">
        <v>2684</v>
      </c>
      <c r="E722" s="5" t="s">
        <v>2685</v>
      </c>
      <c r="F722" s="5" t="str">
        <f>HYPERLINK("http://procaseus.com/","procaseus.com")</f>
        <v>procaseus.com</v>
      </c>
    </row>
    <row r="723" spans="1:6" ht="29.55" customHeight="1" x14ac:dyDescent="0.25">
      <c r="A723" s="1" t="s">
        <v>2686</v>
      </c>
      <c r="B723" s="7" t="s">
        <v>2687</v>
      </c>
      <c r="C723" s="7" t="s">
        <v>2688</v>
      </c>
      <c r="D723" s="7" t="s">
        <v>2689</v>
      </c>
      <c r="E723" s="7" t="s">
        <v>2632</v>
      </c>
      <c r="F723" s="7" t="str">
        <f>HYPERLINK("http://ilraccolto.it/","ilraccolto.it")</f>
        <v>ilraccolto.it</v>
      </c>
    </row>
    <row r="724" spans="1:6" ht="81.75" customHeight="1" x14ac:dyDescent="0.25">
      <c r="A724" s="1" t="s">
        <v>2690</v>
      </c>
      <c r="B724" s="7" t="s">
        <v>2691</v>
      </c>
      <c r="C724" s="7" t="s">
        <v>2692</v>
      </c>
      <c r="D724" s="7" t="s">
        <v>2693</v>
      </c>
      <c r="E724" s="7" t="s">
        <v>2632</v>
      </c>
      <c r="F724" s="7" t="str">
        <f>HYPERLINK("http://cabcampiano.it/","cabcampiano.it")</f>
        <v>cabcampiano.it</v>
      </c>
    </row>
    <row r="725" spans="1:6" ht="16.95" customHeight="1" x14ac:dyDescent="0.25">
      <c r="A725" s="6" t="s">
        <v>2694</v>
      </c>
      <c r="B725" s="5" t="s">
        <v>2695</v>
      </c>
      <c r="C725" s="5" t="s">
        <v>2672</v>
      </c>
      <c r="D725" s="5" t="s">
        <v>2665</v>
      </c>
      <c r="E725" s="5" t="s">
        <v>2636</v>
      </c>
      <c r="F725" s="5" t="str">
        <f>HYPERLINK("http://www.tecnovite.it/","www.tecnovite.it")</f>
        <v>www.tecnovite.it</v>
      </c>
    </row>
    <row r="726" spans="1:6" ht="29.55" customHeight="1" x14ac:dyDescent="0.25">
      <c r="A726" s="6" t="s">
        <v>2696</v>
      </c>
      <c r="B726" s="5" t="s">
        <v>2697</v>
      </c>
      <c r="C726" s="5" t="s">
        <v>2651</v>
      </c>
      <c r="D726" s="5" t="s">
        <v>2678</v>
      </c>
      <c r="E726" s="5" t="s">
        <v>2657</v>
      </c>
      <c r="F726" s="5" t="str">
        <f>HYPERLINK("http://www.coopditalia.com/","www.coopditalia.com")</f>
        <v>www.coopditalia.com</v>
      </c>
    </row>
    <row r="727" spans="1:6" ht="16.95" customHeight="1" x14ac:dyDescent="0.25">
      <c r="A727" s="6" t="s">
        <v>2699</v>
      </c>
      <c r="B727" s="5" t="s">
        <v>2700</v>
      </c>
      <c r="C727" s="5" t="s">
        <v>2701</v>
      </c>
      <c r="D727" s="5" t="s">
        <v>2702</v>
      </c>
      <c r="E727" s="5" t="s">
        <v>2703</v>
      </c>
      <c r="F727" s="5" t="str">
        <f>HYPERLINK("http://www.buoniefreschi.it/","www.buoniefreschi.it")</f>
        <v>www.buoniefreschi.it</v>
      </c>
    </row>
    <row r="728" spans="1:6" ht="29.55" customHeight="1" x14ac:dyDescent="0.25">
      <c r="A728" s="1" t="s">
        <v>2708</v>
      </c>
      <c r="B728" s="7" t="s">
        <v>2709</v>
      </c>
      <c r="C728" s="7" t="s">
        <v>2710</v>
      </c>
      <c r="D728" s="7" t="s">
        <v>2707</v>
      </c>
      <c r="E728" s="7" t="s">
        <v>2705</v>
      </c>
      <c r="F728" s="7" t="str">
        <f>HYPERLINK("http://www.tedeschiwines.com/","www.tedeschiwines.com")</f>
        <v>www.tedeschiwines.com</v>
      </c>
    </row>
    <row r="729" spans="1:6" ht="43.05" customHeight="1" x14ac:dyDescent="0.25">
      <c r="A729" s="6" t="s">
        <v>2711</v>
      </c>
      <c r="B729" s="5" t="s">
        <v>2712</v>
      </c>
      <c r="C729" s="5" t="s">
        <v>2704</v>
      </c>
      <c r="D729" s="5" t="s">
        <v>2713</v>
      </c>
      <c r="E729" s="5" t="s">
        <v>2714</v>
      </c>
      <c r="F729" s="5" t="str">
        <f>HYPERLINK("http://www.fattoriaserenissima.it/","www.fattoriaserenissima.it")</f>
        <v>www.fattoriaserenissima.it</v>
      </c>
    </row>
    <row r="730" spans="1:6" ht="29.55" customHeight="1" x14ac:dyDescent="0.25">
      <c r="A730" s="1" t="s">
        <v>2715</v>
      </c>
      <c r="B730" s="7" t="s">
        <v>2716</v>
      </c>
      <c r="C730" s="7" t="s">
        <v>2717</v>
      </c>
      <c r="D730" s="7" t="s">
        <v>2718</v>
      </c>
      <c r="E730" s="7" t="s">
        <v>2714</v>
      </c>
      <c r="F730" s="7" t="str">
        <f>HYPERLINK("http://www.steflor.it/","www.steflor.it")</f>
        <v>www.steflor.it</v>
      </c>
    </row>
    <row r="731" spans="1:6" ht="43.05" customHeight="1" x14ac:dyDescent="0.25">
      <c r="A731" s="6" t="s">
        <v>2719</v>
      </c>
      <c r="B731" s="5" t="s">
        <v>2720</v>
      </c>
      <c r="C731" s="5" t="s">
        <v>2721</v>
      </c>
      <c r="D731" s="5" t="s">
        <v>2722</v>
      </c>
      <c r="E731" s="5" t="s">
        <v>2723</v>
      </c>
      <c r="F731" s="5" t="str">
        <f>HYPERLINK("http://www.agriosteria.it/","www.agriosteria.it")</f>
        <v>www.agriosteria.it</v>
      </c>
    </row>
    <row r="732" spans="1:6" ht="29.55" customHeight="1" x14ac:dyDescent="0.25">
      <c r="A732" s="1" t="s">
        <v>2724</v>
      </c>
      <c r="B732" s="7" t="s">
        <v>2725</v>
      </c>
      <c r="C732" s="7" t="s">
        <v>2726</v>
      </c>
      <c r="D732" s="7" t="s">
        <v>2727</v>
      </c>
      <c r="E732" s="7" t="s">
        <v>2728</v>
      </c>
      <c r="F732" s="7" t="str">
        <f>HYPERLINK("http://primabio.farm/","primabio.farm")</f>
        <v>primabio.farm</v>
      </c>
    </row>
    <row r="733" spans="1:6" ht="43.05" customHeight="1" x14ac:dyDescent="0.25">
      <c r="A733" s="1" t="s">
        <v>2729</v>
      </c>
      <c r="B733" s="7" t="s">
        <v>2730</v>
      </c>
      <c r="C733" s="7" t="s">
        <v>2706</v>
      </c>
      <c r="D733" s="7" t="s">
        <v>2731</v>
      </c>
      <c r="E733" s="7" t="s">
        <v>2732</v>
      </c>
      <c r="F733" s="7" t="str">
        <f>HYPERLINK("http://naturaiblea.it/","naturaiblea.it")</f>
        <v>naturaiblea.it</v>
      </c>
    </row>
    <row r="734" spans="1:6" ht="29.55" customHeight="1" x14ac:dyDescent="0.25">
      <c r="A734" s="6" t="s">
        <v>2733</v>
      </c>
      <c r="B734" s="5" t="s">
        <v>2734</v>
      </c>
      <c r="C734" s="5" t="s">
        <v>2710</v>
      </c>
      <c r="D734" s="5" t="s">
        <v>2735</v>
      </c>
      <c r="E734" s="5" t="s">
        <v>2736</v>
      </c>
      <c r="F734" s="5" t="str">
        <f>HYPERLINK("http://www.tenutelunelli.it/","www.tenutelunelli.it")</f>
        <v>www.tenutelunelli.it</v>
      </c>
    </row>
    <row r="735" spans="1:6" ht="43.05" customHeight="1" x14ac:dyDescent="0.25">
      <c r="A735" s="6" t="s">
        <v>2737</v>
      </c>
      <c r="B735" s="5" t="s">
        <v>2738</v>
      </c>
      <c r="C735" s="5" t="s">
        <v>2739</v>
      </c>
      <c r="D735" s="5" t="s">
        <v>2740</v>
      </c>
      <c r="E735" s="5" t="s">
        <v>2728</v>
      </c>
      <c r="F735" s="5" t="str">
        <f>HYPERLINK("http://www.facciolla.it/","www.facciolla.it")</f>
        <v>www.facciolla.it</v>
      </c>
    </row>
    <row r="736" spans="1:6" ht="43.05" customHeight="1" x14ac:dyDescent="0.25">
      <c r="A736" s="1" t="s">
        <v>2741</v>
      </c>
      <c r="B736" s="7" t="s">
        <v>2742</v>
      </c>
      <c r="C736" s="7" t="s">
        <v>2698</v>
      </c>
      <c r="D736" s="7" t="s">
        <v>2722</v>
      </c>
      <c r="E736" s="7" t="s">
        <v>2723</v>
      </c>
      <c r="F736" s="7" t="str">
        <f>HYPERLINK("http://www.agricolasangiobbe.it/","www.agricolasangiobbe.it")</f>
        <v>www.agricolasangiobbe.it</v>
      </c>
    </row>
    <row r="737" spans="1:6" ht="29.55" customHeight="1" x14ac:dyDescent="0.25">
      <c r="A737" s="6" t="s">
        <v>2744</v>
      </c>
      <c r="B737" s="5" t="s">
        <v>2745</v>
      </c>
      <c r="C737" s="5" t="s">
        <v>2746</v>
      </c>
      <c r="D737" s="5" t="s">
        <v>2747</v>
      </c>
      <c r="E737" s="5" t="s">
        <v>2728</v>
      </c>
      <c r="F737" s="5" t="str">
        <f>HYPERLINK("http://www.fratellipolise.it/","www.fratellipolise.it")</f>
        <v>www.fratellipolise.it</v>
      </c>
    </row>
    <row r="738" spans="1:6" ht="29.55" customHeight="1" x14ac:dyDescent="0.25">
      <c r="A738" s="1" t="s">
        <v>2748</v>
      </c>
      <c r="B738" s="7" t="s">
        <v>2749</v>
      </c>
      <c r="C738" s="7" t="s">
        <v>2721</v>
      </c>
      <c r="D738" s="7" t="s">
        <v>2750</v>
      </c>
      <c r="E738" s="7" t="s">
        <v>2751</v>
      </c>
      <c r="F738" s="7" t="str">
        <f>HYPERLINK("http://www.cooplareggia.it/","www.cooplareggia.it")</f>
        <v>www.cooplareggia.it</v>
      </c>
    </row>
    <row r="739" spans="1:6" ht="16.95" customHeight="1" x14ac:dyDescent="0.25">
      <c r="A739" s="6" t="s">
        <v>2752</v>
      </c>
      <c r="B739" s="5" t="s">
        <v>2753</v>
      </c>
      <c r="C739" s="5" t="s">
        <v>2721</v>
      </c>
      <c r="D739" s="5" t="s">
        <v>2754</v>
      </c>
      <c r="E739" s="5" t="s">
        <v>2728</v>
      </c>
      <c r="F739" s="5" t="str">
        <f>HYPERLINK("http://www.gervasiosrl.com/","www.gervasiosrl.com")</f>
        <v>www.gervasiosrl.com</v>
      </c>
    </row>
    <row r="740" spans="1:6" ht="43.05" customHeight="1" x14ac:dyDescent="0.25">
      <c r="A740" s="1" t="s">
        <v>2755</v>
      </c>
      <c r="B740" s="7" t="s">
        <v>2756</v>
      </c>
      <c r="C740" s="7" t="s">
        <v>2710</v>
      </c>
      <c r="D740" s="7" t="s">
        <v>2722</v>
      </c>
      <c r="E740" s="7" t="s">
        <v>2723</v>
      </c>
      <c r="F740" s="7" t="str">
        <f>HYPERLINK("http://www.vinifranchetti.com/","www.vinifranchetti.com")</f>
        <v>www.vinifranchetti.com</v>
      </c>
    </row>
    <row r="741" spans="1:6" ht="29.55" customHeight="1" x14ac:dyDescent="0.25">
      <c r="A741" s="1" t="s">
        <v>2757</v>
      </c>
      <c r="B741" s="7" t="s">
        <v>2758</v>
      </c>
      <c r="C741" s="7" t="s">
        <v>2759</v>
      </c>
      <c r="D741" s="7" t="s">
        <v>2760</v>
      </c>
      <c r="E741" s="7" t="s">
        <v>2703</v>
      </c>
      <c r="F741" s="7" t="str">
        <f>HYPERLINK("http://www.ccssalumificio.it/","www.ccssalumificio.it")</f>
        <v>www.ccssalumificio.it</v>
      </c>
    </row>
    <row r="742" spans="1:6" ht="43.05" customHeight="1" x14ac:dyDescent="0.25">
      <c r="A742" s="6" t="s">
        <v>2761</v>
      </c>
      <c r="B742" s="5" t="s">
        <v>2762</v>
      </c>
      <c r="C742" s="5" t="s">
        <v>2763</v>
      </c>
      <c r="D742" s="5" t="s">
        <v>2764</v>
      </c>
      <c r="E742" s="5" t="s">
        <v>2723</v>
      </c>
      <c r="F742" s="5" t="str">
        <f>HYPERLINK("http://agriturismopoggiodisotto.com/","agriturismopoggiodisotto.com")</f>
        <v>agriturismopoggiodisotto.com</v>
      </c>
    </row>
    <row r="743" spans="1:6" ht="81.75" customHeight="1" x14ac:dyDescent="0.25">
      <c r="A743" s="6" t="s">
        <v>2765</v>
      </c>
      <c r="B743" s="5" t="s">
        <v>2766</v>
      </c>
      <c r="C743" s="5" t="s">
        <v>2706</v>
      </c>
      <c r="D743" s="5" t="s">
        <v>2767</v>
      </c>
      <c r="E743" s="5" t="s">
        <v>2743</v>
      </c>
      <c r="F743" s="5" t="str">
        <f>HYPERLINK("http://www.produttoridelgavi.com/","www.produttoridelgavi.com")</f>
        <v>www.produttoridelgavi.com</v>
      </c>
    </row>
    <row r="744" spans="1:6" ht="43.05" customHeight="1" x14ac:dyDescent="0.25">
      <c r="A744" s="6" t="s">
        <v>2768</v>
      </c>
      <c r="B744" s="5" t="s">
        <v>2769</v>
      </c>
      <c r="C744" s="5" t="s">
        <v>2721</v>
      </c>
      <c r="D744" s="5" t="s">
        <v>2727</v>
      </c>
      <c r="E744" s="5" t="s">
        <v>2728</v>
      </c>
      <c r="F744" s="5" t="str">
        <f>HYPERLINK("http://www.cantinaapulia.it/","www.cantinaapulia.it")</f>
        <v>www.cantinaapulia.it</v>
      </c>
    </row>
    <row r="745" spans="1:6" ht="29.55" customHeight="1" x14ac:dyDescent="0.25">
      <c r="A745" s="6" t="s">
        <v>2772</v>
      </c>
      <c r="B745" s="5" t="s">
        <v>2773</v>
      </c>
      <c r="C745" s="5" t="s">
        <v>2774</v>
      </c>
      <c r="D745" s="5" t="s">
        <v>2775</v>
      </c>
      <c r="E745" s="5" t="s">
        <v>2776</v>
      </c>
      <c r="F745" s="5" t="str">
        <f>HYPERLINK("http://www.tenutadibagnoli.it/","www.tenutadibagnoli.it")</f>
        <v>www.tenutadibagnoli.it</v>
      </c>
    </row>
    <row r="746" spans="1:6" ht="43.05" customHeight="1" x14ac:dyDescent="0.25">
      <c r="A746" s="1" t="s">
        <v>2777</v>
      </c>
      <c r="B746" s="7" t="s">
        <v>2778</v>
      </c>
      <c r="C746" s="7" t="s">
        <v>2779</v>
      </c>
      <c r="D746" s="7" t="s">
        <v>2780</v>
      </c>
      <c r="E746" s="7" t="s">
        <v>2781</v>
      </c>
      <c r="F746" s="7" t="str">
        <f>HYPERLINK("http://caseificiosorano.it/","caseificiosorano.it")</f>
        <v>caseificiosorano.it</v>
      </c>
    </row>
    <row r="747" spans="1:6" ht="29.55" customHeight="1" x14ac:dyDescent="0.25">
      <c r="A747" s="6" t="s">
        <v>2782</v>
      </c>
      <c r="B747" s="5" t="s">
        <v>2783</v>
      </c>
      <c r="C747" s="5" t="s">
        <v>2784</v>
      </c>
      <c r="D747" s="5" t="s">
        <v>2785</v>
      </c>
      <c r="E747" s="5" t="s">
        <v>2786</v>
      </c>
      <c r="F747" s="5" t="str">
        <f>HYPERLINK("http://www.cuoreverdecoop.it/","www.cuoreverdecoop.it")</f>
        <v>www.cuoreverdecoop.it</v>
      </c>
    </row>
    <row r="748" spans="1:6" ht="29.55" customHeight="1" x14ac:dyDescent="0.25">
      <c r="A748" s="6" t="s">
        <v>2788</v>
      </c>
      <c r="B748" s="5" t="s">
        <v>2789</v>
      </c>
      <c r="C748" s="5" t="s">
        <v>2790</v>
      </c>
      <c r="D748" s="5" t="s">
        <v>2791</v>
      </c>
      <c r="E748" s="5" t="s">
        <v>2792</v>
      </c>
      <c r="F748" s="5" t="str">
        <f>HYPERLINK("https://www.emmettuk.com/","https://www.emmettuk.com/")</f>
        <v>https://www.emmettuk.com/</v>
      </c>
    </row>
    <row r="749" spans="1:6" ht="43.05" customHeight="1" x14ac:dyDescent="0.25">
      <c r="A749" s="1" t="s">
        <v>2793</v>
      </c>
      <c r="B749" s="7" t="s">
        <v>2794</v>
      </c>
      <c r="C749" s="7" t="s">
        <v>2795</v>
      </c>
      <c r="D749" s="7" t="s">
        <v>2796</v>
      </c>
      <c r="E749" s="7" t="s">
        <v>2792</v>
      </c>
      <c r="F749" s="7" t="str">
        <f>HYPERLINK("http://www.coronadellepuglie.it/","www.coronadellepuglie.it")</f>
        <v>www.coronadellepuglie.it</v>
      </c>
    </row>
    <row r="750" spans="1:6" ht="29.55" customHeight="1" x14ac:dyDescent="0.25">
      <c r="A750" s="6" t="s">
        <v>2797</v>
      </c>
      <c r="B750" s="5" t="s">
        <v>2798</v>
      </c>
      <c r="C750" s="5" t="s">
        <v>2779</v>
      </c>
      <c r="D750" s="5" t="s">
        <v>2799</v>
      </c>
      <c r="E750" s="5" t="s">
        <v>2800</v>
      </c>
      <c r="F750" s="5" t="str">
        <f>HYPERLINK("http://cooperativallafonte.it/","cooperativallafonte.it/")</f>
        <v>cooperativallafonte.it/</v>
      </c>
    </row>
    <row r="751" spans="1:6" ht="29.55" customHeight="1" x14ac:dyDescent="0.25">
      <c r="A751" s="6" t="s">
        <v>2801</v>
      </c>
      <c r="B751" s="5" t="s">
        <v>2802</v>
      </c>
      <c r="C751" s="5" t="s">
        <v>2803</v>
      </c>
      <c r="D751" s="5" t="s">
        <v>2804</v>
      </c>
      <c r="E751" s="5" t="s">
        <v>2771</v>
      </c>
      <c r="F751" s="5" t="str">
        <f>HYPERLINK("http://piantedikiwi.it/","piantedikiwi.it")</f>
        <v>piantedikiwi.it</v>
      </c>
    </row>
    <row r="752" spans="1:6" ht="43.05" customHeight="1" x14ac:dyDescent="0.25">
      <c r="A752" s="1" t="s">
        <v>2807</v>
      </c>
      <c r="B752" s="7" t="s">
        <v>2808</v>
      </c>
      <c r="C752" s="7" t="s">
        <v>2779</v>
      </c>
      <c r="D752" s="7" t="s">
        <v>2775</v>
      </c>
      <c r="E752" s="7" t="s">
        <v>2776</v>
      </c>
      <c r="F752" s="7" t="str">
        <f>HYPERLINK("http://www.condin.shop/","www.condin.shop")</f>
        <v>www.condin.shop</v>
      </c>
    </row>
    <row r="753" spans="1:6" ht="55.65" customHeight="1" x14ac:dyDescent="0.25">
      <c r="A753" s="1" t="s">
        <v>2809</v>
      </c>
      <c r="B753" s="7" t="s">
        <v>2810</v>
      </c>
      <c r="C753" s="7" t="s">
        <v>2787</v>
      </c>
      <c r="D753" s="7" t="s">
        <v>2811</v>
      </c>
      <c r="E753" s="7" t="s">
        <v>2792</v>
      </c>
      <c r="F753" s="7" t="str">
        <f>HYPERLINK("http://www.masseriaaltemura.it/","www.masseriaaltemura.it")</f>
        <v>www.masseriaaltemura.it</v>
      </c>
    </row>
    <row r="754" spans="1:6" ht="16.95" customHeight="1" x14ac:dyDescent="0.25">
      <c r="A754" s="1" t="s">
        <v>2812</v>
      </c>
      <c r="B754" s="7" t="s">
        <v>2813</v>
      </c>
      <c r="C754" s="7" t="s">
        <v>2795</v>
      </c>
      <c r="D754" s="7" t="s">
        <v>2796</v>
      </c>
      <c r="E754" s="7" t="s">
        <v>2792</v>
      </c>
      <c r="F754" s="7" t="str">
        <f>HYPERLINK("http://www.impiantisticavigneti.com/","www.impiantisticavigneti.com")</f>
        <v>www.impiantisticavigneti.com</v>
      </c>
    </row>
    <row r="755" spans="1:6" ht="29.55" customHeight="1" x14ac:dyDescent="0.25">
      <c r="A755" s="6" t="s">
        <v>2814</v>
      </c>
      <c r="B755" s="5" t="s">
        <v>2815</v>
      </c>
      <c r="C755" s="5" t="s">
        <v>2816</v>
      </c>
      <c r="D755" s="5" t="s">
        <v>2805</v>
      </c>
      <c r="E755" s="5" t="s">
        <v>2806</v>
      </c>
      <c r="F755" s="5" t="str">
        <f>HYPERLINK("http://subitobio.it/","subitobio.it")</f>
        <v>subitobio.it</v>
      </c>
    </row>
    <row r="756" spans="1:6" ht="29.55" customHeight="1" x14ac:dyDescent="0.25">
      <c r="A756" s="1" t="s">
        <v>2817</v>
      </c>
      <c r="B756" s="7" t="s">
        <v>2818</v>
      </c>
      <c r="C756" s="7" t="s">
        <v>2819</v>
      </c>
      <c r="D756" s="7" t="s">
        <v>2820</v>
      </c>
      <c r="E756" s="7" t="s">
        <v>2821</v>
      </c>
      <c r="F756" s="7" t="str">
        <f>HYPERLINK("http://www.fattoriegarofalo.it/","www.fattoriegarofalo.it")</f>
        <v>www.fattoriegarofalo.it</v>
      </c>
    </row>
    <row r="757" spans="1:6" ht="29.55" customHeight="1" x14ac:dyDescent="0.25">
      <c r="A757" s="6" t="s">
        <v>2822</v>
      </c>
      <c r="B757" s="5" t="s">
        <v>2823</v>
      </c>
      <c r="C757" s="5" t="s">
        <v>2770</v>
      </c>
      <c r="D757" s="5" t="s">
        <v>2824</v>
      </c>
      <c r="E757" s="5" t="s">
        <v>2825</v>
      </c>
      <c r="F757" s="5" t="str">
        <f>HYPERLINK("http://kaeserei-sexten.com/","kaeserei-sexten.com")</f>
        <v>kaeserei-sexten.com</v>
      </c>
    </row>
    <row r="758" spans="1:6" ht="29.55" customHeight="1" x14ac:dyDescent="0.25">
      <c r="A758" s="1" t="s">
        <v>2826</v>
      </c>
      <c r="B758" s="7" t="s">
        <v>2827</v>
      </c>
      <c r="C758" s="7" t="s">
        <v>2787</v>
      </c>
      <c r="D758" s="7" t="s">
        <v>2828</v>
      </c>
      <c r="E758" s="7" t="s">
        <v>2829</v>
      </c>
      <c r="F758" s="7" t="str">
        <f>HYPERLINK("http://www.cantinadorgali.com/","www.cantinadorgali.com")</f>
        <v>www.cantinadorgali.com</v>
      </c>
    </row>
    <row r="759" spans="1:6" ht="43.05" customHeight="1" x14ac:dyDescent="0.25">
      <c r="A759" s="6" t="s">
        <v>2830</v>
      </c>
      <c r="B759" s="5" t="s">
        <v>2831</v>
      </c>
      <c r="C759" s="5" t="s">
        <v>2832</v>
      </c>
      <c r="D759" s="5" t="s">
        <v>2791</v>
      </c>
      <c r="E759" s="5" t="s">
        <v>2792</v>
      </c>
      <c r="F759" s="5" t="str">
        <f>HYPERLINK("http://masseriedipuglia.ecomstore.it/","masseriedipuglia.ecomstore.it")</f>
        <v>masseriedipuglia.ecomstore.it</v>
      </c>
    </row>
    <row r="760" spans="1:6" ht="29.55" customHeight="1" x14ac:dyDescent="0.25">
      <c r="A760" s="6" t="s">
        <v>2833</v>
      </c>
      <c r="B760" s="5" t="s">
        <v>2834</v>
      </c>
      <c r="C760" s="5" t="s">
        <v>2779</v>
      </c>
      <c r="D760" s="5" t="s">
        <v>2835</v>
      </c>
      <c r="E760" s="5" t="s">
        <v>2771</v>
      </c>
      <c r="F760" s="5" t="str">
        <f>HYPERLINK("http://www.oroverdeforaggi.com/","www.oroverdeforaggi.com")</f>
        <v>www.oroverdeforaggi.com</v>
      </c>
    </row>
    <row r="761" spans="1:6" ht="29.55" customHeight="1" x14ac:dyDescent="0.25">
      <c r="A761" s="6" t="s">
        <v>2836</v>
      </c>
      <c r="B761" s="5" t="s">
        <v>2837</v>
      </c>
      <c r="C761" s="5" t="s">
        <v>2819</v>
      </c>
      <c r="D761" s="5" t="s">
        <v>2838</v>
      </c>
      <c r="E761" s="5" t="s">
        <v>2839</v>
      </c>
      <c r="F761" s="5" t="str">
        <f>HYPERLINK("http://dottorgiorgi.it/","dottorgiorgi.it")</f>
        <v>dottorgiorgi.it</v>
      </c>
    </row>
    <row r="762" spans="1:6" ht="29.55" customHeight="1" x14ac:dyDescent="0.25">
      <c r="A762" s="1" t="s">
        <v>2840</v>
      </c>
      <c r="B762" s="7" t="s">
        <v>2841</v>
      </c>
      <c r="C762" s="7" t="s">
        <v>2842</v>
      </c>
      <c r="D762" s="7" t="s">
        <v>2843</v>
      </c>
      <c r="E762" s="7" t="s">
        <v>2844</v>
      </c>
      <c r="F762" s="7" t="str">
        <f>HYPERLINK("http://www.lazzaroniequaresmini.it/","www.lazzaroniequaresmini.it")</f>
        <v>www.lazzaroniequaresmini.it</v>
      </c>
    </row>
    <row r="763" spans="1:6" ht="43.05" customHeight="1" x14ac:dyDescent="0.25">
      <c r="A763" s="6" t="s">
        <v>2845</v>
      </c>
      <c r="B763" s="5" t="s">
        <v>2846</v>
      </c>
      <c r="C763" s="5" t="s">
        <v>2819</v>
      </c>
      <c r="D763" s="5" t="s">
        <v>2847</v>
      </c>
      <c r="E763" s="5" t="s">
        <v>2844</v>
      </c>
      <c r="F763" s="5" t="str">
        <f>HYPERLINK("http://www.barbiselle.it/","www.barbiselle.it")</f>
        <v>www.barbiselle.it</v>
      </c>
    </row>
    <row r="764" spans="1:6" ht="29.55" customHeight="1" x14ac:dyDescent="0.25">
      <c r="A764" s="1" t="s">
        <v>2848</v>
      </c>
      <c r="B764" s="7" t="s">
        <v>2849</v>
      </c>
      <c r="C764" s="7" t="s">
        <v>2850</v>
      </c>
      <c r="D764" s="7" t="s">
        <v>2851</v>
      </c>
      <c r="E764" s="7" t="s">
        <v>2852</v>
      </c>
      <c r="F764" s="7" t="str">
        <f>HYPERLINK("http://instagram.com/agromeccanica_rocchi","instagram.com/agromeccanica_rocchi")</f>
        <v>instagram.com/agromeccanica_rocchi</v>
      </c>
    </row>
    <row r="765" spans="1:6" ht="55.65" customHeight="1" x14ac:dyDescent="0.25">
      <c r="A765" s="1" t="s">
        <v>2854</v>
      </c>
      <c r="B765" s="7" t="s">
        <v>2855</v>
      </c>
      <c r="C765" s="7" t="s">
        <v>2856</v>
      </c>
      <c r="D765" s="7" t="s">
        <v>2857</v>
      </c>
      <c r="E765" s="7" t="s">
        <v>2858</v>
      </c>
      <c r="F765" s="7" t="str">
        <f>HYPERLINK("http://www.brerofrutta.it/","www.brerofrutta.it")</f>
        <v>www.brerofrutta.it</v>
      </c>
    </row>
    <row r="766" spans="1:6" ht="16.95" customHeight="1" x14ac:dyDescent="0.25">
      <c r="A766" s="6" t="s">
        <v>2859</v>
      </c>
      <c r="B766" s="5" t="s">
        <v>2860</v>
      </c>
      <c r="C766" s="5" t="s">
        <v>2861</v>
      </c>
      <c r="D766" s="5" t="s">
        <v>2862</v>
      </c>
      <c r="E766" s="5" t="s">
        <v>2863</v>
      </c>
      <c r="F766" s="5" t="str">
        <f>HYPERLINK("http://deian.it/","deian.it")</f>
        <v>deian.it</v>
      </c>
    </row>
    <row r="767" spans="1:6" ht="29.55" customHeight="1" x14ac:dyDescent="0.25">
      <c r="A767" s="1" t="s">
        <v>2864</v>
      </c>
      <c r="B767" s="7" t="s">
        <v>2865</v>
      </c>
      <c r="C767" s="7" t="s">
        <v>2856</v>
      </c>
      <c r="D767" s="7" t="s">
        <v>2866</v>
      </c>
      <c r="E767" s="7" t="s">
        <v>2867</v>
      </c>
      <c r="F767" s="7" t="str">
        <f>HYPERLINK("http://www.ortidelsole.it/","www.ortidelsole.it")</f>
        <v>www.ortidelsole.it</v>
      </c>
    </row>
    <row r="768" spans="1:6" ht="29.55" customHeight="1" x14ac:dyDescent="0.25">
      <c r="A768" s="1" t="s">
        <v>2868</v>
      </c>
      <c r="B768" s="7" t="s">
        <v>2869</v>
      </c>
      <c r="C768" s="7" t="s">
        <v>2870</v>
      </c>
      <c r="D768" s="7" t="s">
        <v>2851</v>
      </c>
      <c r="E768" s="7" t="s">
        <v>2852</v>
      </c>
      <c r="F768" s="7" t="str">
        <f>HYPERLINK("http://www.lacipriana.com/","www.lacipriana.com")</f>
        <v>www.lacipriana.com</v>
      </c>
    </row>
    <row r="769" spans="1:6" ht="43.05" customHeight="1" x14ac:dyDescent="0.25">
      <c r="A769" s="6" t="s">
        <v>2871</v>
      </c>
      <c r="B769" s="5" t="s">
        <v>2872</v>
      </c>
      <c r="C769" s="5" t="s">
        <v>2870</v>
      </c>
      <c r="D769" s="5" t="s">
        <v>2873</v>
      </c>
      <c r="E769" s="5" t="s">
        <v>2874</v>
      </c>
      <c r="F769" s="5" t="str">
        <f>HYPERLINK("http://www.cooperativeagricoleditrevi.it/","www.cooperativeagricoleditrevi.it")</f>
        <v>www.cooperativeagricoleditrevi.it</v>
      </c>
    </row>
    <row r="770" spans="1:6" ht="43.05" customHeight="1" x14ac:dyDescent="0.25">
      <c r="A770" s="1" t="s">
        <v>2875</v>
      </c>
      <c r="B770" s="7" t="s">
        <v>2876</v>
      </c>
      <c r="C770" s="7" t="s">
        <v>2877</v>
      </c>
      <c r="D770" s="7" t="s">
        <v>2878</v>
      </c>
      <c r="E770" s="7" t="s">
        <v>2879</v>
      </c>
      <c r="F770" s="7" t="str">
        <f>HYPERLINK("http://bioplanet.eu/","bioplanet.eu")</f>
        <v>bioplanet.eu</v>
      </c>
    </row>
    <row r="771" spans="1:6" ht="55.65" customHeight="1" x14ac:dyDescent="0.25">
      <c r="A771" s="1" t="s">
        <v>2880</v>
      </c>
      <c r="B771" s="7" t="s">
        <v>2881</v>
      </c>
      <c r="C771" s="7" t="s">
        <v>2856</v>
      </c>
      <c r="D771" s="7" t="s">
        <v>2882</v>
      </c>
      <c r="E771" s="7" t="s">
        <v>2883</v>
      </c>
      <c r="F771" s="7" t="str">
        <f>HYPERLINK("http://www.cofruca.it/","www.cofruca.it")</f>
        <v>www.cofruca.it</v>
      </c>
    </row>
    <row r="772" spans="1:6" ht="29.55" customHeight="1" x14ac:dyDescent="0.25">
      <c r="A772" s="1" t="s">
        <v>2885</v>
      </c>
      <c r="B772" s="7" t="s">
        <v>2886</v>
      </c>
      <c r="C772" s="7" t="s">
        <v>2887</v>
      </c>
      <c r="D772" s="7" t="s">
        <v>2888</v>
      </c>
      <c r="E772" s="7" t="s">
        <v>2889</v>
      </c>
      <c r="F772" s="7" t="str">
        <f>HYPERLINK("http://www.basilicodop.eu/","www.basilicodop.eu")</f>
        <v>www.basilicodop.eu</v>
      </c>
    </row>
    <row r="773" spans="1:6" ht="68.099999999999994" customHeight="1" x14ac:dyDescent="0.25">
      <c r="A773" s="1" t="s">
        <v>2891</v>
      </c>
      <c r="B773" s="7" t="s">
        <v>2892</v>
      </c>
      <c r="C773" s="7" t="s">
        <v>2893</v>
      </c>
      <c r="D773" s="7" t="s">
        <v>2894</v>
      </c>
      <c r="E773" s="7" t="s">
        <v>2853</v>
      </c>
      <c r="F773" s="7" t="str">
        <f>HYPERLINK("http://www.gruppoitalianovini.it/","www.gruppoitalianovini.it")</f>
        <v>www.gruppoitalianovini.it</v>
      </c>
    </row>
    <row r="774" spans="1:6" ht="43.05" customHeight="1" x14ac:dyDescent="0.25">
      <c r="A774" s="1" t="s">
        <v>2895</v>
      </c>
      <c r="B774" s="7" t="s">
        <v>2896</v>
      </c>
      <c r="C774" s="7" t="s">
        <v>2870</v>
      </c>
      <c r="D774" s="7" t="s">
        <v>2897</v>
      </c>
      <c r="E774" s="7" t="s">
        <v>2879</v>
      </c>
      <c r="F774" s="7" t="str">
        <f>HYPERLINK("http://www.latteriasocialenuova.it/","www.latteriasocialenuova.it")</f>
        <v>www.latteriasocialenuova.it</v>
      </c>
    </row>
    <row r="775" spans="1:6" ht="43.05" customHeight="1" x14ac:dyDescent="0.25">
      <c r="A775" s="1" t="s">
        <v>2899</v>
      </c>
      <c r="B775" s="7" t="s">
        <v>2900</v>
      </c>
      <c r="C775" s="7" t="s">
        <v>2901</v>
      </c>
      <c r="D775" s="7" t="s">
        <v>2902</v>
      </c>
      <c r="E775" s="7" t="s">
        <v>2903</v>
      </c>
      <c r="F775" s="7" t="str">
        <f>HYPERLINK("http://sennereiburgeis.it/","sennereiburgeis.it")</f>
        <v>sennereiburgeis.it</v>
      </c>
    </row>
    <row r="776" spans="1:6" ht="43.05" customHeight="1" x14ac:dyDescent="0.25">
      <c r="A776" s="6" t="s">
        <v>2904</v>
      </c>
      <c r="B776" s="5" t="s">
        <v>2905</v>
      </c>
      <c r="C776" s="5" t="s">
        <v>2884</v>
      </c>
      <c r="D776" s="5" t="s">
        <v>2906</v>
      </c>
      <c r="E776" s="5" t="s">
        <v>2907</v>
      </c>
      <c r="F776" s="5" t="str">
        <f>HYPERLINK("http://www.sgaravattigroup.it/","www.sgaravattigroup.it")</f>
        <v>www.sgaravattigroup.it</v>
      </c>
    </row>
    <row r="777" spans="1:6" ht="43.05" customHeight="1" x14ac:dyDescent="0.25">
      <c r="A777" s="1" t="s">
        <v>2908</v>
      </c>
      <c r="B777" s="7" t="s">
        <v>2909</v>
      </c>
      <c r="C777" s="7" t="s">
        <v>2898</v>
      </c>
      <c r="D777" s="7" t="s">
        <v>2910</v>
      </c>
      <c r="E777" s="7" t="s">
        <v>2883</v>
      </c>
      <c r="F777" s="7" t="str">
        <f>HYPERLINK("http://cmcpiave.jimdofree.com/","cmcpiave.jimdofree.com")</f>
        <v>cmcpiave.jimdofree.com</v>
      </c>
    </row>
    <row r="778" spans="1:6" ht="55.65" customHeight="1" x14ac:dyDescent="0.25">
      <c r="A778" s="6" t="s">
        <v>2911</v>
      </c>
      <c r="B778" s="5" t="s">
        <v>2912</v>
      </c>
      <c r="C778" s="5" t="s">
        <v>2856</v>
      </c>
      <c r="D778" s="5" t="s">
        <v>2913</v>
      </c>
      <c r="E778" s="5" t="s">
        <v>2890</v>
      </c>
      <c r="F778" s="5" t="str">
        <f>HYPERLINK("http://caa.unicaa.it/","caa.unicaa.it")</f>
        <v>caa.unicaa.it</v>
      </c>
    </row>
    <row r="779" spans="1:6" ht="16.95" customHeight="1" x14ac:dyDescent="0.25">
      <c r="A779" s="1" t="s">
        <v>2914</v>
      </c>
      <c r="B779" s="7" t="s">
        <v>2915</v>
      </c>
      <c r="C779" s="7" t="s">
        <v>2893</v>
      </c>
      <c r="D779" s="7" t="s">
        <v>2916</v>
      </c>
      <c r="E779" s="7" t="s">
        <v>2917</v>
      </c>
      <c r="F779" s="7" t="str">
        <f>HYPERLINK("http://shop.jollycaffe.it/","shop.jollycaffe.it")</f>
        <v>shop.jollycaffe.it</v>
      </c>
    </row>
    <row r="780" spans="1:6" ht="29.55" customHeight="1" x14ac:dyDescent="0.25">
      <c r="A780" s="6" t="s">
        <v>2918</v>
      </c>
      <c r="B780" s="5" t="s">
        <v>2919</v>
      </c>
      <c r="C780" s="5" t="s">
        <v>2887</v>
      </c>
      <c r="D780" s="5" t="s">
        <v>2920</v>
      </c>
      <c r="E780" s="5" t="s">
        <v>2921</v>
      </c>
      <c r="F780" s="5" t="str">
        <f>HYPERLINK("http://www.ortodautore.it/","www.ortodautore.it")</f>
        <v>www.ortodautore.it</v>
      </c>
    </row>
    <row r="781" spans="1:6" ht="94.2" customHeight="1" x14ac:dyDescent="0.25">
      <c r="A781" s="1" t="s">
        <v>2922</v>
      </c>
      <c r="B781" s="7" t="s">
        <v>2923</v>
      </c>
      <c r="C781" s="7" t="s">
        <v>2924</v>
      </c>
      <c r="D781" s="7" t="s">
        <v>2925</v>
      </c>
      <c r="E781" s="7" t="s">
        <v>2926</v>
      </c>
      <c r="F781" s="7" t="str">
        <f>HYPERLINK("http://bonificalamone.it/","bonificalamone.it")</f>
        <v>bonificalamone.it</v>
      </c>
    </row>
    <row r="782" spans="1:6" ht="43.05" customHeight="1" x14ac:dyDescent="0.25">
      <c r="A782" s="6" t="s">
        <v>2927</v>
      </c>
      <c r="B782" s="5" t="s">
        <v>2928</v>
      </c>
      <c r="C782" s="5" t="s">
        <v>2929</v>
      </c>
      <c r="D782" s="5" t="s">
        <v>2930</v>
      </c>
      <c r="E782" s="5" t="s">
        <v>2931</v>
      </c>
      <c r="F782" s="5" t="str">
        <f>HYPERLINK("http://www.costieragrumicoop.it/","www.costieragrumicoop.it")</f>
        <v>www.costieragrumicoop.it</v>
      </c>
    </row>
    <row r="783" spans="1:6" ht="29.55" customHeight="1" x14ac:dyDescent="0.25">
      <c r="A783" s="1" t="s">
        <v>2932</v>
      </c>
      <c r="B783" s="7" t="s">
        <v>2933</v>
      </c>
      <c r="C783" s="7" t="s">
        <v>2934</v>
      </c>
      <c r="D783" s="7" t="s">
        <v>2935</v>
      </c>
      <c r="E783" s="7" t="s">
        <v>2936</v>
      </c>
      <c r="F783" s="7" t="str">
        <f>HYPERLINK("http://www.ristorantesantaelisabetta.it/","www.ristorantesantaelisabetta.it")</f>
        <v>www.ristorantesantaelisabetta.it</v>
      </c>
    </row>
    <row r="784" spans="1:6" ht="29.55" customHeight="1" x14ac:dyDescent="0.25">
      <c r="A784" s="6" t="s">
        <v>2937</v>
      </c>
      <c r="B784" s="5" t="s">
        <v>2938</v>
      </c>
      <c r="C784" s="5" t="s">
        <v>2939</v>
      </c>
      <c r="D784" s="5" t="s">
        <v>2940</v>
      </c>
      <c r="E784" s="5" t="s">
        <v>2941</v>
      </c>
      <c r="F784" s="5" t="str">
        <f>HYPERLINK("http://www.gruppopaoletti.it/","www.gruppopaoletti.it")</f>
        <v>www.gruppopaoletti.it</v>
      </c>
    </row>
    <row r="785" spans="1:6" ht="16.95" customHeight="1" x14ac:dyDescent="0.25">
      <c r="A785" s="1" t="s">
        <v>2946</v>
      </c>
      <c r="B785" s="7" t="s">
        <v>2947</v>
      </c>
      <c r="C785" s="7" t="s">
        <v>2942</v>
      </c>
      <c r="D785" s="7" t="s">
        <v>2940</v>
      </c>
      <c r="E785" s="7" t="s">
        <v>2941</v>
      </c>
      <c r="F785" s="7" t="str">
        <f>HYPERLINK("http://www.lineaverdenicolini.it/","www.lineaverdenicolini.it")</f>
        <v>www.lineaverdenicolini.it</v>
      </c>
    </row>
    <row r="786" spans="1:6" ht="29.55" customHeight="1" x14ac:dyDescent="0.25">
      <c r="A786" s="1" t="s">
        <v>2948</v>
      </c>
      <c r="B786" s="7" t="s">
        <v>2949</v>
      </c>
      <c r="C786" s="7" t="s">
        <v>2929</v>
      </c>
      <c r="D786" s="7" t="s">
        <v>2950</v>
      </c>
      <c r="E786" s="7" t="s">
        <v>2943</v>
      </c>
      <c r="F786" s="7" t="str">
        <f>HYPERLINK("http://www.villanani.it/","www.villanani.it")</f>
        <v>www.villanani.it</v>
      </c>
    </row>
    <row r="787" spans="1:6" ht="55.65" customHeight="1" x14ac:dyDescent="0.25">
      <c r="A787" s="6" t="s">
        <v>2951</v>
      </c>
      <c r="B787" s="5" t="s">
        <v>2952</v>
      </c>
      <c r="C787" s="5" t="s">
        <v>2953</v>
      </c>
      <c r="D787" s="5" t="s">
        <v>2954</v>
      </c>
      <c r="E787" s="5" t="s">
        <v>2936</v>
      </c>
      <c r="F787" s="5" t="str">
        <f>HYPERLINK("http://www.fattoriadeibarbi.it/","www.fattoriadeibarbi.it")</f>
        <v>www.fattoriadeibarbi.it</v>
      </c>
    </row>
    <row r="788" spans="1:6" ht="132.75" customHeight="1" x14ac:dyDescent="0.25">
      <c r="A788" s="6" t="s">
        <v>2955</v>
      </c>
      <c r="B788" s="5" t="s">
        <v>2956</v>
      </c>
      <c r="C788" s="5" t="s">
        <v>2953</v>
      </c>
      <c r="D788" s="5" t="s">
        <v>2957</v>
      </c>
      <c r="E788" s="5" t="s">
        <v>2958</v>
      </c>
      <c r="F788" s="5" t="str">
        <f>HYPERLINK("http://villavestea.com/","villavestea.com")</f>
        <v>villavestea.com</v>
      </c>
    </row>
    <row r="789" spans="1:6" ht="29.55" customHeight="1" x14ac:dyDescent="0.25">
      <c r="A789" s="6" t="s">
        <v>2959</v>
      </c>
      <c r="B789" s="5" t="s">
        <v>2960</v>
      </c>
      <c r="C789" s="5" t="s">
        <v>2953</v>
      </c>
      <c r="D789" s="5" t="s">
        <v>2961</v>
      </c>
      <c r="E789" s="5" t="s">
        <v>2962</v>
      </c>
      <c r="F789" s="5" t="str">
        <f>HYPERLINK("http://www.nervicantine.it/","http://www.nervicantine.it")</f>
        <v>http://www.nervicantine.it</v>
      </c>
    </row>
    <row r="790" spans="1:6" ht="29.55" customHeight="1" x14ac:dyDescent="0.25">
      <c r="A790" s="1" t="s">
        <v>2963</v>
      </c>
      <c r="B790" s="7" t="s">
        <v>2964</v>
      </c>
      <c r="C790" s="7" t="s">
        <v>2929</v>
      </c>
      <c r="D790" s="7" t="s">
        <v>2965</v>
      </c>
      <c r="E790" s="7" t="s">
        <v>2941</v>
      </c>
      <c r="F790" s="7" t="str">
        <f>HYPERLINK("http://cpncoop.it/","cpncoop.it")</f>
        <v>cpncoop.it</v>
      </c>
    </row>
    <row r="791" spans="1:6" ht="29.55" customHeight="1" x14ac:dyDescent="0.25">
      <c r="A791" s="6" t="s">
        <v>2966</v>
      </c>
      <c r="B791" s="5" t="s">
        <v>2967</v>
      </c>
      <c r="C791" s="5" t="s">
        <v>2968</v>
      </c>
      <c r="D791" s="5" t="s">
        <v>2944</v>
      </c>
      <c r="E791" s="5" t="s">
        <v>2945</v>
      </c>
      <c r="F791" s="5" t="str">
        <f>HYPERLINK("http://www.agroviva.it/","www.agroviva.it")</f>
        <v>www.agroviva.it</v>
      </c>
    </row>
    <row r="792" spans="1:6" ht="29.55" customHeight="1" x14ac:dyDescent="0.25">
      <c r="A792" s="6" t="s">
        <v>2969</v>
      </c>
      <c r="B792" s="5" t="s">
        <v>2970</v>
      </c>
      <c r="C792" s="5" t="s">
        <v>2971</v>
      </c>
      <c r="D792" s="5" t="s">
        <v>2944</v>
      </c>
      <c r="E792" s="5" t="s">
        <v>2945</v>
      </c>
      <c r="F792" s="5" t="str">
        <f>HYPERLINK("http://www.biomilana.it/","www.biomilana.it")</f>
        <v>www.biomilana.it</v>
      </c>
    </row>
    <row r="793" spans="1:6" ht="29.55" customHeight="1" x14ac:dyDescent="0.25">
      <c r="A793" s="1" t="s">
        <v>2972</v>
      </c>
      <c r="B793" s="7" t="s">
        <v>2973</v>
      </c>
      <c r="C793" s="7" t="s">
        <v>2953</v>
      </c>
      <c r="D793" s="7" t="s">
        <v>2954</v>
      </c>
      <c r="E793" s="7" t="s">
        <v>2936</v>
      </c>
      <c r="F793" s="7" t="str">
        <f>HYPERLINK("http://www.tenutadiarceno.com/","www.tenutadiarceno.com")</f>
        <v>www.tenutadiarceno.com</v>
      </c>
    </row>
    <row r="794" spans="1:6" ht="29.55" customHeight="1" x14ac:dyDescent="0.25">
      <c r="A794" s="1" t="s">
        <v>2974</v>
      </c>
      <c r="B794" s="7" t="s">
        <v>2975</v>
      </c>
      <c r="C794" s="7" t="s">
        <v>2953</v>
      </c>
      <c r="D794" s="7" t="s">
        <v>2976</v>
      </c>
      <c r="E794" s="7" t="s">
        <v>2977</v>
      </c>
      <c r="F794" s="7" t="str">
        <f>HYPERLINK("http://capichera.it/","capichera.it")</f>
        <v>capichera.it</v>
      </c>
    </row>
    <row r="795" spans="1:6" ht="94.2" customHeight="1" x14ac:dyDescent="0.25">
      <c r="A795" s="1" t="s">
        <v>2978</v>
      </c>
      <c r="B795" s="7" t="s">
        <v>2979</v>
      </c>
      <c r="C795" s="7" t="s">
        <v>2953</v>
      </c>
      <c r="D795" s="7" t="s">
        <v>2935</v>
      </c>
      <c r="E795" s="7" t="s">
        <v>2936</v>
      </c>
      <c r="F795" s="7" t="str">
        <f>HYPERLINK("http://www.vicas.it/","www.vicas.it")</f>
        <v>www.vicas.it</v>
      </c>
    </row>
    <row r="796" spans="1:6" ht="16.95" customHeight="1" x14ac:dyDescent="0.25">
      <c r="A796" s="6" t="s">
        <v>2980</v>
      </c>
      <c r="B796" s="5" t="s">
        <v>2981</v>
      </c>
      <c r="C796" s="5" t="s">
        <v>2971</v>
      </c>
      <c r="D796" s="5" t="s">
        <v>2982</v>
      </c>
      <c r="E796" s="5" t="s">
        <v>2936</v>
      </c>
      <c r="F796" s="5" t="str">
        <f>HYPERLINK("http://milaneschisrl.it/","milaneschisrl.it")</f>
        <v>milaneschisrl.it</v>
      </c>
    </row>
    <row r="797" spans="1:6" ht="94.2" customHeight="1" x14ac:dyDescent="0.25">
      <c r="A797" s="1" t="s">
        <v>2983</v>
      </c>
      <c r="B797" s="7" t="s">
        <v>2984</v>
      </c>
      <c r="C797" s="7" t="s">
        <v>2985</v>
      </c>
      <c r="D797" s="7" t="s">
        <v>2986</v>
      </c>
      <c r="E797" s="7" t="s">
        <v>2987</v>
      </c>
      <c r="F797" s="7" t="str">
        <f>HYPERLINK("http://www.altesino.it/","www.altesino.it")</f>
        <v>www.altesino.it</v>
      </c>
    </row>
    <row r="798" spans="1:6" ht="29.55" customHeight="1" x14ac:dyDescent="0.25">
      <c r="A798" s="1" t="s">
        <v>2992</v>
      </c>
      <c r="B798" s="7" t="s">
        <v>2993</v>
      </c>
      <c r="C798" s="7" t="s">
        <v>2994</v>
      </c>
      <c r="D798" s="7" t="s">
        <v>2995</v>
      </c>
      <c r="E798" s="7" t="s">
        <v>2996</v>
      </c>
      <c r="F798" s="7" t="str">
        <f>HYPERLINK("http://borgo.drugolo.it/","borgo.drugolo.it")</f>
        <v>borgo.drugolo.it</v>
      </c>
    </row>
    <row r="799" spans="1:6" ht="29.55" customHeight="1" x14ac:dyDescent="0.25">
      <c r="A799" s="1" t="s">
        <v>2997</v>
      </c>
      <c r="B799" s="7" t="s">
        <v>2998</v>
      </c>
      <c r="C799" s="7" t="s">
        <v>2989</v>
      </c>
      <c r="D799" s="7" t="s">
        <v>2999</v>
      </c>
      <c r="E799" s="7" t="s">
        <v>3000</v>
      </c>
      <c r="F799" s="7" t="str">
        <f>HYPERLINK("http://www.agricolavitale.it/","www.agricolavitale.it")</f>
        <v>www.agricolavitale.it</v>
      </c>
    </row>
    <row r="800" spans="1:6" ht="29.55" customHeight="1" x14ac:dyDescent="0.25">
      <c r="A800" s="1" t="s">
        <v>3001</v>
      </c>
      <c r="B800" s="7" t="s">
        <v>3002</v>
      </c>
      <c r="C800" s="7" t="s">
        <v>2985</v>
      </c>
      <c r="D800" s="7" t="s">
        <v>2990</v>
      </c>
      <c r="E800" s="7" t="s">
        <v>2990</v>
      </c>
      <c r="F800" s="7" t="str">
        <f>HYPERLINK("http://www.cantinamesa.com/","www.cantinamesa.com")</f>
        <v>www.cantinamesa.com</v>
      </c>
    </row>
    <row r="801" spans="1:6" ht="29.55" customHeight="1" x14ac:dyDescent="0.25">
      <c r="A801" s="6" t="s">
        <v>3003</v>
      </c>
      <c r="B801" s="5" t="s">
        <v>3004</v>
      </c>
      <c r="C801" s="5" t="s">
        <v>2989</v>
      </c>
      <c r="D801" s="5" t="s">
        <v>3005</v>
      </c>
      <c r="E801" s="5" t="s">
        <v>3005</v>
      </c>
      <c r="F801" s="5" t="str">
        <f>HYPERLINK("http://www.caseificioevancon.it/","www.caseificioevancon.it")</f>
        <v>www.caseificioevancon.it</v>
      </c>
    </row>
    <row r="802" spans="1:6" ht="43.05" customHeight="1" x14ac:dyDescent="0.25">
      <c r="A802" s="6" t="s">
        <v>3009</v>
      </c>
      <c r="B802" s="5" t="s">
        <v>3010</v>
      </c>
      <c r="C802" s="5" t="s">
        <v>3006</v>
      </c>
      <c r="D802" s="5" t="s">
        <v>2991</v>
      </c>
      <c r="E802" s="5" t="s">
        <v>2987</v>
      </c>
      <c r="F802" s="5" t="str">
        <f>HYPERLINK("http://www.opvaldiserchio.it/","www.opvaldiserchio.it")</f>
        <v>www.opvaldiserchio.it</v>
      </c>
    </row>
    <row r="803" spans="1:6" ht="132.75" customHeight="1" x14ac:dyDescent="0.25">
      <c r="A803" s="1" t="s">
        <v>3011</v>
      </c>
      <c r="B803" s="7" t="s">
        <v>3012</v>
      </c>
      <c r="C803" s="7" t="s">
        <v>2985</v>
      </c>
      <c r="D803" s="7" t="s">
        <v>2995</v>
      </c>
      <c r="E803" s="7" t="s">
        <v>2996</v>
      </c>
      <c r="F803" s="7" t="str">
        <f>HYPERLINK("http://www.tenutaroveglia.it/","www.tenutaroveglia.it")</f>
        <v>www.tenutaroveglia.it</v>
      </c>
    </row>
    <row r="804" spans="1:6" ht="43.05" customHeight="1" x14ac:dyDescent="0.25">
      <c r="A804" s="6" t="s">
        <v>3015</v>
      </c>
      <c r="B804" s="5" t="s">
        <v>3016</v>
      </c>
      <c r="C804" s="5" t="s">
        <v>3017</v>
      </c>
      <c r="D804" s="5" t="s">
        <v>3013</v>
      </c>
      <c r="E804" s="5" t="s">
        <v>3008</v>
      </c>
      <c r="F804" s="5" t="str">
        <f>HYPERLINK("http://www.latteriasocialetrissino.it/","www.latteriasocialetrissino.it")</f>
        <v>www.latteriasocialetrissino.it</v>
      </c>
    </row>
    <row r="805" spans="1:6" ht="29.55" customHeight="1" x14ac:dyDescent="0.25">
      <c r="A805" s="1" t="s">
        <v>3018</v>
      </c>
      <c r="B805" s="7" t="s">
        <v>3019</v>
      </c>
      <c r="C805" s="7" t="s">
        <v>3020</v>
      </c>
      <c r="D805" s="7" t="s">
        <v>3021</v>
      </c>
      <c r="E805" s="7" t="s">
        <v>3000</v>
      </c>
      <c r="F805" s="7" t="str">
        <f>HYPERLINK("http://www.colliramati.it/","www.colliramati.it")</f>
        <v>www.colliramati.it</v>
      </c>
    </row>
    <row r="806" spans="1:6" ht="16.95" customHeight="1" x14ac:dyDescent="0.25">
      <c r="A806" s="1" t="s">
        <v>3022</v>
      </c>
      <c r="B806" s="7" t="s">
        <v>3023</v>
      </c>
      <c r="C806" s="7" t="s">
        <v>3024</v>
      </c>
      <c r="D806" s="7" t="s">
        <v>3025</v>
      </c>
      <c r="E806" s="7" t="s">
        <v>3007</v>
      </c>
      <c r="F806" s="7" t="str">
        <f>HYPERLINK("http://www.donnalia.com/","www.donnalia.com")</f>
        <v>www.donnalia.com</v>
      </c>
    </row>
    <row r="807" spans="1:6" ht="29.55" customHeight="1" x14ac:dyDescent="0.25">
      <c r="A807" s="6" t="s">
        <v>3026</v>
      </c>
      <c r="B807" s="5" t="s">
        <v>3027</v>
      </c>
      <c r="C807" s="5" t="s">
        <v>2988</v>
      </c>
      <c r="D807" s="5" t="s">
        <v>3028</v>
      </c>
      <c r="E807" s="5" t="s">
        <v>2990</v>
      </c>
      <c r="F807" s="5" t="str">
        <f>HYPERLINK("http://www.samarigosa.com/","www.samarigosa.com")</f>
        <v>www.samarigosa.com</v>
      </c>
    </row>
    <row r="808" spans="1:6" ht="106.65" customHeight="1" x14ac:dyDescent="0.25">
      <c r="A808" s="1" t="s">
        <v>3029</v>
      </c>
      <c r="B808" s="7" t="s">
        <v>3030</v>
      </c>
      <c r="C808" s="7" t="s">
        <v>2985</v>
      </c>
      <c r="D808" s="7" t="s">
        <v>3031</v>
      </c>
      <c r="E808" s="7" t="s">
        <v>2987</v>
      </c>
      <c r="F808" s="7" t="str">
        <f>HYPERLINK("http://www.castellodimonsanto.it/","www.castellodimonsanto.it")</f>
        <v>www.castellodimonsanto.it</v>
      </c>
    </row>
    <row r="809" spans="1:6" ht="29.55" customHeight="1" x14ac:dyDescent="0.25">
      <c r="A809" s="1" t="s">
        <v>3032</v>
      </c>
      <c r="B809" s="7" t="s">
        <v>3033</v>
      </c>
      <c r="C809" s="7" t="s">
        <v>2985</v>
      </c>
      <c r="D809" s="7" t="s">
        <v>3034</v>
      </c>
      <c r="E809" s="7" t="s">
        <v>3014</v>
      </c>
      <c r="F809" s="7" t="str">
        <f>HYPERLINK("http://tenimenticiva.com/","tenimenticiva.com")</f>
        <v>tenimenticiva.com</v>
      </c>
    </row>
    <row r="810" spans="1:6" ht="16.95" customHeight="1" x14ac:dyDescent="0.25">
      <c r="A810" s="6" t="s">
        <v>3035</v>
      </c>
      <c r="B810" s="5" t="s">
        <v>3036</v>
      </c>
      <c r="C810" s="5" t="s">
        <v>3006</v>
      </c>
      <c r="D810" s="5" t="s">
        <v>3037</v>
      </c>
      <c r="E810" s="5" t="s">
        <v>3038</v>
      </c>
      <c r="F810" s="5" t="str">
        <f>HYPERLINK("http://www.mazzuferigroup.com/","http://www.mazzuferigroup.com")</f>
        <v>http://www.mazzuferigroup.com</v>
      </c>
    </row>
    <row r="811" spans="1:6" ht="29.55" customHeight="1" x14ac:dyDescent="0.25">
      <c r="A811" s="1" t="s">
        <v>3039</v>
      </c>
      <c r="B811" s="7" t="s">
        <v>3040</v>
      </c>
      <c r="C811" s="7" t="s">
        <v>2988</v>
      </c>
      <c r="D811" s="7" t="s">
        <v>3041</v>
      </c>
      <c r="E811" s="7" t="s">
        <v>3042</v>
      </c>
      <c r="F811" s="7" t="str">
        <f>HYPERLINK("http://www.agri90.it/","www.agri90.it")</f>
        <v>www.agri90.it</v>
      </c>
    </row>
    <row r="812" spans="1:6" ht="43.05" customHeight="1" x14ac:dyDescent="0.25">
      <c r="A812" s="6" t="s">
        <v>3043</v>
      </c>
      <c r="B812" s="5" t="s">
        <v>3044</v>
      </c>
      <c r="C812" s="5" t="s">
        <v>3045</v>
      </c>
      <c r="D812" s="5" t="s">
        <v>3046</v>
      </c>
      <c r="E812" s="5" t="s">
        <v>3047</v>
      </c>
      <c r="F812" s="5" t="str">
        <f>HYPERLINK("http://www.caseificiocercen.it/","www.caseificiocercen.it")</f>
        <v>www.caseificiocercen.it</v>
      </c>
    </row>
    <row r="813" spans="1:6" ht="29.55" customHeight="1" x14ac:dyDescent="0.25">
      <c r="A813" s="1" t="s">
        <v>3048</v>
      </c>
      <c r="B813" s="7" t="s">
        <v>3049</v>
      </c>
      <c r="C813" s="7" t="s">
        <v>3050</v>
      </c>
      <c r="D813" s="7" t="s">
        <v>3051</v>
      </c>
      <c r="E813" s="7" t="s">
        <v>3052</v>
      </c>
      <c r="F813" s="7" t="str">
        <f>HYPERLINK("http://www.oparcobaleno.com/","www.oparcobaleno.com")</f>
        <v>www.oparcobaleno.com</v>
      </c>
    </row>
    <row r="814" spans="1:6" ht="29.55" customHeight="1" x14ac:dyDescent="0.25">
      <c r="A814" s="1" t="s">
        <v>3054</v>
      </c>
      <c r="B814" s="7" t="s">
        <v>3055</v>
      </c>
      <c r="C814" s="7" t="s">
        <v>3056</v>
      </c>
      <c r="D814" s="7" t="s">
        <v>3057</v>
      </c>
      <c r="E814" s="7" t="s">
        <v>3058</v>
      </c>
      <c r="F814" s="7" t="str">
        <f>HYPERLINK("http://www.castellogabbiano.it/","www.castellogabbiano.it")</f>
        <v>www.castellogabbiano.it</v>
      </c>
    </row>
    <row r="815" spans="1:6" ht="81.75" customHeight="1" x14ac:dyDescent="0.25">
      <c r="A815" s="6" t="s">
        <v>3060</v>
      </c>
      <c r="B815" s="5" t="s">
        <v>3061</v>
      </c>
      <c r="C815" s="5" t="s">
        <v>3062</v>
      </c>
      <c r="D815" s="5" t="s">
        <v>3063</v>
      </c>
      <c r="E815" s="5" t="s">
        <v>3064</v>
      </c>
      <c r="F815" s="5" t="str">
        <f>HYPERLINK("http://www.coopcampo.it/","www.coopcampo.it")</f>
        <v>www.coopcampo.it</v>
      </c>
    </row>
    <row r="816" spans="1:6" ht="43.05" customHeight="1" x14ac:dyDescent="0.25">
      <c r="A816" s="1" t="s">
        <v>3065</v>
      </c>
      <c r="B816" s="7" t="s">
        <v>3066</v>
      </c>
      <c r="C816" s="7" t="s">
        <v>3056</v>
      </c>
      <c r="D816" s="7" t="s">
        <v>3067</v>
      </c>
      <c r="E816" s="7" t="s">
        <v>3068</v>
      </c>
      <c r="F816" s="7" t="str">
        <f>HYPERLINK("http://roccolodellago.it/","roccolodellago.it")</f>
        <v>roccolodellago.it</v>
      </c>
    </row>
    <row r="817" spans="1:6" ht="29.55" customHeight="1" x14ac:dyDescent="0.25">
      <c r="A817" s="6" t="s">
        <v>3069</v>
      </c>
      <c r="B817" s="5" t="s">
        <v>3070</v>
      </c>
      <c r="C817" s="5" t="s">
        <v>3056</v>
      </c>
      <c r="D817" s="5" t="s">
        <v>3071</v>
      </c>
      <c r="E817" s="5" t="s">
        <v>3068</v>
      </c>
      <c r="F817" s="5" t="str">
        <f>HYPERLINK("http://bagliodipianetto.it/","bagliodipianetto.it")</f>
        <v>bagliodipianetto.it</v>
      </c>
    </row>
    <row r="818" spans="1:6" ht="43.05" customHeight="1" x14ac:dyDescent="0.25">
      <c r="A818" s="1" t="s">
        <v>3072</v>
      </c>
      <c r="B818" s="7" t="s">
        <v>3073</v>
      </c>
      <c r="C818" s="7" t="s">
        <v>3074</v>
      </c>
      <c r="D818" s="7" t="s">
        <v>3075</v>
      </c>
      <c r="E818" s="7" t="s">
        <v>3076</v>
      </c>
      <c r="F818" s="7" t="str">
        <f>HYPERLINK("http://opzuccarella.it/","opzuccarella.it")</f>
        <v>opzuccarella.it</v>
      </c>
    </row>
    <row r="819" spans="1:6" ht="29.55" customHeight="1" x14ac:dyDescent="0.25">
      <c r="A819" s="1" t="s">
        <v>3077</v>
      </c>
      <c r="B819" s="7" t="s">
        <v>3078</v>
      </c>
      <c r="C819" s="7" t="s">
        <v>3079</v>
      </c>
      <c r="D819" s="7" t="s">
        <v>3080</v>
      </c>
      <c r="E819" s="7" t="s">
        <v>3081</v>
      </c>
      <c r="F819" s="7" t="str">
        <f>HYPERLINK("http://favella.it/","favella.it")</f>
        <v>favella.it</v>
      </c>
    </row>
    <row r="820" spans="1:6" ht="55.65" customHeight="1" x14ac:dyDescent="0.25">
      <c r="A820" s="6" t="s">
        <v>3083</v>
      </c>
      <c r="B820" s="5" t="s">
        <v>3084</v>
      </c>
      <c r="C820" s="5" t="s">
        <v>3085</v>
      </c>
      <c r="D820" s="5" t="s">
        <v>3086</v>
      </c>
      <c r="E820" s="5" t="s">
        <v>3047</v>
      </c>
      <c r="F820" s="5" t="str">
        <f>HYPERLINK("http://www.braunvieh.it/","www.braunvieh.it")</f>
        <v>www.braunvieh.it</v>
      </c>
    </row>
    <row r="821" spans="1:6" ht="29.55" customHeight="1" x14ac:dyDescent="0.25">
      <c r="A821" s="1" t="s">
        <v>3087</v>
      </c>
      <c r="B821" s="7" t="s">
        <v>3088</v>
      </c>
      <c r="C821" s="7" t="s">
        <v>3089</v>
      </c>
      <c r="D821" s="7" t="s">
        <v>3090</v>
      </c>
      <c r="E821" s="7" t="s">
        <v>3082</v>
      </c>
      <c r="F821" s="7" t="str">
        <f>HYPERLINK("http://www.giacomocapacciarabians.com/","www.giacomocapacciarabians.com")</f>
        <v>www.giacomocapacciarabians.com</v>
      </c>
    </row>
    <row r="822" spans="1:6" ht="29.55" customHeight="1" x14ac:dyDescent="0.25">
      <c r="A822" s="6" t="s">
        <v>3091</v>
      </c>
      <c r="B822" s="5" t="s">
        <v>3092</v>
      </c>
      <c r="C822" s="5" t="s">
        <v>3093</v>
      </c>
      <c r="D822" s="5" t="s">
        <v>3094</v>
      </c>
      <c r="E822" s="5" t="s">
        <v>3059</v>
      </c>
      <c r="F822" s="5" t="str">
        <f>HYPERLINK("http://www.dauniaebio.com/","www.dauniaebio.com")</f>
        <v>www.dauniaebio.com</v>
      </c>
    </row>
    <row r="823" spans="1:6" ht="43.05" customHeight="1" x14ac:dyDescent="0.25">
      <c r="A823" s="1" t="s">
        <v>3095</v>
      </c>
      <c r="B823" s="7" t="s">
        <v>3096</v>
      </c>
      <c r="C823" s="7" t="s">
        <v>3093</v>
      </c>
      <c r="D823" s="7" t="s">
        <v>3097</v>
      </c>
      <c r="E823" s="7" t="s">
        <v>3098</v>
      </c>
      <c r="F823" s="7" t="str">
        <f>HYPERLINK("http://www.latteriacalvenzano.it/","www.latteriacalvenzano.it")</f>
        <v>www.latteriacalvenzano.it</v>
      </c>
    </row>
    <row r="824" spans="1:6" ht="29.55" customHeight="1" x14ac:dyDescent="0.25">
      <c r="A824" s="6" t="s">
        <v>3099</v>
      </c>
      <c r="B824" s="5" t="s">
        <v>3100</v>
      </c>
      <c r="C824" s="5" t="s">
        <v>3085</v>
      </c>
      <c r="D824" s="5" t="s">
        <v>3080</v>
      </c>
      <c r="E824" s="5" t="s">
        <v>3081</v>
      </c>
      <c r="F824" s="5" t="str">
        <f>HYPERLINK("http://www.agricolacampotenese.it/","www.agricolacampotenese.it")</f>
        <v>www.agricolacampotenese.it</v>
      </c>
    </row>
    <row r="825" spans="1:6" ht="29.55" customHeight="1" x14ac:dyDescent="0.25">
      <c r="A825" s="6" t="s">
        <v>3101</v>
      </c>
      <c r="B825" s="5" t="s">
        <v>3102</v>
      </c>
      <c r="C825" s="5" t="s">
        <v>3074</v>
      </c>
      <c r="D825" s="5" t="s">
        <v>3075</v>
      </c>
      <c r="E825" s="5" t="s">
        <v>3076</v>
      </c>
      <c r="F825" s="5" t="str">
        <f>HYPERLINK("http://www.nicofruit.it/","www.nicofruit.it")</f>
        <v>www.nicofruit.it</v>
      </c>
    </row>
    <row r="826" spans="1:6" ht="29.55" customHeight="1" x14ac:dyDescent="0.25">
      <c r="A826" s="1" t="s">
        <v>3103</v>
      </c>
      <c r="B826" s="7" t="s">
        <v>3104</v>
      </c>
      <c r="C826" s="7" t="s">
        <v>3053</v>
      </c>
      <c r="D826" s="7" t="s">
        <v>3105</v>
      </c>
      <c r="E826" s="7" t="s">
        <v>3098</v>
      </c>
      <c r="F826" s="7" t="str">
        <f>HYPERLINK("http://www.famavit.it/","www.famavit.it")</f>
        <v>www.famavit.it</v>
      </c>
    </row>
    <row r="827" spans="1:6" ht="43.05" customHeight="1" x14ac:dyDescent="0.25">
      <c r="A827" s="6" t="s">
        <v>3106</v>
      </c>
      <c r="B827" s="5" t="s">
        <v>3107</v>
      </c>
      <c r="C827" s="5" t="s">
        <v>3108</v>
      </c>
      <c r="D827" s="5" t="s">
        <v>3109</v>
      </c>
      <c r="E827" s="5" t="s">
        <v>3052</v>
      </c>
      <c r="F827" s="5" t="str">
        <f>HYPERLINK("http://naturalmentesiciliano.com/","naturalmentesiciliano.com")</f>
        <v>naturalmentesiciliano.com</v>
      </c>
    </row>
    <row r="828" spans="1:6" ht="94.2" customHeight="1" x14ac:dyDescent="0.25">
      <c r="A828" s="1" t="s">
        <v>3110</v>
      </c>
      <c r="B828" s="7" t="s">
        <v>3111</v>
      </c>
      <c r="C828" s="7" t="s">
        <v>3112</v>
      </c>
      <c r="D828" s="7" t="s">
        <v>3113</v>
      </c>
      <c r="E828" s="7" t="s">
        <v>3114</v>
      </c>
      <c r="F828" s="7" t="str">
        <f>HYPERLINK("http://www.cabcervia.it/","www.cabcervia.it")</f>
        <v>www.cabcervia.it</v>
      </c>
    </row>
    <row r="829" spans="1:6" ht="68.099999999999994" customHeight="1" x14ac:dyDescent="0.25">
      <c r="A829" s="6" t="s">
        <v>3115</v>
      </c>
      <c r="B829" s="5" t="s">
        <v>3116</v>
      </c>
      <c r="C829" s="5" t="s">
        <v>3117</v>
      </c>
      <c r="D829" s="5" t="s">
        <v>3118</v>
      </c>
      <c r="E829" s="5" t="s">
        <v>3064</v>
      </c>
      <c r="F829" s="5" t="str">
        <f>HYPERLINK("http://www.fontegranne.it/","www.fontegranne.it")</f>
        <v>www.fontegranne.it</v>
      </c>
    </row>
    <row r="830" spans="1:6" ht="43.05" customHeight="1" x14ac:dyDescent="0.25">
      <c r="A830" s="1" t="s">
        <v>3119</v>
      </c>
      <c r="B830" s="7" t="s">
        <v>3120</v>
      </c>
      <c r="C830" s="7" t="s">
        <v>3121</v>
      </c>
      <c r="D830" s="7" t="s">
        <v>3122</v>
      </c>
      <c r="E830" s="7" t="s">
        <v>3123</v>
      </c>
      <c r="F830" s="7" t="str">
        <f>HYPERLINK("http://www.dolceterra.net/","www.dolceterra.net")</f>
        <v>www.dolceterra.net</v>
      </c>
    </row>
    <row r="831" spans="1:6" ht="29.55" customHeight="1" x14ac:dyDescent="0.25">
      <c r="A831" s="6" t="s">
        <v>3124</v>
      </c>
      <c r="B831" s="5" t="s">
        <v>3125</v>
      </c>
      <c r="C831" s="5" t="s">
        <v>3126</v>
      </c>
      <c r="D831" s="5" t="s">
        <v>3127</v>
      </c>
      <c r="E831" s="5" t="s">
        <v>3128</v>
      </c>
      <c r="F831" s="5" t="str">
        <f>HYPERLINK("http://www.lungadige.com/","www.lungadige.com")</f>
        <v>www.lungadige.com</v>
      </c>
    </row>
    <row r="832" spans="1:6" ht="43.05" customHeight="1" x14ac:dyDescent="0.25">
      <c r="A832" s="6" t="s">
        <v>3131</v>
      </c>
      <c r="B832" s="5" t="s">
        <v>3132</v>
      </c>
      <c r="C832" s="5" t="s">
        <v>3133</v>
      </c>
      <c r="D832" s="5" t="s">
        <v>3134</v>
      </c>
      <c r="E832" s="5" t="s">
        <v>3135</v>
      </c>
      <c r="F832" s="5" t="str">
        <f>HYPERLINK("http://golocal.guide/place/page/terre-della-daunia","golocal.guide/place/page/terre-della-daunia")</f>
        <v>golocal.guide/place/page/terre-della-daunia</v>
      </c>
    </row>
    <row r="833" spans="1:6" ht="29.55" customHeight="1" x14ac:dyDescent="0.25">
      <c r="A833" s="1" t="s">
        <v>3136</v>
      </c>
      <c r="B833" s="7" t="s">
        <v>3137</v>
      </c>
      <c r="C833" s="7" t="s">
        <v>3138</v>
      </c>
      <c r="D833" s="7" t="s">
        <v>3139</v>
      </c>
      <c r="E833" s="7" t="s">
        <v>3123</v>
      </c>
      <c r="F833" s="7" t="str">
        <f>HYPERLINK("http://www.sorgeva.it/","www.sorgeva.it")</f>
        <v>www.sorgeva.it</v>
      </c>
    </row>
    <row r="834" spans="1:6" ht="43.05" customHeight="1" x14ac:dyDescent="0.25">
      <c r="A834" s="6" t="s">
        <v>3140</v>
      </c>
      <c r="B834" s="5" t="s">
        <v>3141</v>
      </c>
      <c r="C834" s="5" t="s">
        <v>3126</v>
      </c>
      <c r="D834" s="5" t="s">
        <v>3130</v>
      </c>
      <c r="E834" s="5" t="s">
        <v>3128</v>
      </c>
      <c r="F834" s="5" t="str">
        <f>HYPERLINK("http://www.ayagricoltura.com/","www.ayagricoltura.com")</f>
        <v>www.ayagricoltura.com</v>
      </c>
    </row>
    <row r="835" spans="1:6" ht="29.55" customHeight="1" x14ac:dyDescent="0.25">
      <c r="A835" s="1" t="s">
        <v>3142</v>
      </c>
      <c r="B835" s="7" t="s">
        <v>3143</v>
      </c>
      <c r="C835" s="7" t="s">
        <v>3144</v>
      </c>
      <c r="D835" s="7" t="s">
        <v>3145</v>
      </c>
      <c r="E835" s="7" t="s">
        <v>3123</v>
      </c>
      <c r="F835" s="7" t="str">
        <f>HYPERLINK("http://www.latteriavalle.com/","www.latteriavalle.com")</f>
        <v>www.latteriavalle.com</v>
      </c>
    </row>
    <row r="836" spans="1:6" ht="29.55" customHeight="1" x14ac:dyDescent="0.25">
      <c r="A836" s="6" t="s">
        <v>3146</v>
      </c>
      <c r="B836" s="5" t="s">
        <v>3147</v>
      </c>
      <c r="C836" s="5" t="s">
        <v>3148</v>
      </c>
      <c r="D836" s="5" t="s">
        <v>3149</v>
      </c>
      <c r="E836" s="5" t="s">
        <v>3150</v>
      </c>
      <c r="F836" s="5" t="str">
        <f>HYPERLINK("http://www.mastrojanni.com/","www.mastrojanni.com")</f>
        <v>www.mastrojanni.com</v>
      </c>
    </row>
    <row r="837" spans="1:6" ht="29.55" customHeight="1" x14ac:dyDescent="0.25">
      <c r="A837" s="1" t="s">
        <v>3153</v>
      </c>
      <c r="B837" s="7" t="s">
        <v>3154</v>
      </c>
      <c r="C837" s="7" t="s">
        <v>3121</v>
      </c>
      <c r="D837" s="7" t="s">
        <v>3155</v>
      </c>
      <c r="E837" s="7" t="s">
        <v>3128</v>
      </c>
      <c r="F837" s="7" t="str">
        <f>HYPERLINK("http://cerealimarchiori.it/","cerealimarchiori.it")</f>
        <v>cerealimarchiori.it</v>
      </c>
    </row>
    <row r="838" spans="1:6" ht="16.95" customHeight="1" x14ac:dyDescent="0.25">
      <c r="A838" s="1" t="s">
        <v>3156</v>
      </c>
      <c r="B838" s="7" t="s">
        <v>3157</v>
      </c>
      <c r="C838" s="7" t="s">
        <v>3158</v>
      </c>
      <c r="D838" s="7" t="s">
        <v>3159</v>
      </c>
      <c r="E838" s="7" t="s">
        <v>3160</v>
      </c>
      <c r="F838" s="7" t="str">
        <f>HYPERLINK("http://www.fattoriamazzalupo.com/","www.fattoriamazzalupo.com")</f>
        <v>www.fattoriamazzalupo.com</v>
      </c>
    </row>
    <row r="839" spans="1:6" ht="29.55" customHeight="1" x14ac:dyDescent="0.25">
      <c r="A839" s="6" t="s">
        <v>3161</v>
      </c>
      <c r="B839" s="5" t="s">
        <v>3162</v>
      </c>
      <c r="C839" s="5" t="s">
        <v>3126</v>
      </c>
      <c r="D839" s="5" t="s">
        <v>3163</v>
      </c>
      <c r="E839" s="5" t="s">
        <v>3150</v>
      </c>
      <c r="F839" s="5" t="str">
        <f>HYPERLINK("http://agricolacirce.it/","agricolacirce.it")</f>
        <v>agricolacirce.it</v>
      </c>
    </row>
    <row r="840" spans="1:6" ht="43.05" customHeight="1" x14ac:dyDescent="0.25">
      <c r="A840" s="1" t="s">
        <v>3164</v>
      </c>
      <c r="B840" s="7" t="s">
        <v>3165</v>
      </c>
      <c r="C840" s="7" t="s">
        <v>3126</v>
      </c>
      <c r="D840" s="7" t="s">
        <v>3166</v>
      </c>
      <c r="E840" s="7" t="s">
        <v>3167</v>
      </c>
      <c r="F840" s="7" t="str">
        <f>HYPERLINK("http://spietro-del-gallo-societa-agricola.business.site/","spietro-del-gallo-societa-agricola.business.site/")</f>
        <v>spietro-del-gallo-societa-agricola.business.site/</v>
      </c>
    </row>
    <row r="841" spans="1:6" ht="29.55" customHeight="1" x14ac:dyDescent="0.25">
      <c r="A841" s="1" t="s">
        <v>3168</v>
      </c>
      <c r="B841" s="7" t="s">
        <v>3169</v>
      </c>
      <c r="C841" s="7" t="s">
        <v>3170</v>
      </c>
      <c r="D841" s="7" t="s">
        <v>3171</v>
      </c>
      <c r="E841" s="7" t="s">
        <v>3172</v>
      </c>
      <c r="F841" s="7" t="str">
        <f>HYPERLINK("http://www.innestileopardi.it/","http://www.innestileopardi.it")</f>
        <v>http://www.innestileopardi.it</v>
      </c>
    </row>
    <row r="842" spans="1:6" ht="29.55" customHeight="1" x14ac:dyDescent="0.25">
      <c r="A842" s="1" t="s">
        <v>3174</v>
      </c>
      <c r="B842" s="7" t="s">
        <v>3175</v>
      </c>
      <c r="C842" s="7" t="s">
        <v>3176</v>
      </c>
      <c r="D842" s="7" t="s">
        <v>3173</v>
      </c>
      <c r="E842" s="7" t="s">
        <v>3135</v>
      </c>
      <c r="F842" s="7" t="str">
        <f>HYPERLINK("http://www.liveli.it/","www.liveli.it")</f>
        <v>www.liveli.it</v>
      </c>
    </row>
    <row r="843" spans="1:6" ht="68.099999999999994" customHeight="1" x14ac:dyDescent="0.25">
      <c r="A843" s="6" t="s">
        <v>3177</v>
      </c>
      <c r="B843" s="5" t="s">
        <v>3178</v>
      </c>
      <c r="C843" s="5" t="s">
        <v>3148</v>
      </c>
      <c r="D843" s="5" t="s">
        <v>3151</v>
      </c>
      <c r="E843" s="5" t="s">
        <v>3152</v>
      </c>
      <c r="F843" s="5" t="str">
        <f>HYPERLINK("http://shop.querciabella.com/","shop.querciabella.com")</f>
        <v>shop.querciabella.com</v>
      </c>
    </row>
    <row r="844" spans="1:6" ht="43.05" customHeight="1" x14ac:dyDescent="0.25">
      <c r="A844" s="1" t="s">
        <v>3179</v>
      </c>
      <c r="B844" s="7" t="s">
        <v>3180</v>
      </c>
      <c r="C844" s="7" t="s">
        <v>3181</v>
      </c>
      <c r="D844" s="7" t="s">
        <v>3182</v>
      </c>
      <c r="E844" s="7" t="s">
        <v>3123</v>
      </c>
      <c r="F844" s="7" t="str">
        <f>HYPERLINK("http://www.teraseeds.it/","www.teraseeds.it")</f>
        <v>www.teraseeds.it</v>
      </c>
    </row>
    <row r="845" spans="1:6" ht="43.05" customHeight="1" x14ac:dyDescent="0.25">
      <c r="A845" s="1" t="s">
        <v>3183</v>
      </c>
      <c r="B845" s="7" t="s">
        <v>3184</v>
      </c>
      <c r="C845" s="7" t="s">
        <v>3129</v>
      </c>
      <c r="D845" s="7" t="s">
        <v>3185</v>
      </c>
      <c r="E845" s="7" t="s">
        <v>3152</v>
      </c>
      <c r="F845" s="7" t="str">
        <f>HYPERLINK("http://www.formaggiobranzi.com/","www.formaggiobranzi.com")</f>
        <v>www.formaggiobranzi.com</v>
      </c>
    </row>
    <row r="846" spans="1:6" ht="29.55" customHeight="1" x14ac:dyDescent="0.25">
      <c r="A846" s="6" t="s">
        <v>3186</v>
      </c>
      <c r="B846" s="5" t="s">
        <v>3187</v>
      </c>
      <c r="C846" s="5" t="s">
        <v>3133</v>
      </c>
      <c r="D846" s="5" t="s">
        <v>3188</v>
      </c>
      <c r="E846" s="5" t="s">
        <v>3135</v>
      </c>
      <c r="F846" s="5" t="str">
        <f>HYPERLINK("http://agricolasempreverde.it/","agricolasempreverde.it")</f>
        <v>agricolasempreverde.it</v>
      </c>
    </row>
    <row r="847" spans="1:6" ht="29.55" customHeight="1" x14ac:dyDescent="0.25">
      <c r="A847" s="1" t="s">
        <v>3189</v>
      </c>
      <c r="B847" s="7" t="s">
        <v>3190</v>
      </c>
      <c r="C847" s="7" t="s">
        <v>3121</v>
      </c>
      <c r="D847" s="7" t="s">
        <v>3191</v>
      </c>
      <c r="E847" s="7" t="s">
        <v>3160</v>
      </c>
      <c r="F847" s="7" t="str">
        <f>HYPERLINK("http://www.agrisistema.it/","www.agrisistema.it")</f>
        <v>www.agrisistema.it</v>
      </c>
    </row>
    <row r="848" spans="1:6" ht="16.95" customHeight="1" x14ac:dyDescent="0.25">
      <c r="A848" s="6" t="s">
        <v>3194</v>
      </c>
      <c r="B848" s="5" t="s">
        <v>3195</v>
      </c>
      <c r="C848" s="5" t="s">
        <v>3196</v>
      </c>
      <c r="D848" s="5" t="s">
        <v>3197</v>
      </c>
      <c r="E848" s="5" t="s">
        <v>3198</v>
      </c>
      <c r="F848" s="5" t="str">
        <f>HYPERLINK("http://www.lineaverdesrl.net/","www.lineaverdesrl.net")</f>
        <v>www.lineaverdesrl.net</v>
      </c>
    </row>
    <row r="849" spans="1:6" ht="29.55" customHeight="1" x14ac:dyDescent="0.25">
      <c r="A849" s="6" t="s">
        <v>3200</v>
      </c>
      <c r="B849" s="5" t="s">
        <v>3201</v>
      </c>
      <c r="C849" s="5" t="s">
        <v>3196</v>
      </c>
      <c r="D849" s="5" t="s">
        <v>3202</v>
      </c>
      <c r="E849" s="5" t="s">
        <v>3203</v>
      </c>
      <c r="F849" s="5" t="str">
        <f>HYPERLINK("http://www.realservicesoccoop.it/","www.realservicesoccoop.it")</f>
        <v>www.realservicesoccoop.it</v>
      </c>
    </row>
    <row r="850" spans="1:6" ht="55.65" customHeight="1" x14ac:dyDescent="0.25">
      <c r="A850" s="1" t="s">
        <v>3204</v>
      </c>
      <c r="B850" s="7" t="s">
        <v>3205</v>
      </c>
      <c r="C850" s="7" t="s">
        <v>3206</v>
      </c>
      <c r="D850" s="7" t="s">
        <v>3207</v>
      </c>
      <c r="E850" s="7" t="s">
        <v>3208</v>
      </c>
      <c r="F850" s="7" t="str">
        <f>HYPERLINK("http://www.coviro.it/","www.coviro.it")</f>
        <v>www.coviro.it</v>
      </c>
    </row>
    <row r="851" spans="1:6" ht="16.95" customHeight="1" x14ac:dyDescent="0.25">
      <c r="A851" s="6" t="s">
        <v>3209</v>
      </c>
      <c r="B851" s="5" t="s">
        <v>3210</v>
      </c>
      <c r="C851" s="5" t="s">
        <v>3196</v>
      </c>
      <c r="D851" s="5" t="s">
        <v>3202</v>
      </c>
      <c r="E851" s="5" t="s">
        <v>3203</v>
      </c>
      <c r="F851" s="5" t="str">
        <f>HYPERLINK("http://saffranciacorta.it/","saffranciacorta.it")</f>
        <v>saffranciacorta.it</v>
      </c>
    </row>
    <row r="852" spans="1:6" ht="29.55" customHeight="1" x14ac:dyDescent="0.25">
      <c r="A852" s="6" t="s">
        <v>3211</v>
      </c>
      <c r="B852" s="5" t="s">
        <v>3212</v>
      </c>
      <c r="C852" s="5" t="s">
        <v>3213</v>
      </c>
      <c r="D852" s="5" t="s">
        <v>3192</v>
      </c>
      <c r="E852" s="5" t="s">
        <v>3193</v>
      </c>
      <c r="F852" s="5" t="str">
        <f>HYPERLINK("http://www.siogargano.com/","www.siogargano.com")</f>
        <v>www.siogargano.com</v>
      </c>
    </row>
    <row r="853" spans="1:6" ht="29.55" customHeight="1" x14ac:dyDescent="0.25">
      <c r="A853" s="6" t="s">
        <v>3215</v>
      </c>
      <c r="B853" s="5" t="s">
        <v>3216</v>
      </c>
      <c r="C853" s="5" t="s">
        <v>3217</v>
      </c>
      <c r="D853" s="5" t="s">
        <v>3218</v>
      </c>
      <c r="E853" s="5" t="s">
        <v>3219</v>
      </c>
      <c r="F853" s="5" t="str">
        <f>HYPERLINK("http://www.volpepasini.net/","www.volpepasini.net")</f>
        <v>www.volpepasini.net</v>
      </c>
    </row>
    <row r="854" spans="1:6" ht="81.75" customHeight="1" x14ac:dyDescent="0.25">
      <c r="A854" s="1" t="s">
        <v>3220</v>
      </c>
      <c r="B854" s="7" t="s">
        <v>3221</v>
      </c>
      <c r="C854" s="7" t="s">
        <v>3217</v>
      </c>
      <c r="D854" s="7" t="s">
        <v>3222</v>
      </c>
      <c r="E854" s="7" t="s">
        <v>3203</v>
      </c>
      <c r="F854" s="7" t="str">
        <f>HYPERLINK("http://shop.triacca.com/","shop.triacca.com")</f>
        <v>shop.triacca.com</v>
      </c>
    </row>
    <row r="855" spans="1:6" ht="29.55" customHeight="1" x14ac:dyDescent="0.25">
      <c r="A855" s="1" t="s">
        <v>3223</v>
      </c>
      <c r="B855" s="7" t="s">
        <v>3224</v>
      </c>
      <c r="C855" s="7" t="s">
        <v>3225</v>
      </c>
      <c r="D855" s="7" t="s">
        <v>3226</v>
      </c>
      <c r="E855" s="7" t="s">
        <v>3208</v>
      </c>
      <c r="F855" s="7" t="str">
        <f>HYPERLINK("http://cascina-bosco-gerolo.emilia-romagnahotels.net/","cascina-bosco-gerolo.emilia-romagnahotels.net")</f>
        <v>cascina-bosco-gerolo.emilia-romagnahotels.net</v>
      </c>
    </row>
    <row r="856" spans="1:6" ht="16.95" customHeight="1" x14ac:dyDescent="0.25">
      <c r="A856" s="6" t="s">
        <v>3227</v>
      </c>
      <c r="B856" s="5" t="s">
        <v>3228</v>
      </c>
      <c r="C856" s="5" t="s">
        <v>3229</v>
      </c>
      <c r="D856" s="5" t="s">
        <v>3230</v>
      </c>
      <c r="E856" s="5" t="s">
        <v>3199</v>
      </c>
      <c r="F856" s="5" t="str">
        <f>HYPERLINK("http://www.allevamentifalco.com/","www.allevamentifalco.com")</f>
        <v>www.allevamentifalco.com</v>
      </c>
    </row>
    <row r="857" spans="1:6" ht="29.55" customHeight="1" x14ac:dyDescent="0.25">
      <c r="A857" s="1" t="s">
        <v>3231</v>
      </c>
      <c r="B857" s="7" t="s">
        <v>3232</v>
      </c>
      <c r="C857" s="7" t="s">
        <v>3217</v>
      </c>
      <c r="D857" s="7" t="s">
        <v>3233</v>
      </c>
      <c r="E857" s="7" t="s">
        <v>3214</v>
      </c>
      <c r="F857" s="7" t="str">
        <f>HYPERLINK("http://www.monteverro.com/","www.monteverro.com")</f>
        <v>www.monteverro.com</v>
      </c>
    </row>
    <row r="858" spans="1:6" ht="29.55" customHeight="1" x14ac:dyDescent="0.25">
      <c r="A858" s="6" t="s">
        <v>3234</v>
      </c>
      <c r="B858" s="5" t="s">
        <v>3235</v>
      </c>
      <c r="C858" s="5" t="s">
        <v>3236</v>
      </c>
      <c r="D858" s="5" t="s">
        <v>3202</v>
      </c>
      <c r="E858" s="5" t="s">
        <v>3203</v>
      </c>
      <c r="F858" s="5" t="str">
        <f>HYPERLINK("http://www.flover.it/","www.flover.it")</f>
        <v>www.flover.it</v>
      </c>
    </row>
    <row r="859" spans="1:6" ht="29.55" customHeight="1" x14ac:dyDescent="0.25">
      <c r="A859" s="1" t="s">
        <v>3237</v>
      </c>
      <c r="B859" s="7" t="s">
        <v>3238</v>
      </c>
      <c r="C859" s="7" t="s">
        <v>3217</v>
      </c>
      <c r="D859" s="7" t="s">
        <v>3239</v>
      </c>
      <c r="E859" s="7" t="s">
        <v>3214</v>
      </c>
      <c r="F859" s="7" t="str">
        <f>HYPERLINK("http://www.piccini1882.it/","www.piccini1882.it")</f>
        <v>www.piccini1882.it</v>
      </c>
    </row>
    <row r="860" spans="1:6" ht="43.05" customHeight="1" x14ac:dyDescent="0.25">
      <c r="A860" s="6" t="s">
        <v>3240</v>
      </c>
      <c r="B860" s="5" t="s">
        <v>3241</v>
      </c>
      <c r="C860" s="5" t="s">
        <v>3242</v>
      </c>
      <c r="D860" s="5" t="s">
        <v>3243</v>
      </c>
      <c r="E860" s="5" t="s">
        <v>3244</v>
      </c>
      <c r="F860" s="5" t="str">
        <f>HYPERLINK("http://www.isoladellanatura.it/","www.isoladellanatura.it")</f>
        <v>www.isoladellanatura.it</v>
      </c>
    </row>
    <row r="861" spans="1:6" ht="55.65" customHeight="1" x14ac:dyDescent="0.25">
      <c r="A861" s="1" t="s">
        <v>3245</v>
      </c>
      <c r="B861" s="7" t="s">
        <v>3246</v>
      </c>
      <c r="C861" s="7" t="s">
        <v>3217</v>
      </c>
      <c r="D861" s="7" t="s">
        <v>3247</v>
      </c>
      <c r="E861" s="7" t="s">
        <v>3193</v>
      </c>
      <c r="F861" s="7" t="str">
        <f>HYPERLINK("http://cantinasandonaci.eu/","cantinasandonaci.eu")</f>
        <v>cantinasandonaci.eu</v>
      </c>
    </row>
    <row r="862" spans="1:6" ht="29.55" customHeight="1" x14ac:dyDescent="0.25">
      <c r="A862" s="6" t="s">
        <v>3248</v>
      </c>
      <c r="B862" s="5" t="s">
        <v>3249</v>
      </c>
      <c r="C862" s="5" t="s">
        <v>3206</v>
      </c>
      <c r="D862" s="5" t="s">
        <v>3250</v>
      </c>
      <c r="E862" s="5" t="s">
        <v>3244</v>
      </c>
      <c r="F862" s="5" t="str">
        <f>HYPERLINK("http://www.vivaiogreenplant.it/","www.vivaiogreenplant.it")</f>
        <v>www.vivaiogreenplant.it</v>
      </c>
    </row>
    <row r="863" spans="1:6" ht="29.55" customHeight="1" x14ac:dyDescent="0.25">
      <c r="A863" s="1" t="s">
        <v>3251</v>
      </c>
      <c r="B863" s="7" t="s">
        <v>3252</v>
      </c>
      <c r="C863" s="7" t="s">
        <v>3253</v>
      </c>
      <c r="D863" s="7" t="s">
        <v>3254</v>
      </c>
      <c r="E863" s="7" t="s">
        <v>3199</v>
      </c>
      <c r="F863" s="7" t="str">
        <f>HYPERLINK("http://www.coopmelchiorre.it/","www.coopmelchiorre.it")</f>
        <v>www.coopmelchiorre.it</v>
      </c>
    </row>
    <row r="864" spans="1:6" ht="29.55" customHeight="1" x14ac:dyDescent="0.25">
      <c r="A864" s="6" t="s">
        <v>3255</v>
      </c>
      <c r="B864" s="5" t="s">
        <v>3256</v>
      </c>
      <c r="C864" s="5" t="s">
        <v>3217</v>
      </c>
      <c r="D864" s="5" t="s">
        <v>3257</v>
      </c>
      <c r="E864" s="5" t="s">
        <v>3258</v>
      </c>
      <c r="F864" s="5" t="str">
        <f>HYPERLINK("http://cantina-madonna-di-loreto-soccooparl.business.site/","cantina-madonna-di-loreto-soccooparl.business.site")</f>
        <v>cantina-madonna-di-loreto-soccooparl.business.site</v>
      </c>
    </row>
    <row r="865" spans="1:6" ht="43.05" customHeight="1" x14ac:dyDescent="0.25">
      <c r="A865" s="6" t="s">
        <v>3259</v>
      </c>
      <c r="B865" s="5" t="s">
        <v>3260</v>
      </c>
      <c r="C865" s="5" t="s">
        <v>3217</v>
      </c>
      <c r="D865" s="5" t="s">
        <v>3261</v>
      </c>
      <c r="E865" s="5" t="s">
        <v>3262</v>
      </c>
      <c r="F865" s="5" t="str">
        <f>HYPERLINK("http://www.gruppomezzacorona.it/","www.gruppomezzacorona.it")</f>
        <v>www.gruppomezzacorona.it</v>
      </c>
    </row>
    <row r="866" spans="1:6" ht="106.65" customHeight="1" x14ac:dyDescent="0.25">
      <c r="A866" s="6" t="s">
        <v>3265</v>
      </c>
      <c r="B866" s="5" t="s">
        <v>3266</v>
      </c>
      <c r="C866" s="5" t="s">
        <v>3267</v>
      </c>
      <c r="D866" s="5" t="s">
        <v>3268</v>
      </c>
      <c r="E866" s="5" t="s">
        <v>3268</v>
      </c>
      <c r="F866" s="5" t="str">
        <f>HYPERLINK("http://www.pastorisardi.it/","www.pastorisardi.it")</f>
        <v>www.pastorisardi.it</v>
      </c>
    </row>
    <row r="867" spans="1:6" ht="68.099999999999994" customHeight="1" x14ac:dyDescent="0.25">
      <c r="A867" s="6" t="s">
        <v>3271</v>
      </c>
      <c r="B867" s="5" t="s">
        <v>3272</v>
      </c>
      <c r="C867" s="5" t="s">
        <v>3273</v>
      </c>
      <c r="D867" s="5" t="s">
        <v>3274</v>
      </c>
      <c r="E867" s="5" t="s">
        <v>3275</v>
      </c>
      <c r="F867" s="5" t="str">
        <f>HYPERLINK("http://www.pighin.com/","www.pighin.com")</f>
        <v>www.pighin.com</v>
      </c>
    </row>
    <row r="868" spans="1:6" ht="29.55" customHeight="1" x14ac:dyDescent="0.25">
      <c r="A868" s="1" t="s">
        <v>3276</v>
      </c>
      <c r="B868" s="7" t="s">
        <v>3277</v>
      </c>
      <c r="C868" s="7" t="s">
        <v>3278</v>
      </c>
      <c r="D868" s="7" t="s">
        <v>3279</v>
      </c>
      <c r="E868" s="7" t="s">
        <v>3280</v>
      </c>
      <c r="F868" s="7" t="str">
        <f>HYPERLINK("http://www.lacoratina.it/","www.lacoratina.it")</f>
        <v>www.lacoratina.it</v>
      </c>
    </row>
    <row r="869" spans="1:6" ht="29.55" customHeight="1" x14ac:dyDescent="0.25">
      <c r="A869" s="6" t="s">
        <v>3281</v>
      </c>
      <c r="B869" s="5" t="s">
        <v>3282</v>
      </c>
      <c r="C869" s="5" t="s">
        <v>3283</v>
      </c>
      <c r="D869" s="5" t="s">
        <v>3284</v>
      </c>
      <c r="E869" s="5" t="s">
        <v>3285</v>
      </c>
      <c r="F869" s="5" t="str">
        <f>HYPERLINK("http://www.sicilvivai.it/","http://www.sicilvivai.it")</f>
        <v>http://www.sicilvivai.it</v>
      </c>
    </row>
    <row r="870" spans="1:6" ht="55.65" customHeight="1" x14ac:dyDescent="0.25">
      <c r="A870" s="1" t="s">
        <v>3286</v>
      </c>
      <c r="B870" s="7" t="s">
        <v>3287</v>
      </c>
      <c r="C870" s="7" t="s">
        <v>3267</v>
      </c>
      <c r="D870" s="7" t="s">
        <v>3288</v>
      </c>
      <c r="E870" s="7" t="s">
        <v>3270</v>
      </c>
      <c r="F870" s="7" t="str">
        <f>HYPERLINK("http://www.unicooptirreno.it/punto-vendita/grosseto-cc-aurelia-antica","www.unicooptirreno.it/punto-vendita/grosseto-cc-aurelia-antica")</f>
        <v>www.unicooptirreno.it/punto-vendita/grosseto-cc-aurelia-antica</v>
      </c>
    </row>
    <row r="871" spans="1:6" ht="43.05" customHeight="1" x14ac:dyDescent="0.25">
      <c r="A871" s="6" t="s">
        <v>3289</v>
      </c>
      <c r="B871" s="5" t="s">
        <v>3290</v>
      </c>
      <c r="C871" s="5" t="s">
        <v>3291</v>
      </c>
      <c r="D871" s="5" t="s">
        <v>3292</v>
      </c>
      <c r="E871" s="5" t="s">
        <v>3264</v>
      </c>
      <c r="F871" s="5" t="str">
        <f>HYPERLINK("http://www.stallapiazzola.it/","www.stallapiazzola.it")</f>
        <v>www.stallapiazzola.it</v>
      </c>
    </row>
    <row r="872" spans="1:6" ht="29.55" customHeight="1" x14ac:dyDescent="0.25">
      <c r="A872" s="1" t="s">
        <v>3293</v>
      </c>
      <c r="B872" s="7" t="s">
        <v>3294</v>
      </c>
      <c r="C872" s="7" t="s">
        <v>3295</v>
      </c>
      <c r="D872" s="7" t="s">
        <v>3296</v>
      </c>
      <c r="E872" s="7" t="s">
        <v>3297</v>
      </c>
      <c r="F872" s="7" t="str">
        <f>HYPERLINK("http://www.cooperativaortofrutticolasanbiagio.com/","www.cooperativaortofrutticolasanbiagio.com")</f>
        <v>www.cooperativaortofrutticolasanbiagio.com</v>
      </c>
    </row>
    <row r="873" spans="1:6" ht="29.55" customHeight="1" x14ac:dyDescent="0.25">
      <c r="A873" s="6" t="s">
        <v>3298</v>
      </c>
      <c r="B873" s="5" t="s">
        <v>3299</v>
      </c>
      <c r="C873" s="5" t="s">
        <v>3300</v>
      </c>
      <c r="D873" s="5" t="s">
        <v>3301</v>
      </c>
      <c r="E873" s="5" t="s">
        <v>3297</v>
      </c>
      <c r="F873" s="5" t="str">
        <f>HYPERLINK("http://fratellivalcalcer.it/","fratellivalcalcer.it")</f>
        <v>fratellivalcalcer.it</v>
      </c>
    </row>
    <row r="874" spans="1:6" ht="29.55" customHeight="1" x14ac:dyDescent="0.25">
      <c r="A874" s="1" t="s">
        <v>3302</v>
      </c>
      <c r="B874" s="7" t="s">
        <v>3303</v>
      </c>
      <c r="C874" s="7" t="s">
        <v>3278</v>
      </c>
      <c r="D874" s="7" t="s">
        <v>3304</v>
      </c>
      <c r="E874" s="7" t="s">
        <v>3280</v>
      </c>
      <c r="F874" s="7" t="str">
        <f>HYPERLINK("http://www.facebook.com/coop-la-pineta-arl-376904935813301/","www.facebook.com/coop-la-pineta-arl-376904935813301/")</f>
        <v>www.facebook.com/coop-la-pineta-arl-376904935813301/</v>
      </c>
    </row>
    <row r="875" spans="1:6" ht="68.099999999999994" customHeight="1" x14ac:dyDescent="0.25">
      <c r="A875" s="6" t="s">
        <v>3305</v>
      </c>
      <c r="B875" s="5" t="s">
        <v>3306</v>
      </c>
      <c r="C875" s="5" t="s">
        <v>3307</v>
      </c>
      <c r="D875" s="5" t="s">
        <v>3308</v>
      </c>
      <c r="E875" s="5" t="s">
        <v>3264</v>
      </c>
      <c r="F875" s="5" t="str">
        <f>HYPERLINK("http://www.cltcoop.it/","www.cltcoop.it")</f>
        <v>www.cltcoop.it</v>
      </c>
    </row>
    <row r="876" spans="1:6" ht="43.05" customHeight="1" x14ac:dyDescent="0.25">
      <c r="A876" s="6" t="s">
        <v>3309</v>
      </c>
      <c r="B876" s="5" t="s">
        <v>3310</v>
      </c>
      <c r="C876" s="5" t="s">
        <v>3295</v>
      </c>
      <c r="D876" s="5" t="s">
        <v>3311</v>
      </c>
      <c r="E876" s="5" t="s">
        <v>3280</v>
      </c>
      <c r="F876" s="5" t="str">
        <f>HYPERLINK("http://www.nuovagricoltura.it/","www.nuovagricoltura.it")</f>
        <v>www.nuovagricoltura.it</v>
      </c>
    </row>
    <row r="877" spans="1:6" ht="29.55" customHeight="1" x14ac:dyDescent="0.25">
      <c r="A877" s="6" t="s">
        <v>3312</v>
      </c>
      <c r="B877" s="5" t="s">
        <v>3313</v>
      </c>
      <c r="C877" s="5" t="s">
        <v>3314</v>
      </c>
      <c r="D877" s="5" t="s">
        <v>3315</v>
      </c>
      <c r="E877" s="5" t="s">
        <v>3285</v>
      </c>
      <c r="F877" s="5" t="str">
        <f>HYPERLINK("http://www.cvacanicatti.it/","www.cvacanicatti.it")</f>
        <v>www.cvacanicatti.it</v>
      </c>
    </row>
    <row r="878" spans="1:6" ht="29.55" customHeight="1" x14ac:dyDescent="0.25">
      <c r="A878" s="1" t="s">
        <v>3316</v>
      </c>
      <c r="B878" s="7" t="s">
        <v>3317</v>
      </c>
      <c r="C878" s="7" t="s">
        <v>3318</v>
      </c>
      <c r="D878" s="7" t="s">
        <v>3319</v>
      </c>
      <c r="E878" s="7" t="s">
        <v>3280</v>
      </c>
      <c r="F878" s="7" t="str">
        <f>HYPERLINK("http://www.birrasalentoshop.it/","www.birrasalentoshop.it")</f>
        <v>www.birrasalentoshop.it</v>
      </c>
    </row>
    <row r="879" spans="1:6" ht="29.55" customHeight="1" x14ac:dyDescent="0.25">
      <c r="A879" s="1" t="s">
        <v>3320</v>
      </c>
      <c r="B879" s="7" t="s">
        <v>3321</v>
      </c>
      <c r="C879" s="7" t="s">
        <v>3322</v>
      </c>
      <c r="D879" s="7" t="s">
        <v>3284</v>
      </c>
      <c r="E879" s="7" t="s">
        <v>3285</v>
      </c>
      <c r="F879" s="7" t="str">
        <f>HYPERLINK("http://www.kamarinasrl.it/","www.kamarinasrl.it")</f>
        <v>www.kamarinasrl.it</v>
      </c>
    </row>
    <row r="880" spans="1:6" ht="16.95" customHeight="1" x14ac:dyDescent="0.25">
      <c r="A880" s="6" t="s">
        <v>3323</v>
      </c>
      <c r="B880" s="5" t="s">
        <v>3324</v>
      </c>
      <c r="C880" s="5" t="s">
        <v>3325</v>
      </c>
      <c r="D880" s="5" t="s">
        <v>3326</v>
      </c>
      <c r="E880" s="5" t="s">
        <v>3327</v>
      </c>
      <c r="F880" s="5" t="str">
        <f>HYPERLINK("http://www.cgssementi.it/","www.cgssementi.it")</f>
        <v>www.cgssementi.it</v>
      </c>
    </row>
    <row r="881" spans="1:6" ht="29.55" customHeight="1" x14ac:dyDescent="0.25">
      <c r="A881" s="1" t="s">
        <v>3328</v>
      </c>
      <c r="B881" s="7" t="s">
        <v>3329</v>
      </c>
      <c r="C881" s="7" t="s">
        <v>3269</v>
      </c>
      <c r="D881" s="7" t="s">
        <v>3263</v>
      </c>
      <c r="E881" s="7" t="s">
        <v>3264</v>
      </c>
      <c r="F881" s="7" t="str">
        <f>HYPERLINK("http://www.lacommercialeagricola.com/","www.lacommercialeagricola.com")</f>
        <v>www.lacommercialeagricola.com</v>
      </c>
    </row>
    <row r="882" spans="1:6" ht="16.95" customHeight="1" x14ac:dyDescent="0.25">
      <c r="A882" s="1" t="s">
        <v>3330</v>
      </c>
      <c r="B882" s="7" t="s">
        <v>3331</v>
      </c>
      <c r="C882" s="7" t="s">
        <v>3332</v>
      </c>
      <c r="D882" s="7" t="s">
        <v>3333</v>
      </c>
      <c r="E882" s="7" t="s">
        <v>3334</v>
      </c>
      <c r="F882" s="7" t="str">
        <f>HYPERLINK("http://www.valverdesrl.com/","www.valverdesrl.com")</f>
        <v>www.valverdesrl.com</v>
      </c>
    </row>
    <row r="883" spans="1:6" ht="43.05" customHeight="1" x14ac:dyDescent="0.25">
      <c r="A883" s="6" t="s">
        <v>3335</v>
      </c>
      <c r="B883" s="5" t="s">
        <v>3336</v>
      </c>
      <c r="C883" s="5" t="s">
        <v>3337</v>
      </c>
      <c r="D883" s="5" t="s">
        <v>3338</v>
      </c>
      <c r="E883" s="5" t="s">
        <v>3339</v>
      </c>
      <c r="F883" s="5" t="str">
        <f>HYPERLINK("http://www.ortonatura.org/","www.ortonatura.org")</f>
        <v>www.ortonatura.org</v>
      </c>
    </row>
    <row r="884" spans="1:6" ht="43.05" customHeight="1" x14ac:dyDescent="0.25">
      <c r="A884" s="1" t="s">
        <v>3340</v>
      </c>
      <c r="B884" s="7" t="s">
        <v>3341</v>
      </c>
      <c r="C884" s="7" t="s">
        <v>3342</v>
      </c>
      <c r="D884" s="7" t="s">
        <v>3343</v>
      </c>
      <c r="E884" s="7" t="s">
        <v>3344</v>
      </c>
      <c r="F884" s="7" t="str">
        <f>HYPERLINK("http://www.patate-brunico.it/","www.patate-brunico.it")</f>
        <v>www.patate-brunico.it</v>
      </c>
    </row>
    <row r="885" spans="1:6" ht="55.65" customHeight="1" x14ac:dyDescent="0.25">
      <c r="A885" s="1" t="s">
        <v>3346</v>
      </c>
      <c r="B885" s="7" t="s">
        <v>3347</v>
      </c>
      <c r="C885" s="7" t="s">
        <v>3348</v>
      </c>
      <c r="D885" s="7" t="s">
        <v>3349</v>
      </c>
      <c r="E885" s="7" t="s">
        <v>3350</v>
      </c>
      <c r="F885" s="7" t="str">
        <f>HYPERLINK("http://www.lacmeshop.it/","www.lacmeshop.it")</f>
        <v>www.lacmeshop.it</v>
      </c>
    </row>
    <row r="886" spans="1:6" ht="29.55" customHeight="1" x14ac:dyDescent="0.25">
      <c r="A886" s="6" t="s">
        <v>3354</v>
      </c>
      <c r="B886" s="5" t="s">
        <v>3355</v>
      </c>
      <c r="C886" s="5" t="s">
        <v>3356</v>
      </c>
      <c r="D886" s="5" t="s">
        <v>3352</v>
      </c>
      <c r="E886" s="5" t="s">
        <v>3353</v>
      </c>
      <c r="F886" s="5" t="str">
        <f>HYPERLINK("http://www.vivaiagricoopcanosa.it/","www.vivaiagricoopcanosa.it")</f>
        <v>www.vivaiagricoopcanosa.it</v>
      </c>
    </row>
    <row r="887" spans="1:6" ht="29.55" customHeight="1" x14ac:dyDescent="0.25">
      <c r="A887" s="1" t="s">
        <v>3357</v>
      </c>
      <c r="B887" s="7" t="s">
        <v>3358</v>
      </c>
      <c r="C887" s="7" t="s">
        <v>3359</v>
      </c>
      <c r="D887" s="7" t="s">
        <v>3360</v>
      </c>
      <c r="E887" s="7" t="s">
        <v>3360</v>
      </c>
      <c r="F887" s="7" t="str">
        <f>HYPERLINK("http://www.cofruits.it/","www.cofruits.it")</f>
        <v>www.cofruits.it</v>
      </c>
    </row>
    <row r="888" spans="1:6" ht="29.55" customHeight="1" x14ac:dyDescent="0.25">
      <c r="A888" s="6" t="s">
        <v>3362</v>
      </c>
      <c r="B888" s="5" t="s">
        <v>3363</v>
      </c>
      <c r="C888" s="5" t="s">
        <v>3364</v>
      </c>
      <c r="D888" s="5" t="s">
        <v>3365</v>
      </c>
      <c r="E888" s="5" t="s">
        <v>3361</v>
      </c>
      <c r="F888" s="5" t="str">
        <f>HYPERLINK("http://www.faservicesrl.it/","www.faservicesrl.it")</f>
        <v>www.faservicesrl.it</v>
      </c>
    </row>
    <row r="889" spans="1:6" ht="29.55" customHeight="1" x14ac:dyDescent="0.25">
      <c r="A889" s="6" t="s">
        <v>3367</v>
      </c>
      <c r="B889" s="5" t="s">
        <v>3368</v>
      </c>
      <c r="C889" s="5" t="s">
        <v>3369</v>
      </c>
      <c r="D889" s="5" t="s">
        <v>3370</v>
      </c>
      <c r="E889" s="5" t="s">
        <v>3371</v>
      </c>
      <c r="F889" s="5" t="str">
        <f>HYPERLINK("http://www.coopvallebruna.it/","www.coopvallebruna.it")</f>
        <v>www.coopvallebruna.it</v>
      </c>
    </row>
    <row r="890" spans="1:6" ht="29.55" customHeight="1" x14ac:dyDescent="0.25">
      <c r="A890" s="1" t="s">
        <v>3372</v>
      </c>
      <c r="B890" s="7" t="s">
        <v>3373</v>
      </c>
      <c r="C890" s="7" t="s">
        <v>3374</v>
      </c>
      <c r="D890" s="7" t="s">
        <v>3375</v>
      </c>
      <c r="E890" s="7" t="s">
        <v>3350</v>
      </c>
      <c r="F890" s="7" t="str">
        <f>HYPERLINK("http://www.ilgermogliopiacenza.it/","www.ilgermogliopiacenza.it")</f>
        <v>www.ilgermogliopiacenza.it</v>
      </c>
    </row>
    <row r="891" spans="1:6" ht="29.55" customHeight="1" x14ac:dyDescent="0.25">
      <c r="A891" s="6" t="s">
        <v>3378</v>
      </c>
      <c r="B891" s="5" t="s">
        <v>3379</v>
      </c>
      <c r="C891" s="5" t="s">
        <v>3364</v>
      </c>
      <c r="D891" s="5" t="s">
        <v>3380</v>
      </c>
      <c r="E891" s="5" t="s">
        <v>3353</v>
      </c>
      <c r="F891" s="5" t="str">
        <f>HYPERLINK("http://landing.icontadini.it/","landing.icontadini.it")</f>
        <v>landing.icontadini.it</v>
      </c>
    </row>
    <row r="892" spans="1:6" ht="29.55" customHeight="1" x14ac:dyDescent="0.25">
      <c r="A892" s="1" t="s">
        <v>3381</v>
      </c>
      <c r="B892" s="7" t="s">
        <v>3382</v>
      </c>
      <c r="C892" s="7" t="s">
        <v>3376</v>
      </c>
      <c r="D892" s="7" t="s">
        <v>3383</v>
      </c>
      <c r="E892" s="7" t="s">
        <v>3351</v>
      </c>
      <c r="F892" s="7" t="str">
        <f>HYPERLINK("http://cantinacona.it/","cantinacona.it")</f>
        <v>cantinacona.it</v>
      </c>
    </row>
    <row r="893" spans="1:6" ht="29.55" customHeight="1" x14ac:dyDescent="0.25">
      <c r="A893" s="6" t="s">
        <v>3384</v>
      </c>
      <c r="B893" s="5" t="s">
        <v>3385</v>
      </c>
      <c r="C893" s="5" t="s">
        <v>3377</v>
      </c>
      <c r="D893" s="5" t="s">
        <v>3386</v>
      </c>
      <c r="E893" s="5" t="s">
        <v>3339</v>
      </c>
      <c r="F893" s="5" t="str">
        <f>HYPERLINK("http://www.ceretobasso.it/","www.ceretobasso.it")</f>
        <v>www.ceretobasso.it</v>
      </c>
    </row>
    <row r="894" spans="1:6" ht="43.05" customHeight="1" x14ac:dyDescent="0.25">
      <c r="A894" s="1" t="s">
        <v>3387</v>
      </c>
      <c r="B894" s="7" t="s">
        <v>3388</v>
      </c>
      <c r="C894" s="7" t="s">
        <v>3389</v>
      </c>
      <c r="D894" s="7" t="s">
        <v>3366</v>
      </c>
      <c r="E894" s="7" t="s">
        <v>3353</v>
      </c>
      <c r="F894" s="7" t="str">
        <f>HYPERLINK("http://www.steaimportexport.com/","www.steaimportexport.com")</f>
        <v>www.steaimportexport.com</v>
      </c>
    </row>
    <row r="895" spans="1:6" ht="29.55" customHeight="1" x14ac:dyDescent="0.25">
      <c r="A895" s="6" t="s">
        <v>3390</v>
      </c>
      <c r="B895" s="5" t="s">
        <v>3391</v>
      </c>
      <c r="C895" s="5" t="s">
        <v>3345</v>
      </c>
      <c r="D895" s="5" t="s">
        <v>3392</v>
      </c>
      <c r="E895" s="5" t="s">
        <v>3361</v>
      </c>
      <c r="F895" s="5" t="str">
        <f>HYPERLINK("http://www.tobaccointernationalsrl.com/","www.tobaccointernationalsrl.com")</f>
        <v>www.tobaccointernationalsrl.com</v>
      </c>
    </row>
    <row r="896" spans="1:6" ht="43.05" customHeight="1" x14ac:dyDescent="0.25">
      <c r="A896" s="1" t="s">
        <v>3393</v>
      </c>
      <c r="B896" s="7" t="s">
        <v>3394</v>
      </c>
      <c r="C896" s="7" t="s">
        <v>3395</v>
      </c>
      <c r="D896" s="7" t="s">
        <v>3366</v>
      </c>
      <c r="E896" s="7" t="s">
        <v>3353</v>
      </c>
      <c r="F896" s="7" t="str">
        <f>HYPERLINK("http://www.fungopuglia.it/","www.fungopuglia.it")</f>
        <v>www.fungopuglia.it</v>
      </c>
    </row>
    <row r="897" spans="1:6" ht="16.95" customHeight="1" x14ac:dyDescent="0.25">
      <c r="A897" s="1" t="s">
        <v>3396</v>
      </c>
      <c r="B897" s="7" t="s">
        <v>3397</v>
      </c>
      <c r="C897" s="7" t="s">
        <v>3398</v>
      </c>
      <c r="D897" s="7" t="s">
        <v>3399</v>
      </c>
      <c r="E897" s="7" t="s">
        <v>3400</v>
      </c>
      <c r="F897" s="7" t="str">
        <f>HYPERLINK("http://www.vinicolafilippi.it/","www.vinicolafilippi.it")</f>
        <v>www.vinicolafilippi.it</v>
      </c>
    </row>
    <row r="898" spans="1:6" ht="132.75" customHeight="1" x14ac:dyDescent="0.25">
      <c r="A898" s="6" t="s">
        <v>3403</v>
      </c>
      <c r="B898" s="5" t="s">
        <v>3404</v>
      </c>
      <c r="C898" s="5" t="s">
        <v>3398</v>
      </c>
      <c r="D898" s="5" t="s">
        <v>3405</v>
      </c>
      <c r="E898" s="5" t="s">
        <v>3401</v>
      </c>
      <c r="F898" s="5" t="str">
        <f>HYPERLINK("http://neravini.com/","neravini.com")</f>
        <v>neravini.com</v>
      </c>
    </row>
    <row r="899" spans="1:6" ht="55.65" customHeight="1" x14ac:dyDescent="0.25">
      <c r="A899" s="6" t="s">
        <v>3407</v>
      </c>
      <c r="B899" s="5" t="s">
        <v>3408</v>
      </c>
      <c r="C899" s="5" t="s">
        <v>3409</v>
      </c>
      <c r="D899" s="5" t="s">
        <v>3410</v>
      </c>
      <c r="E899" s="5" t="s">
        <v>3400</v>
      </c>
      <c r="F899" s="5" t="str">
        <f>HYPERLINK("http://www.caseificiominozzo.it/","www.caseificiominozzo.it")</f>
        <v>www.caseificiominozzo.it</v>
      </c>
    </row>
    <row r="900" spans="1:6" ht="16.95" customHeight="1" x14ac:dyDescent="0.25">
      <c r="A900" s="1" t="s">
        <v>3411</v>
      </c>
      <c r="B900" s="7" t="s">
        <v>3412</v>
      </c>
      <c r="C900" s="7" t="s">
        <v>3413</v>
      </c>
      <c r="D900" s="7" t="s">
        <v>3414</v>
      </c>
      <c r="E900" s="7" t="s">
        <v>3401</v>
      </c>
      <c r="F900" s="7" t="str">
        <f>HYPERLINK("http://www.germani-srl.it/","www.germani-srl.it")</f>
        <v>www.germani-srl.it</v>
      </c>
    </row>
    <row r="901" spans="1:6" ht="29.55" customHeight="1" x14ac:dyDescent="0.25">
      <c r="A901" s="6" t="s">
        <v>3415</v>
      </c>
      <c r="B901" s="5" t="s">
        <v>3416</v>
      </c>
      <c r="C901" s="5" t="s">
        <v>3398</v>
      </c>
      <c r="D901" s="5" t="s">
        <v>3417</v>
      </c>
      <c r="E901" s="5" t="s">
        <v>3418</v>
      </c>
      <c r="F901" s="5" t="str">
        <f>HYPERLINK("http://www.castellomeleto.it/","www.castellomeleto.it")</f>
        <v>www.castellomeleto.it</v>
      </c>
    </row>
    <row r="902" spans="1:6" ht="16.95" customHeight="1" x14ac:dyDescent="0.25">
      <c r="A902" s="6" t="s">
        <v>3419</v>
      </c>
      <c r="B902" s="5" t="s">
        <v>3420</v>
      </c>
      <c r="C902" s="5" t="s">
        <v>3421</v>
      </c>
      <c r="D902" s="5" t="s">
        <v>3422</v>
      </c>
      <c r="E902" s="5" t="s">
        <v>3423</v>
      </c>
      <c r="F902" s="5" t="str">
        <f>HYPERLINK("http://it.pic.com/","it.pic.com")</f>
        <v>it.pic.com</v>
      </c>
    </row>
    <row r="903" spans="1:6" ht="29.55" customHeight="1" x14ac:dyDescent="0.25">
      <c r="A903" s="1" t="s">
        <v>3424</v>
      </c>
      <c r="B903" s="7" t="s">
        <v>3425</v>
      </c>
      <c r="C903" s="7" t="s">
        <v>3398</v>
      </c>
      <c r="D903" s="7" t="s">
        <v>3426</v>
      </c>
      <c r="E903" s="7" t="s">
        <v>3402</v>
      </c>
      <c r="F903" s="7" t="str">
        <f>HYPERLINK("http://tenutasangiorgio.com/","tenutasangiorgio.com")</f>
        <v>tenutasangiorgio.com</v>
      </c>
    </row>
    <row r="904" spans="1:6" ht="29.55" customHeight="1" x14ac:dyDescent="0.25">
      <c r="A904" s="6" t="s">
        <v>3427</v>
      </c>
      <c r="B904" s="5" t="s">
        <v>3428</v>
      </c>
      <c r="C904" s="5" t="s">
        <v>3429</v>
      </c>
      <c r="D904" s="5" t="s">
        <v>3430</v>
      </c>
      <c r="E904" s="5" t="s">
        <v>3406</v>
      </c>
      <c r="F904" s="5" t="str">
        <f>HYPERLINK("http://www.punzi.it/","www.punzi.it")</f>
        <v>www.punzi.it</v>
      </c>
    </row>
    <row r="905" spans="1:6" ht="68.099999999999994" customHeight="1" x14ac:dyDescent="0.25">
      <c r="A905" s="1" t="s">
        <v>3431</v>
      </c>
      <c r="B905" s="7" t="s">
        <v>3432</v>
      </c>
      <c r="C905" s="7" t="s">
        <v>3433</v>
      </c>
      <c r="D905" s="7" t="s">
        <v>3434</v>
      </c>
      <c r="E905" s="7" t="s">
        <v>3418</v>
      </c>
      <c r="F905" s="7" t="str">
        <f>HYPERLINK("http://vivaioterrantica.it/","vivaioterrantica.it")</f>
        <v>vivaioterrantica.it</v>
      </c>
    </row>
    <row r="906" spans="1:6" ht="94.2" customHeight="1" x14ac:dyDescent="0.25">
      <c r="A906" s="6" t="s">
        <v>3435</v>
      </c>
      <c r="B906" s="5" t="s">
        <v>3436</v>
      </c>
      <c r="C906" s="5" t="s">
        <v>3433</v>
      </c>
      <c r="D906" s="5" t="s">
        <v>3399</v>
      </c>
      <c r="E906" s="5" t="s">
        <v>3400</v>
      </c>
      <c r="F906" s="5" t="str">
        <f>HYPERLINK("http://cabbagnacavallo.it/","cabbagnacavallo.it")</f>
        <v>cabbagnacavallo.it</v>
      </c>
    </row>
    <row r="907" spans="1:6" ht="29.55" customHeight="1" x14ac:dyDescent="0.25">
      <c r="A907" s="1" t="s">
        <v>3437</v>
      </c>
      <c r="B907" s="7" t="s">
        <v>3438</v>
      </c>
      <c r="C907" s="7" t="s">
        <v>3398</v>
      </c>
      <c r="D907" s="7" t="s">
        <v>3439</v>
      </c>
      <c r="E907" s="7" t="s">
        <v>3440</v>
      </c>
      <c r="F907" s="7" t="str">
        <f>HYPERLINK("http://vignesurrau.passweb.it/","vignesurrau.passweb.it")</f>
        <v>vignesurrau.passweb.it</v>
      </c>
    </row>
    <row r="908" spans="1:6" ht="81.75" customHeight="1" x14ac:dyDescent="0.25">
      <c r="A908" s="1" t="s">
        <v>3441</v>
      </c>
      <c r="B908" s="7" t="s">
        <v>3442</v>
      </c>
      <c r="C908" s="7" t="s">
        <v>3398</v>
      </c>
      <c r="D908" s="7" t="s">
        <v>3417</v>
      </c>
      <c r="E908" s="7" t="s">
        <v>3418</v>
      </c>
      <c r="F908" s="7" t="str">
        <f>HYPERLINK("http://www.poggioantico.com/","www.poggioantico.com")</f>
        <v>www.poggioantico.com</v>
      </c>
    </row>
    <row r="909" spans="1:6" ht="29.55" customHeight="1" x14ac:dyDescent="0.25">
      <c r="A909" s="6" t="s">
        <v>3443</v>
      </c>
      <c r="B909" s="5" t="s">
        <v>3444</v>
      </c>
      <c r="C909" s="5" t="s">
        <v>3429</v>
      </c>
      <c r="D909" s="5" t="s">
        <v>3445</v>
      </c>
      <c r="E909" s="5" t="s">
        <v>3446</v>
      </c>
      <c r="F909" s="5" t="str">
        <f>HYPERLINK("http://www.agripalma.it/","www.agripalma.it")</f>
        <v>www.agripalma.it</v>
      </c>
    </row>
    <row r="910" spans="1:6" ht="29.55" customHeight="1" x14ac:dyDescent="0.25">
      <c r="A910" s="6" t="s">
        <v>3448</v>
      </c>
      <c r="B910" s="5" t="s">
        <v>3449</v>
      </c>
      <c r="C910" s="5" t="s">
        <v>3447</v>
      </c>
      <c r="D910" s="5" t="s">
        <v>3450</v>
      </c>
      <c r="E910" s="5" t="s">
        <v>3450</v>
      </c>
      <c r="F910" s="5" t="str">
        <f>HYPERLINK("http://www.fromadzodop.it/","www.fromadzodop.it")</f>
        <v>www.fromadzodop.it</v>
      </c>
    </row>
    <row r="911" spans="1:6" ht="43.05" customHeight="1" x14ac:dyDescent="0.25">
      <c r="A911" s="6" t="s">
        <v>3451</v>
      </c>
      <c r="B911" s="5" t="s">
        <v>3452</v>
      </c>
      <c r="C911" s="5" t="s">
        <v>3453</v>
      </c>
      <c r="D911" s="5" t="s">
        <v>3454</v>
      </c>
      <c r="E911" s="5" t="s">
        <v>3455</v>
      </c>
      <c r="F911" s="5" t="str">
        <f>HYPERLINK("http://www.fratellibarba.it/","www.fratellibarba.it")</f>
        <v>www.fratellibarba.it</v>
      </c>
    </row>
    <row r="912" spans="1:6" ht="43.05" customHeight="1" x14ac:dyDescent="0.25">
      <c r="A912" s="1" t="s">
        <v>3456</v>
      </c>
      <c r="B912" s="7" t="s">
        <v>3457</v>
      </c>
      <c r="C912" s="7" t="s">
        <v>3398</v>
      </c>
      <c r="D912" s="7" t="s">
        <v>3458</v>
      </c>
      <c r="E912" s="7" t="s">
        <v>3459</v>
      </c>
      <c r="F912" s="7" t="str">
        <f>HYPERLINK("http://www.cantinadimontefiascone.it/","http://www.cantinadimontefiascone.it")</f>
        <v>http://www.cantinadimontefiascone.it</v>
      </c>
    </row>
    <row r="913" spans="1:6" ht="29.55" customHeight="1" x14ac:dyDescent="0.25">
      <c r="A913" s="1" t="s">
        <v>3460</v>
      </c>
      <c r="B913" s="7" t="s">
        <v>3461</v>
      </c>
      <c r="C913" s="7" t="s">
        <v>3462</v>
      </c>
      <c r="D913" s="7" t="s">
        <v>3463</v>
      </c>
      <c r="E913" s="7" t="s">
        <v>3464</v>
      </c>
      <c r="F913" s="7" t="str">
        <f>HYPERLINK("http://valverbe.it/","valverbe.it")</f>
        <v>valverbe.it</v>
      </c>
    </row>
    <row r="914" spans="1:6" ht="43.05" customHeight="1" x14ac:dyDescent="0.25">
      <c r="A914" s="6" t="s">
        <v>3468</v>
      </c>
      <c r="B914" s="5" t="s">
        <v>3469</v>
      </c>
      <c r="C914" s="5" t="s">
        <v>3470</v>
      </c>
      <c r="D914" s="5" t="s">
        <v>3471</v>
      </c>
      <c r="E914" s="5" t="s">
        <v>3472</v>
      </c>
      <c r="F914" s="5" t="str">
        <f>HYPERLINK("http://www.pafmarsica.it/","www.pafmarsica.it/")</f>
        <v>www.pafmarsica.it/</v>
      </c>
    </row>
    <row r="915" spans="1:6" ht="43.05" customHeight="1" x14ac:dyDescent="0.25">
      <c r="A915" s="1" t="s">
        <v>3473</v>
      </c>
      <c r="B915" s="7" t="s">
        <v>3474</v>
      </c>
      <c r="C915" s="7" t="s">
        <v>3462</v>
      </c>
      <c r="D915" s="7" t="s">
        <v>3475</v>
      </c>
      <c r="E915" s="7" t="s">
        <v>3476</v>
      </c>
      <c r="F915" s="7" t="str">
        <f>HYPERLINK("http://auricchioesons.it/","auricchioesons.it")</f>
        <v>auricchioesons.it</v>
      </c>
    </row>
    <row r="916" spans="1:6" ht="29.55" customHeight="1" x14ac:dyDescent="0.25">
      <c r="A916" s="6" t="s">
        <v>3477</v>
      </c>
      <c r="B916" s="5" t="s">
        <v>3478</v>
      </c>
      <c r="C916" s="5" t="s">
        <v>3479</v>
      </c>
      <c r="D916" s="5" t="s">
        <v>3480</v>
      </c>
      <c r="E916" s="5" t="s">
        <v>3465</v>
      </c>
      <c r="F916" s="5" t="str">
        <f>HYPERLINK("http://www.suime.it/","http://www.suime.it")</f>
        <v>http://www.suime.it</v>
      </c>
    </row>
    <row r="917" spans="1:6" ht="29.55" customHeight="1" x14ac:dyDescent="0.25">
      <c r="A917" s="1" t="s">
        <v>3481</v>
      </c>
      <c r="B917" s="7" t="s">
        <v>3482</v>
      </c>
      <c r="C917" s="7" t="s">
        <v>3462</v>
      </c>
      <c r="D917" s="7" t="s">
        <v>3483</v>
      </c>
      <c r="E917" s="7" t="s">
        <v>3476</v>
      </c>
      <c r="F917" s="7" t="str">
        <f>HYPERLINK("http://www.torremaestra.com/","www.torremaestra.com")</f>
        <v>www.torremaestra.com</v>
      </c>
    </row>
    <row r="918" spans="1:6" ht="29.55" customHeight="1" x14ac:dyDescent="0.25">
      <c r="A918" s="1" t="s">
        <v>3484</v>
      </c>
      <c r="B918" s="7" t="s">
        <v>3485</v>
      </c>
      <c r="C918" s="7" t="s">
        <v>3486</v>
      </c>
      <c r="D918" s="7" t="s">
        <v>3487</v>
      </c>
      <c r="E918" s="7" t="s">
        <v>3488</v>
      </c>
      <c r="F918" s="7" t="str">
        <f>HYPERLINK("http://ruscuscosmoflora.com/","ruscuscosmoflora.com")</f>
        <v>ruscuscosmoflora.com</v>
      </c>
    </row>
    <row r="919" spans="1:6" ht="55.65" customHeight="1" x14ac:dyDescent="0.25">
      <c r="A919" s="6" t="s">
        <v>3489</v>
      </c>
      <c r="B919" s="5" t="s">
        <v>3490</v>
      </c>
      <c r="C919" s="5" t="s">
        <v>3491</v>
      </c>
      <c r="D919" s="5" t="s">
        <v>3492</v>
      </c>
      <c r="E919" s="5" t="s">
        <v>3493</v>
      </c>
      <c r="F919" s="5" t="str">
        <f>HYPERLINK("http://www.lavinsantaia.it/","www.lavinsantaia.it")</f>
        <v>www.lavinsantaia.it</v>
      </c>
    </row>
    <row r="920" spans="1:6" ht="55.65" customHeight="1" x14ac:dyDescent="0.25">
      <c r="A920" s="6" t="s">
        <v>3496</v>
      </c>
      <c r="B920" s="5" t="s">
        <v>3497</v>
      </c>
      <c r="C920" s="5" t="s">
        <v>3491</v>
      </c>
      <c r="D920" s="5" t="s">
        <v>3498</v>
      </c>
      <c r="E920" s="5" t="s">
        <v>3499</v>
      </c>
      <c r="F920" s="5" t="str">
        <f>HYPERLINK("http://www.cantinacoviolo.it/","www.cantinacoviolo.it")</f>
        <v>www.cantinacoviolo.it</v>
      </c>
    </row>
    <row r="921" spans="1:6" ht="29.55" customHeight="1" x14ac:dyDescent="0.25">
      <c r="A921" s="6" t="s">
        <v>3500</v>
      </c>
      <c r="B921" s="5" t="s">
        <v>3501</v>
      </c>
      <c r="C921" s="5" t="s">
        <v>3502</v>
      </c>
      <c r="D921" s="5" t="s">
        <v>3503</v>
      </c>
      <c r="E921" s="5" t="s">
        <v>3504</v>
      </c>
      <c r="F921" s="5" t="str">
        <f>HYPERLINK("http://www.tenutaseiore.it/","www.tenutaseiore.it")</f>
        <v>www.tenutaseiore.it</v>
      </c>
    </row>
    <row r="922" spans="1:6" ht="29.55" customHeight="1" x14ac:dyDescent="0.25">
      <c r="A922" s="6" t="s">
        <v>3505</v>
      </c>
      <c r="B922" s="5" t="s">
        <v>3506</v>
      </c>
      <c r="C922" s="5" t="s">
        <v>3462</v>
      </c>
      <c r="D922" s="5" t="s">
        <v>3463</v>
      </c>
      <c r="E922" s="5" t="s">
        <v>3464</v>
      </c>
      <c r="F922" s="5" t="str">
        <f>HYPERLINK("http://www.albifrutta.it/","www.albifrutta.it")</f>
        <v>www.albifrutta.it</v>
      </c>
    </row>
    <row r="923" spans="1:6" ht="29.55" customHeight="1" x14ac:dyDescent="0.25">
      <c r="A923" s="1" t="s">
        <v>3507</v>
      </c>
      <c r="B923" s="7" t="s">
        <v>3508</v>
      </c>
      <c r="C923" s="7" t="s">
        <v>3509</v>
      </c>
      <c r="D923" s="7" t="s">
        <v>3510</v>
      </c>
      <c r="E923" s="7" t="s">
        <v>3467</v>
      </c>
      <c r="F923" s="7" t="str">
        <f>HYPERLINK("http://caselevi.it/","caselevi.it")</f>
        <v>caselevi.it</v>
      </c>
    </row>
    <row r="924" spans="1:6" ht="29.55" customHeight="1" x14ac:dyDescent="0.25">
      <c r="A924" s="6" t="s">
        <v>3511</v>
      </c>
      <c r="B924" s="5" t="s">
        <v>3512</v>
      </c>
      <c r="C924" s="5" t="s">
        <v>3491</v>
      </c>
      <c r="D924" s="5" t="s">
        <v>3513</v>
      </c>
      <c r="E924" s="5" t="s">
        <v>3514</v>
      </c>
      <c r="F924" s="5" t="str">
        <f>HYPERLINK("http://www.podereleripi.com/","www.podereleripi.com")</f>
        <v>www.podereleripi.com</v>
      </c>
    </row>
    <row r="925" spans="1:6" ht="55.65" customHeight="1" x14ac:dyDescent="0.25">
      <c r="A925" s="6" t="s">
        <v>3515</v>
      </c>
      <c r="B925" s="5" t="s">
        <v>3516</v>
      </c>
      <c r="C925" s="5" t="s">
        <v>3486</v>
      </c>
      <c r="D925" s="5" t="s">
        <v>3494</v>
      </c>
      <c r="E925" s="5" t="s">
        <v>3495</v>
      </c>
      <c r="F925" s="5" t="str">
        <f>HYPERLINK("http://www.pasamagrumi.it/","www.pasamagrumi.it")</f>
        <v>www.pasamagrumi.it</v>
      </c>
    </row>
    <row r="926" spans="1:6" ht="29.55" customHeight="1" x14ac:dyDescent="0.25">
      <c r="A926" s="6" t="s">
        <v>3517</v>
      </c>
      <c r="B926" s="5" t="s">
        <v>3518</v>
      </c>
      <c r="C926" s="5" t="s">
        <v>3491</v>
      </c>
      <c r="D926" s="5" t="s">
        <v>3519</v>
      </c>
      <c r="E926" s="5" t="s">
        <v>3476</v>
      </c>
      <c r="F926" s="5" t="str">
        <f>HYPERLINK("http://aziendatrovisigiuseppe.it/","aziendatrovisigiuseppe.it")</f>
        <v>aziendatrovisigiuseppe.it</v>
      </c>
    </row>
    <row r="927" spans="1:6" ht="43.05" customHeight="1" x14ac:dyDescent="0.25">
      <c r="A927" s="6" t="s">
        <v>3520</v>
      </c>
      <c r="B927" s="5" t="s">
        <v>3521</v>
      </c>
      <c r="C927" s="5" t="s">
        <v>3491</v>
      </c>
      <c r="D927" s="5" t="s">
        <v>3522</v>
      </c>
      <c r="E927" s="5" t="s">
        <v>3493</v>
      </c>
      <c r="F927" s="5" t="str">
        <f>HYPERLINK("http://www.petrawine.it/","www.petrawine.it")</f>
        <v>www.petrawine.it</v>
      </c>
    </row>
    <row r="928" spans="1:6" ht="43.05" customHeight="1" x14ac:dyDescent="0.25">
      <c r="A928" s="1" t="s">
        <v>3523</v>
      </c>
      <c r="B928" s="7" t="s">
        <v>3524</v>
      </c>
      <c r="C928" s="7" t="s">
        <v>3470</v>
      </c>
      <c r="D928" s="7" t="s">
        <v>3483</v>
      </c>
      <c r="E928" s="7" t="s">
        <v>3476</v>
      </c>
      <c r="F928" s="7" t="str">
        <f>HYPERLINK("http://ortofruttacandela.it/","ortofruttacandela.it")</f>
        <v>ortofruttacandela.it</v>
      </c>
    </row>
    <row r="929" spans="1:6" ht="29.55" customHeight="1" x14ac:dyDescent="0.25">
      <c r="A929" s="6" t="s">
        <v>3525</v>
      </c>
      <c r="B929" s="5" t="s">
        <v>3526</v>
      </c>
      <c r="C929" s="5" t="s">
        <v>3491</v>
      </c>
      <c r="D929" s="5" t="s">
        <v>3527</v>
      </c>
      <c r="E929" s="5" t="s">
        <v>3528</v>
      </c>
      <c r="F929" s="5" t="str">
        <f>HYPERLINK("http://www.laroncaia.com/","www.laroncaia.com")</f>
        <v>www.laroncaia.com</v>
      </c>
    </row>
    <row r="930" spans="1:6" ht="43.05" customHeight="1" x14ac:dyDescent="0.25">
      <c r="A930" s="1" t="s">
        <v>3529</v>
      </c>
      <c r="B930" s="7" t="s">
        <v>3530</v>
      </c>
      <c r="C930" s="7" t="s">
        <v>3462</v>
      </c>
      <c r="D930" s="7" t="s">
        <v>3475</v>
      </c>
      <c r="E930" s="7" t="s">
        <v>3476</v>
      </c>
      <c r="F930" s="7" t="str">
        <f>HYPERLINK("http://www.olionostro.it/","www.olionostro.it")</f>
        <v>www.olionostro.it</v>
      </c>
    </row>
    <row r="931" spans="1:6" ht="43.05" customHeight="1" x14ac:dyDescent="0.25">
      <c r="A931" s="6" t="s">
        <v>3531</v>
      </c>
      <c r="B931" s="5" t="s">
        <v>3532</v>
      </c>
      <c r="C931" s="5" t="s">
        <v>3491</v>
      </c>
      <c r="D931" s="5" t="s">
        <v>3503</v>
      </c>
      <c r="E931" s="5" t="s">
        <v>3504</v>
      </c>
      <c r="F931" s="5" t="str">
        <f>HYPERLINK("http://fratelliberlucchi.it/","fratelliberlucchi.it")</f>
        <v>fratelliberlucchi.it</v>
      </c>
    </row>
    <row r="932" spans="1:6" ht="29.55" customHeight="1" x14ac:dyDescent="0.25">
      <c r="A932" s="1" t="s">
        <v>3533</v>
      </c>
      <c r="B932" s="7" t="s">
        <v>3534</v>
      </c>
      <c r="C932" s="7" t="s">
        <v>3462</v>
      </c>
      <c r="D932" s="7" t="s">
        <v>3475</v>
      </c>
      <c r="E932" s="7" t="s">
        <v>3476</v>
      </c>
      <c r="F932" s="7" t="str">
        <f>HYPERLINK("http://www.eurocoop-sca.it/","www.eurocoop-sca.it")</f>
        <v>www.eurocoop-sca.it</v>
      </c>
    </row>
    <row r="933" spans="1:6" ht="29.55" customHeight="1" x14ac:dyDescent="0.25">
      <c r="A933" s="6" t="s">
        <v>3535</v>
      </c>
      <c r="B933" s="5" t="s">
        <v>3536</v>
      </c>
      <c r="C933" s="5" t="s">
        <v>3466</v>
      </c>
      <c r="D933" s="5" t="s">
        <v>3498</v>
      </c>
      <c r="E933" s="5" t="s">
        <v>3499</v>
      </c>
      <c r="F933" s="5" t="str">
        <f>HYPERLINK("http://caseariacrocetta.com/","caseariacrocetta.com")</f>
        <v>caseariacrocetta.com</v>
      </c>
    </row>
    <row r="934" spans="1:6" ht="16.95" customHeight="1" x14ac:dyDescent="0.25">
      <c r="A934" s="6" t="s">
        <v>3537</v>
      </c>
      <c r="B934" s="5" t="s">
        <v>3538</v>
      </c>
      <c r="C934" s="5" t="s">
        <v>3486</v>
      </c>
      <c r="D934" s="5" t="s">
        <v>3539</v>
      </c>
      <c r="E934" s="5" t="s">
        <v>3528</v>
      </c>
      <c r="F934" s="5" t="str">
        <f>HYPERLINK("http://www.agrosystemsrl.it/","www.agrosystemsrl.it")</f>
        <v>www.agrosystemsrl.it</v>
      </c>
    </row>
    <row r="935" spans="1:6" ht="43.05" customHeight="1" x14ac:dyDescent="0.25">
      <c r="A935" s="1" t="s">
        <v>3540</v>
      </c>
      <c r="B935" s="7" t="s">
        <v>3541</v>
      </c>
      <c r="C935" s="7" t="s">
        <v>3542</v>
      </c>
      <c r="D935" s="7" t="s">
        <v>3543</v>
      </c>
      <c r="E935" s="7" t="s">
        <v>3544</v>
      </c>
      <c r="F935" s="7" t="str">
        <f>HYPERLINK("http://www.parmigianoreggianosangiorgio.it/","www.parmigianoreggianosangiorgio.it")</f>
        <v>www.parmigianoreggianosangiorgio.it</v>
      </c>
    </row>
    <row r="936" spans="1:6" ht="43.05" customHeight="1" x14ac:dyDescent="0.25">
      <c r="A936" s="6" t="s">
        <v>3545</v>
      </c>
      <c r="B936" s="5" t="s">
        <v>3546</v>
      </c>
      <c r="C936" s="5" t="s">
        <v>3547</v>
      </c>
      <c r="D936" s="5" t="s">
        <v>3548</v>
      </c>
      <c r="E936" s="5" t="s">
        <v>3549</v>
      </c>
      <c r="F936" s="5" t="str">
        <f>HYPERLINK("http://cantinadipitigliano.it/","cantinadipitigliano.it")</f>
        <v>cantinadipitigliano.it</v>
      </c>
    </row>
    <row r="937" spans="1:6" ht="29.55" customHeight="1" x14ac:dyDescent="0.25">
      <c r="A937" s="1" t="s">
        <v>3550</v>
      </c>
      <c r="B937" s="7" t="s">
        <v>3551</v>
      </c>
      <c r="C937" s="7" t="s">
        <v>3552</v>
      </c>
      <c r="D937" s="7" t="s">
        <v>3553</v>
      </c>
      <c r="E937" s="7" t="s">
        <v>3554</v>
      </c>
      <c r="F937" s="7" t="str">
        <f>HYPERLINK("http://piggly.it/","piggly.it")</f>
        <v>piggly.it</v>
      </c>
    </row>
    <row r="938" spans="1:6" ht="29.55" customHeight="1" x14ac:dyDescent="0.25">
      <c r="A938" s="1" t="s">
        <v>3558</v>
      </c>
      <c r="B938" s="7" t="s">
        <v>3559</v>
      </c>
      <c r="C938" s="7" t="s">
        <v>3560</v>
      </c>
      <c r="D938" s="7" t="s">
        <v>3561</v>
      </c>
      <c r="E938" s="7" t="s">
        <v>3554</v>
      </c>
      <c r="F938" s="7" t="str">
        <f>HYPERLINK("http://www.ticinovivai.it/","www.ticinovivai.it")</f>
        <v>www.ticinovivai.it</v>
      </c>
    </row>
    <row r="939" spans="1:6" ht="16.95" customHeight="1" x14ac:dyDescent="0.25">
      <c r="A939" s="1" t="s">
        <v>3562</v>
      </c>
      <c r="B939" s="7" t="s">
        <v>3563</v>
      </c>
      <c r="C939" s="7" t="s">
        <v>3555</v>
      </c>
      <c r="D939" s="7" t="s">
        <v>3564</v>
      </c>
      <c r="E939" s="7" t="s">
        <v>3544</v>
      </c>
      <c r="F939" s="7" t="str">
        <f>HYPERLINK("http://www.i4fruit.com/","www.i4fruit.com")</f>
        <v>www.i4fruit.com</v>
      </c>
    </row>
    <row r="940" spans="1:6" ht="29.55" customHeight="1" x14ac:dyDescent="0.25">
      <c r="A940" s="1" t="s">
        <v>3565</v>
      </c>
      <c r="B940" s="7" t="s">
        <v>3566</v>
      </c>
      <c r="C940" s="7" t="s">
        <v>3567</v>
      </c>
      <c r="D940" s="7" t="s">
        <v>3568</v>
      </c>
      <c r="E940" s="7" t="s">
        <v>3569</v>
      </c>
      <c r="F940" s="7" t="str">
        <f>HYPERLINK("http://www.ilnoceto.it/","www.ilnoceto.it")</f>
        <v>www.ilnoceto.it</v>
      </c>
    </row>
    <row r="941" spans="1:6" ht="55.65" customHeight="1" x14ac:dyDescent="0.25">
      <c r="A941" s="6" t="s">
        <v>3570</v>
      </c>
      <c r="B941" s="5" t="s">
        <v>3571</v>
      </c>
      <c r="C941" s="5" t="s">
        <v>3572</v>
      </c>
      <c r="D941" s="5" t="s">
        <v>3573</v>
      </c>
      <c r="E941" s="5" t="s">
        <v>3574</v>
      </c>
      <c r="F941" s="5" t="str">
        <f>HYPERLINK("http://agrinovabio2000.it/","agrinovabio2000.it")</f>
        <v>agrinovabio2000.it</v>
      </c>
    </row>
    <row r="942" spans="1:6" ht="29.55" customHeight="1" x14ac:dyDescent="0.25">
      <c r="A942" s="1" t="s">
        <v>3575</v>
      </c>
      <c r="B942" s="7" t="s">
        <v>3576</v>
      </c>
      <c r="C942" s="7" t="s">
        <v>3577</v>
      </c>
      <c r="D942" s="7" t="s">
        <v>3578</v>
      </c>
      <c r="E942" s="7" t="s">
        <v>3549</v>
      </c>
      <c r="F942" s="7" t="str">
        <f>HYPERLINK("http://www.marchesiginorilisci.it/","www.marchesiginorilisci.it")</f>
        <v>www.marchesiginorilisci.it</v>
      </c>
    </row>
    <row r="943" spans="1:6" ht="16.95" customHeight="1" x14ac:dyDescent="0.25">
      <c r="A943" s="6" t="s">
        <v>3579</v>
      </c>
      <c r="B943" s="5" t="s">
        <v>3580</v>
      </c>
      <c r="C943" s="5" t="s">
        <v>3581</v>
      </c>
      <c r="D943" s="5" t="s">
        <v>3582</v>
      </c>
      <c r="E943" s="5" t="s">
        <v>3554</v>
      </c>
      <c r="F943" s="5" t="str">
        <f>HYPERLINK("http://shop.cipgarden.it/","shop.cipgarden.it")</f>
        <v>shop.cipgarden.it</v>
      </c>
    </row>
    <row r="944" spans="1:6" ht="16.95" customHeight="1" x14ac:dyDescent="0.25">
      <c r="A944" s="1" t="s">
        <v>3583</v>
      </c>
      <c r="B944" s="7" t="s">
        <v>3584</v>
      </c>
      <c r="C944" s="7" t="s">
        <v>3585</v>
      </c>
      <c r="D944" s="7" t="s">
        <v>3556</v>
      </c>
      <c r="E944" s="7" t="s">
        <v>3557</v>
      </c>
      <c r="F944" s="7" t="str">
        <f>HYPERLINK("http://www.daries.it/","www.daries.it")</f>
        <v>www.daries.it</v>
      </c>
    </row>
    <row r="945" spans="1:6" ht="16.95" customHeight="1" x14ac:dyDescent="0.25">
      <c r="A945" s="6" t="s">
        <v>3586</v>
      </c>
      <c r="B945" s="5" t="s">
        <v>3587</v>
      </c>
      <c r="C945" s="5" t="s">
        <v>3588</v>
      </c>
      <c r="D945" s="5" t="s">
        <v>3589</v>
      </c>
      <c r="E945" s="5" t="s">
        <v>3569</v>
      </c>
      <c r="F945" s="5" t="str">
        <f>HYPERLINK("http://www.monalditalia.it/","www.monalditalia.it")</f>
        <v>www.monalditalia.it</v>
      </c>
    </row>
    <row r="946" spans="1:6" ht="29.55" customHeight="1" x14ac:dyDescent="0.25">
      <c r="A946" s="1" t="s">
        <v>3590</v>
      </c>
      <c r="B946" s="7" t="s">
        <v>3591</v>
      </c>
      <c r="C946" s="7" t="s">
        <v>3592</v>
      </c>
      <c r="D946" s="7" t="s">
        <v>3593</v>
      </c>
      <c r="E946" s="7" t="s">
        <v>3594</v>
      </c>
      <c r="F946" s="7" t="str">
        <f>HYPERLINK("http://www.vitafruit.it/","www.vitafruit.it")</f>
        <v>www.vitafruit.it</v>
      </c>
    </row>
    <row r="947" spans="1:6" ht="29.55" customHeight="1" x14ac:dyDescent="0.25">
      <c r="A947" s="1" t="s">
        <v>3595</v>
      </c>
      <c r="B947" s="7" t="s">
        <v>3596</v>
      </c>
      <c r="C947" s="7" t="s">
        <v>3567</v>
      </c>
      <c r="D947" s="7" t="s">
        <v>3597</v>
      </c>
      <c r="E947" s="7" t="s">
        <v>3598</v>
      </c>
      <c r="F947" s="7" t="str">
        <f>HYPERLINK("http://www.coopernocciole-capranica.it/","www.coopernocciole-capranica.it")</f>
        <v>www.coopernocciole-capranica.it</v>
      </c>
    </row>
    <row r="948" spans="1:6" ht="29.55" customHeight="1" x14ac:dyDescent="0.25">
      <c r="A948" s="1" t="s">
        <v>3599</v>
      </c>
      <c r="B948" s="7" t="s">
        <v>3600</v>
      </c>
      <c r="C948" s="7" t="s">
        <v>3572</v>
      </c>
      <c r="D948" s="7" t="s">
        <v>3601</v>
      </c>
      <c r="E948" s="7" t="s">
        <v>3557</v>
      </c>
      <c r="F948" s="7" t="str">
        <f>HYPERLINK("http://www.ortofrutta-milellasrl.it/","www.ortofrutta-milellasrl.it")</f>
        <v>www.ortofrutta-milellasrl.it</v>
      </c>
    </row>
    <row r="949" spans="1:6" ht="43.05" customHeight="1" x14ac:dyDescent="0.25">
      <c r="A949" s="1" t="s">
        <v>3602</v>
      </c>
      <c r="B949" s="7" t="s">
        <v>3603</v>
      </c>
      <c r="C949" s="7" t="s">
        <v>3604</v>
      </c>
      <c r="D949" s="7" t="s">
        <v>3553</v>
      </c>
      <c r="E949" s="7" t="s">
        <v>3554</v>
      </c>
      <c r="F949" s="7" t="str">
        <f>HYPERLINK("http://www.indalsrl.com/","www.indalsrl.com")</f>
        <v>www.indalsrl.com</v>
      </c>
    </row>
    <row r="950" spans="1:6" ht="29.55" customHeight="1" x14ac:dyDescent="0.25">
      <c r="A950" s="1" t="s">
        <v>3608</v>
      </c>
      <c r="B950" s="7" t="s">
        <v>3609</v>
      </c>
      <c r="C950" s="7" t="s">
        <v>3610</v>
      </c>
      <c r="D950" s="7" t="s">
        <v>3611</v>
      </c>
      <c r="E950" s="7" t="s">
        <v>3606</v>
      </c>
      <c r="F950" s="7" t="str">
        <f>HYPERLINK("http://www.caseificiofranzese.it/","www.caseificiofranzese.it")</f>
        <v>www.caseificiofranzese.it</v>
      </c>
    </row>
    <row r="951" spans="1:6" ht="29.55" customHeight="1" x14ac:dyDescent="0.25">
      <c r="A951" s="6" t="s">
        <v>3612</v>
      </c>
      <c r="B951" s="5" t="s">
        <v>3613</v>
      </c>
      <c r="C951" s="5" t="s">
        <v>3614</v>
      </c>
      <c r="D951" s="5" t="s">
        <v>3615</v>
      </c>
      <c r="E951" s="5" t="s">
        <v>3616</v>
      </c>
      <c r="F951" s="5" t="str">
        <f>HYPERLINK("http://lalivrea.it/","lalivrea.it")</f>
        <v>lalivrea.it</v>
      </c>
    </row>
    <row r="952" spans="1:6" ht="43.05" customHeight="1" x14ac:dyDescent="0.25">
      <c r="A952" s="1" t="s">
        <v>3617</v>
      </c>
      <c r="B952" s="7" t="s">
        <v>3618</v>
      </c>
      <c r="C952" s="7" t="s">
        <v>3605</v>
      </c>
      <c r="D952" s="7" t="s">
        <v>3619</v>
      </c>
      <c r="E952" s="7" t="s">
        <v>3620</v>
      </c>
      <c r="F952" s="7" t="str">
        <f>HYPERLINK("http://www.cantinasantantonio.it/","http://www.cantinasantantonio.it")</f>
        <v>http://www.cantinasantantonio.it</v>
      </c>
    </row>
    <row r="953" spans="1:6" ht="29.55" customHeight="1" x14ac:dyDescent="0.25">
      <c r="A953" s="6" t="s">
        <v>3621</v>
      </c>
      <c r="B953" s="5" t="s">
        <v>3622</v>
      </c>
      <c r="C953" s="5" t="s">
        <v>3623</v>
      </c>
      <c r="D953" s="5" t="s">
        <v>3624</v>
      </c>
      <c r="E953" s="5" t="s">
        <v>3625</v>
      </c>
      <c r="F953" s="5" t="str">
        <f>HYPERLINK("http://www.coagripisa.it/","www.coagripisa.it")</f>
        <v>www.coagripisa.it</v>
      </c>
    </row>
    <row r="954" spans="1:6" ht="16.95" customHeight="1" x14ac:dyDescent="0.25">
      <c r="A954" s="1" t="s">
        <v>3626</v>
      </c>
      <c r="B954" s="7" t="s">
        <v>3627</v>
      </c>
      <c r="C954" s="7" t="s">
        <v>3623</v>
      </c>
      <c r="D954" s="7" t="s">
        <v>3628</v>
      </c>
      <c r="E954" s="7" t="s">
        <v>3629</v>
      </c>
      <c r="F954" s="7" t="str">
        <f>HYPERLINK("http://www.lavitedoro.it/","www.lavitedoro.it")</f>
        <v>www.lavitedoro.it</v>
      </c>
    </row>
    <row r="955" spans="1:6" ht="29.55" customHeight="1" x14ac:dyDescent="0.25">
      <c r="A955" s="6" t="s">
        <v>3630</v>
      </c>
      <c r="B955" s="5" t="s">
        <v>3631</v>
      </c>
      <c r="C955" s="5" t="s">
        <v>3632</v>
      </c>
      <c r="D955" s="5" t="s">
        <v>3633</v>
      </c>
      <c r="E955" s="5" t="s">
        <v>3634</v>
      </c>
      <c r="F955" s="5" t="str">
        <f>HYPERLINK("http://lapila.it/","lapila.it")</f>
        <v>lapila.it</v>
      </c>
    </row>
    <row r="956" spans="1:6" ht="68.099999999999994" customHeight="1" x14ac:dyDescent="0.25">
      <c r="A956" s="1" t="s">
        <v>3635</v>
      </c>
      <c r="B956" s="7" t="s">
        <v>3636</v>
      </c>
      <c r="C956" s="7" t="s">
        <v>3605</v>
      </c>
      <c r="D956" s="7" t="s">
        <v>3637</v>
      </c>
      <c r="E956" s="7" t="s">
        <v>3638</v>
      </c>
      <c r="F956" s="7" t="str">
        <f>HYPERLINK("http://www.pietrogazzolavini.it/","www.pietrogazzolavini.it")</f>
        <v>www.pietrogazzolavini.it</v>
      </c>
    </row>
    <row r="957" spans="1:6" ht="29.55" customHeight="1" x14ac:dyDescent="0.25">
      <c r="A957" s="6" t="s">
        <v>3639</v>
      </c>
      <c r="B957" s="5" t="s">
        <v>3640</v>
      </c>
      <c r="C957" s="5" t="s">
        <v>3605</v>
      </c>
      <c r="D957" s="5" t="s">
        <v>3641</v>
      </c>
      <c r="E957" s="5" t="s">
        <v>3642</v>
      </c>
      <c r="F957" s="5" t="str">
        <f>HYPERLINK("http://www.vignetilemonde.eu/","www.vignetilemonde.eu")</f>
        <v>www.vignetilemonde.eu</v>
      </c>
    </row>
    <row r="958" spans="1:6" ht="43.05" customHeight="1" x14ac:dyDescent="0.25">
      <c r="A958" s="1" t="s">
        <v>3643</v>
      </c>
      <c r="B958" s="7" t="s">
        <v>3644</v>
      </c>
      <c r="C958" s="7" t="s">
        <v>3645</v>
      </c>
      <c r="D958" s="7" t="s">
        <v>3628</v>
      </c>
      <c r="E958" s="7" t="s">
        <v>3629</v>
      </c>
      <c r="F958" s="7" t="str">
        <f>HYPERLINK("http://www.galatero.it/","http://www.galatero.it")</f>
        <v>http://www.galatero.it</v>
      </c>
    </row>
    <row r="959" spans="1:6" ht="29.55" customHeight="1" x14ac:dyDescent="0.25">
      <c r="A959" s="1" t="s">
        <v>3646</v>
      </c>
      <c r="B959" s="7" t="s">
        <v>3647</v>
      </c>
      <c r="C959" s="7" t="s">
        <v>3607</v>
      </c>
      <c r="D959" s="7" t="s">
        <v>3648</v>
      </c>
      <c r="E959" s="7" t="s">
        <v>3638</v>
      </c>
      <c r="F959" s="7" t="str">
        <f>HYPERLINK("http://valserena.com/","valserena.com")</f>
        <v>valserena.com</v>
      </c>
    </row>
    <row r="960" spans="1:6" ht="16.95" customHeight="1" x14ac:dyDescent="0.25">
      <c r="A960" s="6" t="s">
        <v>3649</v>
      </c>
      <c r="B960" s="5" t="s">
        <v>3650</v>
      </c>
      <c r="C960" s="5" t="s">
        <v>3623</v>
      </c>
      <c r="D960" s="5" t="s">
        <v>3651</v>
      </c>
      <c r="E960" s="5" t="s">
        <v>3625</v>
      </c>
      <c r="F960" s="5" t="str">
        <f>HYPERLINK("http://www.agrivigna.it/","www.agrivigna.it")</f>
        <v>www.agrivigna.it</v>
      </c>
    </row>
    <row r="961" spans="1:6" ht="55.65" customHeight="1" x14ac:dyDescent="0.25">
      <c r="A961" s="1" t="s">
        <v>3652</v>
      </c>
      <c r="B961" s="7" t="s">
        <v>3653</v>
      </c>
      <c r="C961" s="7" t="s">
        <v>3645</v>
      </c>
      <c r="D961" s="7" t="s">
        <v>3654</v>
      </c>
      <c r="E961" s="7" t="s">
        <v>3629</v>
      </c>
      <c r="F961" s="7" t="str">
        <f>HYPERLINK("http://www.cantinalatorre.com/","www.cantinalatorre.com")</f>
        <v>www.cantinalatorre.com</v>
      </c>
    </row>
    <row r="962" spans="1:6" ht="43.05" customHeight="1" x14ac:dyDescent="0.25">
      <c r="A962" s="6" t="s">
        <v>3655</v>
      </c>
      <c r="B962" s="5" t="s">
        <v>3656</v>
      </c>
      <c r="C962" s="5" t="s">
        <v>3657</v>
      </c>
      <c r="D962" s="5" t="s">
        <v>3611</v>
      </c>
      <c r="E962" s="5" t="s">
        <v>3606</v>
      </c>
      <c r="F962" s="5" t="str">
        <f>HYPERLINK("http://www.coopimposimato.it/","www.coopimposimato.it")</f>
        <v>www.coopimposimato.it</v>
      </c>
    </row>
    <row r="963" spans="1:6" ht="29.55" customHeight="1" x14ac:dyDescent="0.25">
      <c r="A963" s="1" t="s">
        <v>3658</v>
      </c>
      <c r="B963" s="7" t="s">
        <v>3659</v>
      </c>
      <c r="C963" s="7" t="s">
        <v>3605</v>
      </c>
      <c r="D963" s="7" t="s">
        <v>3660</v>
      </c>
      <c r="E963" s="7" t="s">
        <v>3642</v>
      </c>
      <c r="F963" s="7" t="str">
        <f>HYPERLINK("http://www.necotium.it/","www.necotium.it")</f>
        <v>www.necotium.it</v>
      </c>
    </row>
    <row r="964" spans="1:6" ht="29.55" customHeight="1" x14ac:dyDescent="0.25">
      <c r="A964" s="6" t="s">
        <v>3661</v>
      </c>
      <c r="B964" s="5" t="s">
        <v>3662</v>
      </c>
      <c r="C964" s="5" t="s">
        <v>3623</v>
      </c>
      <c r="D964" s="5" t="s">
        <v>3663</v>
      </c>
      <c r="E964" s="5" t="s">
        <v>3625</v>
      </c>
      <c r="F964" s="5" t="str">
        <f>HYPERLINK("http://www.agricolaazzurra.com/","www.agricolaazzurra.com")</f>
        <v>www.agricolaazzurra.com</v>
      </c>
    </row>
    <row r="965" spans="1:6" ht="94.2" customHeight="1" x14ac:dyDescent="0.25">
      <c r="A965" s="1" t="s">
        <v>3664</v>
      </c>
      <c r="B965" s="7" t="s">
        <v>3665</v>
      </c>
      <c r="C965" s="7" t="s">
        <v>3605</v>
      </c>
      <c r="D965" s="7" t="s">
        <v>3651</v>
      </c>
      <c r="E965" s="7" t="s">
        <v>3625</v>
      </c>
      <c r="F965" s="7" t="str">
        <f>HYPERLINK("http://ristorante.coltibuono.com/","ristorante.coltibuono.com")</f>
        <v>ristorante.coltibuono.com</v>
      </c>
    </row>
    <row r="966" spans="1:6" ht="43.05" customHeight="1" x14ac:dyDescent="0.25">
      <c r="A966" s="1" t="s">
        <v>3666</v>
      </c>
      <c r="B966" s="7" t="s">
        <v>3667</v>
      </c>
      <c r="C966" s="7" t="s">
        <v>3645</v>
      </c>
      <c r="D966" s="7" t="s">
        <v>3668</v>
      </c>
      <c r="E966" s="7" t="s">
        <v>3638</v>
      </c>
      <c r="F966" s="7" t="str">
        <f>HYPERLINK("http://www.apoconerpo.com/base-sociale/scheda-azienda/deltafrutta-s.-pietro-in-casale","www.apoconerpo.com/base-sociale/scheda-azienda/deltafrutta-s.-pietro-in-casale")</f>
        <v>www.apoconerpo.com/base-sociale/scheda-azienda/deltafrutta-s.-pietro-in-casale</v>
      </c>
    </row>
    <row r="967" spans="1:6" ht="81.75" customHeight="1" x14ac:dyDescent="0.25">
      <c r="A967" s="6" t="s">
        <v>3669</v>
      </c>
      <c r="B967" s="5" t="s">
        <v>3670</v>
      </c>
      <c r="C967" s="5" t="s">
        <v>3605</v>
      </c>
      <c r="D967" s="5" t="s">
        <v>3633</v>
      </c>
      <c r="E967" s="5" t="s">
        <v>3634</v>
      </c>
      <c r="F967" s="5" t="str">
        <f>HYPERLINK("http://www.tenutapulewine.it/","www.tenutapulewine.it")</f>
        <v>www.tenutapulewine.it</v>
      </c>
    </row>
    <row r="968" spans="1:6" ht="29.55" customHeight="1" x14ac:dyDescent="0.25">
      <c r="A968" s="6" t="s">
        <v>3671</v>
      </c>
      <c r="B968" s="5" t="s">
        <v>3672</v>
      </c>
      <c r="C968" s="5" t="s">
        <v>3645</v>
      </c>
      <c r="D968" s="5" t="s">
        <v>3673</v>
      </c>
      <c r="E968" s="5" t="s">
        <v>3606</v>
      </c>
      <c r="F968" s="5" t="str">
        <f>HYPERLINK("http://aziendasabina.it/","aziendasabina.it")</f>
        <v>aziendasabina.it</v>
      </c>
    </row>
    <row r="969" spans="1:6" ht="43.05" customHeight="1" x14ac:dyDescent="0.25">
      <c r="A969" s="1" t="s">
        <v>3674</v>
      </c>
      <c r="B969" s="7" t="s">
        <v>3675</v>
      </c>
      <c r="C969" s="7" t="s">
        <v>3676</v>
      </c>
      <c r="D969" s="7" t="s">
        <v>3677</v>
      </c>
      <c r="E969" s="7" t="s">
        <v>3678</v>
      </c>
      <c r="F969" s="7" t="str">
        <f>HYPERLINK("http://www.anceo.it/","www.anceo.it")</f>
        <v>www.anceo.it</v>
      </c>
    </row>
    <row r="970" spans="1:6" ht="29.55" customHeight="1" x14ac:dyDescent="0.25">
      <c r="A970" s="6" t="s">
        <v>3679</v>
      </c>
      <c r="B970" s="5" t="s">
        <v>3680</v>
      </c>
      <c r="C970" s="5" t="s">
        <v>3681</v>
      </c>
      <c r="D970" s="5" t="s">
        <v>3682</v>
      </c>
      <c r="E970" s="5" t="s">
        <v>3683</v>
      </c>
      <c r="F970" s="5" t="str">
        <f>HYPERLINK("http://www.viridea.it/garden-center/cusago/","www.viridea.it/garden-center/cusago/")</f>
        <v>www.viridea.it/garden-center/cusago/</v>
      </c>
    </row>
    <row r="971" spans="1:6" ht="55.65" customHeight="1" x14ac:dyDescent="0.25">
      <c r="A971" s="1" t="s">
        <v>3684</v>
      </c>
      <c r="B971" s="7" t="s">
        <v>3685</v>
      </c>
      <c r="C971" s="7" t="s">
        <v>3686</v>
      </c>
      <c r="D971" s="7" t="s">
        <v>3687</v>
      </c>
      <c r="E971" s="7" t="s">
        <v>3688</v>
      </c>
      <c r="F971" s="7" t="str">
        <f>HYPERLINK("http://www.rivabianca.it/","http://www.rivabianca.it")</f>
        <v>http://www.rivabianca.it</v>
      </c>
    </row>
    <row r="972" spans="1:6" ht="43.05" customHeight="1" x14ac:dyDescent="0.25">
      <c r="A972" s="6" t="s">
        <v>3689</v>
      </c>
      <c r="B972" s="5" t="s">
        <v>3690</v>
      </c>
      <c r="C972" s="5" t="s">
        <v>3691</v>
      </c>
      <c r="D972" s="5" t="s">
        <v>3692</v>
      </c>
      <c r="E972" s="5" t="s">
        <v>3693</v>
      </c>
      <c r="F972" s="5" t="str">
        <f>HYPERLINK("http://fattoriadellapiana.it/","fattoriadellapiana.it")</f>
        <v>fattoriadellapiana.it</v>
      </c>
    </row>
    <row r="973" spans="1:6" ht="29.55" customHeight="1" x14ac:dyDescent="0.25">
      <c r="A973" s="6" t="s">
        <v>3695</v>
      </c>
      <c r="B973" s="5" t="s">
        <v>3696</v>
      </c>
      <c r="C973" s="5" t="s">
        <v>3697</v>
      </c>
      <c r="D973" s="5" t="s">
        <v>3698</v>
      </c>
      <c r="E973" s="5" t="s">
        <v>3699</v>
      </c>
      <c r="F973" s="5" t="str">
        <f>HYPERLINK("http://www.valledelcoghinas.it/","www.valledelcoghinas.it")</f>
        <v>www.valledelcoghinas.it</v>
      </c>
    </row>
    <row r="974" spans="1:6" ht="29.55" customHeight="1" x14ac:dyDescent="0.25">
      <c r="A974" s="1" t="s">
        <v>3700</v>
      </c>
      <c r="B974" s="7" t="s">
        <v>3701</v>
      </c>
      <c r="C974" s="7" t="s">
        <v>3702</v>
      </c>
      <c r="D974" s="7" t="s">
        <v>3703</v>
      </c>
      <c r="E974" s="7" t="s">
        <v>3693</v>
      </c>
      <c r="F974" s="7" t="str">
        <f>HYPERLINK("http://www.opmonte.it/","www.opmonte.it")</f>
        <v>www.opmonte.it</v>
      </c>
    </row>
    <row r="975" spans="1:6" ht="29.55" customHeight="1" x14ac:dyDescent="0.25">
      <c r="A975" s="1" t="s">
        <v>3709</v>
      </c>
      <c r="B975" s="7" t="s">
        <v>3710</v>
      </c>
      <c r="C975" s="7" t="s">
        <v>3676</v>
      </c>
      <c r="D975" s="7" t="s">
        <v>3711</v>
      </c>
      <c r="E975" s="7" t="s">
        <v>3694</v>
      </c>
      <c r="F975" s="7" t="str">
        <f>HYPERLINK("http://terraevita.edagricole.it/aziende-prodotti/mc-vivai-italia-s-c-a/","terraevita.edagricole.it/aziende-prodotti/mc-vivai-italia-s-c-a/")</f>
        <v>terraevita.edagricole.it/aziende-prodotti/mc-vivai-italia-s-c-a/</v>
      </c>
    </row>
    <row r="976" spans="1:6" ht="29.55" customHeight="1" x14ac:dyDescent="0.25">
      <c r="A976" s="6" t="s">
        <v>3712</v>
      </c>
      <c r="B976" s="5" t="s">
        <v>3713</v>
      </c>
      <c r="C976" s="5" t="s">
        <v>3702</v>
      </c>
      <c r="D976" s="5" t="s">
        <v>3704</v>
      </c>
      <c r="E976" s="5" t="s">
        <v>3705</v>
      </c>
      <c r="F976" s="5" t="str">
        <f>HYPERLINK("http://www.orticolatombolillo.it/","www.orticolatombolillo.it")</f>
        <v>www.orticolatombolillo.it</v>
      </c>
    </row>
    <row r="977" spans="1:6" ht="29.55" customHeight="1" x14ac:dyDescent="0.25">
      <c r="A977" s="1" t="s">
        <v>3714</v>
      </c>
      <c r="B977" s="7" t="s">
        <v>3715</v>
      </c>
      <c r="C977" s="7" t="s">
        <v>3716</v>
      </c>
      <c r="D977" s="7" t="s">
        <v>3717</v>
      </c>
      <c r="E977" s="7" t="s">
        <v>3718</v>
      </c>
      <c r="F977" s="7" t="str">
        <f>HYPERLINK("http://www.mmgroupsrl.eu/","www.mmgroupsrl.eu")</f>
        <v>www.mmgroupsrl.eu</v>
      </c>
    </row>
    <row r="978" spans="1:6" ht="29.55" customHeight="1" x14ac:dyDescent="0.25">
      <c r="A978" s="6" t="s">
        <v>3720</v>
      </c>
      <c r="B978" s="5" t="s">
        <v>3721</v>
      </c>
      <c r="C978" s="5" t="s">
        <v>3676</v>
      </c>
      <c r="D978" s="5" t="s">
        <v>3707</v>
      </c>
      <c r="E978" s="5" t="s">
        <v>3708</v>
      </c>
      <c r="F978" s="5" t="str">
        <f>HYPERLINK("http://web.capannelle.it/","web.capannelle.it")</f>
        <v>web.capannelle.it</v>
      </c>
    </row>
    <row r="979" spans="1:6" ht="29.55" customHeight="1" x14ac:dyDescent="0.25">
      <c r="A979" s="6" t="s">
        <v>3722</v>
      </c>
      <c r="B979" s="5" t="s">
        <v>3723</v>
      </c>
      <c r="C979" s="5" t="s">
        <v>3719</v>
      </c>
      <c r="D979" s="5" t="s">
        <v>3724</v>
      </c>
      <c r="E979" s="5" t="s">
        <v>3706</v>
      </c>
      <c r="F979" s="5" t="str">
        <f>HYPERLINK("http://geneetic.it/","geneetic.it")</f>
        <v>geneetic.it</v>
      </c>
    </row>
    <row r="980" spans="1:6" ht="16.95" customHeight="1" x14ac:dyDescent="0.25">
      <c r="A980" s="1" t="s">
        <v>3725</v>
      </c>
      <c r="B980" s="7" t="s">
        <v>3726</v>
      </c>
      <c r="C980" s="7" t="s">
        <v>3681</v>
      </c>
      <c r="D980" s="7" t="s">
        <v>3727</v>
      </c>
      <c r="E980" s="7" t="s">
        <v>3683</v>
      </c>
      <c r="F980" s="7" t="str">
        <f>HYPERLINK("http://www.spezialiantenore.com/","www.spezialiantenore.com")</f>
        <v>www.spezialiantenore.com</v>
      </c>
    </row>
    <row r="981" spans="1:6" ht="29.55" customHeight="1" x14ac:dyDescent="0.25">
      <c r="A981" s="6" t="s">
        <v>3728</v>
      </c>
      <c r="B981" s="5" t="s">
        <v>3729</v>
      </c>
      <c r="C981" s="5" t="s">
        <v>3730</v>
      </c>
      <c r="D981" s="5" t="s">
        <v>3731</v>
      </c>
      <c r="E981" s="5" t="s">
        <v>3732</v>
      </c>
      <c r="F981" s="5" t="str">
        <f>HYPERLINK("http://www.ansape-terrantica.it/","www.ansape-terrantica.it")</f>
        <v>www.ansape-terrantica.it</v>
      </c>
    </row>
    <row r="982" spans="1:6" ht="81.75" customHeight="1" x14ac:dyDescent="0.25">
      <c r="A982" s="6" t="s">
        <v>3733</v>
      </c>
      <c r="B982" s="5" t="s">
        <v>3734</v>
      </c>
      <c r="C982" s="5" t="s">
        <v>3697</v>
      </c>
      <c r="D982" s="5" t="s">
        <v>3735</v>
      </c>
      <c r="E982" s="5" t="s">
        <v>3736</v>
      </c>
      <c r="F982" s="5" t="str">
        <f>HYPERLINK("http://www.copagtrentino.it/","www.copagtrentino.it")</f>
        <v>www.copagtrentino.it</v>
      </c>
    </row>
    <row r="983" spans="1:6" ht="43.05" customHeight="1" x14ac:dyDescent="0.25">
      <c r="A983" s="1" t="s">
        <v>3737</v>
      </c>
      <c r="B983" s="7" t="s">
        <v>3738</v>
      </c>
      <c r="C983" s="7" t="s">
        <v>3739</v>
      </c>
      <c r="D983" s="7" t="s">
        <v>3740</v>
      </c>
      <c r="E983" s="7" t="s">
        <v>3732</v>
      </c>
      <c r="F983" s="7" t="str">
        <f>HYPERLINK("http://www.maielletta.it/","www.maielletta.it")</f>
        <v>www.maielletta.it</v>
      </c>
    </row>
    <row r="984" spans="1:6" ht="106.65" customHeight="1" x14ac:dyDescent="0.25">
      <c r="A984" s="6" t="s">
        <v>3741</v>
      </c>
      <c r="B984" s="5" t="s">
        <v>3742</v>
      </c>
      <c r="C984" s="5" t="s">
        <v>3676</v>
      </c>
      <c r="D984" s="5" t="s">
        <v>3743</v>
      </c>
      <c r="E984" s="5" t="s">
        <v>3708</v>
      </c>
      <c r="F984" s="5" t="str">
        <f>HYPERLINK("http://www.buonamico.it/","www.buonamico.it")</f>
        <v>www.buonamico.it</v>
      </c>
    </row>
    <row r="985" spans="1:6" ht="29.55" customHeight="1" x14ac:dyDescent="0.25">
      <c r="A985" s="6" t="s">
        <v>3746</v>
      </c>
      <c r="B985" s="5" t="s">
        <v>3747</v>
      </c>
      <c r="C985" s="5" t="s">
        <v>3748</v>
      </c>
      <c r="D985" s="5" t="s">
        <v>3749</v>
      </c>
      <c r="E985" s="5" t="s">
        <v>3750</v>
      </c>
      <c r="F985" s="5" t="str">
        <f>HYPERLINK("http://www.aurorapiante.it/","www.aurorapiante.it")</f>
        <v>www.aurorapiante.it</v>
      </c>
    </row>
    <row r="986" spans="1:6" ht="29.55" customHeight="1" x14ac:dyDescent="0.25">
      <c r="A986" s="1" t="s">
        <v>3751</v>
      </c>
      <c r="B986" s="7" t="s">
        <v>3752</v>
      </c>
      <c r="C986" s="7" t="s">
        <v>3753</v>
      </c>
      <c r="D986" s="7" t="s">
        <v>3754</v>
      </c>
      <c r="E986" s="7" t="s">
        <v>3755</v>
      </c>
      <c r="F986" s="7" t="str">
        <f>HYPERLINK("http://griesser.bz/","griesser.bz")</f>
        <v>griesser.bz</v>
      </c>
    </row>
    <row r="987" spans="1:6" ht="43.05" customHeight="1" x14ac:dyDescent="0.25">
      <c r="A987" s="6" t="s">
        <v>3758</v>
      </c>
      <c r="B987" s="5" t="s">
        <v>3759</v>
      </c>
      <c r="C987" s="5" t="s">
        <v>3760</v>
      </c>
      <c r="D987" s="5" t="s">
        <v>3761</v>
      </c>
      <c r="E987" s="5" t="s">
        <v>3762</v>
      </c>
      <c r="F987" s="5" t="str">
        <f>HYPERLINK("http://www.latterialagorazza.it/","www.latterialagorazza.it")</f>
        <v>www.latterialagorazza.it</v>
      </c>
    </row>
    <row r="988" spans="1:6" ht="16.95" customHeight="1" x14ac:dyDescent="0.25">
      <c r="A988" s="1" t="s">
        <v>3763</v>
      </c>
      <c r="B988" s="7" t="s">
        <v>3764</v>
      </c>
      <c r="C988" s="7" t="s">
        <v>3765</v>
      </c>
      <c r="D988" s="7" t="s">
        <v>3766</v>
      </c>
      <c r="E988" s="7" t="s">
        <v>3767</v>
      </c>
      <c r="F988" s="7" t="str">
        <f>HYPERLINK("http://www.artigiansementi.com/","www.artigiansementi.com")</f>
        <v>www.artigiansementi.com</v>
      </c>
    </row>
    <row r="989" spans="1:6" ht="29.55" customHeight="1" x14ac:dyDescent="0.25">
      <c r="A989" s="1" t="s">
        <v>3769</v>
      </c>
      <c r="B989" s="7" t="s">
        <v>3770</v>
      </c>
      <c r="C989" s="7" t="s">
        <v>3771</v>
      </c>
      <c r="D989" s="7" t="s">
        <v>3772</v>
      </c>
      <c r="E989" s="7" t="s">
        <v>3773</v>
      </c>
      <c r="F989" s="7" t="str">
        <f>HYPERLINK("http://www.areatradecenter.it/","www.areatradecenter.it")</f>
        <v>www.areatradecenter.it</v>
      </c>
    </row>
    <row r="990" spans="1:6" ht="81.75" customHeight="1" x14ac:dyDescent="0.25">
      <c r="A990" s="1" t="s">
        <v>3774</v>
      </c>
      <c r="B990" s="7" t="s">
        <v>3775</v>
      </c>
      <c r="C990" s="7" t="s">
        <v>3771</v>
      </c>
      <c r="D990" s="7" t="s">
        <v>3776</v>
      </c>
      <c r="E990" s="7" t="s">
        <v>3757</v>
      </c>
      <c r="F990" s="7" t="str">
        <f>HYPERLINK("http://www.masseriaborgodeitrulli.com/","www.masseriaborgodeitrulli.com")</f>
        <v>www.masseriaborgodeitrulli.com</v>
      </c>
    </row>
    <row r="991" spans="1:6" ht="55.65" customHeight="1" x14ac:dyDescent="0.25">
      <c r="A991" s="6" t="s">
        <v>3778</v>
      </c>
      <c r="B991" s="5" t="s">
        <v>3779</v>
      </c>
      <c r="C991" s="5" t="s">
        <v>3756</v>
      </c>
      <c r="D991" s="5" t="s">
        <v>3744</v>
      </c>
      <c r="E991" s="5" t="s">
        <v>3745</v>
      </c>
      <c r="F991" s="5" t="str">
        <f>HYPERLINK("http://www.coop3p.it/","www.coop3p.it")</f>
        <v>www.coop3p.it</v>
      </c>
    </row>
    <row r="992" spans="1:6" ht="29.55" customHeight="1" x14ac:dyDescent="0.25">
      <c r="A992" s="6" t="s">
        <v>3781</v>
      </c>
      <c r="B992" s="5" t="s">
        <v>3782</v>
      </c>
      <c r="C992" s="5" t="s">
        <v>3768</v>
      </c>
      <c r="D992" s="5" t="s">
        <v>3783</v>
      </c>
      <c r="E992" s="5" t="s">
        <v>3784</v>
      </c>
      <c r="F992" s="5" t="str">
        <f>HYPERLINK("http://www.cooplalba.it/","www.cooplalba.it")</f>
        <v>www.cooplalba.it</v>
      </c>
    </row>
    <row r="993" spans="1:6" ht="29.55" customHeight="1" x14ac:dyDescent="0.25">
      <c r="A993" s="1" t="s">
        <v>3785</v>
      </c>
      <c r="B993" s="7" t="s">
        <v>3786</v>
      </c>
      <c r="C993" s="7" t="s">
        <v>3777</v>
      </c>
      <c r="D993" s="7" t="s">
        <v>3787</v>
      </c>
      <c r="E993" s="7" t="s">
        <v>3767</v>
      </c>
      <c r="F993" s="7" t="str">
        <f>HYPERLINK("http://ilbiroccio.com/","ilbiroccio.com")</f>
        <v>ilbiroccio.com</v>
      </c>
    </row>
    <row r="994" spans="1:6" ht="43.05" customHeight="1" x14ac:dyDescent="0.25">
      <c r="A994" s="6" t="s">
        <v>3788</v>
      </c>
      <c r="B994" s="5" t="s">
        <v>3789</v>
      </c>
      <c r="C994" s="5" t="s">
        <v>3760</v>
      </c>
      <c r="D994" s="5" t="s">
        <v>3761</v>
      </c>
      <c r="E994" s="5" t="s">
        <v>3762</v>
      </c>
      <c r="F994" s="5" t="str">
        <f>HYPERLINK("http://www.caseificiocarnola.it/","www.caseificiocarnola.it")</f>
        <v>www.caseificiocarnola.it</v>
      </c>
    </row>
    <row r="995" spans="1:6" ht="43.05" customHeight="1" x14ac:dyDescent="0.25">
      <c r="A995" s="6" t="s">
        <v>3791</v>
      </c>
      <c r="B995" s="5" t="s">
        <v>3792</v>
      </c>
      <c r="C995" s="5" t="s">
        <v>3760</v>
      </c>
      <c r="D995" s="5" t="s">
        <v>3793</v>
      </c>
      <c r="E995" s="5" t="s">
        <v>3755</v>
      </c>
      <c r="F995" s="5" t="str">
        <f>HYPERLINK("http://www.caseificiorumo.it/","www.caseificiorumo.it")</f>
        <v>www.caseificiorumo.it</v>
      </c>
    </row>
    <row r="996" spans="1:6" ht="55.65" customHeight="1" x14ac:dyDescent="0.25">
      <c r="A996" s="1" t="s">
        <v>3794</v>
      </c>
      <c r="B996" s="7" t="s">
        <v>3795</v>
      </c>
      <c r="C996" s="7" t="s">
        <v>3771</v>
      </c>
      <c r="D996" s="7" t="s">
        <v>3796</v>
      </c>
      <c r="E996" s="7" t="s">
        <v>3790</v>
      </c>
      <c r="F996" s="7" t="str">
        <f>HYPERLINK("http://www.camigliano.it/","www.camigliano.it")</f>
        <v>www.camigliano.it</v>
      </c>
    </row>
    <row r="997" spans="1:6" ht="29.55" customHeight="1" x14ac:dyDescent="0.25">
      <c r="A997" s="1" t="s">
        <v>3797</v>
      </c>
      <c r="B997" s="7" t="s">
        <v>3798</v>
      </c>
      <c r="C997" s="7" t="s">
        <v>3799</v>
      </c>
      <c r="D997" s="7" t="s">
        <v>3772</v>
      </c>
      <c r="E997" s="7" t="s">
        <v>3773</v>
      </c>
      <c r="F997" s="7" t="str">
        <f>HYPERLINK("http://www.ifruttidelsole.it/","www.ifruttidelsole.it/")</f>
        <v>www.ifruttidelsole.it/</v>
      </c>
    </row>
    <row r="998" spans="1:6" ht="55.65" customHeight="1" x14ac:dyDescent="0.25">
      <c r="A998" s="6" t="s">
        <v>3800</v>
      </c>
      <c r="B998" s="5" t="s">
        <v>3801</v>
      </c>
      <c r="C998" s="5" t="s">
        <v>3802</v>
      </c>
      <c r="D998" s="5" t="s">
        <v>3803</v>
      </c>
      <c r="E998" s="5" t="s">
        <v>3757</v>
      </c>
      <c r="F998" s="5" t="str">
        <f>HYPERLINK("http://www.oliocopape.it/","www.oliocopape.it")</f>
        <v>www.oliocopape.it</v>
      </c>
    </row>
    <row r="999" spans="1:6" ht="16.95" customHeight="1" x14ac:dyDescent="0.25">
      <c r="A999" s="1" t="s">
        <v>3804</v>
      </c>
      <c r="B999" s="7" t="s">
        <v>3805</v>
      </c>
      <c r="C999" s="7" t="s">
        <v>3780</v>
      </c>
      <c r="D999" s="7" t="s">
        <v>3806</v>
      </c>
      <c r="E999" s="7" t="s">
        <v>3807</v>
      </c>
      <c r="F999" s="7" t="str">
        <f>HYPERLINK("http://www.avicolamontorfano.com/","www.avicolamontorfano.com")</f>
        <v>www.avicolamontorfano.com</v>
      </c>
    </row>
    <row r="1000" spans="1:6" ht="16.95" customHeight="1" x14ac:dyDescent="0.25">
      <c r="A1000" s="6" t="s">
        <v>3816</v>
      </c>
      <c r="B1000" s="5" t="s">
        <v>3817</v>
      </c>
      <c r="C1000" s="5" t="s">
        <v>3818</v>
      </c>
      <c r="D1000" s="5" t="s">
        <v>3819</v>
      </c>
      <c r="E1000" s="5" t="s">
        <v>3813</v>
      </c>
      <c r="F1000" s="5" t="str">
        <f>HYPERLINK("http://agriarte.it/","agriarte.it")</f>
        <v>agriarte.it</v>
      </c>
    </row>
    <row r="1001" spans="1:6" ht="68.099999999999994" customHeight="1" x14ac:dyDescent="0.25">
      <c r="A1001" s="1" t="s">
        <v>3820</v>
      </c>
      <c r="B1001" s="7" t="s">
        <v>3821</v>
      </c>
      <c r="C1001" s="7" t="s">
        <v>3810</v>
      </c>
      <c r="D1001" s="7" t="s">
        <v>3822</v>
      </c>
      <c r="E1001" s="7" t="s">
        <v>3823</v>
      </c>
      <c r="F1001" s="7" t="str">
        <f>HYPERLINK("http://stenopavel.wixsite.com/cmbmsocagrcoop","stenopavel.wixsite.com/cmbmsocagrcoop")</f>
        <v>stenopavel.wixsite.com/cmbmsocagrcoop</v>
      </c>
    </row>
    <row r="1002" spans="1:6" ht="29.55" customHeight="1" x14ac:dyDescent="0.25">
      <c r="A1002" s="6" t="s">
        <v>3824</v>
      </c>
      <c r="B1002" s="5" t="s">
        <v>3825</v>
      </c>
      <c r="C1002" s="5" t="s">
        <v>3810</v>
      </c>
      <c r="D1002" s="5" t="s">
        <v>3826</v>
      </c>
      <c r="E1002" s="5" t="s">
        <v>3827</v>
      </c>
      <c r="F1002" s="5" t="str">
        <f>HYPERLINK("http://lapatatadalcuoreveneto.it/","lapatatadalcuoreveneto.it")</f>
        <v>lapatatadalcuoreveneto.it</v>
      </c>
    </row>
    <row r="1003" spans="1:6" ht="43.05" customHeight="1" x14ac:dyDescent="0.25">
      <c r="A1003" s="1" t="s">
        <v>3829</v>
      </c>
      <c r="B1003" s="7" t="s">
        <v>3830</v>
      </c>
      <c r="C1003" s="7" t="s">
        <v>3828</v>
      </c>
      <c r="D1003" s="7" t="s">
        <v>3831</v>
      </c>
      <c r="E1003" s="7" t="s">
        <v>3832</v>
      </c>
      <c r="F1003" s="7" t="str">
        <f>HYPERLINK("http://www.compagniaagricola.it/","www.compagniaagricola.it")</f>
        <v>www.compagniaagricola.it</v>
      </c>
    </row>
    <row r="1004" spans="1:6" ht="29.55" customHeight="1" x14ac:dyDescent="0.25">
      <c r="A1004" s="6" t="s">
        <v>3833</v>
      </c>
      <c r="B1004" s="5" t="s">
        <v>3834</v>
      </c>
      <c r="C1004" s="5" t="s">
        <v>3810</v>
      </c>
      <c r="D1004" s="5" t="s">
        <v>3835</v>
      </c>
      <c r="E1004" s="5" t="s">
        <v>3809</v>
      </c>
      <c r="F1004" s="5" t="str">
        <f>HYPERLINK("http://www.primosoleortofrutta.com/","www.primosoleortofrutta.com")</f>
        <v>www.primosoleortofrutta.com</v>
      </c>
    </row>
    <row r="1005" spans="1:6" ht="29.55" customHeight="1" x14ac:dyDescent="0.25">
      <c r="A1005" s="1" t="s">
        <v>3836</v>
      </c>
      <c r="B1005" s="7" t="s">
        <v>3837</v>
      </c>
      <c r="C1005" s="7" t="s">
        <v>3838</v>
      </c>
      <c r="D1005" s="7" t="s">
        <v>3819</v>
      </c>
      <c r="E1005" s="7" t="s">
        <v>3813</v>
      </c>
      <c r="F1005" s="7" t="str">
        <f>HYPERLINK("http://www.vallepicciola.com/","www.vallepicciola.com")</f>
        <v>www.vallepicciola.com</v>
      </c>
    </row>
    <row r="1006" spans="1:6" ht="81.75" customHeight="1" x14ac:dyDescent="0.25">
      <c r="A1006" s="6" t="s">
        <v>3840</v>
      </c>
      <c r="B1006" s="5" t="s">
        <v>3841</v>
      </c>
      <c r="C1006" s="5" t="s">
        <v>3838</v>
      </c>
      <c r="D1006" s="5" t="s">
        <v>3842</v>
      </c>
      <c r="E1006" s="5" t="s">
        <v>3813</v>
      </c>
      <c r="F1006" s="5" t="str">
        <f>HYPERLINK("http://www.pressareacarpineto.com/","www.pressareacarpineto.com")</f>
        <v>www.pressareacarpineto.com</v>
      </c>
    </row>
    <row r="1007" spans="1:6" ht="16.95" customHeight="1" x14ac:dyDescent="0.25">
      <c r="A1007" s="1" t="s">
        <v>3843</v>
      </c>
      <c r="B1007" s="7" t="s">
        <v>3844</v>
      </c>
      <c r="C1007" s="7" t="s">
        <v>3810</v>
      </c>
      <c r="D1007" s="7" t="s">
        <v>3814</v>
      </c>
      <c r="E1007" s="7" t="s">
        <v>3815</v>
      </c>
      <c r="F1007" s="7" t="str">
        <f>HYPERLINK("http://www.ecogruppoitalia.it/","www.ecogruppoitalia.it")</f>
        <v>www.ecogruppoitalia.it</v>
      </c>
    </row>
    <row r="1008" spans="1:6" ht="29.55" customHeight="1" x14ac:dyDescent="0.25">
      <c r="A1008" s="6" t="s">
        <v>3845</v>
      </c>
      <c r="B1008" s="5" t="s">
        <v>3846</v>
      </c>
      <c r="C1008" s="5" t="s">
        <v>3812</v>
      </c>
      <c r="D1008" s="5" t="s">
        <v>3847</v>
      </c>
      <c r="E1008" s="5" t="s">
        <v>3811</v>
      </c>
      <c r="F1008" s="5" t="str">
        <f>HYPERLINK("http://www.quercetaselection.it/","www.quercetaselection.it")</f>
        <v>www.quercetaselection.it</v>
      </c>
    </row>
    <row r="1009" spans="1:6" ht="29.55" customHeight="1" x14ac:dyDescent="0.25">
      <c r="A1009" s="1" t="s">
        <v>3848</v>
      </c>
      <c r="B1009" s="7" t="s">
        <v>3849</v>
      </c>
      <c r="C1009" s="7" t="s">
        <v>3838</v>
      </c>
      <c r="D1009" s="7" t="s">
        <v>3850</v>
      </c>
      <c r="E1009" s="7" t="s">
        <v>3851</v>
      </c>
      <c r="F1009" s="7" t="str">
        <f>HYPERLINK("http://www.vinideluca.com/","www.vinideluca.com")</f>
        <v>www.vinideluca.com</v>
      </c>
    </row>
    <row r="1010" spans="1:6" ht="55.65" customHeight="1" x14ac:dyDescent="0.25">
      <c r="A1010" s="1" t="s">
        <v>3853</v>
      </c>
      <c r="B1010" s="7" t="s">
        <v>3854</v>
      </c>
      <c r="C1010" s="7" t="s">
        <v>3838</v>
      </c>
      <c r="D1010" s="7" t="s">
        <v>3852</v>
      </c>
      <c r="E1010" s="7" t="s">
        <v>3823</v>
      </c>
      <c r="F1010" s="7" t="str">
        <f>HYPERLINK("http://www.poderieinaudi.com/","www.poderieinaudi.com")</f>
        <v>www.poderieinaudi.com</v>
      </c>
    </row>
    <row r="1011" spans="1:6" ht="43.05" customHeight="1" x14ac:dyDescent="0.25">
      <c r="A1011" s="1" t="s">
        <v>3855</v>
      </c>
      <c r="B1011" s="7" t="s">
        <v>3856</v>
      </c>
      <c r="C1011" s="7" t="s">
        <v>3808</v>
      </c>
      <c r="D1011" s="7" t="s">
        <v>3857</v>
      </c>
      <c r="E1011" s="7" t="s">
        <v>3851</v>
      </c>
      <c r="F1011" s="7" t="str">
        <f>HYPERLINK("http://www.torredimezzo.com/","www.torredimezzo.com")</f>
        <v>www.torredimezzo.com</v>
      </c>
    </row>
    <row r="1012" spans="1:6" ht="16.95" customHeight="1" x14ac:dyDescent="0.25">
      <c r="A1012" s="6" t="s">
        <v>3858</v>
      </c>
      <c r="B1012" s="5" t="s">
        <v>3859</v>
      </c>
      <c r="C1012" s="5" t="s">
        <v>3818</v>
      </c>
      <c r="D1012" s="5" t="s">
        <v>3860</v>
      </c>
      <c r="E1012" s="5" t="s">
        <v>3839</v>
      </c>
      <c r="F1012" s="5" t="str">
        <f>HYPERLINK("http://www.ecotrasp.it/","www.ecotrasp.it")</f>
        <v>www.ecotrasp.it</v>
      </c>
    </row>
    <row r="1013" spans="1:6" ht="29.55" customHeight="1" x14ac:dyDescent="0.25">
      <c r="A1013" s="1" t="s">
        <v>3861</v>
      </c>
      <c r="B1013" s="7" t="s">
        <v>3862</v>
      </c>
      <c r="C1013" s="7" t="s">
        <v>3863</v>
      </c>
      <c r="D1013" s="7" t="s">
        <v>3864</v>
      </c>
      <c r="E1013" s="7" t="s">
        <v>3865</v>
      </c>
      <c r="F1013" s="7" t="str">
        <f>HYPERLINK("http://www.tolaini.it/","www.tolaini.it")</f>
        <v>www.tolaini.it</v>
      </c>
    </row>
    <row r="1014" spans="1:6" ht="29.55" customHeight="1" x14ac:dyDescent="0.25">
      <c r="A1014" s="1" t="s">
        <v>3869</v>
      </c>
      <c r="B1014" s="7" t="s">
        <v>3870</v>
      </c>
      <c r="C1014" s="7" t="s">
        <v>3863</v>
      </c>
      <c r="D1014" s="7" t="s">
        <v>3871</v>
      </c>
      <c r="E1014" s="7" t="s">
        <v>3865</v>
      </c>
      <c r="F1014" s="7" t="str">
        <f>HYPERLINK("http://shop.caiarossa.com/","shop.caiarossa.com")</f>
        <v>shop.caiarossa.com</v>
      </c>
    </row>
    <row r="1015" spans="1:6" ht="43.05" customHeight="1" x14ac:dyDescent="0.25">
      <c r="A1015" s="6" t="s">
        <v>3872</v>
      </c>
      <c r="B1015" s="5" t="s">
        <v>3873</v>
      </c>
      <c r="C1015" s="5" t="s">
        <v>3863</v>
      </c>
      <c r="D1015" s="5" t="s">
        <v>3874</v>
      </c>
      <c r="E1015" s="5" t="s">
        <v>3865</v>
      </c>
      <c r="F1015" s="5" t="str">
        <f>HYPERLINK("http://www.villapetriolotuscany.com/","www.villapetriolotuscany.com")</f>
        <v>www.villapetriolotuscany.com</v>
      </c>
    </row>
    <row r="1016" spans="1:6" ht="43.05" customHeight="1" x14ac:dyDescent="0.25">
      <c r="A1016" s="1" t="s">
        <v>3879</v>
      </c>
      <c r="B1016" s="7" t="s">
        <v>3880</v>
      </c>
      <c r="C1016" s="7" t="s">
        <v>3881</v>
      </c>
      <c r="D1016" s="7" t="s">
        <v>3882</v>
      </c>
      <c r="E1016" s="7" t="s">
        <v>3883</v>
      </c>
      <c r="F1016" s="7" t="str">
        <f>HYPERLINK("http://www.sololattelucano.it/","www.sololattelucano.it")</f>
        <v>www.sololattelucano.it</v>
      </c>
    </row>
    <row r="1017" spans="1:6" ht="43.05" customHeight="1" x14ac:dyDescent="0.25">
      <c r="A1017" s="6" t="s">
        <v>3884</v>
      </c>
      <c r="B1017" s="5" t="s">
        <v>3885</v>
      </c>
      <c r="C1017" s="5" t="s">
        <v>3886</v>
      </c>
      <c r="D1017" s="5" t="s">
        <v>3871</v>
      </c>
      <c r="E1017" s="5" t="s">
        <v>3865</v>
      </c>
      <c r="F1017" s="5" t="str">
        <f>HYPERLINK("http://www.lortofruttifero.it/","www.lortofruttifero.it")</f>
        <v>www.lortofruttifero.it</v>
      </c>
    </row>
    <row r="1018" spans="1:6" ht="29.55" customHeight="1" x14ac:dyDescent="0.25">
      <c r="A1018" s="1" t="s">
        <v>3887</v>
      </c>
      <c r="B1018" s="7" t="s">
        <v>3888</v>
      </c>
      <c r="C1018" s="7" t="s">
        <v>3866</v>
      </c>
      <c r="D1018" s="7" t="s">
        <v>3867</v>
      </c>
      <c r="E1018" s="7" t="s">
        <v>3868</v>
      </c>
      <c r="F1018" s="7" t="str">
        <f>HYPERLINK("http://il-mercato-delle-fragole-srl.business.site/   info@lafragola.net","il-mercato-delle-fragole-srl.business.site/%20%20%20info@lafragola.net")</f>
        <v>il-mercato-delle-fragole-srl.business.site/%20%20%20info@lafragola.net</v>
      </c>
    </row>
    <row r="1019" spans="1:6" ht="55.65" customHeight="1" x14ac:dyDescent="0.25">
      <c r="A1019" s="6" t="s">
        <v>3889</v>
      </c>
      <c r="B1019" s="5" t="s">
        <v>3890</v>
      </c>
      <c r="C1019" s="5" t="s">
        <v>3875</v>
      </c>
      <c r="D1019" s="5" t="s">
        <v>3877</v>
      </c>
      <c r="E1019" s="5" t="s">
        <v>3878</v>
      </c>
      <c r="F1019" s="5" t="str">
        <f>HYPERLINK("http://www.terratech.it/","www.terratech.it")</f>
        <v>www.terratech.it</v>
      </c>
    </row>
    <row r="1020" spans="1:6" ht="29.55" customHeight="1" x14ac:dyDescent="0.25">
      <c r="A1020" s="1" t="s">
        <v>3893</v>
      </c>
      <c r="B1020" s="7" t="s">
        <v>3894</v>
      </c>
      <c r="C1020" s="7" t="s">
        <v>3875</v>
      </c>
      <c r="D1020" s="7" t="s">
        <v>3895</v>
      </c>
      <c r="E1020" s="7" t="s">
        <v>3896</v>
      </c>
      <c r="F1020" s="7" t="str">
        <f>HYPERLINK("http://www.negronisrl.it/","www.negronisrl.it")</f>
        <v>www.negronisrl.it</v>
      </c>
    </row>
    <row r="1021" spans="1:6" ht="29.55" customHeight="1" x14ac:dyDescent="0.25">
      <c r="A1021" s="6" t="s">
        <v>3898</v>
      </c>
      <c r="B1021" s="5" t="s">
        <v>3899</v>
      </c>
      <c r="C1021" s="5" t="s">
        <v>3866</v>
      </c>
      <c r="D1021" s="5" t="s">
        <v>3900</v>
      </c>
      <c r="E1021" s="5" t="s">
        <v>3878</v>
      </c>
      <c r="F1021" s="5" t="str">
        <f>HYPERLINK("http://www.ageallianz.it/ferrara738/","www.ageallianz.it/ferrara738/")</f>
        <v>www.ageallianz.it/ferrara738/</v>
      </c>
    </row>
    <row r="1022" spans="1:6" ht="55.65" customHeight="1" x14ac:dyDescent="0.25">
      <c r="A1022" s="1" t="s">
        <v>3902</v>
      </c>
      <c r="B1022" s="7" t="s">
        <v>3903</v>
      </c>
      <c r="C1022" s="7" t="s">
        <v>3875</v>
      </c>
      <c r="D1022" s="7" t="s">
        <v>3904</v>
      </c>
      <c r="E1022" s="7" t="s">
        <v>3878</v>
      </c>
      <c r="F1022" s="7" t="str">
        <f>HYPERLINK("http://www.cmasoliera.it/","www.cmasoliera.it")</f>
        <v>www.cmasoliera.it</v>
      </c>
    </row>
    <row r="1023" spans="1:6" ht="16.95" customHeight="1" x14ac:dyDescent="0.25">
      <c r="A1023" s="6" t="s">
        <v>3905</v>
      </c>
      <c r="B1023" s="5" t="s">
        <v>3906</v>
      </c>
      <c r="C1023" s="5" t="s">
        <v>3886</v>
      </c>
      <c r="D1023" s="5" t="s">
        <v>3891</v>
      </c>
      <c r="E1023" s="5" t="s">
        <v>3892</v>
      </c>
      <c r="F1023" s="5" t="str">
        <f>HYPERLINK("http://alghecarpinone.com/","alghecarpinone.com")</f>
        <v>alghecarpinone.com</v>
      </c>
    </row>
    <row r="1024" spans="1:6" ht="16.95" customHeight="1" x14ac:dyDescent="0.25">
      <c r="A1024" s="1" t="s">
        <v>3907</v>
      </c>
      <c r="B1024" s="7" t="s">
        <v>3908</v>
      </c>
      <c r="C1024" s="7" t="s">
        <v>3875</v>
      </c>
      <c r="D1024" s="7" t="s">
        <v>3909</v>
      </c>
      <c r="E1024" s="7" t="s">
        <v>3896</v>
      </c>
      <c r="F1024" s="7" t="str">
        <f>HYPERLINK("http://biosystemchiavari.com/","biosystemchiavari.com")</f>
        <v>biosystemchiavari.com</v>
      </c>
    </row>
    <row r="1025" spans="1:6" ht="55.65" customHeight="1" x14ac:dyDescent="0.25">
      <c r="A1025" s="6" t="s">
        <v>3910</v>
      </c>
      <c r="B1025" s="5" t="s">
        <v>3911</v>
      </c>
      <c r="C1025" s="5" t="s">
        <v>3866</v>
      </c>
      <c r="D1025" s="5" t="s">
        <v>3912</v>
      </c>
      <c r="E1025" s="5" t="s">
        <v>3897</v>
      </c>
      <c r="F1025" s="5" t="str">
        <f>HYPERLINK("http://www.trecastelli.it/","www.trecastelli.it")</f>
        <v>www.trecastelli.it</v>
      </c>
    </row>
    <row r="1026" spans="1:6" ht="29.55" customHeight="1" x14ac:dyDescent="0.25">
      <c r="A1026" s="1" t="s">
        <v>3913</v>
      </c>
      <c r="B1026" s="7" t="s">
        <v>3914</v>
      </c>
      <c r="C1026" s="7" t="s">
        <v>3901</v>
      </c>
      <c r="D1026" s="7" t="s">
        <v>3876</v>
      </c>
      <c r="E1026" s="7" t="s">
        <v>3868</v>
      </c>
      <c r="F1026" s="7" t="str">
        <f>HYPERLINK("http://www.tenutaagrilat.it/","www.tenutaagrilat.it")</f>
        <v>www.tenutaagrilat.it</v>
      </c>
    </row>
    <row r="1027" spans="1:6" ht="55.65" customHeight="1" x14ac:dyDescent="0.25">
      <c r="A1027" s="6" t="s">
        <v>3915</v>
      </c>
      <c r="B1027" s="5" t="s">
        <v>3916</v>
      </c>
      <c r="C1027" s="5" t="s">
        <v>3881</v>
      </c>
      <c r="D1027" s="5" t="s">
        <v>3917</v>
      </c>
      <c r="E1027" s="5" t="s">
        <v>3878</v>
      </c>
      <c r="F1027" s="5" t="str">
        <f>HYPERLINK("http://www.copalallevatori.it/","www.copalallevatori.it")</f>
        <v>www.copalallevatori.it</v>
      </c>
    </row>
    <row r="1028" spans="1:6" ht="29.55" customHeight="1" x14ac:dyDescent="0.25">
      <c r="A1028" s="6" t="s">
        <v>3918</v>
      </c>
      <c r="B1028" s="5" t="s">
        <v>3919</v>
      </c>
      <c r="C1028" s="5" t="s">
        <v>3863</v>
      </c>
      <c r="D1028" s="5" t="s">
        <v>3904</v>
      </c>
      <c r="E1028" s="5" t="s">
        <v>3878</v>
      </c>
      <c r="F1028" s="5" t="str">
        <f>HYPERLINK("http://www.terradeltuono.it/","www.terradeltuono.it")</f>
        <v>www.terradeltuono.it</v>
      </c>
    </row>
    <row r="1029" spans="1:6" ht="43.05" customHeight="1" x14ac:dyDescent="0.25">
      <c r="A1029" s="6" t="s">
        <v>3923</v>
      </c>
      <c r="B1029" s="5" t="s">
        <v>3924</v>
      </c>
      <c r="C1029" s="5" t="s">
        <v>3925</v>
      </c>
      <c r="D1029" s="5" t="s">
        <v>3926</v>
      </c>
      <c r="E1029" s="5" t="s">
        <v>3927</v>
      </c>
      <c r="F1029" s="5" t="str">
        <f>HYPERLINK("http://www.latteriasocialefondo.it/","www.latteriasocialefondo.it")</f>
        <v>www.latteriasocialefondo.it</v>
      </c>
    </row>
    <row r="1030" spans="1:6" ht="55.65" customHeight="1" x14ac:dyDescent="0.25">
      <c r="A1030" s="1" t="s">
        <v>3928</v>
      </c>
      <c r="B1030" s="7" t="s">
        <v>3929</v>
      </c>
      <c r="C1030" s="7" t="s">
        <v>3930</v>
      </c>
      <c r="D1030" s="7" t="s">
        <v>3931</v>
      </c>
      <c r="E1030" s="7" t="s">
        <v>3932</v>
      </c>
      <c r="F1030" s="7" t="str">
        <f>HYPERLINK("http://www.ifeudidiromans.it/","www.ifeudidiromans.it")</f>
        <v>www.ifeudidiromans.it</v>
      </c>
    </row>
    <row r="1031" spans="1:6" ht="29.55" customHeight="1" x14ac:dyDescent="0.25">
      <c r="A1031" s="1" t="s">
        <v>3934</v>
      </c>
      <c r="B1031" s="7" t="s">
        <v>3935</v>
      </c>
      <c r="C1031" s="7" t="s">
        <v>3930</v>
      </c>
      <c r="D1031" s="7" t="s">
        <v>3936</v>
      </c>
      <c r="E1031" s="7" t="s">
        <v>3937</v>
      </c>
      <c r="F1031" s="7" t="str">
        <f>HYPERLINK("http://www.masi.it/","www.masi.it")</f>
        <v>www.masi.it</v>
      </c>
    </row>
    <row r="1032" spans="1:6" ht="16.95" customHeight="1" x14ac:dyDescent="0.25">
      <c r="A1032" s="6" t="s">
        <v>3938</v>
      </c>
      <c r="B1032" s="5" t="s">
        <v>3939</v>
      </c>
      <c r="C1032" s="5" t="s">
        <v>3940</v>
      </c>
      <c r="D1032" s="5" t="s">
        <v>3941</v>
      </c>
      <c r="E1032" s="5" t="s">
        <v>3942</v>
      </c>
      <c r="F1032" s="5" t="str">
        <f>HYPERLINK("http://www.servizioqualita.com/","www.servizioqualita.com")</f>
        <v>www.servizioqualita.com</v>
      </c>
    </row>
    <row r="1033" spans="1:6" ht="29.55" customHeight="1" x14ac:dyDescent="0.25">
      <c r="A1033" s="6" t="s">
        <v>3945</v>
      </c>
      <c r="B1033" s="5" t="s">
        <v>3946</v>
      </c>
      <c r="C1033" s="5" t="s">
        <v>3947</v>
      </c>
      <c r="D1033" s="5" t="s">
        <v>3948</v>
      </c>
      <c r="E1033" s="5" t="s">
        <v>3949</v>
      </c>
      <c r="F1033" s="5" t="str">
        <f>HYPERLINK("http://www.vivopiantepistoia.it/","www.vivopiantepistoia.it")</f>
        <v>www.vivopiantepistoia.it</v>
      </c>
    </row>
    <row r="1034" spans="1:6" ht="55.65" customHeight="1" x14ac:dyDescent="0.25">
      <c r="A1034" s="1" t="s">
        <v>3950</v>
      </c>
      <c r="B1034" s="7" t="s">
        <v>3951</v>
      </c>
      <c r="C1034" s="7" t="s">
        <v>3940</v>
      </c>
      <c r="D1034" s="7" t="s">
        <v>3952</v>
      </c>
      <c r="E1034" s="7" t="s">
        <v>3933</v>
      </c>
      <c r="F1034" s="7" t="str">
        <f>HYPERLINK("http://www.il-rosone.it/","www.il-rosone.it")</f>
        <v>www.il-rosone.it</v>
      </c>
    </row>
    <row r="1035" spans="1:6" ht="16.95" customHeight="1" x14ac:dyDescent="0.25">
      <c r="A1035" s="6" t="s">
        <v>3953</v>
      </c>
      <c r="B1035" s="5" t="s">
        <v>3954</v>
      </c>
      <c r="C1035" s="5" t="s">
        <v>3940</v>
      </c>
      <c r="D1035" s="5" t="s">
        <v>3955</v>
      </c>
      <c r="E1035" s="5" t="s">
        <v>3937</v>
      </c>
      <c r="F1035" s="5" t="str">
        <f>HYPERLINK("http://www.morogroupsrl.it/","www.morogroupsrl.it")</f>
        <v>www.morogroupsrl.it</v>
      </c>
    </row>
    <row r="1036" spans="1:6" ht="29.55" customHeight="1" x14ac:dyDescent="0.25">
      <c r="A1036" s="6" t="s">
        <v>3956</v>
      </c>
      <c r="B1036" s="5" t="s">
        <v>3957</v>
      </c>
      <c r="C1036" s="5" t="s">
        <v>3930</v>
      </c>
      <c r="D1036" s="5" t="s">
        <v>3958</v>
      </c>
      <c r="E1036" s="5" t="s">
        <v>3949</v>
      </c>
      <c r="F1036" s="5" t="str">
        <f>HYPERLINK("http://10years.salcheto.it/","10years.salcheto.it")</f>
        <v>10years.salcheto.it</v>
      </c>
    </row>
    <row r="1037" spans="1:6" ht="29.55" customHeight="1" x14ac:dyDescent="0.25">
      <c r="A1037" s="1" t="s">
        <v>3959</v>
      </c>
      <c r="B1037" s="7" t="s">
        <v>3960</v>
      </c>
      <c r="C1037" s="7" t="s">
        <v>3920</v>
      </c>
      <c r="D1037" s="7" t="s">
        <v>3961</v>
      </c>
      <c r="E1037" s="7" t="s">
        <v>3942</v>
      </c>
      <c r="F1037" s="7" t="str">
        <f>HYPERLINK("http://lacanovasrl.it/","lacanovasrl.it")</f>
        <v>lacanovasrl.it</v>
      </c>
    </row>
    <row r="1038" spans="1:6" ht="43.05" customHeight="1" x14ac:dyDescent="0.25">
      <c r="A1038" s="6" t="s">
        <v>3962</v>
      </c>
      <c r="B1038" s="5" t="s">
        <v>3963</v>
      </c>
      <c r="C1038" s="5" t="s">
        <v>3925</v>
      </c>
      <c r="D1038" s="5" t="s">
        <v>3964</v>
      </c>
      <c r="E1038" s="5" t="s">
        <v>3921</v>
      </c>
      <c r="F1038" s="5" t="str">
        <f>HYPERLINK("http://www.latteriaduemadonne.com/","www.latteriaduemadonne.com")</f>
        <v>www.latteriaduemadonne.com</v>
      </c>
    </row>
    <row r="1039" spans="1:6" ht="29.55" customHeight="1" x14ac:dyDescent="0.25">
      <c r="A1039" s="1" t="s">
        <v>3965</v>
      </c>
      <c r="B1039" s="7" t="s">
        <v>3966</v>
      </c>
      <c r="C1039" s="7" t="s">
        <v>3920</v>
      </c>
      <c r="D1039" s="7" t="s">
        <v>3967</v>
      </c>
      <c r="E1039" s="7" t="s">
        <v>3937</v>
      </c>
      <c r="F1039" s="7" t="str">
        <f>HYPERLINK("http://www.anticopoderebernardi.it/","www.anticopoderebernardi.it")</f>
        <v>www.anticopoderebernardi.it</v>
      </c>
    </row>
    <row r="1040" spans="1:6" ht="81.75" customHeight="1" x14ac:dyDescent="0.25">
      <c r="A1040" s="6" t="s">
        <v>3968</v>
      </c>
      <c r="B1040" s="5" t="s">
        <v>3969</v>
      </c>
      <c r="C1040" s="5" t="s">
        <v>3970</v>
      </c>
      <c r="D1040" s="5" t="s">
        <v>3971</v>
      </c>
      <c r="E1040" s="5" t="s">
        <v>3972</v>
      </c>
      <c r="F1040" s="5" t="str">
        <f>HYPERLINK("http://www.opalbenga.com/","www.opalbenga.com")</f>
        <v>www.opalbenga.com</v>
      </c>
    </row>
    <row r="1041" spans="1:6" ht="29.55" customHeight="1" x14ac:dyDescent="0.25">
      <c r="A1041" s="1" t="s">
        <v>3973</v>
      </c>
      <c r="B1041" s="7" t="s">
        <v>3974</v>
      </c>
      <c r="C1041" s="7" t="s">
        <v>3943</v>
      </c>
      <c r="D1041" s="7" t="s">
        <v>3944</v>
      </c>
      <c r="E1041" s="7" t="s">
        <v>3922</v>
      </c>
      <c r="F1041" s="7" t="str">
        <f>HYPERLINK("http://agroavicolacolella.it/","agroavicolacolella.it")</f>
        <v>agroavicolacolella.it</v>
      </c>
    </row>
    <row r="1042" spans="1:6" ht="29.55" customHeight="1" x14ac:dyDescent="0.25">
      <c r="A1042" s="6" t="s">
        <v>3975</v>
      </c>
      <c r="B1042" s="5" t="s">
        <v>3976</v>
      </c>
      <c r="C1042" s="5" t="s">
        <v>3977</v>
      </c>
      <c r="D1042" s="5" t="s">
        <v>3978</v>
      </c>
      <c r="E1042" s="5" t="s">
        <v>3979</v>
      </c>
      <c r="F1042" s="5" t="str">
        <f>HYPERLINK("http://www.facebook.com/aziendaagricolascocco/","www.facebook.com/aziendaagricolascocco/")</f>
        <v>www.facebook.com/aziendaagricolascocco/</v>
      </c>
    </row>
    <row r="1043" spans="1:6" ht="29.55" customHeight="1" x14ac:dyDescent="0.25">
      <c r="A1043" s="1" t="s">
        <v>3980</v>
      </c>
      <c r="B1043" s="7" t="s">
        <v>3981</v>
      </c>
      <c r="C1043" s="7" t="s">
        <v>3982</v>
      </c>
      <c r="D1043" s="7" t="s">
        <v>3983</v>
      </c>
      <c r="E1043" s="7" t="s">
        <v>3942</v>
      </c>
      <c r="F1043" s="7" t="str">
        <f>HYPERLINK("http://agripanda.it/","agripanda.it")</f>
        <v>agripanda.it</v>
      </c>
    </row>
    <row r="1044" spans="1:6" ht="43.05" customHeight="1" x14ac:dyDescent="0.25">
      <c r="A1044" s="1" t="s">
        <v>3984</v>
      </c>
      <c r="B1044" s="7" t="s">
        <v>3985</v>
      </c>
      <c r="C1044" s="7" t="s">
        <v>3930</v>
      </c>
      <c r="D1044" s="7" t="s">
        <v>3986</v>
      </c>
      <c r="E1044" s="7" t="s">
        <v>3987</v>
      </c>
      <c r="F1044" s="7" t="str">
        <f>HYPERLINK("http://shop.cantinedelnotaio.it/","shop.cantinedelnotaio.it")</f>
        <v>shop.cantinedelnotaio.it</v>
      </c>
    </row>
    <row r="1045" spans="1:6" ht="43.05" customHeight="1" x14ac:dyDescent="0.25">
      <c r="A1045" s="6" t="s">
        <v>3988</v>
      </c>
      <c r="B1045" s="5" t="s">
        <v>3989</v>
      </c>
      <c r="C1045" s="5" t="s">
        <v>3925</v>
      </c>
      <c r="D1045" s="5" t="s">
        <v>3926</v>
      </c>
      <c r="E1045" s="5" t="s">
        <v>3927</v>
      </c>
      <c r="F1045" s="5" t="str">
        <f>HYPERLINK("http://www.caseificiosabbionara.com/","www.caseificiosabbionara.com")</f>
        <v>www.caseificiosabbionara.com</v>
      </c>
    </row>
    <row r="1046" spans="1:6" ht="43.05" customHeight="1" x14ac:dyDescent="0.25">
      <c r="A1046" s="1" t="s">
        <v>3990</v>
      </c>
      <c r="B1046" s="7" t="s">
        <v>3991</v>
      </c>
      <c r="C1046" s="7" t="s">
        <v>3930</v>
      </c>
      <c r="D1046" s="7" t="s">
        <v>3992</v>
      </c>
      <c r="E1046" s="7" t="s">
        <v>3992</v>
      </c>
      <c r="F1046" s="7" t="str">
        <f>HYPERLINK("http://www.agripunica.it/","www.agripunica.it")</f>
        <v>www.agripunica.it</v>
      </c>
    </row>
    <row r="1047" spans="1:6" ht="43.05" customHeight="1" x14ac:dyDescent="0.25">
      <c r="A1047" s="1" t="s">
        <v>3993</v>
      </c>
      <c r="B1047" s="7" t="s">
        <v>3994</v>
      </c>
      <c r="C1047" s="7" t="s">
        <v>3930</v>
      </c>
      <c r="D1047" s="7" t="s">
        <v>3995</v>
      </c>
      <c r="E1047" s="7" t="s">
        <v>3996</v>
      </c>
      <c r="F1047" s="7" t="str">
        <f>HYPERLINK("http://ominaromana.com/","ominaromana.com")</f>
        <v>ominaromana.com</v>
      </c>
    </row>
    <row r="1048" spans="1:6" ht="68.099999999999994" customHeight="1" x14ac:dyDescent="0.25">
      <c r="A1048" s="1" t="s">
        <v>3997</v>
      </c>
      <c r="B1048" s="7" t="s">
        <v>3998</v>
      </c>
      <c r="C1048" s="7" t="s">
        <v>3999</v>
      </c>
      <c r="D1048" s="7" t="s">
        <v>4000</v>
      </c>
      <c r="E1048" s="7" t="s">
        <v>4001</v>
      </c>
      <c r="F1048" s="7" t="str">
        <f>HYPERLINK("http://www.bananaoffice.com/","www.bananaoffice.com")</f>
        <v>www.bananaoffice.com</v>
      </c>
    </row>
    <row r="1049" spans="1:6" ht="29.55" customHeight="1" x14ac:dyDescent="0.25">
      <c r="A1049" s="6" t="s">
        <v>4002</v>
      </c>
      <c r="B1049" s="5" t="s">
        <v>4003</v>
      </c>
      <c r="C1049" s="5" t="s">
        <v>4004</v>
      </c>
      <c r="D1049" s="5" t="s">
        <v>4005</v>
      </c>
      <c r="E1049" s="5" t="s">
        <v>4006</v>
      </c>
      <c r="F1049" s="5" t="str">
        <f>HYPERLINK("http://www.gruppobagioni.com/","www.gruppobagioni.com")</f>
        <v>www.gruppobagioni.com</v>
      </c>
    </row>
    <row r="1050" spans="1:6" ht="43.05" customHeight="1" x14ac:dyDescent="0.25">
      <c r="A1050" s="1" t="s">
        <v>4007</v>
      </c>
      <c r="B1050" s="7" t="s">
        <v>4008</v>
      </c>
      <c r="C1050" s="7" t="s">
        <v>4009</v>
      </c>
      <c r="D1050" s="7" t="s">
        <v>4010</v>
      </c>
      <c r="E1050" s="7" t="s">
        <v>4011</v>
      </c>
      <c r="F1050" s="7" t="str">
        <f>HYPERLINK("http://www.terredifederico.eu/","www.terredifederico.eu")</f>
        <v>www.terredifederico.eu</v>
      </c>
    </row>
    <row r="1051" spans="1:6" ht="29.55" customHeight="1" x14ac:dyDescent="0.25">
      <c r="A1051" s="6" t="s">
        <v>4012</v>
      </c>
      <c r="B1051" s="5" t="s">
        <v>4013</v>
      </c>
      <c r="C1051" s="5" t="s">
        <v>4014</v>
      </c>
      <c r="D1051" s="5" t="s">
        <v>4015</v>
      </c>
      <c r="E1051" s="5" t="s">
        <v>4016</v>
      </c>
      <c r="F1051" s="5" t="str">
        <f>HYPERLINK("http://www.oliveroclaudio.com/","www.oliveroclaudio.com")</f>
        <v>www.oliveroclaudio.com</v>
      </c>
    </row>
    <row r="1052" spans="1:6" ht="29.55" customHeight="1" x14ac:dyDescent="0.25">
      <c r="A1052" s="1" t="s">
        <v>4017</v>
      </c>
      <c r="B1052" s="7" t="s">
        <v>4018</v>
      </c>
      <c r="C1052" s="7" t="s">
        <v>4004</v>
      </c>
      <c r="D1052" s="7" t="s">
        <v>4019</v>
      </c>
      <c r="E1052" s="7" t="s">
        <v>4020</v>
      </c>
      <c r="F1052" s="7" t="str">
        <f>HYPERLINK("http://www.mtm-movimentoterra.it/","www.mtm-movimentoterra.it")</f>
        <v>www.mtm-movimentoterra.it</v>
      </c>
    </row>
    <row r="1053" spans="1:6" ht="29.55" customHeight="1" x14ac:dyDescent="0.25">
      <c r="A1053" s="6" t="s">
        <v>4021</v>
      </c>
      <c r="B1053" s="5" t="s">
        <v>4022</v>
      </c>
      <c r="C1053" s="5" t="s">
        <v>4004</v>
      </c>
      <c r="D1053" s="5" t="s">
        <v>4023</v>
      </c>
      <c r="E1053" s="5" t="s">
        <v>4020</v>
      </c>
      <c r="F1053" s="5" t="str">
        <f>HYPERLINK("http://www.collineamiatine.it/","www.collineamiatine.it")</f>
        <v>www.collineamiatine.it</v>
      </c>
    </row>
    <row r="1054" spans="1:6" ht="43.05" customHeight="1" x14ac:dyDescent="0.25">
      <c r="A1054" s="6" t="s">
        <v>4026</v>
      </c>
      <c r="B1054" s="5" t="s">
        <v>4027</v>
      </c>
      <c r="C1054" s="5" t="s">
        <v>3999</v>
      </c>
      <c r="D1054" s="5" t="s">
        <v>4028</v>
      </c>
      <c r="E1054" s="5" t="s">
        <v>4029</v>
      </c>
      <c r="F1054" s="5" t="str">
        <f>HYPERLINK("http://www.vinimontesanto.com/","www.vinimontesanto.com")</f>
        <v>www.vinimontesanto.com</v>
      </c>
    </row>
    <row r="1055" spans="1:6" ht="43.05" customHeight="1" x14ac:dyDescent="0.25">
      <c r="A1055" s="6" t="s">
        <v>4031</v>
      </c>
      <c r="B1055" s="5" t="s">
        <v>4032</v>
      </c>
      <c r="C1055" s="5" t="s">
        <v>4014</v>
      </c>
      <c r="D1055" s="5" t="s">
        <v>4005</v>
      </c>
      <c r="E1055" s="5" t="s">
        <v>4006</v>
      </c>
      <c r="F1055" s="5" t="str">
        <f>HYPERLINK("http://cantinacesena.it/","cantinacesena.it")</f>
        <v>cantinacesena.it</v>
      </c>
    </row>
    <row r="1056" spans="1:6" ht="43.05" customHeight="1" x14ac:dyDescent="0.25">
      <c r="A1056" s="6" t="s">
        <v>4033</v>
      </c>
      <c r="B1056" s="5" t="s">
        <v>4034</v>
      </c>
      <c r="C1056" s="5" t="s">
        <v>3999</v>
      </c>
      <c r="D1056" s="5" t="s">
        <v>4035</v>
      </c>
      <c r="E1056" s="5" t="s">
        <v>4020</v>
      </c>
      <c r="F1056" s="5" t="str">
        <f>HYPERLINK("http://www.castelloromitorio.com/","www.castelloromitorio.com")</f>
        <v>www.castelloromitorio.com</v>
      </c>
    </row>
    <row r="1057" spans="1:6" ht="106.65" customHeight="1" x14ac:dyDescent="0.25">
      <c r="A1057" s="1" t="s">
        <v>4037</v>
      </c>
      <c r="B1057" s="7" t="s">
        <v>4038</v>
      </c>
      <c r="C1057" s="7" t="s">
        <v>3999</v>
      </c>
      <c r="D1057" s="7" t="s">
        <v>4019</v>
      </c>
      <c r="E1057" s="7" t="s">
        <v>4020</v>
      </c>
      <c r="F1057" s="7" t="str">
        <f>HYPERLINK("http://www.castellodiquerceto.it/","www.castellodiquerceto.it")</f>
        <v>www.castellodiquerceto.it</v>
      </c>
    </row>
    <row r="1058" spans="1:6" ht="55.65" customHeight="1" x14ac:dyDescent="0.25">
      <c r="A1058" s="6" t="s">
        <v>4039</v>
      </c>
      <c r="B1058" s="5" t="s">
        <v>4040</v>
      </c>
      <c r="C1058" s="5" t="s">
        <v>4014</v>
      </c>
      <c r="D1058" s="5" t="s">
        <v>4024</v>
      </c>
      <c r="E1058" s="5" t="s">
        <v>4025</v>
      </c>
      <c r="F1058" s="5" t="str">
        <f>HYPERLINK("http://www.assoli.kr.it/","www.assoli.kr.it")</f>
        <v>www.assoli.kr.it</v>
      </c>
    </row>
    <row r="1059" spans="1:6" ht="43.05" customHeight="1" x14ac:dyDescent="0.25">
      <c r="A1059" s="1" t="s">
        <v>4041</v>
      </c>
      <c r="B1059" s="7" t="s">
        <v>4042</v>
      </c>
      <c r="C1059" s="7" t="s">
        <v>3999</v>
      </c>
      <c r="D1059" s="7" t="s">
        <v>4019</v>
      </c>
      <c r="E1059" s="7" t="s">
        <v>4020</v>
      </c>
      <c r="F1059" s="7" t="str">
        <f>HYPERLINK("http://www.fattoriasanmichele.it/","www.fattoriasanmichele.it")</f>
        <v>www.fattoriasanmichele.it</v>
      </c>
    </row>
    <row r="1060" spans="1:6" ht="29.55" customHeight="1" x14ac:dyDescent="0.25">
      <c r="A1060" s="6" t="s">
        <v>4043</v>
      </c>
      <c r="B1060" s="5" t="s">
        <v>4044</v>
      </c>
      <c r="C1060" s="5" t="s">
        <v>3999</v>
      </c>
      <c r="D1060" s="5" t="s">
        <v>4019</v>
      </c>
      <c r="E1060" s="5" t="s">
        <v>4020</v>
      </c>
      <c r="F1060" s="5" t="str">
        <f>HYPERLINK("http://www.latancia.com/","www.latancia.com")</f>
        <v>www.latancia.com</v>
      </c>
    </row>
    <row r="1061" spans="1:6" ht="55.65" customHeight="1" x14ac:dyDescent="0.25">
      <c r="A1061" s="1" t="s">
        <v>4045</v>
      </c>
      <c r="B1061" s="7" t="s">
        <v>4046</v>
      </c>
      <c r="C1061" s="7" t="s">
        <v>3999</v>
      </c>
      <c r="D1061" s="7" t="s">
        <v>4035</v>
      </c>
      <c r="E1061" s="7" t="s">
        <v>4020</v>
      </c>
      <c r="F1061" s="7" t="str">
        <f>HYPERLINK("http://www.santagnesefarm.com/","www.santagnesefarm.com/")</f>
        <v>www.santagnesefarm.com/</v>
      </c>
    </row>
    <row r="1062" spans="1:6" ht="43.05" customHeight="1" x14ac:dyDescent="0.25">
      <c r="A1062" s="6" t="s">
        <v>4047</v>
      </c>
      <c r="B1062" s="5" t="s">
        <v>4048</v>
      </c>
      <c r="C1062" s="5" t="s">
        <v>4036</v>
      </c>
      <c r="D1062" s="5" t="s">
        <v>4049</v>
      </c>
      <c r="E1062" s="5" t="s">
        <v>4030</v>
      </c>
      <c r="F1062" s="5" t="str">
        <f>HYPERLINK("http://www.caseificiodisanto.it/","www.caseificiodisanto.it")</f>
        <v>www.caseificiodisanto.it</v>
      </c>
    </row>
    <row r="1063" spans="1:6" ht="43.05" customHeight="1" x14ac:dyDescent="0.25">
      <c r="A1063" s="1" t="s">
        <v>4050</v>
      </c>
      <c r="B1063" s="7" t="s">
        <v>4051</v>
      </c>
      <c r="C1063" s="7" t="s">
        <v>4052</v>
      </c>
      <c r="D1063" s="7" t="s">
        <v>4053</v>
      </c>
      <c r="E1063" s="7" t="s">
        <v>4054</v>
      </c>
      <c r="F1063" s="7" t="str">
        <f>HYPERLINK("http://www.mirabellafranciacorta.it/","www.mirabellafranciacorta.it")</f>
        <v>www.mirabellafranciacorta.it</v>
      </c>
    </row>
    <row r="1064" spans="1:6" ht="29.55" customHeight="1" x14ac:dyDescent="0.25">
      <c r="A1064" s="6" t="s">
        <v>4055</v>
      </c>
      <c r="B1064" s="5" t="s">
        <v>4056</v>
      </c>
      <c r="C1064" s="5" t="s">
        <v>4057</v>
      </c>
      <c r="D1064" s="5" t="s">
        <v>4058</v>
      </c>
      <c r="E1064" s="5" t="s">
        <v>4059</v>
      </c>
      <c r="F1064" s="5" t="str">
        <f>HYPERLINK("http://www.tenutamarianis.it/","www.tenutamarianis.it")</f>
        <v>www.tenutamarianis.it</v>
      </c>
    </row>
    <row r="1065" spans="1:6" ht="43.05" customHeight="1" x14ac:dyDescent="0.25">
      <c r="A1065" s="1" t="s">
        <v>4063</v>
      </c>
      <c r="B1065" s="7" t="s">
        <v>4064</v>
      </c>
      <c r="C1065" s="7" t="s">
        <v>4065</v>
      </c>
      <c r="D1065" s="7" t="s">
        <v>4066</v>
      </c>
      <c r="E1065" s="7" t="s">
        <v>4067</v>
      </c>
      <c r="F1065" s="7" t="str">
        <f>HYPERLINK("http://www.degaspericantina.it/","http://www.degaspericantina.it")</f>
        <v>http://www.degaspericantina.it</v>
      </c>
    </row>
    <row r="1066" spans="1:6" ht="68.099999999999994" customHeight="1" x14ac:dyDescent="0.25">
      <c r="A1066" s="6" t="s">
        <v>4068</v>
      </c>
      <c r="B1066" s="5" t="s">
        <v>4069</v>
      </c>
      <c r="C1066" s="5" t="s">
        <v>4052</v>
      </c>
      <c r="D1066" s="5" t="s">
        <v>4070</v>
      </c>
      <c r="E1066" s="5" t="s">
        <v>4071</v>
      </c>
      <c r="F1066" s="5" t="str">
        <f>HYPERLINK("http://www.agricolabrandini.it/","www.agricolabrandini.it")</f>
        <v>www.agricolabrandini.it</v>
      </c>
    </row>
    <row r="1067" spans="1:6" ht="29.55" customHeight="1" x14ac:dyDescent="0.25">
      <c r="A1067" s="6" t="s">
        <v>4072</v>
      </c>
      <c r="B1067" s="5" t="s">
        <v>4073</v>
      </c>
      <c r="C1067" s="5" t="s">
        <v>4074</v>
      </c>
      <c r="D1067" s="5" t="s">
        <v>4075</v>
      </c>
      <c r="E1067" s="5" t="s">
        <v>4076</v>
      </c>
      <c r="F1067" s="5" t="str">
        <f>HYPERLINK("http://www.barbazzagarden.it/","www.barbazzagarden.it")</f>
        <v>www.barbazzagarden.it</v>
      </c>
    </row>
    <row r="1068" spans="1:6" ht="29.55" customHeight="1" x14ac:dyDescent="0.25">
      <c r="A1068" s="1" t="s">
        <v>4077</v>
      </c>
      <c r="B1068" s="7" t="s">
        <v>4078</v>
      </c>
      <c r="C1068" s="7" t="s">
        <v>4079</v>
      </c>
      <c r="D1068" s="7" t="s">
        <v>4080</v>
      </c>
      <c r="E1068" s="7" t="s">
        <v>4081</v>
      </c>
      <c r="F1068" s="7" t="str">
        <f>HYPERLINK("http://pastapanarese.it/","pastapanarese.it")</f>
        <v>pastapanarese.it</v>
      </c>
    </row>
    <row r="1069" spans="1:6" ht="16.95" customHeight="1" x14ac:dyDescent="0.25">
      <c r="A1069" s="6" t="s">
        <v>4082</v>
      </c>
      <c r="B1069" s="5" t="s">
        <v>4083</v>
      </c>
      <c r="C1069" s="5" t="s">
        <v>4065</v>
      </c>
      <c r="D1069" s="5" t="s">
        <v>4053</v>
      </c>
      <c r="E1069" s="5" t="s">
        <v>4054</v>
      </c>
      <c r="F1069" s="5" t="str">
        <f>HYPERLINK("http://www.chiariagricoltura.it/","www.chiariagricoltura.it")</f>
        <v>www.chiariagricoltura.it</v>
      </c>
    </row>
    <row r="1070" spans="1:6" ht="29.55" customHeight="1" x14ac:dyDescent="0.25">
      <c r="A1070" s="1" t="s">
        <v>4084</v>
      </c>
      <c r="B1070" s="7" t="s">
        <v>4085</v>
      </c>
      <c r="C1070" s="7" t="s">
        <v>4086</v>
      </c>
      <c r="D1070" s="7" t="s">
        <v>4061</v>
      </c>
      <c r="E1070" s="7" t="s">
        <v>4062</v>
      </c>
      <c r="F1070" s="7" t="str">
        <f>HYPERLINK("http://www.lefogliecooperativa.it/","www.lefogliecooperativa.it")</f>
        <v>www.lefogliecooperativa.it</v>
      </c>
    </row>
    <row r="1071" spans="1:6" ht="29.55" customHeight="1" x14ac:dyDescent="0.25">
      <c r="A1071" s="6" t="s">
        <v>4087</v>
      </c>
      <c r="B1071" s="5" t="s">
        <v>4088</v>
      </c>
      <c r="C1071" s="5" t="s">
        <v>4086</v>
      </c>
      <c r="D1071" s="5" t="s">
        <v>4089</v>
      </c>
      <c r="E1071" s="5" t="s">
        <v>4090</v>
      </c>
      <c r="F1071" s="5" t="str">
        <f>HYPERLINK("http://www.solagri.it/","www.solagri.it")</f>
        <v>www.solagri.it</v>
      </c>
    </row>
    <row r="1072" spans="1:6" ht="55.65" customHeight="1" x14ac:dyDescent="0.25">
      <c r="A1072" s="6" t="s">
        <v>4092</v>
      </c>
      <c r="B1072" s="5" t="s">
        <v>4093</v>
      </c>
      <c r="C1072" s="5" t="s">
        <v>4094</v>
      </c>
      <c r="D1072" s="5" t="s">
        <v>4095</v>
      </c>
      <c r="E1072" s="5" t="s">
        <v>4081</v>
      </c>
      <c r="F1072" s="5" t="str">
        <f>HYPERLINK("http://www.bstoresrl.com/","www.bstoresrl.com")</f>
        <v>www.bstoresrl.com</v>
      </c>
    </row>
    <row r="1073" spans="1:6" ht="16.95" customHeight="1" x14ac:dyDescent="0.25">
      <c r="A1073" s="6" t="s">
        <v>4096</v>
      </c>
      <c r="B1073" s="5" t="s">
        <v>4097</v>
      </c>
      <c r="C1073" s="5" t="s">
        <v>4065</v>
      </c>
      <c r="D1073" s="5" t="s">
        <v>4098</v>
      </c>
      <c r="E1073" s="5" t="s">
        <v>4062</v>
      </c>
      <c r="F1073" s="5" t="str">
        <f>HYPERLINK("http://www.annovigasparini.it/","www.annovigasparini.it")</f>
        <v>www.annovigasparini.it</v>
      </c>
    </row>
    <row r="1074" spans="1:6" ht="29.55" customHeight="1" x14ac:dyDescent="0.25">
      <c r="A1074" s="6" t="s">
        <v>4101</v>
      </c>
      <c r="B1074" s="5" t="s">
        <v>4102</v>
      </c>
      <c r="C1074" s="5" t="s">
        <v>4065</v>
      </c>
      <c r="D1074" s="5" t="s">
        <v>4100</v>
      </c>
      <c r="E1074" s="5" t="s">
        <v>4090</v>
      </c>
      <c r="F1074" s="5" t="str">
        <f>HYPERLINK("http://www.san-ferdinando.com/","www.san-ferdinando.com")</f>
        <v>www.san-ferdinando.com</v>
      </c>
    </row>
    <row r="1075" spans="1:6" ht="68.099999999999994" customHeight="1" x14ac:dyDescent="0.25">
      <c r="A1075" s="1" t="s">
        <v>4103</v>
      </c>
      <c r="B1075" s="7" t="s">
        <v>4104</v>
      </c>
      <c r="C1075" s="7" t="s">
        <v>4091</v>
      </c>
      <c r="D1075" s="7" t="s">
        <v>4105</v>
      </c>
      <c r="E1075" s="7" t="s">
        <v>4062</v>
      </c>
      <c r="F1075" s="7" t="str">
        <f>HYPERLINK("http://caseificiobeatomarco.it/","caseificiobeatomarco.it")</f>
        <v>caseificiobeatomarco.it</v>
      </c>
    </row>
    <row r="1076" spans="1:6" ht="29.55" customHeight="1" x14ac:dyDescent="0.25">
      <c r="A1076" s="6" t="s">
        <v>4106</v>
      </c>
      <c r="B1076" s="5" t="s">
        <v>4107</v>
      </c>
      <c r="C1076" s="5" t="s">
        <v>4099</v>
      </c>
      <c r="D1076" s="5" t="s">
        <v>4108</v>
      </c>
      <c r="E1076" s="5" t="s">
        <v>4067</v>
      </c>
      <c r="F1076" s="5" t="str">
        <f>HYPERLINK("http://masseriacimino.it/","masseriacimino.it")</f>
        <v>masseriacimino.it</v>
      </c>
    </row>
    <row r="1077" spans="1:6" ht="29.55" customHeight="1" x14ac:dyDescent="0.25">
      <c r="A1077" s="1" t="s">
        <v>4109</v>
      </c>
      <c r="B1077" s="7" t="s">
        <v>4110</v>
      </c>
      <c r="C1077" s="7" t="s">
        <v>4060</v>
      </c>
      <c r="D1077" s="7" t="s">
        <v>4111</v>
      </c>
      <c r="E1077" s="7" t="s">
        <v>4112</v>
      </c>
      <c r="F1077" s="7" t="str">
        <f>HYPERLINK("http://www.coky.it/","www.coky.it")</f>
        <v>www.coky.it</v>
      </c>
    </row>
    <row r="1078" spans="1:6" ht="16.95" customHeight="1" x14ac:dyDescent="0.25">
      <c r="A1078" s="6" t="s">
        <v>4113</v>
      </c>
      <c r="B1078" s="5" t="s">
        <v>4114</v>
      </c>
      <c r="C1078" s="5" t="s">
        <v>4065</v>
      </c>
      <c r="D1078" s="5" t="s">
        <v>4115</v>
      </c>
      <c r="E1078" s="5" t="s">
        <v>4076</v>
      </c>
      <c r="F1078" s="5" t="str">
        <f>HYPERLINK("http://www.cantinacona.it/","http://www.cantinacona.it")</f>
        <v>http://www.cantinacona.it</v>
      </c>
    </row>
    <row r="1079" spans="1:6" ht="29.55" customHeight="1" x14ac:dyDescent="0.25">
      <c r="A1079" s="1" t="s">
        <v>4116</v>
      </c>
      <c r="B1079" s="7" t="s">
        <v>4117</v>
      </c>
      <c r="C1079" s="7" t="s">
        <v>4086</v>
      </c>
      <c r="D1079" s="7" t="s">
        <v>4118</v>
      </c>
      <c r="E1079" s="7" t="s">
        <v>4062</v>
      </c>
      <c r="F1079" s="7" t="str">
        <f>HYPERLINK("http://www.boarini.net/","www.boarini.net")</f>
        <v>www.boarini.net</v>
      </c>
    </row>
    <row r="1080" spans="1:6" ht="68.099999999999994" customHeight="1" x14ac:dyDescent="0.25">
      <c r="A1080" s="6" t="s">
        <v>4120</v>
      </c>
      <c r="B1080" s="5" t="s">
        <v>4121</v>
      </c>
      <c r="C1080" s="5" t="s">
        <v>4122</v>
      </c>
      <c r="D1080" s="5" t="s">
        <v>4123</v>
      </c>
      <c r="E1080" s="5" t="s">
        <v>4119</v>
      </c>
      <c r="F1080" s="5" t="str">
        <f>HYPERLINK("http://www.valcarne.it/","www.valcarne.it")</f>
        <v>www.valcarne.it</v>
      </c>
    </row>
    <row r="1081" spans="1:6" ht="55.65" customHeight="1" x14ac:dyDescent="0.25">
      <c r="A1081" s="1" t="s">
        <v>4124</v>
      </c>
      <c r="B1081" s="7" t="s">
        <v>4125</v>
      </c>
      <c r="C1081" s="7" t="s">
        <v>4126</v>
      </c>
      <c r="D1081" s="7" t="s">
        <v>4127</v>
      </c>
      <c r="E1081" s="7" t="s">
        <v>4128</v>
      </c>
      <c r="F1081" s="7" t="str">
        <f>HYPERLINK("http://www.cantinasocialequistello.it/","www.cantinasocialequistello.it")</f>
        <v>www.cantinasocialequistello.it</v>
      </c>
    </row>
    <row r="1082" spans="1:6" ht="29.55" customHeight="1" x14ac:dyDescent="0.25">
      <c r="A1082" s="6" t="s">
        <v>4129</v>
      </c>
      <c r="B1082" s="5" t="s">
        <v>4130</v>
      </c>
      <c r="C1082" s="5" t="s">
        <v>4126</v>
      </c>
      <c r="D1082" s="5" t="s">
        <v>4131</v>
      </c>
      <c r="E1082" s="5" t="s">
        <v>4132</v>
      </c>
      <c r="F1082" s="5" t="str">
        <f>HYPERLINK("http://larosadeisensi.it/","larosadeisensi.it")</f>
        <v>larosadeisensi.it</v>
      </c>
    </row>
    <row r="1083" spans="1:6" ht="29.55" customHeight="1" x14ac:dyDescent="0.25">
      <c r="A1083" s="6" t="s">
        <v>4133</v>
      </c>
      <c r="B1083" s="5" t="s">
        <v>4134</v>
      </c>
      <c r="C1083" s="5" t="s">
        <v>4135</v>
      </c>
      <c r="D1083" s="5" t="s">
        <v>4136</v>
      </c>
      <c r="E1083" s="5" t="s">
        <v>4137</v>
      </c>
      <c r="F1083" s="5" t="str">
        <f>HYPERLINK("http://www.fruttacorrente.com/","www.fruttacorrente.com")</f>
        <v>www.fruttacorrente.com</v>
      </c>
    </row>
    <row r="1084" spans="1:6" ht="55.65" customHeight="1" x14ac:dyDescent="0.25">
      <c r="A1084" s="1" t="s">
        <v>4141</v>
      </c>
      <c r="B1084" s="7" t="s">
        <v>4142</v>
      </c>
      <c r="C1084" s="7" t="s">
        <v>4126</v>
      </c>
      <c r="D1084" s="7" t="s">
        <v>4143</v>
      </c>
      <c r="E1084" s="7" t="s">
        <v>4144</v>
      </c>
      <c r="F1084" s="7" t="str">
        <f>HYPERLINK("http://www.revawinery.com/","www.revawinery.com")</f>
        <v>www.revawinery.com</v>
      </c>
    </row>
    <row r="1085" spans="1:6" ht="43.05" customHeight="1" x14ac:dyDescent="0.25">
      <c r="A1085" s="6" t="s">
        <v>4145</v>
      </c>
      <c r="B1085" s="5" t="s">
        <v>4146</v>
      </c>
      <c r="C1085" s="5" t="s">
        <v>4140</v>
      </c>
      <c r="D1085" s="5" t="s">
        <v>4147</v>
      </c>
      <c r="E1085" s="5" t="s">
        <v>4144</v>
      </c>
      <c r="F1085" s="5" t="str">
        <f>HYPERLINK("http://www.aspropat.com/","www.aspropat.com")</f>
        <v>www.aspropat.com</v>
      </c>
    </row>
    <row r="1086" spans="1:6" ht="29.55" customHeight="1" x14ac:dyDescent="0.25">
      <c r="A1086" s="1" t="s">
        <v>4153</v>
      </c>
      <c r="B1086" s="7" t="s">
        <v>4154</v>
      </c>
      <c r="C1086" s="7" t="s">
        <v>4140</v>
      </c>
      <c r="D1086" s="7" t="s">
        <v>4148</v>
      </c>
      <c r="E1086" s="7" t="s">
        <v>4149</v>
      </c>
      <c r="F1086" s="7" t="str">
        <f>HYPERLINK("http://www.coopagrumi.com/","www.coopagrumi.com")</f>
        <v>www.coopagrumi.com</v>
      </c>
    </row>
    <row r="1087" spans="1:6" ht="43.05" customHeight="1" x14ac:dyDescent="0.25">
      <c r="A1087" s="6" t="s">
        <v>4155</v>
      </c>
      <c r="B1087" s="5" t="s">
        <v>4156</v>
      </c>
      <c r="C1087" s="5" t="s">
        <v>4150</v>
      </c>
      <c r="D1087" s="5" t="s">
        <v>4157</v>
      </c>
      <c r="E1087" s="5" t="s">
        <v>4158</v>
      </c>
      <c r="F1087" s="5" t="str">
        <f>HYPERLINK("http://www.virginiatrade.it/","www.virginiatrade.it")</f>
        <v>www.virginiatrade.it</v>
      </c>
    </row>
    <row r="1088" spans="1:6" ht="29.55" customHeight="1" x14ac:dyDescent="0.25">
      <c r="A1088" s="1" t="s">
        <v>4159</v>
      </c>
      <c r="B1088" s="7" t="s">
        <v>4160</v>
      </c>
      <c r="C1088" s="7" t="s">
        <v>4161</v>
      </c>
      <c r="D1088" s="7" t="s">
        <v>4138</v>
      </c>
      <c r="E1088" s="7" t="s">
        <v>4139</v>
      </c>
      <c r="F1088" s="7" t="str">
        <f>HYPERLINK("http://www.ripagnola.it/","www.ripagnola.it")</f>
        <v>www.ripagnola.it</v>
      </c>
    </row>
    <row r="1089" spans="1:6" ht="29.55" customHeight="1" x14ac:dyDescent="0.25">
      <c r="A1089" s="1" t="s">
        <v>4162</v>
      </c>
      <c r="B1089" s="7" t="s">
        <v>4163</v>
      </c>
      <c r="C1089" s="7" t="s">
        <v>4164</v>
      </c>
      <c r="D1089" s="7" t="s">
        <v>4165</v>
      </c>
      <c r="E1089" s="7" t="s">
        <v>4166</v>
      </c>
      <c r="F1089" s="7" t="str">
        <f>HYPERLINK("http://www.floricolturamiani.it/","www.floricolturamiani.it")</f>
        <v>www.floricolturamiani.it</v>
      </c>
    </row>
    <row r="1090" spans="1:6" ht="106.65" customHeight="1" x14ac:dyDescent="0.25">
      <c r="A1090" s="6" t="s">
        <v>4167</v>
      </c>
      <c r="B1090" s="5" t="s">
        <v>4168</v>
      </c>
      <c r="C1090" s="5" t="s">
        <v>4126</v>
      </c>
      <c r="D1090" s="5" t="s">
        <v>4169</v>
      </c>
      <c r="E1090" s="5" t="s">
        <v>4139</v>
      </c>
      <c r="F1090" s="5" t="str">
        <f>HYPERLINK("http://sanmarzano.wine/","sanmarzano.wine")</f>
        <v>sanmarzano.wine</v>
      </c>
    </row>
    <row r="1091" spans="1:6" ht="29.55" customHeight="1" x14ac:dyDescent="0.25">
      <c r="A1091" s="1" t="s">
        <v>4170</v>
      </c>
      <c r="B1091" s="7" t="s">
        <v>4171</v>
      </c>
      <c r="C1091" s="7" t="s">
        <v>4172</v>
      </c>
      <c r="D1091" s="7" t="s">
        <v>4173</v>
      </c>
      <c r="E1091" s="7" t="s">
        <v>4174</v>
      </c>
      <c r="F1091" s="7" t="str">
        <f>HYPERLINK("http://www.agricolatrapani.com/","www.agricolatrapani.com")</f>
        <v>www.agricolatrapani.com</v>
      </c>
    </row>
    <row r="1092" spans="1:6" ht="29.55" customHeight="1" x14ac:dyDescent="0.25">
      <c r="A1092" s="6" t="s">
        <v>4175</v>
      </c>
      <c r="B1092" s="5" t="s">
        <v>4176</v>
      </c>
      <c r="C1092" s="5" t="s">
        <v>4177</v>
      </c>
      <c r="D1092" s="5" t="s">
        <v>4178</v>
      </c>
      <c r="E1092" s="5" t="s">
        <v>4137</v>
      </c>
      <c r="F1092" s="5" t="str">
        <f>HYPERLINK("http://www.vivaicovimer.com/","www.vivaicovimer.com")</f>
        <v>www.vivaicovimer.com</v>
      </c>
    </row>
    <row r="1093" spans="1:6" ht="68.099999999999994" customHeight="1" x14ac:dyDescent="0.25">
      <c r="A1093" s="1" t="s">
        <v>4179</v>
      </c>
      <c r="B1093" s="7" t="s">
        <v>4180</v>
      </c>
      <c r="C1093" s="7" t="s">
        <v>4181</v>
      </c>
      <c r="D1093" s="7" t="s">
        <v>4182</v>
      </c>
      <c r="E1093" s="7" t="s">
        <v>4166</v>
      </c>
      <c r="F1093" s="7" t="str">
        <f>HYPERLINK("http://www.ilbettolino.it/","www.ilbettolino.it")</f>
        <v>www.ilbettolino.it</v>
      </c>
    </row>
    <row r="1094" spans="1:6" ht="29.55" customHeight="1" x14ac:dyDescent="0.25">
      <c r="A1094" s="1" t="s">
        <v>4183</v>
      </c>
      <c r="B1094" s="7" t="s">
        <v>4184</v>
      </c>
      <c r="C1094" s="7" t="s">
        <v>4140</v>
      </c>
      <c r="D1094" s="7" t="s">
        <v>4185</v>
      </c>
      <c r="E1094" s="7" t="s">
        <v>4137</v>
      </c>
      <c r="F1094" s="7" t="str">
        <f>HYPERLINK("http://www.lamaggiora.com/","www.lamaggiora.com")</f>
        <v>www.lamaggiora.com</v>
      </c>
    </row>
    <row r="1095" spans="1:6" ht="16.95" customHeight="1" x14ac:dyDescent="0.25">
      <c r="A1095" s="1" t="s">
        <v>4186</v>
      </c>
      <c r="B1095" s="7" t="s">
        <v>4187</v>
      </c>
      <c r="C1095" s="7" t="s">
        <v>4188</v>
      </c>
      <c r="D1095" s="7" t="s">
        <v>4189</v>
      </c>
      <c r="E1095" s="7" t="s">
        <v>4119</v>
      </c>
      <c r="F1095" s="7" t="str">
        <f>HYPERLINK("http://www.allevamentitoniatti.it/","www.allevamentitoniatti.it")</f>
        <v>www.allevamentitoniatti.it</v>
      </c>
    </row>
    <row r="1096" spans="1:6" ht="29.55" customHeight="1" x14ac:dyDescent="0.25">
      <c r="A1096" s="6" t="s">
        <v>4190</v>
      </c>
      <c r="B1096" s="5" t="s">
        <v>4191</v>
      </c>
      <c r="C1096" s="5" t="s">
        <v>4192</v>
      </c>
      <c r="D1096" s="5" t="s">
        <v>4136</v>
      </c>
      <c r="E1096" s="5" t="s">
        <v>4137</v>
      </c>
      <c r="F1096" s="5" t="str">
        <f>HYPERLINK("http://fattoriasantalucia.com/","fattoriasantalucia.com")</f>
        <v>fattoriasantalucia.com</v>
      </c>
    </row>
    <row r="1097" spans="1:6" ht="29.55" customHeight="1" x14ac:dyDescent="0.25">
      <c r="A1097" s="6" t="s">
        <v>4193</v>
      </c>
      <c r="B1097" s="5" t="s">
        <v>4194</v>
      </c>
      <c r="C1097" s="5" t="s">
        <v>4195</v>
      </c>
      <c r="D1097" s="5" t="s">
        <v>4151</v>
      </c>
      <c r="E1097" s="5" t="s">
        <v>4152</v>
      </c>
      <c r="F1097" s="5" t="str">
        <f>HYPERLINK("http://www.artigiancarni.it/","http://www.artigiancarni.it")</f>
        <v>http://www.artigiancarni.it</v>
      </c>
    </row>
    <row r="1098" spans="1:6" ht="29.55" customHeight="1" x14ac:dyDescent="0.25">
      <c r="A1098" s="1" t="s">
        <v>4196</v>
      </c>
      <c r="B1098" s="7" t="s">
        <v>4197</v>
      </c>
      <c r="C1098" s="7" t="s">
        <v>4140</v>
      </c>
      <c r="D1098" s="7" t="s">
        <v>4148</v>
      </c>
      <c r="E1098" s="7" t="s">
        <v>4149</v>
      </c>
      <c r="F1098" s="7" t="str">
        <f>HYPERLINK("http://casellomascaro.it/","casellomascaro.it")</f>
        <v>casellomascaro.it</v>
      </c>
    </row>
    <row r="1099" spans="1:6" ht="29.55" customHeight="1" x14ac:dyDescent="0.25">
      <c r="A1099" s="1" t="s">
        <v>4198</v>
      </c>
      <c r="B1099" s="7" t="s">
        <v>4199</v>
      </c>
      <c r="C1099" s="7" t="s">
        <v>4200</v>
      </c>
      <c r="D1099" s="7" t="s">
        <v>4201</v>
      </c>
      <c r="E1099" s="7" t="s">
        <v>4202</v>
      </c>
      <c r="F1099" s="7" t="str">
        <f>HYPERLINK("http://www.valdegabiccini.com/","www.valdegabiccini.com")</f>
        <v>www.valdegabiccini.com</v>
      </c>
    </row>
    <row r="1100" spans="1:6" ht="29.55" customHeight="1" x14ac:dyDescent="0.25">
      <c r="A1100" s="6" t="s">
        <v>4203</v>
      </c>
      <c r="B1100" s="5" t="s">
        <v>4204</v>
      </c>
      <c r="C1100" s="5" t="s">
        <v>4205</v>
      </c>
      <c r="D1100" s="5" t="s">
        <v>4206</v>
      </c>
      <c r="E1100" s="5" t="s">
        <v>4207</v>
      </c>
      <c r="F1100" s="5" t="str">
        <f>HYPERLINK("http://www.lamborghiniwine.it/","www.lamborghiniwine.it")</f>
        <v>www.lamborghiniwine.it</v>
      </c>
    </row>
    <row r="1101" spans="1:6" ht="29.55" customHeight="1" x14ac:dyDescent="0.25">
      <c r="A1101" s="6" t="s">
        <v>4211</v>
      </c>
      <c r="B1101" s="5" t="s">
        <v>4212</v>
      </c>
      <c r="C1101" s="5" t="s">
        <v>4205</v>
      </c>
      <c r="D1101" s="5" t="s">
        <v>4213</v>
      </c>
      <c r="E1101" s="5" t="s">
        <v>4214</v>
      </c>
      <c r="F1101" s="5" t="str">
        <f>HYPERLINK("http://www.mormoraia.it/","www.mormoraia.it")</f>
        <v>www.mormoraia.it</v>
      </c>
    </row>
    <row r="1102" spans="1:6" ht="29.55" customHeight="1" x14ac:dyDescent="0.25">
      <c r="A1102" s="1" t="s">
        <v>4215</v>
      </c>
      <c r="B1102" s="7" t="s">
        <v>4216</v>
      </c>
      <c r="C1102" s="7" t="s">
        <v>4205</v>
      </c>
      <c r="D1102" s="7" t="s">
        <v>4217</v>
      </c>
      <c r="E1102" s="7" t="s">
        <v>4214</v>
      </c>
      <c r="F1102" s="7" t="str">
        <f>HYPERLINK("http://principecorsini.com/","principecorsini.com")</f>
        <v>principecorsini.com</v>
      </c>
    </row>
    <row r="1103" spans="1:6" ht="29.55" customHeight="1" x14ac:dyDescent="0.25">
      <c r="A1103" s="1" t="s">
        <v>4219</v>
      </c>
      <c r="B1103" s="7" t="s">
        <v>4220</v>
      </c>
      <c r="C1103" s="7" t="s">
        <v>4221</v>
      </c>
      <c r="D1103" s="7" t="s">
        <v>4217</v>
      </c>
      <c r="E1103" s="7" t="s">
        <v>4214</v>
      </c>
      <c r="F1103" s="7" t="str">
        <f>HYPERLINK("http://legnaia.it/","legnaia.it")</f>
        <v>legnaia.it</v>
      </c>
    </row>
    <row r="1104" spans="1:6" ht="16.95" customHeight="1" x14ac:dyDescent="0.25">
      <c r="A1104" s="1" t="s">
        <v>4222</v>
      </c>
      <c r="B1104" s="7" t="s">
        <v>4223</v>
      </c>
      <c r="C1104" s="7" t="s">
        <v>4218</v>
      </c>
      <c r="D1104" s="7" t="s">
        <v>4224</v>
      </c>
      <c r="E1104" s="7" t="s">
        <v>4225</v>
      </c>
      <c r="F1104" s="7" t="str">
        <f>HYPERLINK("http://www.napolitano.bio/","www.napolitano.bio")</f>
        <v>www.napolitano.bio</v>
      </c>
    </row>
    <row r="1105" spans="1:6" ht="29.55" customHeight="1" x14ac:dyDescent="0.25">
      <c r="A1105" s="6" t="s">
        <v>4226</v>
      </c>
      <c r="B1105" s="5" t="s">
        <v>4227</v>
      </c>
      <c r="C1105" s="5" t="s">
        <v>4205</v>
      </c>
      <c r="D1105" s="5" t="s">
        <v>4228</v>
      </c>
      <c r="E1105" s="5" t="s">
        <v>4209</v>
      </c>
      <c r="F1105" s="5" t="str">
        <f>HYPERLINK("http://www.tenutefalezza.com/","www.tenutefalezza.com")</f>
        <v>www.tenutefalezza.com</v>
      </c>
    </row>
    <row r="1106" spans="1:6" ht="81.75" customHeight="1" x14ac:dyDescent="0.25">
      <c r="A1106" s="6" t="s">
        <v>4230</v>
      </c>
      <c r="B1106" s="5" t="s">
        <v>4231</v>
      </c>
      <c r="C1106" s="5" t="s">
        <v>4210</v>
      </c>
      <c r="D1106" s="5" t="s">
        <v>4232</v>
      </c>
      <c r="E1106" s="5" t="s">
        <v>4202</v>
      </c>
      <c r="F1106" s="5" t="str">
        <f>HYPERLINK("http://shop-cipof.it/","shop-cipof.it")</f>
        <v>shop-cipof.it</v>
      </c>
    </row>
    <row r="1107" spans="1:6" ht="29.55" customHeight="1" x14ac:dyDescent="0.25">
      <c r="A1107" s="1" t="s">
        <v>4235</v>
      </c>
      <c r="B1107" s="7" t="s">
        <v>4236</v>
      </c>
      <c r="C1107" s="7" t="s">
        <v>4205</v>
      </c>
      <c r="D1107" s="7" t="s">
        <v>4217</v>
      </c>
      <c r="E1107" s="7" t="s">
        <v>4214</v>
      </c>
      <c r="F1107" s="7" t="str">
        <f>HYPERLINK("http://www.vicchiomaggio.it/","www.vicchiomaggio.it")</f>
        <v>www.vicchiomaggio.it</v>
      </c>
    </row>
    <row r="1108" spans="1:6" ht="16.95" customHeight="1" x14ac:dyDescent="0.25">
      <c r="A1108" s="1" t="s">
        <v>4239</v>
      </c>
      <c r="B1108" s="7" t="s">
        <v>4240</v>
      </c>
      <c r="C1108" s="7" t="s">
        <v>4241</v>
      </c>
      <c r="D1108" s="7" t="s">
        <v>4234</v>
      </c>
      <c r="E1108" s="7" t="s">
        <v>4233</v>
      </c>
      <c r="F1108" s="7" t="str">
        <f>HYPERLINK("http://www.sicilycommerce.it/","www.sicilycommerce.it")</f>
        <v>www.sicilycommerce.it</v>
      </c>
    </row>
    <row r="1109" spans="1:6" ht="43.05" customHeight="1" x14ac:dyDescent="0.25">
      <c r="A1109" s="6" t="s">
        <v>4242</v>
      </c>
      <c r="B1109" s="5" t="s">
        <v>4243</v>
      </c>
      <c r="C1109" s="5" t="s">
        <v>4229</v>
      </c>
      <c r="D1109" s="5" t="s">
        <v>4208</v>
      </c>
      <c r="E1109" s="5" t="s">
        <v>4209</v>
      </c>
      <c r="F1109" s="5" t="str">
        <f>HYPERLINK("http://www.latteriavilla.it/","www.latteriavilla.it")</f>
        <v>www.latteriavilla.it</v>
      </c>
    </row>
    <row r="1110" spans="1:6" ht="29.55" customHeight="1" x14ac:dyDescent="0.25">
      <c r="A1110" s="6" t="s">
        <v>4244</v>
      </c>
      <c r="B1110" s="5" t="s">
        <v>4245</v>
      </c>
      <c r="C1110" s="5" t="s">
        <v>4246</v>
      </c>
      <c r="D1110" s="5" t="s">
        <v>4247</v>
      </c>
      <c r="E1110" s="5" t="s">
        <v>4207</v>
      </c>
      <c r="F1110" s="5" t="str">
        <f>HYPERLINK("http://www.giardango.it/","www.giardango.it")</f>
        <v>www.giardango.it</v>
      </c>
    </row>
    <row r="1111" spans="1:6" ht="106.65" customHeight="1" x14ac:dyDescent="0.25">
      <c r="A1111" s="1" t="s">
        <v>4248</v>
      </c>
      <c r="B1111" s="7" t="s">
        <v>4249</v>
      </c>
      <c r="C1111" s="7" t="s">
        <v>4205</v>
      </c>
      <c r="D1111" s="7" t="s">
        <v>4250</v>
      </c>
      <c r="E1111" s="7" t="s">
        <v>4238</v>
      </c>
      <c r="F1111" s="7" t="str">
        <f>HYPERLINK("http://www.casorzodoc.it/","www.casorzodoc.it")</f>
        <v>www.casorzodoc.it</v>
      </c>
    </row>
    <row r="1112" spans="1:6" ht="43.05" customHeight="1" x14ac:dyDescent="0.25">
      <c r="A1112" s="6" t="s">
        <v>4251</v>
      </c>
      <c r="B1112" s="5" t="s">
        <v>4252</v>
      </c>
      <c r="C1112" s="5" t="s">
        <v>4253</v>
      </c>
      <c r="D1112" s="5" t="s">
        <v>4237</v>
      </c>
      <c r="E1112" s="5" t="s">
        <v>4238</v>
      </c>
      <c r="F1112" s="5" t="str">
        <f>HYPERLINK("http://www.terraviva.coop/","www.terraviva.coop")</f>
        <v>www.terraviva.coop</v>
      </c>
    </row>
    <row r="1113" spans="1:6" ht="29.55" customHeight="1" x14ac:dyDescent="0.25">
      <c r="A1113" s="1" t="s">
        <v>4254</v>
      </c>
      <c r="B1113" s="7" t="s">
        <v>4255</v>
      </c>
      <c r="C1113" s="7" t="s">
        <v>4256</v>
      </c>
      <c r="D1113" s="7" t="s">
        <v>4257</v>
      </c>
      <c r="E1113" s="7" t="s">
        <v>4257</v>
      </c>
      <c r="F1113" s="7" t="str">
        <f>HYPERLINK("http://www.montfallere.it/","www.montfallere.it")</f>
        <v>www.montfallere.it</v>
      </c>
    </row>
    <row r="1114" spans="1:6" ht="29.55" customHeight="1" x14ac:dyDescent="0.25">
      <c r="A1114" s="6" t="s">
        <v>4260</v>
      </c>
      <c r="B1114" s="5" t="s">
        <v>4261</v>
      </c>
      <c r="C1114" s="5" t="s">
        <v>4262</v>
      </c>
      <c r="D1114" s="5" t="s">
        <v>4263</v>
      </c>
      <c r="E1114" s="5" t="s">
        <v>4259</v>
      </c>
      <c r="F1114" s="5" t="str">
        <f>HYPERLINK("http://www.elody.it/","www.elody.it")</f>
        <v>www.elody.it</v>
      </c>
    </row>
    <row r="1115" spans="1:6" ht="29.55" customHeight="1" x14ac:dyDescent="0.25">
      <c r="A1115" s="1" t="s">
        <v>4264</v>
      </c>
      <c r="B1115" s="7" t="s">
        <v>4265</v>
      </c>
      <c r="C1115" s="7" t="s">
        <v>4266</v>
      </c>
      <c r="D1115" s="7" t="s">
        <v>4267</v>
      </c>
      <c r="E1115" s="7" t="s">
        <v>4268</v>
      </c>
      <c r="F1115" s="7" t="str">
        <f>HYPERLINK("http://apuliasemi.it/","apuliasemi.it")</f>
        <v>apuliasemi.it</v>
      </c>
    </row>
    <row r="1116" spans="1:6" ht="29.55" customHeight="1" x14ac:dyDescent="0.25">
      <c r="A1116" s="1" t="s">
        <v>4269</v>
      </c>
      <c r="B1116" s="7" t="s">
        <v>4270</v>
      </c>
      <c r="C1116" s="7" t="s">
        <v>4271</v>
      </c>
      <c r="D1116" s="7" t="s">
        <v>4272</v>
      </c>
      <c r="E1116" s="7" t="s">
        <v>4268</v>
      </c>
      <c r="F1116" s="7" t="str">
        <f>HYPERLINK("http://venditori.agricolafelline.it/","venditori.agricolafelline.it")</f>
        <v>venditori.agricolafelline.it</v>
      </c>
    </row>
    <row r="1117" spans="1:6" ht="29.55" customHeight="1" x14ac:dyDescent="0.25">
      <c r="A1117" s="1" t="s">
        <v>4273</v>
      </c>
      <c r="B1117" s="7" t="s">
        <v>4274</v>
      </c>
      <c r="C1117" s="7" t="s">
        <v>4275</v>
      </c>
      <c r="D1117" s="7" t="s">
        <v>4276</v>
      </c>
      <c r="E1117" s="7" t="s">
        <v>4277</v>
      </c>
      <c r="F1117" s="7" t="str">
        <f>HYPERLINK("http://www.castellanina.it/","www.castellanina.it")</f>
        <v>www.castellanina.it</v>
      </c>
    </row>
    <row r="1118" spans="1:6" ht="29.55" customHeight="1" x14ac:dyDescent="0.25">
      <c r="A1118" s="6" t="s">
        <v>4278</v>
      </c>
      <c r="B1118" s="5" t="s">
        <v>4279</v>
      </c>
      <c r="C1118" s="5" t="s">
        <v>4271</v>
      </c>
      <c r="D1118" s="5" t="s">
        <v>4280</v>
      </c>
      <c r="E1118" s="5" t="s">
        <v>4281</v>
      </c>
      <c r="F1118" s="5" t="str">
        <f>HYPERLINK("http://www.vinisincarpa.it/","www.vinisincarpa.it")</f>
        <v>www.vinisincarpa.it</v>
      </c>
    </row>
    <row r="1119" spans="1:6" ht="81.75" customHeight="1" x14ac:dyDescent="0.25">
      <c r="A1119" s="1" t="s">
        <v>4282</v>
      </c>
      <c r="B1119" s="7" t="s">
        <v>4283</v>
      </c>
      <c r="C1119" s="7" t="s">
        <v>4262</v>
      </c>
      <c r="D1119" s="7" t="s">
        <v>4284</v>
      </c>
      <c r="E1119" s="7" t="s">
        <v>4285</v>
      </c>
      <c r="F1119" s="7" t="str">
        <f>HYPERLINK("http://www.planetfarms.ag/","www.planetfarms.ag")</f>
        <v>www.planetfarms.ag</v>
      </c>
    </row>
    <row r="1120" spans="1:6" ht="16.95" customHeight="1" x14ac:dyDescent="0.25">
      <c r="A1120" s="1" t="s">
        <v>4288</v>
      </c>
      <c r="B1120" s="7" t="s">
        <v>4289</v>
      </c>
      <c r="C1120" s="7" t="s">
        <v>4258</v>
      </c>
      <c r="D1120" s="7" t="s">
        <v>4290</v>
      </c>
      <c r="E1120" s="7" t="s">
        <v>4291</v>
      </c>
      <c r="F1120" s="7" t="str">
        <f>HYPERLINK("http://www.lavistagriturismo.it/","www.lavistagriturismo.it")</f>
        <v>www.lavistagriturismo.it</v>
      </c>
    </row>
    <row r="1121" spans="1:6" ht="43.05" customHeight="1" x14ac:dyDescent="0.25">
      <c r="A1121" s="6" t="s">
        <v>4293</v>
      </c>
      <c r="B1121" s="5" t="s">
        <v>4294</v>
      </c>
      <c r="C1121" s="5" t="s">
        <v>4292</v>
      </c>
      <c r="D1121" s="5" t="s">
        <v>4276</v>
      </c>
      <c r="E1121" s="5" t="s">
        <v>4277</v>
      </c>
      <c r="F1121" s="5" t="str">
        <f>HYPERLINK("http://www.coopcavalli.it/","www.coopcavalli.it")</f>
        <v>www.coopcavalli.it</v>
      </c>
    </row>
    <row r="1122" spans="1:6" ht="29.55" customHeight="1" x14ac:dyDescent="0.25">
      <c r="A1122" s="6" t="s">
        <v>4295</v>
      </c>
      <c r="B1122" s="5" t="s">
        <v>4296</v>
      </c>
      <c r="C1122" s="5" t="s">
        <v>4292</v>
      </c>
      <c r="D1122" s="5" t="s">
        <v>4297</v>
      </c>
      <c r="E1122" s="5" t="s">
        <v>4277</v>
      </c>
      <c r="F1122" s="5" t="str">
        <f>HYPERLINK("http://www.perarte.it/","www.perarte.it")</f>
        <v>www.perarte.it</v>
      </c>
    </row>
    <row r="1123" spans="1:6" ht="16.95" customHeight="1" x14ac:dyDescent="0.25">
      <c r="A1123" s="6" t="s">
        <v>4300</v>
      </c>
      <c r="B1123" s="5" t="s">
        <v>4301</v>
      </c>
      <c r="C1123" s="5" t="s">
        <v>4302</v>
      </c>
      <c r="D1123" s="5" t="s">
        <v>4303</v>
      </c>
      <c r="E1123" s="5" t="s">
        <v>4298</v>
      </c>
      <c r="F1123" s="5" t="str">
        <f>HYPERLINK("http://www.futuriso.wixsite.com/consorziofuturiso","www.futuriso.wixsite.com/consorziofuturiso")</f>
        <v>www.futuriso.wixsite.com/consorziofuturiso</v>
      </c>
    </row>
    <row r="1124" spans="1:6" ht="29.55" customHeight="1" x14ac:dyDescent="0.25">
      <c r="A1124" s="6" t="s">
        <v>4304</v>
      </c>
      <c r="B1124" s="5" t="s">
        <v>4305</v>
      </c>
      <c r="C1124" s="5" t="s">
        <v>4275</v>
      </c>
      <c r="D1124" s="5" t="s">
        <v>4286</v>
      </c>
      <c r="E1124" s="5" t="s">
        <v>4287</v>
      </c>
      <c r="F1124" s="5" t="str">
        <f>HYPERLINK("http://www.borgodellerose.it/","www.borgodellerose.it")</f>
        <v>www.borgodellerose.it</v>
      </c>
    </row>
    <row r="1125" spans="1:6" ht="68.099999999999994" customHeight="1" x14ac:dyDescent="0.25">
      <c r="A1125" s="1" t="s">
        <v>4306</v>
      </c>
      <c r="B1125" s="7" t="s">
        <v>4307</v>
      </c>
      <c r="C1125" s="7" t="s">
        <v>4271</v>
      </c>
      <c r="D1125" s="7" t="s">
        <v>4308</v>
      </c>
      <c r="E1125" s="7" t="s">
        <v>4299</v>
      </c>
      <c r="F1125" s="7" t="str">
        <f>HYPERLINK("http://ciellowines.com/","ciellowines.com")</f>
        <v>ciellowines.com</v>
      </c>
    </row>
    <row r="1126" spans="1:6" ht="16.95" customHeight="1" x14ac:dyDescent="0.25">
      <c r="A1126" s="6" t="s">
        <v>4309</v>
      </c>
      <c r="B1126" s="5" t="s">
        <v>4310</v>
      </c>
      <c r="C1126" s="5" t="s">
        <v>4271</v>
      </c>
      <c r="D1126" s="5" t="s">
        <v>4272</v>
      </c>
      <c r="E1126" s="5" t="s">
        <v>4268</v>
      </c>
      <c r="F1126" s="5" t="str">
        <f>HYPERLINK("http://www.spontella.it/","www.spontella.it")</f>
        <v>www.spontella.it</v>
      </c>
    </row>
    <row r="1127" spans="1:6" ht="43.05" customHeight="1" x14ac:dyDescent="0.25">
      <c r="A1127" s="6" t="s">
        <v>4314</v>
      </c>
      <c r="B1127" s="5" t="s">
        <v>4315</v>
      </c>
      <c r="C1127" s="5" t="s">
        <v>4316</v>
      </c>
      <c r="D1127" s="5" t="s">
        <v>4317</v>
      </c>
      <c r="E1127" s="5" t="s">
        <v>4318</v>
      </c>
      <c r="F1127" s="5" t="str">
        <f>HYPERLINK("http://agribioarcobaleno.it/","agribioarcobaleno.it")</f>
        <v>agribioarcobaleno.it</v>
      </c>
    </row>
    <row r="1128" spans="1:6" ht="106.65" customHeight="1" x14ac:dyDescent="0.25">
      <c r="A1128" s="6" t="s">
        <v>4322</v>
      </c>
      <c r="B1128" s="5" t="s">
        <v>4323</v>
      </c>
      <c r="C1128" s="5" t="s">
        <v>4324</v>
      </c>
      <c r="D1128" s="5" t="s">
        <v>4317</v>
      </c>
      <c r="E1128" s="5" t="s">
        <v>4318</v>
      </c>
      <c r="F1128" s="5" t="str">
        <f>HYPERLINK("http://www.cristodicampobello.it/","www.cristodicampobello.it")</f>
        <v>www.cristodicampobello.it</v>
      </c>
    </row>
    <row r="1129" spans="1:6" ht="29.55" customHeight="1" x14ac:dyDescent="0.25">
      <c r="A1129" s="1" t="s">
        <v>4325</v>
      </c>
      <c r="B1129" s="7" t="s">
        <v>4326</v>
      </c>
      <c r="C1129" s="7" t="s">
        <v>4327</v>
      </c>
      <c r="D1129" s="7" t="s">
        <v>4311</v>
      </c>
      <c r="E1129" s="7" t="s">
        <v>4312</v>
      </c>
      <c r="F1129" s="7" t="str">
        <f>HYPERLINK("http://www.agriafiorita.it/","www.agriafiorita.it")</f>
        <v>www.agriafiorita.it</v>
      </c>
    </row>
    <row r="1130" spans="1:6" ht="29.55" customHeight="1" x14ac:dyDescent="0.25">
      <c r="A1130" s="1" t="s">
        <v>4328</v>
      </c>
      <c r="B1130" s="7" t="s">
        <v>4329</v>
      </c>
      <c r="C1130" s="7" t="s">
        <v>4324</v>
      </c>
      <c r="D1130" s="7" t="s">
        <v>4330</v>
      </c>
      <c r="E1130" s="7" t="s">
        <v>4331</v>
      </c>
      <c r="F1130" s="7" t="str">
        <f>HYPERLINK("http://www.cantinafucino.it/","www.cantinafucino.it")</f>
        <v>www.cantinafucino.it</v>
      </c>
    </row>
    <row r="1131" spans="1:6" ht="68.099999999999994" customHeight="1" x14ac:dyDescent="0.25">
      <c r="A1131" s="6" t="s">
        <v>4333</v>
      </c>
      <c r="B1131" s="5" t="s">
        <v>4334</v>
      </c>
      <c r="C1131" s="5" t="s">
        <v>4335</v>
      </c>
      <c r="D1131" s="5" t="s">
        <v>4336</v>
      </c>
      <c r="E1131" s="5" t="s">
        <v>4318</v>
      </c>
      <c r="F1131" s="5" t="str">
        <f>HYPERLINK("http://incampagna.eu/","incampagna.eu")</f>
        <v>incampagna.eu</v>
      </c>
    </row>
    <row r="1132" spans="1:6" ht="29.55" customHeight="1" x14ac:dyDescent="0.25">
      <c r="A1132" s="1" t="s">
        <v>4337</v>
      </c>
      <c r="B1132" s="7" t="s">
        <v>4338</v>
      </c>
      <c r="C1132" s="7" t="s">
        <v>4324</v>
      </c>
      <c r="D1132" s="7" t="s">
        <v>4339</v>
      </c>
      <c r="E1132" s="7" t="s">
        <v>4312</v>
      </c>
      <c r="F1132" s="7" t="str">
        <f>HYPERLINK("http://www.quintodecimo.it/","www.quintodecimo.it")</f>
        <v>www.quintodecimo.it</v>
      </c>
    </row>
    <row r="1133" spans="1:6" ht="68.099999999999994" customHeight="1" x14ac:dyDescent="0.25">
      <c r="A1133" s="1" t="s">
        <v>4340</v>
      </c>
      <c r="B1133" s="7" t="s">
        <v>4341</v>
      </c>
      <c r="C1133" s="7" t="s">
        <v>4342</v>
      </c>
      <c r="D1133" s="7" t="s">
        <v>4339</v>
      </c>
      <c r="E1133" s="7" t="s">
        <v>4312</v>
      </c>
      <c r="F1133" s="7" t="str">
        <f>HYPERLINK("http://www.coopmolara.it/","www.coopmolara.it")</f>
        <v>www.coopmolara.it</v>
      </c>
    </row>
    <row r="1134" spans="1:6" ht="29.55" customHeight="1" x14ac:dyDescent="0.25">
      <c r="A1134" s="6" t="s">
        <v>4343</v>
      </c>
      <c r="B1134" s="5" t="s">
        <v>4344</v>
      </c>
      <c r="C1134" s="5" t="s">
        <v>4320</v>
      </c>
      <c r="D1134" s="5" t="s">
        <v>4345</v>
      </c>
      <c r="E1134" s="5" t="s">
        <v>4318</v>
      </c>
      <c r="F1134" s="5" t="str">
        <f>HYPERLINK("http://ecofruit.it/","ecofruit.it")</f>
        <v>ecofruit.it</v>
      </c>
    </row>
    <row r="1135" spans="1:6" ht="29.55" customHeight="1" x14ac:dyDescent="0.25">
      <c r="A1135" s="6" t="s">
        <v>4346</v>
      </c>
      <c r="B1135" s="5" t="s">
        <v>4347</v>
      </c>
      <c r="C1135" s="5" t="s">
        <v>4319</v>
      </c>
      <c r="D1135" s="5" t="s">
        <v>4348</v>
      </c>
      <c r="E1135" s="5" t="s">
        <v>4313</v>
      </c>
      <c r="F1135" s="5" t="str">
        <f>HYPERLINK("http://www.legumilavalletta.it/","www.legumilavalletta.it")</f>
        <v>www.legumilavalletta.it</v>
      </c>
    </row>
    <row r="1136" spans="1:6" ht="29.55" customHeight="1" x14ac:dyDescent="0.25">
      <c r="A1136" s="6" t="s">
        <v>4349</v>
      </c>
      <c r="B1136" s="5" t="s">
        <v>4350</v>
      </c>
      <c r="C1136" s="5" t="s">
        <v>4332</v>
      </c>
      <c r="D1136" s="5" t="s">
        <v>4351</v>
      </c>
      <c r="E1136" s="5" t="s">
        <v>4321</v>
      </c>
      <c r="F1136" s="5" t="str">
        <f>HYPERLINK("http://www.gruppogreenway.it/","www.gruppogreenway.it")</f>
        <v>www.gruppogreenway.it</v>
      </c>
    </row>
    <row r="1137" spans="1:6" ht="29.55" customHeight="1" x14ac:dyDescent="0.25">
      <c r="A1137" s="6" t="s">
        <v>4352</v>
      </c>
      <c r="B1137" s="5" t="s">
        <v>4353</v>
      </c>
      <c r="C1137" s="5" t="s">
        <v>4342</v>
      </c>
      <c r="D1137" s="5" t="s">
        <v>4348</v>
      </c>
      <c r="E1137" s="5" t="s">
        <v>4313</v>
      </c>
      <c r="F1137" s="5" t="str">
        <f>HYPERLINK("http://www.apaservices.it/","www.apaservices.it")</f>
        <v>www.apaservices.it</v>
      </c>
    </row>
    <row r="1138" spans="1:6" ht="29.55" customHeight="1" x14ac:dyDescent="0.25">
      <c r="A1138" s="1" t="s">
        <v>4356</v>
      </c>
      <c r="B1138" s="7" t="s">
        <v>4357</v>
      </c>
      <c r="C1138" s="7" t="s">
        <v>4358</v>
      </c>
      <c r="D1138" s="7" t="s">
        <v>4359</v>
      </c>
      <c r="E1138" s="7" t="s">
        <v>4360</v>
      </c>
      <c r="F1138" s="7" t="str">
        <f>HYPERLINK("http://www.agrilorusso.com/","www.agrilorusso.com")</f>
        <v>www.agrilorusso.com</v>
      </c>
    </row>
    <row r="1139" spans="1:6" ht="29.55" customHeight="1" x14ac:dyDescent="0.25">
      <c r="A1139" s="6" t="s">
        <v>4361</v>
      </c>
      <c r="B1139" s="5" t="s">
        <v>4362</v>
      </c>
      <c r="C1139" s="5" t="s">
        <v>4363</v>
      </c>
      <c r="D1139" s="5" t="s">
        <v>4364</v>
      </c>
      <c r="E1139" s="5" t="s">
        <v>4365</v>
      </c>
      <c r="F1139" s="5" t="str">
        <f>HYPERLINK("http://assoprolicalabria.it/","assoprolicalabria.it")</f>
        <v>assoprolicalabria.it</v>
      </c>
    </row>
    <row r="1140" spans="1:6" ht="29.55" customHeight="1" x14ac:dyDescent="0.25">
      <c r="A1140" s="6" t="s">
        <v>4366</v>
      </c>
      <c r="B1140" s="5" t="s">
        <v>4367</v>
      </c>
      <c r="C1140" s="5" t="s">
        <v>4368</v>
      </c>
      <c r="D1140" s="5" t="s">
        <v>4369</v>
      </c>
      <c r="E1140" s="5" t="s">
        <v>4370</v>
      </c>
      <c r="F1140" s="5" t="str">
        <f>HYPERLINK("http://www.torreacona.com/","www.torreacona.com")</f>
        <v>www.torreacona.com</v>
      </c>
    </row>
    <row r="1141" spans="1:6" ht="29.55" customHeight="1" x14ac:dyDescent="0.25">
      <c r="A1141" s="1" t="s">
        <v>4371</v>
      </c>
      <c r="B1141" s="7" t="s">
        <v>4372</v>
      </c>
      <c r="C1141" s="7" t="s">
        <v>4368</v>
      </c>
      <c r="D1141" s="7" t="s">
        <v>4373</v>
      </c>
      <c r="E1141" s="7" t="s">
        <v>4374</v>
      </c>
      <c r="F1141" s="7" t="str">
        <f>HYPERLINK("http://www.kaggera.it/","www.kaggera.it")</f>
        <v>www.kaggera.it</v>
      </c>
    </row>
    <row r="1142" spans="1:6" ht="43.05" customHeight="1" x14ac:dyDescent="0.25">
      <c r="A1142" s="6" t="s">
        <v>4376</v>
      </c>
      <c r="B1142" s="5" t="s">
        <v>4377</v>
      </c>
      <c r="C1142" s="5" t="s">
        <v>4368</v>
      </c>
      <c r="D1142" s="5" t="s">
        <v>4378</v>
      </c>
      <c r="E1142" s="5" t="s">
        <v>4370</v>
      </c>
      <c r="F1142" s="5" t="str">
        <f>HYPERLINK("http://www.soldera.it/","www.soldera.it")</f>
        <v>www.soldera.it</v>
      </c>
    </row>
    <row r="1143" spans="1:6" ht="29.55" customHeight="1" x14ac:dyDescent="0.25">
      <c r="A1143" s="1" t="s">
        <v>4380</v>
      </c>
      <c r="B1143" s="7" t="s">
        <v>4381</v>
      </c>
      <c r="C1143" s="7" t="s">
        <v>4382</v>
      </c>
      <c r="D1143" s="7" t="s">
        <v>4383</v>
      </c>
      <c r="E1143" s="7" t="s">
        <v>4354</v>
      </c>
      <c r="F1143" s="7" t="str">
        <f>HYPERLINK("http://www.ortoincucina.com/","www.ortoincucina.com")</f>
        <v>www.ortoincucina.com</v>
      </c>
    </row>
    <row r="1144" spans="1:6" ht="16.95" customHeight="1" x14ac:dyDescent="0.25">
      <c r="A1144" s="6" t="s">
        <v>4384</v>
      </c>
      <c r="B1144" s="5" t="s">
        <v>4385</v>
      </c>
      <c r="C1144" s="5" t="s">
        <v>4379</v>
      </c>
      <c r="D1144" s="5" t="s">
        <v>4386</v>
      </c>
      <c r="E1144" s="5" t="s">
        <v>4355</v>
      </c>
      <c r="F1144" s="5" t="str">
        <f>HYPERLINK("http://fellinipatrizio.it/","fellinipatrizio.it")</f>
        <v>fellinipatrizio.it</v>
      </c>
    </row>
    <row r="1145" spans="1:6" ht="29.55" customHeight="1" x14ac:dyDescent="0.25">
      <c r="A1145" s="1" t="s">
        <v>4390</v>
      </c>
      <c r="B1145" s="7" t="s">
        <v>4391</v>
      </c>
      <c r="C1145" s="7" t="s">
        <v>4392</v>
      </c>
      <c r="D1145" s="7" t="s">
        <v>4393</v>
      </c>
      <c r="E1145" s="7" t="s">
        <v>4394</v>
      </c>
      <c r="F1145" s="7" t="str">
        <f>HYPERLINK("http://la-serra-societa-cooperativa-agricola.business.site/","la-serra-societa-cooperativa-agricola.business.site")</f>
        <v>la-serra-societa-cooperativa-agricola.business.site</v>
      </c>
    </row>
    <row r="1146" spans="1:6" ht="29.55" customHeight="1" x14ac:dyDescent="0.25">
      <c r="A1146" s="1" t="s">
        <v>4396</v>
      </c>
      <c r="B1146" s="7" t="s">
        <v>4397</v>
      </c>
      <c r="C1146" s="7" t="s">
        <v>4387</v>
      </c>
      <c r="D1146" s="7" t="s">
        <v>4388</v>
      </c>
      <c r="E1146" s="7" t="s">
        <v>4389</v>
      </c>
      <c r="F1146" s="7" t="str">
        <f>HYPERLINK("http://www.borealsrl.com/","www.borealsrl.com")</f>
        <v>www.borealsrl.com</v>
      </c>
    </row>
    <row r="1147" spans="1:6" ht="29.55" customHeight="1" x14ac:dyDescent="0.25">
      <c r="A1147" s="6" t="s">
        <v>4398</v>
      </c>
      <c r="B1147" s="5" t="s">
        <v>4399</v>
      </c>
      <c r="C1147" s="5" t="s">
        <v>4400</v>
      </c>
      <c r="D1147" s="5" t="s">
        <v>4383</v>
      </c>
      <c r="E1147" s="5" t="s">
        <v>4354</v>
      </c>
      <c r="F1147" s="5" t="str">
        <f>HYPERLINK("http://www.vivaicooperativi.it/","www.vivaicooperativi.it")</f>
        <v>www.vivaicooperativi.it</v>
      </c>
    </row>
    <row r="1148" spans="1:6" ht="43.05" customHeight="1" x14ac:dyDescent="0.25">
      <c r="A1148" s="6" t="s">
        <v>4401</v>
      </c>
      <c r="B1148" s="5" t="s">
        <v>4402</v>
      </c>
      <c r="C1148" s="5" t="s">
        <v>4395</v>
      </c>
      <c r="D1148" s="5" t="s">
        <v>4403</v>
      </c>
      <c r="E1148" s="5" t="s">
        <v>4355</v>
      </c>
      <c r="F1148" s="5" t="str">
        <f>HYPERLINK("http://aclibo.it/","aclibo.it")</f>
        <v>aclibo.it</v>
      </c>
    </row>
    <row r="1149" spans="1:6" ht="43.05" customHeight="1" x14ac:dyDescent="0.25">
      <c r="A1149" s="6" t="s">
        <v>4404</v>
      </c>
      <c r="B1149" s="5" t="s">
        <v>4405</v>
      </c>
      <c r="C1149" s="5" t="s">
        <v>4406</v>
      </c>
      <c r="D1149" s="5" t="s">
        <v>4407</v>
      </c>
      <c r="E1149" s="5" t="s">
        <v>4389</v>
      </c>
      <c r="F1149" s="5" t="str">
        <f>HYPERLINK("http://www.cumadoro.it/","www.cumadoro.it")</f>
        <v>www.cumadoro.it</v>
      </c>
    </row>
    <row r="1150" spans="1:6" ht="29.55" customHeight="1" x14ac:dyDescent="0.25">
      <c r="A1150" s="6" t="s">
        <v>4409</v>
      </c>
      <c r="B1150" s="5" t="s">
        <v>4410</v>
      </c>
      <c r="C1150" s="5" t="s">
        <v>4368</v>
      </c>
      <c r="D1150" s="5" t="s">
        <v>4411</v>
      </c>
      <c r="E1150" s="5" t="s">
        <v>4408</v>
      </c>
      <c r="F1150" s="5" t="str">
        <f>HYPERLINK("http://www.consulservice.com/","www.consulservice.com")</f>
        <v>www.consulservice.com</v>
      </c>
    </row>
    <row r="1151" spans="1:6" ht="16.95" customHeight="1" x14ac:dyDescent="0.25">
      <c r="A1151" s="1" t="s">
        <v>4412</v>
      </c>
      <c r="B1151" s="7" t="s">
        <v>4413</v>
      </c>
      <c r="C1151" s="7" t="s">
        <v>4375</v>
      </c>
      <c r="D1151" s="7" t="s">
        <v>4414</v>
      </c>
      <c r="E1151" s="7" t="s">
        <v>4389</v>
      </c>
      <c r="F1151" s="7" t="str">
        <f>HYPERLINK("http://www.comatab.com/","www.comatab.com")</f>
        <v>www.comatab.com</v>
      </c>
    </row>
    <row r="1152" spans="1:6" ht="29.55" customHeight="1" x14ac:dyDescent="0.25">
      <c r="A1152" s="1" t="s">
        <v>4415</v>
      </c>
      <c r="B1152" s="7" t="s">
        <v>4416</v>
      </c>
      <c r="C1152" s="7" t="s">
        <v>4368</v>
      </c>
      <c r="D1152" s="7" t="s">
        <v>4417</v>
      </c>
      <c r="E1152" s="7" t="s">
        <v>4389</v>
      </c>
      <c r="F1152" s="7" t="str">
        <f>HYPERLINK("http://www.tenutapepe.it/","www.tenutapepe.it")</f>
        <v>www.tenutapepe.it</v>
      </c>
    </row>
    <row r="1153" spans="1:6" ht="29.55" customHeight="1" x14ac:dyDescent="0.25">
      <c r="A1153" s="6" t="s">
        <v>4418</v>
      </c>
      <c r="B1153" s="5" t="s">
        <v>4419</v>
      </c>
      <c r="C1153" s="5" t="s">
        <v>4420</v>
      </c>
      <c r="D1153" s="5" t="s">
        <v>4421</v>
      </c>
      <c r="E1153" s="5" t="s">
        <v>4422</v>
      </c>
      <c r="F1153" s="5" t="str">
        <f>HYPERLINK("http://www.caseificioposca.it/","www.caseificioposca.it")</f>
        <v>www.caseificioposca.it</v>
      </c>
    </row>
    <row r="1154" spans="1:6" ht="29.55" customHeight="1" x14ac:dyDescent="0.25">
      <c r="A1154" s="1" t="s">
        <v>4423</v>
      </c>
      <c r="B1154" s="7" t="s">
        <v>4424</v>
      </c>
      <c r="C1154" s="7" t="s">
        <v>4425</v>
      </c>
      <c r="D1154" s="7" t="s">
        <v>4426</v>
      </c>
      <c r="E1154" s="7" t="s">
        <v>4427</v>
      </c>
      <c r="F1154" s="7" t="str">
        <f>HYPERLINK("http://www.puntolatte.com/","www.puntolatte.com")</f>
        <v>www.puntolatte.com</v>
      </c>
    </row>
    <row r="1155" spans="1:6" ht="29.55" customHeight="1" x14ac:dyDescent="0.25">
      <c r="A1155" s="1" t="s">
        <v>4428</v>
      </c>
      <c r="B1155" s="7" t="s">
        <v>4429</v>
      </c>
      <c r="C1155" s="7" t="s">
        <v>4430</v>
      </c>
      <c r="D1155" s="7" t="s">
        <v>4431</v>
      </c>
      <c r="E1155" s="7" t="s">
        <v>4427</v>
      </c>
      <c r="F1155" s="7" t="str">
        <f>HYPERLINK("http://www.retebio.it/","www.retebio.it")</f>
        <v>www.retebio.it</v>
      </c>
    </row>
    <row r="1156" spans="1:6" ht="16.95" customHeight="1" x14ac:dyDescent="0.25">
      <c r="A1156" s="6" t="s">
        <v>4437</v>
      </c>
      <c r="B1156" s="5" t="s">
        <v>4438</v>
      </c>
      <c r="C1156" s="5" t="s">
        <v>4439</v>
      </c>
      <c r="D1156" s="5" t="s">
        <v>4440</v>
      </c>
      <c r="E1156" s="5" t="s">
        <v>4441</v>
      </c>
      <c r="F1156" s="5" t="str">
        <f>HYPERLINK("http://www.agrisementilebbioli.com/","www.agrisementilebbioli.com")</f>
        <v>www.agrisementilebbioli.com</v>
      </c>
    </row>
    <row r="1157" spans="1:6" ht="29.55" customHeight="1" x14ac:dyDescent="0.25">
      <c r="A1157" s="6" t="s">
        <v>4443</v>
      </c>
      <c r="B1157" s="5" t="s">
        <v>4444</v>
      </c>
      <c r="C1157" s="5" t="s">
        <v>4432</v>
      </c>
      <c r="D1157" s="5" t="s">
        <v>4445</v>
      </c>
      <c r="E1157" s="5" t="s">
        <v>4446</v>
      </c>
      <c r="F1157" s="5" t="str">
        <f>HYPERLINK("http://www.lunadoro.it/","www.lunadoro.it")</f>
        <v>www.lunadoro.it</v>
      </c>
    </row>
    <row r="1158" spans="1:6" ht="43.05" customHeight="1" x14ac:dyDescent="0.25">
      <c r="A1158" s="1" t="s">
        <v>4451</v>
      </c>
      <c r="B1158" s="7" t="s">
        <v>4452</v>
      </c>
      <c r="C1158" s="7" t="s">
        <v>4448</v>
      </c>
      <c r="D1158" s="7" t="s">
        <v>4453</v>
      </c>
      <c r="E1158" s="7" t="s">
        <v>4427</v>
      </c>
      <c r="F1158" s="7" t="str">
        <f>HYPERLINK("http://tenutemelandri.it/","tenutemelandri.it")</f>
        <v>tenutemelandri.it</v>
      </c>
    </row>
    <row r="1159" spans="1:6" ht="29.55" customHeight="1" x14ac:dyDescent="0.25">
      <c r="A1159" s="6" t="s">
        <v>4454</v>
      </c>
      <c r="B1159" s="5" t="s">
        <v>4455</v>
      </c>
      <c r="C1159" s="5" t="s">
        <v>4456</v>
      </c>
      <c r="D1159" s="5" t="s">
        <v>4449</v>
      </c>
      <c r="E1159" s="5" t="s">
        <v>4450</v>
      </c>
      <c r="F1159" s="5" t="str">
        <f>HYPERLINK("http://www.agricolacazzola.it/","www.agricolacazzola.it")</f>
        <v>www.agricolacazzola.it</v>
      </c>
    </row>
    <row r="1160" spans="1:6" ht="29.55" customHeight="1" x14ac:dyDescent="0.25">
      <c r="A1160" s="6" t="s">
        <v>4458</v>
      </c>
      <c r="B1160" s="5" t="s">
        <v>4459</v>
      </c>
      <c r="C1160" s="5" t="s">
        <v>4460</v>
      </c>
      <c r="D1160" s="5" t="s">
        <v>4447</v>
      </c>
      <c r="E1160" s="5" t="s">
        <v>4433</v>
      </c>
      <c r="F1160" s="5" t="str">
        <f>HYPERLINK("http://shop.quattroportoni.it/","shop.quattroportoni.it")</f>
        <v>shop.quattroportoni.it</v>
      </c>
    </row>
    <row r="1161" spans="1:6" ht="29.55" customHeight="1" x14ac:dyDescent="0.25">
      <c r="A1161" s="1" t="s">
        <v>4461</v>
      </c>
      <c r="B1161" s="7" t="s">
        <v>4462</v>
      </c>
      <c r="C1161" s="7" t="s">
        <v>4434</v>
      </c>
      <c r="D1161" s="7" t="s">
        <v>4435</v>
      </c>
      <c r="E1161" s="7" t="s">
        <v>4436</v>
      </c>
      <c r="F1161" s="7" t="str">
        <f>HYPERLINK("http://www.agriworldwide.it/","www.agriworldwide.it")</f>
        <v>www.agriworldwide.it</v>
      </c>
    </row>
    <row r="1162" spans="1:6" ht="16.95" customHeight="1" x14ac:dyDescent="0.25">
      <c r="A1162" s="6" t="s">
        <v>4463</v>
      </c>
      <c r="B1162" s="5" t="s">
        <v>4464</v>
      </c>
      <c r="C1162" s="5" t="s">
        <v>4465</v>
      </c>
      <c r="D1162" s="5" t="s">
        <v>4466</v>
      </c>
      <c r="E1162" s="5" t="s">
        <v>4427</v>
      </c>
      <c r="F1162" s="5" t="str">
        <f>HYPERLINK("http://www.gruppobernabini.com/","www.gruppobernabini.com")</f>
        <v>www.gruppobernabini.com</v>
      </c>
    </row>
    <row r="1163" spans="1:6" ht="43.05" customHeight="1" x14ac:dyDescent="0.25">
      <c r="A1163" s="1" t="s">
        <v>4467</v>
      </c>
      <c r="B1163" s="7" t="s">
        <v>4468</v>
      </c>
      <c r="C1163" s="7" t="s">
        <v>4432</v>
      </c>
      <c r="D1163" s="7" t="s">
        <v>4469</v>
      </c>
      <c r="E1163" s="7" t="s">
        <v>4442</v>
      </c>
      <c r="F1163" s="7" t="str">
        <f>HYPERLINK("http://www.casavinicolafazio.it/","www.casavinicolafazio.it")</f>
        <v>www.casavinicolafazio.it</v>
      </c>
    </row>
    <row r="1164" spans="1:6" ht="29.55" customHeight="1" x14ac:dyDescent="0.25">
      <c r="A1164" s="6" t="s">
        <v>4470</v>
      </c>
      <c r="B1164" s="5" t="s">
        <v>4471</v>
      </c>
      <c r="C1164" s="5" t="s">
        <v>4432</v>
      </c>
      <c r="D1164" s="5" t="s">
        <v>4472</v>
      </c>
      <c r="E1164" s="5" t="s">
        <v>4473</v>
      </c>
      <c r="F1164" s="5" t="str">
        <f>HYPERLINK("http://fattoriagiuseppesavini.it/","fattoriagiuseppesavini.it")</f>
        <v>fattoriagiuseppesavini.it</v>
      </c>
    </row>
    <row r="1165" spans="1:6" ht="81.75" customHeight="1" x14ac:dyDescent="0.25">
      <c r="A1165" s="1" t="s">
        <v>4474</v>
      </c>
      <c r="B1165" s="7" t="s">
        <v>4475</v>
      </c>
      <c r="C1165" s="7" t="s">
        <v>4457</v>
      </c>
      <c r="D1165" s="7" t="s">
        <v>4476</v>
      </c>
      <c r="E1165" s="7" t="s">
        <v>4446</v>
      </c>
      <c r="F1165" s="7" t="str">
        <f>HYPERLINK("http://www.tenutalapieve.it/","www.tenutalapieve.it")</f>
        <v>www.tenutalapieve.it</v>
      </c>
    </row>
    <row r="1166" spans="1:6" ht="29.55" customHeight="1" x14ac:dyDescent="0.25">
      <c r="A1166" s="1" t="s">
        <v>4478</v>
      </c>
      <c r="B1166" s="7" t="s">
        <v>4479</v>
      </c>
      <c r="C1166" s="7" t="s">
        <v>4432</v>
      </c>
      <c r="D1166" s="7" t="s">
        <v>4480</v>
      </c>
      <c r="E1166" s="7" t="s">
        <v>4477</v>
      </c>
      <c r="F1166" s="7" t="str">
        <f>HYPERLINK("http://vespavignaioli.it/","vespavignaioli.it")</f>
        <v>vespavignaioli.it</v>
      </c>
    </row>
    <row r="1167" spans="1:6" ht="29.55" customHeight="1" x14ac:dyDescent="0.25">
      <c r="A1167" s="1" t="s">
        <v>4481</v>
      </c>
      <c r="B1167" s="7" t="s">
        <v>4482</v>
      </c>
      <c r="C1167" s="7" t="s">
        <v>4483</v>
      </c>
      <c r="D1167" s="7" t="s">
        <v>4484</v>
      </c>
      <c r="E1167" s="7" t="s">
        <v>4485</v>
      </c>
      <c r="F1167" s="7" t="str">
        <f>HYPERLINK("http://sanfrancescosrlsocietaagricola.business.site/","sanfrancescosrlsocietaagricola.business.site/")</f>
        <v>sanfrancescosrlsocietaagricola.business.site/</v>
      </c>
    </row>
    <row r="1168" spans="1:6" ht="55.65" customHeight="1" x14ac:dyDescent="0.25">
      <c r="A1168" s="6" t="s">
        <v>4488</v>
      </c>
      <c r="B1168" s="5" t="s">
        <v>4489</v>
      </c>
      <c r="C1168" s="5" t="s">
        <v>4490</v>
      </c>
      <c r="D1168" s="5" t="s">
        <v>4491</v>
      </c>
      <c r="E1168" s="5" t="s">
        <v>4485</v>
      </c>
      <c r="F1168" s="5" t="str">
        <f>HYPERLINK("http://www.arpepe.com/","www.arpepe.com")</f>
        <v>www.arpepe.com</v>
      </c>
    </row>
    <row r="1169" spans="1:6" ht="94.2" customHeight="1" x14ac:dyDescent="0.25">
      <c r="A1169" s="6" t="s">
        <v>4493</v>
      </c>
      <c r="B1169" s="5" t="s">
        <v>4494</v>
      </c>
      <c r="C1169" s="5" t="s">
        <v>4495</v>
      </c>
      <c r="D1169" s="5" t="s">
        <v>4496</v>
      </c>
      <c r="E1169" s="5" t="s">
        <v>4497</v>
      </c>
      <c r="F1169" s="5" t="str">
        <f>HYPERLINK("http://www.bovinlanga.it/","www.bovinlanga.it")</f>
        <v>www.bovinlanga.it</v>
      </c>
    </row>
    <row r="1170" spans="1:6" ht="29.55" customHeight="1" x14ac:dyDescent="0.25">
      <c r="A1170" s="1" t="s">
        <v>4498</v>
      </c>
      <c r="B1170" s="7" t="s">
        <v>4499</v>
      </c>
      <c r="C1170" s="7" t="s">
        <v>4500</v>
      </c>
      <c r="D1170" s="7" t="s">
        <v>4501</v>
      </c>
      <c r="E1170" s="7" t="s">
        <v>4497</v>
      </c>
      <c r="F1170" s="7" t="str">
        <f>HYPERLINK("http://www.volpedofrutta.com/","www.volpedofrutta.com")</f>
        <v>www.volpedofrutta.com</v>
      </c>
    </row>
    <row r="1171" spans="1:6" ht="29.55" customHeight="1" x14ac:dyDescent="0.25">
      <c r="A1171" s="6" t="s">
        <v>4502</v>
      </c>
      <c r="B1171" s="5" t="s">
        <v>4503</v>
      </c>
      <c r="C1171" s="5" t="s">
        <v>4486</v>
      </c>
      <c r="D1171" s="5" t="s">
        <v>4504</v>
      </c>
      <c r="E1171" s="5" t="s">
        <v>4505</v>
      </c>
      <c r="F1171" s="5" t="str">
        <f>HYPERLINK("http://www.morica.it/allevamento","www.morica.it/allevamento")</f>
        <v>www.morica.it/allevamento</v>
      </c>
    </row>
    <row r="1172" spans="1:6" ht="43.05" customHeight="1" x14ac:dyDescent="0.25">
      <c r="A1172" s="1" t="s">
        <v>4506</v>
      </c>
      <c r="B1172" s="7" t="s">
        <v>4507</v>
      </c>
      <c r="C1172" s="7" t="s">
        <v>4490</v>
      </c>
      <c r="D1172" s="7" t="s">
        <v>4508</v>
      </c>
      <c r="E1172" s="7" t="s">
        <v>4509</v>
      </c>
      <c r="F1172" s="7" t="str">
        <f>HYPERLINK("http://www.casadivinaprovvidenza.it/","www.casadivinaprovvidenza.it")</f>
        <v>www.casadivinaprovvidenza.it</v>
      </c>
    </row>
    <row r="1173" spans="1:6" ht="43.05" customHeight="1" x14ac:dyDescent="0.25">
      <c r="A1173" s="6" t="s">
        <v>4510</v>
      </c>
      <c r="B1173" s="5" t="s">
        <v>4511</v>
      </c>
      <c r="C1173" s="5" t="s">
        <v>4500</v>
      </c>
      <c r="D1173" s="5" t="s">
        <v>4512</v>
      </c>
      <c r="E1173" s="5" t="s">
        <v>4513</v>
      </c>
      <c r="F1173" s="5" t="str">
        <f>HYPERLINK("http://pollicirosa.com/","pollicirosa.com")</f>
        <v>pollicirosa.com</v>
      </c>
    </row>
    <row r="1174" spans="1:6" ht="29.55" customHeight="1" x14ac:dyDescent="0.25">
      <c r="A1174" s="1" t="s">
        <v>4514</v>
      </c>
      <c r="B1174" s="7" t="s">
        <v>4515</v>
      </c>
      <c r="C1174" s="7" t="s">
        <v>4516</v>
      </c>
      <c r="D1174" s="7" t="s">
        <v>4517</v>
      </c>
      <c r="E1174" s="7" t="s">
        <v>4518</v>
      </c>
      <c r="F1174" s="7" t="str">
        <f>HYPERLINK("http://www.agricolamele.it/","www.agricolamele.it")</f>
        <v>www.agricolamele.it</v>
      </c>
    </row>
    <row r="1175" spans="1:6" ht="68.099999999999994" customHeight="1" x14ac:dyDescent="0.25">
      <c r="A1175" s="1" t="s">
        <v>4519</v>
      </c>
      <c r="B1175" s="7" t="s">
        <v>4520</v>
      </c>
      <c r="C1175" s="7" t="s">
        <v>4521</v>
      </c>
      <c r="D1175" s="7" t="s">
        <v>4522</v>
      </c>
      <c r="E1175" s="7" t="s">
        <v>4513</v>
      </c>
      <c r="F1175" s="7" t="str">
        <f>HYPERLINK("http://www.coopam.it/","www.coopam.it")</f>
        <v>www.coopam.it</v>
      </c>
    </row>
    <row r="1176" spans="1:6" ht="29.55" customHeight="1" x14ac:dyDescent="0.25">
      <c r="A1176" s="6" t="s">
        <v>4523</v>
      </c>
      <c r="B1176" s="5" t="s">
        <v>4524</v>
      </c>
      <c r="C1176" s="5" t="s">
        <v>4490</v>
      </c>
      <c r="D1176" s="5" t="s">
        <v>4525</v>
      </c>
      <c r="E1176" s="5" t="s">
        <v>4513</v>
      </c>
      <c r="F1176" s="5" t="str">
        <f>HYPERLINK("http://www.donnaolimpia1898.it/","www.donnaolimpia1898.it")</f>
        <v>www.donnaolimpia1898.it</v>
      </c>
    </row>
    <row r="1177" spans="1:6" ht="55.65" customHeight="1" x14ac:dyDescent="0.25">
      <c r="A1177" s="6" t="s">
        <v>4526</v>
      </c>
      <c r="B1177" s="5" t="s">
        <v>4527</v>
      </c>
      <c r="C1177" s="5" t="s">
        <v>4490</v>
      </c>
      <c r="D1177" s="5" t="s">
        <v>4528</v>
      </c>
      <c r="E1177" s="5" t="s">
        <v>4485</v>
      </c>
      <c r="F1177" s="5" t="str">
        <f>HYPERLINK("http://www.castellobonomi.it/","www.castellobonomi.it")</f>
        <v>www.castellobonomi.it</v>
      </c>
    </row>
    <row r="1178" spans="1:6" ht="29.55" customHeight="1" x14ac:dyDescent="0.25">
      <c r="A1178" s="1" t="s">
        <v>4529</v>
      </c>
      <c r="B1178" s="7" t="s">
        <v>4530</v>
      </c>
      <c r="C1178" s="7" t="s">
        <v>4490</v>
      </c>
      <c r="D1178" s="7" t="s">
        <v>4531</v>
      </c>
      <c r="E1178" s="7" t="s">
        <v>4487</v>
      </c>
      <c r="F1178" s="7" t="str">
        <f>HYPERLINK("http://www.facebook.com/profile.php?id=100049166485736","www.facebook.com/profile.php?id=100049166485736")</f>
        <v>www.facebook.com/profile.php?id=100049166485736</v>
      </c>
    </row>
    <row r="1179" spans="1:6" ht="43.05" customHeight="1" x14ac:dyDescent="0.25">
      <c r="A1179" s="6" t="s">
        <v>4532</v>
      </c>
      <c r="B1179" s="5" t="s">
        <v>4533</v>
      </c>
      <c r="C1179" s="5" t="s">
        <v>4490</v>
      </c>
      <c r="D1179" s="5" t="s">
        <v>4534</v>
      </c>
      <c r="E1179" s="5" t="s">
        <v>4485</v>
      </c>
      <c r="F1179" s="5" t="str">
        <f>HYPERLINK("http://www.ballabiowinery.it/","www.ballabiowinery.it")</f>
        <v>www.ballabiowinery.it</v>
      </c>
    </row>
    <row r="1180" spans="1:6" ht="29.55" customHeight="1" x14ac:dyDescent="0.25">
      <c r="A1180" s="1" t="s">
        <v>4535</v>
      </c>
      <c r="B1180" s="7" t="s">
        <v>4536</v>
      </c>
      <c r="C1180" s="7" t="s">
        <v>4490</v>
      </c>
      <c r="D1180" s="7" t="s">
        <v>4537</v>
      </c>
      <c r="E1180" s="7" t="s">
        <v>4538</v>
      </c>
      <c r="F1180" s="7" t="str">
        <f>HYPERLINK("http://www.tenutebaldo.com/","www.tenutebaldo.com")</f>
        <v>www.tenutebaldo.com</v>
      </c>
    </row>
    <row r="1181" spans="1:6" ht="29.55" customHeight="1" x14ac:dyDescent="0.25">
      <c r="A1181" s="6" t="s">
        <v>4539</v>
      </c>
      <c r="B1181" s="5" t="s">
        <v>4540</v>
      </c>
      <c r="C1181" s="5" t="s">
        <v>4492</v>
      </c>
      <c r="D1181" s="5" t="s">
        <v>4541</v>
      </c>
      <c r="E1181" s="5" t="s">
        <v>4542</v>
      </c>
      <c r="F1181" s="5" t="str">
        <f>HYPERLINK("http://www.coopergreen.it/","www.coopergreen.it")</f>
        <v>www.coopergreen.it</v>
      </c>
    </row>
    <row r="1182" spans="1:6" ht="43.05" customHeight="1" x14ac:dyDescent="0.25">
      <c r="A1182" s="6" t="s">
        <v>4543</v>
      </c>
      <c r="B1182" s="5" t="s">
        <v>4544</v>
      </c>
      <c r="C1182" s="5" t="s">
        <v>4545</v>
      </c>
      <c r="D1182" s="5" t="s">
        <v>4546</v>
      </c>
      <c r="E1182" s="5" t="s">
        <v>4547</v>
      </c>
      <c r="F1182" s="5" t="str">
        <f>HYPERLINK("http://www.verdevaldasocoop.it/","www.verdevaldasocoop.it")</f>
        <v>www.verdevaldasocoop.it</v>
      </c>
    </row>
    <row r="1183" spans="1:6" ht="43.05" customHeight="1" x14ac:dyDescent="0.25">
      <c r="A1183" s="1" t="s">
        <v>4548</v>
      </c>
      <c r="B1183" s="7" t="s">
        <v>4549</v>
      </c>
      <c r="C1183" s="7" t="s">
        <v>4550</v>
      </c>
      <c r="D1183" s="7" t="s">
        <v>4551</v>
      </c>
      <c r="E1183" s="7" t="s">
        <v>4552</v>
      </c>
      <c r="F1183" s="7" t="str">
        <f>HYPERLINK("http://www.latteriasocialecentro.it/","www.latteriasocialecentro.it")</f>
        <v>www.latteriasocialecentro.it</v>
      </c>
    </row>
    <row r="1184" spans="1:6" ht="29.55" customHeight="1" x14ac:dyDescent="0.25">
      <c r="A1184" s="6" t="s">
        <v>4553</v>
      </c>
      <c r="B1184" s="5" t="s">
        <v>4554</v>
      </c>
      <c r="C1184" s="5" t="s">
        <v>4545</v>
      </c>
      <c r="D1184" s="5" t="s">
        <v>4555</v>
      </c>
      <c r="E1184" s="5" t="s">
        <v>4556</v>
      </c>
      <c r="F1184" s="5" t="str">
        <f>HYPERLINK("http://www.produzionitipichesalentine.it/","www.produzionitipichesalentine.it")</f>
        <v>www.produzionitipichesalentine.it</v>
      </c>
    </row>
    <row r="1185" spans="1:6" ht="16.95" customHeight="1" x14ac:dyDescent="0.25">
      <c r="A1185" s="6" t="s">
        <v>4557</v>
      </c>
      <c r="B1185" s="5" t="s">
        <v>4558</v>
      </c>
      <c r="C1185" s="5" t="s">
        <v>4559</v>
      </c>
      <c r="D1185" s="5" t="s">
        <v>4560</v>
      </c>
      <c r="E1185" s="5" t="s">
        <v>4560</v>
      </c>
      <c r="F1185" s="5" t="str">
        <f>HYPERLINK("http://www.cantinesuentu.com/","www.cantinesuentu.com")</f>
        <v>www.cantinesuentu.com</v>
      </c>
    </row>
    <row r="1186" spans="1:6" ht="29.55" customHeight="1" x14ac:dyDescent="0.25">
      <c r="A1186" s="1" t="s">
        <v>4561</v>
      </c>
      <c r="B1186" s="7" t="s">
        <v>4562</v>
      </c>
      <c r="C1186" s="7" t="s">
        <v>4563</v>
      </c>
      <c r="D1186" s="7" t="s">
        <v>4564</v>
      </c>
      <c r="E1186" s="7" t="s">
        <v>4565</v>
      </c>
      <c r="F1186" s="7" t="str">
        <f>HYPERLINK("http://www.ricovar.it/","www.ricovar.it")</f>
        <v>www.ricovar.it</v>
      </c>
    </row>
    <row r="1187" spans="1:6" ht="55.65" customHeight="1" x14ac:dyDescent="0.25">
      <c r="A1187" s="6" t="s">
        <v>4566</v>
      </c>
      <c r="B1187" s="5" t="s">
        <v>4567</v>
      </c>
      <c r="C1187" s="5" t="s">
        <v>4559</v>
      </c>
      <c r="D1187" s="5" t="s">
        <v>4568</v>
      </c>
      <c r="E1187" s="5" t="s">
        <v>4556</v>
      </c>
      <c r="F1187" s="5" t="str">
        <f>HYPERLINK("http://cantineupal.it/","cantineupal.it")</f>
        <v>cantineupal.it</v>
      </c>
    </row>
    <row r="1188" spans="1:6" ht="29.55" customHeight="1" x14ac:dyDescent="0.25">
      <c r="A1188" s="6" t="s">
        <v>4570</v>
      </c>
      <c r="B1188" s="5" t="s">
        <v>4571</v>
      </c>
      <c r="C1188" s="5" t="s">
        <v>4572</v>
      </c>
      <c r="D1188" s="5" t="s">
        <v>4573</v>
      </c>
      <c r="E1188" s="5" t="s">
        <v>4556</v>
      </c>
      <c r="F1188" s="5" t="str">
        <f>HYPERLINK("http://www.opfimagri.com/","www.opfimagri.com")</f>
        <v>www.opfimagri.com</v>
      </c>
    </row>
    <row r="1189" spans="1:6" ht="29.55" customHeight="1" x14ac:dyDescent="0.25">
      <c r="A1189" s="6" t="s">
        <v>4575</v>
      </c>
      <c r="B1189" s="5" t="s">
        <v>4576</v>
      </c>
      <c r="C1189" s="5" t="s">
        <v>4577</v>
      </c>
      <c r="D1189" s="5" t="s">
        <v>4578</v>
      </c>
      <c r="E1189" s="5" t="s">
        <v>4579</v>
      </c>
      <c r="F1189" s="5" t="str">
        <f>HYPERLINK("http://www.fattoriadimaiano.com/","www.fattoriadimaiano.com")</f>
        <v>www.fattoriadimaiano.com</v>
      </c>
    </row>
    <row r="1190" spans="1:6" ht="29.55" customHeight="1" x14ac:dyDescent="0.25">
      <c r="A1190" s="6" t="s">
        <v>4580</v>
      </c>
      <c r="B1190" s="5" t="s">
        <v>4581</v>
      </c>
      <c r="C1190" s="5" t="s">
        <v>4563</v>
      </c>
      <c r="D1190" s="5" t="s">
        <v>4582</v>
      </c>
      <c r="E1190" s="5" t="s">
        <v>4574</v>
      </c>
      <c r="F1190" s="5" t="str">
        <f>HYPERLINK("http://www.energiaverdetrucazzano.it/","www.energiaverdetrucazzano.it")</f>
        <v>www.energiaverdetrucazzano.it</v>
      </c>
    </row>
    <row r="1191" spans="1:6" ht="16.95" customHeight="1" x14ac:dyDescent="0.25">
      <c r="A1191" s="6" t="s">
        <v>4584</v>
      </c>
      <c r="B1191" s="5" t="s">
        <v>4585</v>
      </c>
      <c r="C1191" s="5" t="s">
        <v>4569</v>
      </c>
      <c r="D1191" s="5" t="s">
        <v>4586</v>
      </c>
      <c r="E1191" s="5" t="s">
        <v>4587</v>
      </c>
      <c r="F1191" s="5" t="str">
        <f>HYPERLINK("http://www.marinazgreenshop.com/","www.marinazgreenshop.com")</f>
        <v>www.marinazgreenshop.com</v>
      </c>
    </row>
    <row r="1192" spans="1:6" ht="29.55" customHeight="1" x14ac:dyDescent="0.25">
      <c r="A1192" s="1" t="s">
        <v>4588</v>
      </c>
      <c r="B1192" s="7" t="s">
        <v>4589</v>
      </c>
      <c r="C1192" s="7" t="s">
        <v>4559</v>
      </c>
      <c r="D1192" s="7" t="s">
        <v>4590</v>
      </c>
      <c r="E1192" s="7" t="s">
        <v>4579</v>
      </c>
      <c r="F1192" s="7" t="str">
        <f>HYPERLINK("http://www.ridolfimontalcino.com/","www.ridolfimontalcino.com")</f>
        <v>www.ridolfimontalcino.com</v>
      </c>
    </row>
    <row r="1193" spans="1:6" ht="29.55" customHeight="1" x14ac:dyDescent="0.25">
      <c r="A1193" s="6" t="s">
        <v>4591</v>
      </c>
      <c r="B1193" s="5" t="s">
        <v>4592</v>
      </c>
      <c r="C1193" s="5" t="s">
        <v>4559</v>
      </c>
      <c r="D1193" s="5" t="s">
        <v>4593</v>
      </c>
      <c r="E1193" s="5" t="s">
        <v>4574</v>
      </c>
      <c r="F1193" s="5" t="str">
        <f>HYPERLINK("http://www.majolini.it/","www.majolini.it")</f>
        <v>www.majolini.it</v>
      </c>
    </row>
    <row r="1194" spans="1:6" ht="68.099999999999994" customHeight="1" x14ac:dyDescent="0.25">
      <c r="A1194" s="1" t="s">
        <v>4594</v>
      </c>
      <c r="B1194" s="7" t="s">
        <v>4595</v>
      </c>
      <c r="C1194" s="7" t="s">
        <v>4545</v>
      </c>
      <c r="D1194" s="7" t="s">
        <v>4596</v>
      </c>
      <c r="E1194" s="7" t="s">
        <v>4565</v>
      </c>
      <c r="F1194" s="7" t="str">
        <f>HYPERLINK("http://www.erbe-it.com/","www.erbe-it.com")</f>
        <v>www.erbe-it.com</v>
      </c>
    </row>
    <row r="1195" spans="1:6" ht="68.099999999999994" customHeight="1" x14ac:dyDescent="0.25">
      <c r="A1195" s="6" t="s">
        <v>4597</v>
      </c>
      <c r="B1195" s="5" t="s">
        <v>4598</v>
      </c>
      <c r="C1195" s="5" t="s">
        <v>4583</v>
      </c>
      <c r="D1195" s="5" t="s">
        <v>4599</v>
      </c>
      <c r="E1195" s="5" t="s">
        <v>4600</v>
      </c>
      <c r="F1195" s="5" t="str">
        <f>HYPERLINK("http://www.ccbi.it/","www.ccbi.it")</f>
        <v>www.ccbi.it</v>
      </c>
    </row>
    <row r="1196" spans="1:6" ht="29.55" customHeight="1" x14ac:dyDescent="0.25">
      <c r="A1196" s="1" t="s">
        <v>4603</v>
      </c>
      <c r="B1196" s="7" t="s">
        <v>4604</v>
      </c>
      <c r="C1196" s="7" t="s">
        <v>4605</v>
      </c>
      <c r="D1196" s="7" t="s">
        <v>4606</v>
      </c>
      <c r="E1196" s="7" t="s">
        <v>4607</v>
      </c>
      <c r="F1196" s="7" t="str">
        <f>HYPERLINK("http://www.ilsancristoforo.com/","www.ilsancristoforo.com")</f>
        <v>www.ilsancristoforo.com</v>
      </c>
    </row>
    <row r="1197" spans="1:6" ht="29.55" customHeight="1" x14ac:dyDescent="0.25">
      <c r="A1197" s="6" t="s">
        <v>4608</v>
      </c>
      <c r="B1197" s="5" t="s">
        <v>4609</v>
      </c>
      <c r="C1197" s="5" t="s">
        <v>4610</v>
      </c>
      <c r="D1197" s="5" t="s">
        <v>4611</v>
      </c>
      <c r="E1197" s="5" t="s">
        <v>4612</v>
      </c>
      <c r="F1197" s="5" t="str">
        <f>HYPERLINK("http://www.morisfarms.it/","http://www.morisfarms.it")</f>
        <v>http://www.morisfarms.it</v>
      </c>
    </row>
    <row r="1198" spans="1:6" ht="43.05" customHeight="1" x14ac:dyDescent="0.25">
      <c r="A1198" s="1" t="s">
        <v>4613</v>
      </c>
      <c r="B1198" s="7" t="s">
        <v>4614</v>
      </c>
      <c r="C1198" s="7" t="s">
        <v>4615</v>
      </c>
      <c r="D1198" s="7" t="s">
        <v>4616</v>
      </c>
      <c r="E1198" s="7" t="s">
        <v>4617</v>
      </c>
      <c r="F1198" s="7" t="str">
        <f>HYPERLINK("http://www.valdigresta.org/","www.valdigresta.org")</f>
        <v>www.valdigresta.org</v>
      </c>
    </row>
    <row r="1199" spans="1:6" ht="55.65" customHeight="1" x14ac:dyDescent="0.25">
      <c r="A1199" s="1" t="s">
        <v>4620</v>
      </c>
      <c r="B1199" s="7" t="s">
        <v>4621</v>
      </c>
      <c r="C1199" s="7" t="s">
        <v>4622</v>
      </c>
      <c r="D1199" s="7" t="s">
        <v>4623</v>
      </c>
      <c r="E1199" s="7" t="s">
        <v>4624</v>
      </c>
      <c r="F1199" s="7" t="str">
        <f>HYPERLINK("http://www.cantinagiulianoteatino.it/","www.cantinagiulianoteatino.it")</f>
        <v>www.cantinagiulianoteatino.it</v>
      </c>
    </row>
    <row r="1200" spans="1:6" ht="68.099999999999994" customHeight="1" x14ac:dyDescent="0.25">
      <c r="A1200" s="6" t="s">
        <v>4625</v>
      </c>
      <c r="B1200" s="5" t="s">
        <v>4626</v>
      </c>
      <c r="C1200" s="5" t="s">
        <v>4627</v>
      </c>
      <c r="D1200" s="5" t="s">
        <v>4628</v>
      </c>
      <c r="E1200" s="5" t="s">
        <v>4602</v>
      </c>
      <c r="F1200" s="5" t="str">
        <f>HYPERLINK("http://www.cicabo.it/","www.cicabo.it")</f>
        <v>www.cicabo.it</v>
      </c>
    </row>
    <row r="1201" spans="1:6" ht="29.55" customHeight="1" x14ac:dyDescent="0.25">
      <c r="A1201" s="1" t="s">
        <v>4629</v>
      </c>
      <c r="B1201" s="7" t="s">
        <v>4630</v>
      </c>
      <c r="C1201" s="7" t="s">
        <v>4601</v>
      </c>
      <c r="D1201" s="7" t="s">
        <v>4631</v>
      </c>
      <c r="E1201" s="7" t="s">
        <v>4632</v>
      </c>
      <c r="F1201" s="7" t="str">
        <f>HYPERLINK("http://www.cer-energia.it/sisagro","www.cer-energia.it/sisagro")</f>
        <v>www.cer-energia.it/sisagro</v>
      </c>
    </row>
    <row r="1202" spans="1:6" ht="43.05" customHeight="1" x14ac:dyDescent="0.25">
      <c r="A1202" s="6" t="s">
        <v>4633</v>
      </c>
      <c r="B1202" s="5" t="s">
        <v>4634</v>
      </c>
      <c r="C1202" s="5" t="s">
        <v>4610</v>
      </c>
      <c r="D1202" s="5" t="s">
        <v>4635</v>
      </c>
      <c r="E1202" s="5" t="s">
        <v>4612</v>
      </c>
      <c r="F1202" s="5" t="str">
        <f>HYPERLINK("http://www.frantoiovaldelsano.it/","http://www.frantoiovaldelsano.it")</f>
        <v>http://www.frantoiovaldelsano.it</v>
      </c>
    </row>
    <row r="1203" spans="1:6" ht="29.55" customHeight="1" x14ac:dyDescent="0.25">
      <c r="A1203" s="1" t="s">
        <v>4636</v>
      </c>
      <c r="B1203" s="7" t="s">
        <v>4637</v>
      </c>
      <c r="C1203" s="7" t="s">
        <v>4601</v>
      </c>
      <c r="D1203" s="7" t="s">
        <v>4638</v>
      </c>
      <c r="E1203" s="7" t="s">
        <v>4602</v>
      </c>
      <c r="F1203" s="7" t="str">
        <f>HYPERLINK("http://www.cabianchina.com/","www.cabianchina.com")</f>
        <v>www.cabianchina.com</v>
      </c>
    </row>
    <row r="1204" spans="1:6" ht="29.55" customHeight="1" x14ac:dyDescent="0.25">
      <c r="A1204" s="6" t="s">
        <v>4639</v>
      </c>
      <c r="B1204" s="5" t="s">
        <v>4640</v>
      </c>
      <c r="C1204" s="5" t="s">
        <v>4641</v>
      </c>
      <c r="D1204" s="5" t="s">
        <v>4642</v>
      </c>
      <c r="E1204" s="5" t="s">
        <v>4643</v>
      </c>
      <c r="F1204" s="5" t="str">
        <f>HYPERLINK("http://www.landcherry.com/","www.landcherry.com")</f>
        <v>www.landcherry.com</v>
      </c>
    </row>
    <row r="1205" spans="1:6" ht="29.55" customHeight="1" x14ac:dyDescent="0.25">
      <c r="A1205" s="6" t="s">
        <v>4644</v>
      </c>
      <c r="B1205" s="5" t="s">
        <v>4645</v>
      </c>
      <c r="C1205" s="5" t="s">
        <v>4646</v>
      </c>
      <c r="D1205" s="5" t="s">
        <v>4647</v>
      </c>
      <c r="E1205" s="5" t="s">
        <v>4632</v>
      </c>
      <c r="F1205" s="5" t="str">
        <f>HYPERLINK("http://www.monalfungo.com/","www.monalfungo.com")</f>
        <v>www.monalfungo.com</v>
      </c>
    </row>
    <row r="1206" spans="1:6" ht="43.05" customHeight="1" x14ac:dyDescent="0.25">
      <c r="A1206" s="6" t="s">
        <v>4648</v>
      </c>
      <c r="B1206" s="5" t="s">
        <v>4649</v>
      </c>
      <c r="C1206" s="5" t="s">
        <v>4622</v>
      </c>
      <c r="D1206" s="5" t="s">
        <v>4650</v>
      </c>
      <c r="E1206" s="5" t="s">
        <v>4612</v>
      </c>
      <c r="F1206" s="5" t="str">
        <f>HYPERLINK("http://cafaggio.wine/","cafaggio.wine")</f>
        <v>cafaggio.wine</v>
      </c>
    </row>
    <row r="1207" spans="1:6" ht="106.65" customHeight="1" x14ac:dyDescent="0.25">
      <c r="A1207" s="6" t="s">
        <v>4651</v>
      </c>
      <c r="B1207" s="5" t="s">
        <v>4652</v>
      </c>
      <c r="C1207" s="5" t="s">
        <v>4622</v>
      </c>
      <c r="D1207" s="5" t="s">
        <v>4647</v>
      </c>
      <c r="E1207" s="5" t="s">
        <v>4632</v>
      </c>
      <c r="F1207" s="5" t="str">
        <f>HYPERLINK("http://www.scarpawine.com/","www.scarpawine.com")</f>
        <v>www.scarpawine.com</v>
      </c>
    </row>
    <row r="1208" spans="1:6" ht="68.099999999999994" customHeight="1" x14ac:dyDescent="0.25">
      <c r="A1208" s="1" t="s">
        <v>4653</v>
      </c>
      <c r="B1208" s="7" t="s">
        <v>4654</v>
      </c>
      <c r="C1208" s="7" t="s">
        <v>4655</v>
      </c>
      <c r="D1208" s="7" t="s">
        <v>4618</v>
      </c>
      <c r="E1208" s="7" t="s">
        <v>4619</v>
      </c>
      <c r="F1208" s="7" t="str">
        <f>HYPERLINK("http://www.icmt.it/","www.icmt.it")</f>
        <v>www.icmt.it</v>
      </c>
    </row>
    <row r="1209" spans="1:6" ht="29.55" customHeight="1" x14ac:dyDescent="0.25">
      <c r="A1209" s="6" t="s">
        <v>4659</v>
      </c>
      <c r="B1209" s="5" t="s">
        <v>4660</v>
      </c>
      <c r="C1209" s="5" t="s">
        <v>4661</v>
      </c>
      <c r="D1209" s="5" t="s">
        <v>4662</v>
      </c>
      <c r="E1209" s="5" t="s">
        <v>4663</v>
      </c>
      <c r="F1209" s="5" t="str">
        <f>HYPERLINK("http://www.orianipecchia.it/","www.orianipecchia.it")</f>
        <v>www.orianipecchia.it</v>
      </c>
    </row>
    <row r="1210" spans="1:6" ht="29.55" customHeight="1" x14ac:dyDescent="0.25">
      <c r="A1210" s="1" t="s">
        <v>4665</v>
      </c>
      <c r="B1210" s="7" t="s">
        <v>4666</v>
      </c>
      <c r="C1210" s="7" t="s">
        <v>4667</v>
      </c>
      <c r="D1210" s="7" t="s">
        <v>4668</v>
      </c>
      <c r="E1210" s="7" t="s">
        <v>4669</v>
      </c>
      <c r="F1210" s="7" t="str">
        <f>HYPERLINK("http://www.milagross.it/","www.milagross.it")</f>
        <v>www.milagross.it</v>
      </c>
    </row>
    <row r="1211" spans="1:6" ht="29.55" customHeight="1" x14ac:dyDescent="0.25">
      <c r="A1211" s="1" t="s">
        <v>4671</v>
      </c>
      <c r="B1211" s="7" t="s">
        <v>4672</v>
      </c>
      <c r="C1211" s="7" t="s">
        <v>4673</v>
      </c>
      <c r="D1211" s="7" t="s">
        <v>4674</v>
      </c>
      <c r="E1211" s="7" t="s">
        <v>4675</v>
      </c>
      <c r="F1211" s="7" t="str">
        <f>HYPERLINK("http://vivaioumbria.it/","vivaioumbria.it")</f>
        <v>vivaioumbria.it</v>
      </c>
    </row>
    <row r="1212" spans="1:6" ht="29.55" customHeight="1" x14ac:dyDescent="0.25">
      <c r="A1212" s="6" t="s">
        <v>4677</v>
      </c>
      <c r="B1212" s="5" t="s">
        <v>4678</v>
      </c>
      <c r="C1212" s="5" t="s">
        <v>4656</v>
      </c>
      <c r="D1212" s="5" t="s">
        <v>4657</v>
      </c>
      <c r="E1212" s="5" t="s">
        <v>4658</v>
      </c>
      <c r="F1212" s="5" t="str">
        <f>HYPERLINK("http://www.arera.it/","www.arera.it")</f>
        <v>www.arera.it</v>
      </c>
    </row>
    <row r="1213" spans="1:6" ht="29.55" customHeight="1" x14ac:dyDescent="0.25">
      <c r="A1213" s="6" t="s">
        <v>4680</v>
      </c>
      <c r="B1213" s="5" t="s">
        <v>4681</v>
      </c>
      <c r="C1213" s="5" t="s">
        <v>4682</v>
      </c>
      <c r="D1213" s="5" t="s">
        <v>4683</v>
      </c>
      <c r="E1213" s="5" t="s">
        <v>4670</v>
      </c>
      <c r="F1213" s="5" t="str">
        <f>HYPERLINK("http://www.tenutamontemagno.it/","www.tenutamontemagno.it")</f>
        <v>www.tenutamontemagno.it</v>
      </c>
    </row>
    <row r="1214" spans="1:6" ht="29.55" customHeight="1" x14ac:dyDescent="0.25">
      <c r="A1214" s="1" t="s">
        <v>4685</v>
      </c>
      <c r="B1214" s="7" t="s">
        <v>4686</v>
      </c>
      <c r="C1214" s="7" t="s">
        <v>4687</v>
      </c>
      <c r="D1214" s="7" t="s">
        <v>4688</v>
      </c>
      <c r="E1214" s="7" t="s">
        <v>4679</v>
      </c>
      <c r="F1214" s="7" t="str">
        <f>HYPERLINK("http://www.modine.com/","www.modine.com")</f>
        <v>www.modine.com</v>
      </c>
    </row>
    <row r="1215" spans="1:6" ht="16.95" customHeight="1" x14ac:dyDescent="0.25">
      <c r="A1215" s="6" t="s">
        <v>4691</v>
      </c>
      <c r="B1215" s="5" t="s">
        <v>4692</v>
      </c>
      <c r="C1215" s="5" t="s">
        <v>4682</v>
      </c>
      <c r="D1215" s="5" t="s">
        <v>4689</v>
      </c>
      <c r="E1215" s="5" t="s">
        <v>4690</v>
      </c>
      <c r="F1215" s="5" t="str">
        <f>HYPERLINK("http://batasiolo.com/","batasiolo.com")</f>
        <v>batasiolo.com</v>
      </c>
    </row>
    <row r="1216" spans="1:6" ht="29.55" customHeight="1" x14ac:dyDescent="0.25">
      <c r="A1216" s="6" t="s">
        <v>4693</v>
      </c>
      <c r="B1216" s="5" t="s">
        <v>4694</v>
      </c>
      <c r="C1216" s="5" t="s">
        <v>4682</v>
      </c>
      <c r="D1216" s="5" t="s">
        <v>4684</v>
      </c>
      <c r="E1216" s="5" t="s">
        <v>4676</v>
      </c>
      <c r="F1216" s="5" t="str">
        <f>HYPERLINK("http://www.vinitenutasanfrancesco.com/","www.vinitenutasanfrancesco.com")</f>
        <v>www.vinitenutasanfrancesco.com</v>
      </c>
    </row>
    <row r="1217" spans="1:6" ht="29.55" customHeight="1" x14ac:dyDescent="0.25">
      <c r="A1217" s="6" t="s">
        <v>4695</v>
      </c>
      <c r="B1217" s="5" t="s">
        <v>4696</v>
      </c>
      <c r="C1217" s="5" t="s">
        <v>4656</v>
      </c>
      <c r="D1217" s="5" t="s">
        <v>4683</v>
      </c>
      <c r="E1217" s="5" t="s">
        <v>4670</v>
      </c>
      <c r="F1217" s="5" t="str">
        <f>HYPERLINK("http://www.fri-el.it/","www.fri-el.it")</f>
        <v>www.fri-el.it</v>
      </c>
    </row>
    <row r="1218" spans="1:6" ht="29.55" customHeight="1" x14ac:dyDescent="0.25">
      <c r="A1218" s="6" t="s">
        <v>4697</v>
      </c>
      <c r="B1218" s="5" t="s">
        <v>4698</v>
      </c>
      <c r="C1218" s="5" t="s">
        <v>4682</v>
      </c>
      <c r="D1218" s="5" t="s">
        <v>4664</v>
      </c>
      <c r="E1218" s="5" t="s">
        <v>4658</v>
      </c>
      <c r="F1218" s="5" t="str">
        <f>HYPERLINK("http://www.santamargherita.com/","www.santamargherita.com")</f>
        <v>www.santamargherita.com</v>
      </c>
    </row>
    <row r="1219" spans="1:6" ht="43.05" customHeight="1" x14ac:dyDescent="0.25">
      <c r="A1219" s="1" t="s">
        <v>4699</v>
      </c>
      <c r="B1219" s="7" t="s">
        <v>4700</v>
      </c>
      <c r="C1219" s="7" t="s">
        <v>4701</v>
      </c>
      <c r="D1219" s="7" t="s">
        <v>4702</v>
      </c>
      <c r="E1219" s="7" t="s">
        <v>4703</v>
      </c>
      <c r="F1219" s="7" t="str">
        <f>HYPERLINK("http://www.j63.it/","www.j63.it")</f>
        <v>www.j63.it</v>
      </c>
    </row>
    <row r="1220" spans="1:6" ht="29.55" customHeight="1" x14ac:dyDescent="0.25">
      <c r="A1220" s="1" t="s">
        <v>4705</v>
      </c>
      <c r="B1220" s="7" t="s">
        <v>4706</v>
      </c>
      <c r="C1220" s="7" t="s">
        <v>4707</v>
      </c>
      <c r="D1220" s="7" t="s">
        <v>4708</v>
      </c>
      <c r="E1220" s="7" t="s">
        <v>4709</v>
      </c>
      <c r="F1220" s="7" t="str">
        <f>HYPERLINK("http://www.aziendagricolafutura.com/","www.aziendagricolafutura.com")</f>
        <v>www.aziendagricolafutura.com</v>
      </c>
    </row>
    <row r="1221" spans="1:6" ht="29.55" customHeight="1" x14ac:dyDescent="0.25">
      <c r="A1221" s="1" t="s">
        <v>4711</v>
      </c>
      <c r="B1221" s="7" t="s">
        <v>4712</v>
      </c>
      <c r="C1221" s="7" t="s">
        <v>4713</v>
      </c>
      <c r="D1221" s="7" t="s">
        <v>4714</v>
      </c>
      <c r="E1221" s="7" t="s">
        <v>4704</v>
      </c>
      <c r="F1221" s="7" t="str">
        <f>HYPERLINK("http://www.ilcarrosrl.it/","www.ilcarrosrl.it")</f>
        <v>www.ilcarrosrl.it</v>
      </c>
    </row>
    <row r="1222" spans="1:6" ht="29.55" customHeight="1" x14ac:dyDescent="0.25">
      <c r="A1222" s="6" t="s">
        <v>4716</v>
      </c>
      <c r="B1222" s="5" t="s">
        <v>4717</v>
      </c>
      <c r="C1222" s="5" t="s">
        <v>4718</v>
      </c>
      <c r="D1222" s="5" t="s">
        <v>4719</v>
      </c>
      <c r="E1222" s="5" t="s">
        <v>4715</v>
      </c>
      <c r="F1222" s="5" t="str">
        <f>HYPERLINK("http://it.wikipedia.org/wiki/palazzo_gallarati_scotti","it.wikipedia.org/wiki/palazzo_gallarati_scotti")</f>
        <v>it.wikipedia.org/wiki/palazzo_gallarati_scotti</v>
      </c>
    </row>
    <row r="1223" spans="1:6" ht="29.55" customHeight="1" x14ac:dyDescent="0.25">
      <c r="A1223" s="6" t="s">
        <v>4723</v>
      </c>
      <c r="B1223" s="5" t="s">
        <v>4724</v>
      </c>
      <c r="C1223" s="5" t="s">
        <v>4701</v>
      </c>
      <c r="D1223" s="5" t="s">
        <v>4725</v>
      </c>
      <c r="E1223" s="5" t="s">
        <v>4703</v>
      </c>
      <c r="F1223" s="5" t="str">
        <f>HYPERLINK("http://www.terenzi.eu/","www.terenzi.eu")</f>
        <v>www.terenzi.eu</v>
      </c>
    </row>
    <row r="1224" spans="1:6" ht="55.65" customHeight="1" x14ac:dyDescent="0.25">
      <c r="A1224" s="1" t="s">
        <v>4732</v>
      </c>
      <c r="B1224" s="7" t="s">
        <v>4733</v>
      </c>
      <c r="C1224" s="7" t="s">
        <v>4730</v>
      </c>
      <c r="D1224" s="7" t="s">
        <v>4734</v>
      </c>
      <c r="E1224" s="7" t="s">
        <v>4709</v>
      </c>
      <c r="F1224" s="7" t="str">
        <f>HYPERLINK("http://www.coopaltoviterbese.it/","www.coopaltoviterbese.it")</f>
        <v>www.coopaltoviterbese.it</v>
      </c>
    </row>
    <row r="1225" spans="1:6" ht="29.55" customHeight="1" x14ac:dyDescent="0.25">
      <c r="A1225" s="6" t="s">
        <v>4735</v>
      </c>
      <c r="B1225" s="5" t="s">
        <v>4736</v>
      </c>
      <c r="C1225" s="5" t="s">
        <v>4710</v>
      </c>
      <c r="D1225" s="5" t="s">
        <v>4731</v>
      </c>
      <c r="E1225" s="5" t="s">
        <v>4727</v>
      </c>
      <c r="F1225" s="5" t="str">
        <f>HYPERLINK("http://www.agrinordenergia.it/","www.agrinordenergia.it")</f>
        <v>www.agrinordenergia.it</v>
      </c>
    </row>
    <row r="1226" spans="1:6" ht="16.95" customHeight="1" x14ac:dyDescent="0.25">
      <c r="A1226" s="6" t="s">
        <v>4737</v>
      </c>
      <c r="B1226" s="5" t="s">
        <v>4738</v>
      </c>
      <c r="C1226" s="5" t="s">
        <v>4739</v>
      </c>
      <c r="D1226" s="5" t="s">
        <v>4729</v>
      </c>
      <c r="E1226" s="5" t="s">
        <v>4728</v>
      </c>
      <c r="F1226" s="5" t="str">
        <f>HYPERLINK("http://www.onlymoso.it/","www.onlymoso.it")</f>
        <v>www.onlymoso.it</v>
      </c>
    </row>
    <row r="1227" spans="1:6" ht="43.05" customHeight="1" x14ac:dyDescent="0.25">
      <c r="A1227" s="1" t="s">
        <v>4740</v>
      </c>
      <c r="B1227" s="7" t="s">
        <v>4741</v>
      </c>
      <c r="C1227" s="7" t="s">
        <v>4742</v>
      </c>
      <c r="D1227" s="7" t="s">
        <v>4743</v>
      </c>
      <c r="E1227" s="7" t="s">
        <v>4728</v>
      </c>
      <c r="F1227" s="7" t="str">
        <f>HYPERLINK("http://www.caseificiosansimone.com/","www.caseificiosansimone.com")</f>
        <v>www.caseificiosansimone.com</v>
      </c>
    </row>
    <row r="1228" spans="1:6" ht="68.099999999999994" customHeight="1" x14ac:dyDescent="0.25">
      <c r="A1228" s="6" t="s">
        <v>4744</v>
      </c>
      <c r="B1228" s="5" t="s">
        <v>4745</v>
      </c>
      <c r="C1228" s="5" t="s">
        <v>4701</v>
      </c>
      <c r="D1228" s="5" t="s">
        <v>4746</v>
      </c>
      <c r="E1228" s="5" t="s">
        <v>4703</v>
      </c>
      <c r="F1228" s="5" t="str">
        <f>HYPERLINK("http://www.teruzziwine.com/","www.teruzziwine.com")</f>
        <v>www.teruzziwine.com</v>
      </c>
    </row>
    <row r="1229" spans="1:6" ht="132.75" customHeight="1" x14ac:dyDescent="0.25">
      <c r="A1229" s="6" t="s">
        <v>4747</v>
      </c>
      <c r="B1229" s="5" t="s">
        <v>4748</v>
      </c>
      <c r="C1229" s="5" t="s">
        <v>4701</v>
      </c>
      <c r="D1229" s="5" t="s">
        <v>4749</v>
      </c>
      <c r="E1229" s="5" t="s">
        <v>4750</v>
      </c>
      <c r="F1229" s="5" t="str">
        <f>HYPERLINK("http://www.tenutacoccigrifoni.it/","www.tenutacoccigrifoni.it")</f>
        <v>www.tenutacoccigrifoni.it</v>
      </c>
    </row>
    <row r="1230" spans="1:6" ht="43.05" customHeight="1" x14ac:dyDescent="0.25">
      <c r="A1230" s="1" t="s">
        <v>4751</v>
      </c>
      <c r="B1230" s="7" t="s">
        <v>4752</v>
      </c>
      <c r="C1230" s="7" t="s">
        <v>4726</v>
      </c>
      <c r="D1230" s="7" t="s">
        <v>4720</v>
      </c>
      <c r="E1230" s="7" t="s">
        <v>4721</v>
      </c>
      <c r="F1230" s="7" t="str">
        <f>HYPERLINK("http://www.selefung.it/","www.selefung.it")</f>
        <v>www.selefung.it</v>
      </c>
    </row>
    <row r="1231" spans="1:6" ht="29.55" customHeight="1" x14ac:dyDescent="0.25">
      <c r="A1231" s="6" t="s">
        <v>4753</v>
      </c>
      <c r="B1231" s="5" t="s">
        <v>4754</v>
      </c>
      <c r="C1231" s="5" t="s">
        <v>4722</v>
      </c>
      <c r="D1231" s="5" t="s">
        <v>4755</v>
      </c>
      <c r="E1231" s="5" t="s">
        <v>4728</v>
      </c>
      <c r="F1231" s="5" t="str">
        <f>HYPERLINK("http://biogas.it/","biogas.it")</f>
        <v>biogas.it</v>
      </c>
    </row>
    <row r="1232" spans="1:6" ht="16.95" customHeight="1" x14ac:dyDescent="0.25">
      <c r="A1232" s="6" t="s">
        <v>4757</v>
      </c>
      <c r="B1232" s="5" t="s">
        <v>4758</v>
      </c>
      <c r="C1232" s="5" t="s">
        <v>4759</v>
      </c>
      <c r="D1232" s="5" t="s">
        <v>4760</v>
      </c>
      <c r="E1232" s="5" t="s">
        <v>4761</v>
      </c>
      <c r="F1232" s="5" t="str">
        <f>HYPERLINK("http://www.civasrl.it/","www.civasrl.it")</f>
        <v>www.civasrl.it</v>
      </c>
    </row>
    <row r="1233" spans="1:6" ht="43.05" customHeight="1" x14ac:dyDescent="0.25">
      <c r="A1233" s="1" t="s">
        <v>4763</v>
      </c>
      <c r="B1233" s="7" t="s">
        <v>4764</v>
      </c>
      <c r="C1233" s="7" t="s">
        <v>4765</v>
      </c>
      <c r="D1233" s="7" t="s">
        <v>4766</v>
      </c>
      <c r="E1233" s="7" t="s">
        <v>4762</v>
      </c>
      <c r="F1233" s="7" t="str">
        <f>HYPERLINK("http://www.fattoriaviticcio.com/","www.fattoriaviticcio.com")</f>
        <v>www.fattoriaviticcio.com</v>
      </c>
    </row>
    <row r="1234" spans="1:6" ht="29.55" customHeight="1" x14ac:dyDescent="0.25">
      <c r="A1234" s="1" t="s">
        <v>4768</v>
      </c>
      <c r="B1234" s="7" t="s">
        <v>4769</v>
      </c>
      <c r="C1234" s="7" t="s">
        <v>4770</v>
      </c>
      <c r="D1234" s="7" t="s">
        <v>4771</v>
      </c>
      <c r="E1234" s="7" t="s">
        <v>4772</v>
      </c>
      <c r="F1234" s="7" t="str">
        <f>HYPERLINK("http://www.boniser.it/","www.boniser.it")</f>
        <v>www.boniser.it</v>
      </c>
    </row>
    <row r="1235" spans="1:6" ht="29.55" customHeight="1" x14ac:dyDescent="0.25">
      <c r="A1235" s="6" t="s">
        <v>4773</v>
      </c>
      <c r="B1235" s="5" t="s">
        <v>4774</v>
      </c>
      <c r="C1235" s="5" t="s">
        <v>4759</v>
      </c>
      <c r="D1235" s="5" t="s">
        <v>4775</v>
      </c>
      <c r="E1235" s="5" t="s">
        <v>4776</v>
      </c>
      <c r="F1235" s="5" t="str">
        <f>HYPERLINK("http://www.opmonte.it/","http://www.opmonte.it")</f>
        <v>http://www.opmonte.it</v>
      </c>
    </row>
    <row r="1236" spans="1:6" ht="43.05" customHeight="1" x14ac:dyDescent="0.25">
      <c r="A1236" s="1" t="s">
        <v>4779</v>
      </c>
      <c r="B1236" s="7" t="s">
        <v>4780</v>
      </c>
      <c r="C1236" s="7" t="s">
        <v>4781</v>
      </c>
      <c r="D1236" s="7" t="s">
        <v>4782</v>
      </c>
      <c r="E1236" s="7" t="s">
        <v>4756</v>
      </c>
      <c r="F1236" s="7" t="str">
        <f>HYPERLINK("http://www.lafasanara.it/","www.lafasanara.it")</f>
        <v>www.lafasanara.it</v>
      </c>
    </row>
    <row r="1237" spans="1:6" ht="43.05" customHeight="1" x14ac:dyDescent="0.25">
      <c r="A1237" s="6" t="s">
        <v>4783</v>
      </c>
      <c r="B1237" s="5" t="s">
        <v>4784</v>
      </c>
      <c r="C1237" s="5" t="s">
        <v>4777</v>
      </c>
      <c r="D1237" s="5" t="s">
        <v>4785</v>
      </c>
      <c r="E1237" s="5" t="s">
        <v>4761</v>
      </c>
      <c r="F1237" s="5" t="str">
        <f>HYPERLINK("http://www.cavtebano.it/","www.cavtebano.it")</f>
        <v>www.cavtebano.it</v>
      </c>
    </row>
    <row r="1238" spans="1:6" ht="16.95" customHeight="1" x14ac:dyDescent="0.25">
      <c r="A1238" s="1" t="s">
        <v>4787</v>
      </c>
      <c r="B1238" s="7" t="s">
        <v>4788</v>
      </c>
      <c r="C1238" s="7" t="s">
        <v>4778</v>
      </c>
      <c r="D1238" s="7" t="s">
        <v>4789</v>
      </c>
      <c r="E1238" s="7" t="s">
        <v>4786</v>
      </c>
      <c r="F1238" s="7" t="str">
        <f>HYPERLINK("http://fondazionedanielemoro.it/","fondazionedanielemoro.it")</f>
        <v>fondazionedanielemoro.it</v>
      </c>
    </row>
    <row r="1239" spans="1:6" ht="43.05" customHeight="1" x14ac:dyDescent="0.25">
      <c r="A1239" s="6" t="s">
        <v>4790</v>
      </c>
      <c r="B1239" s="5" t="s">
        <v>4791</v>
      </c>
      <c r="C1239" s="5" t="s">
        <v>4792</v>
      </c>
      <c r="D1239" s="5" t="s">
        <v>4793</v>
      </c>
      <c r="E1239" s="5" t="s">
        <v>4767</v>
      </c>
      <c r="F1239" s="5" t="str">
        <f>HYPERLINK("http://www.cantinasanteufemia.com/","www.cantinasanteufemia.com")</f>
        <v>www.cantinasanteufemia.com</v>
      </c>
    </row>
    <row r="1240" spans="1:6" ht="55.65" customHeight="1" x14ac:dyDescent="0.25">
      <c r="A1240" s="1" t="s">
        <v>4794</v>
      </c>
      <c r="B1240" s="7" t="s">
        <v>4795</v>
      </c>
      <c r="C1240" s="7" t="s">
        <v>4796</v>
      </c>
      <c r="D1240" s="7" t="s">
        <v>4797</v>
      </c>
      <c r="E1240" s="7" t="s">
        <v>4798</v>
      </c>
      <c r="F1240" s="7" t="str">
        <f>HYPERLINK("http://www.agricolturanuova.it/","www.agricolturanuova.it")</f>
        <v>www.agricolturanuova.it</v>
      </c>
    </row>
    <row r="1241" spans="1:6" ht="43.05" customHeight="1" x14ac:dyDescent="0.25">
      <c r="A1241" s="6" t="s">
        <v>4799</v>
      </c>
      <c r="B1241" s="5" t="s">
        <v>4800</v>
      </c>
      <c r="C1241" s="5" t="s">
        <v>4801</v>
      </c>
      <c r="D1241" s="5" t="s">
        <v>4802</v>
      </c>
      <c r="E1241" s="5" t="s">
        <v>4803</v>
      </c>
      <c r="F1241" s="5" t="str">
        <f>HYPERLINK("http://www.agricolaterzodieci.it/","www.agricolaterzodieci.it")</f>
        <v>www.agricolaterzodieci.it</v>
      </c>
    </row>
    <row r="1242" spans="1:6" ht="55.65" customHeight="1" x14ac:dyDescent="0.25">
      <c r="A1242" s="6" t="s">
        <v>4807</v>
      </c>
      <c r="B1242" s="5" t="s">
        <v>4808</v>
      </c>
      <c r="C1242" s="5" t="s">
        <v>4804</v>
      </c>
      <c r="D1242" s="5" t="s">
        <v>4809</v>
      </c>
      <c r="E1242" s="5" t="s">
        <v>4810</v>
      </c>
      <c r="F1242" s="5" t="str">
        <f>HYPERLINK("http://servizi.marcopolowit.it/","servizi.marcopolowit.it")</f>
        <v>servizi.marcopolowit.it</v>
      </c>
    </row>
    <row r="1243" spans="1:6" ht="29.55" customHeight="1" x14ac:dyDescent="0.25">
      <c r="A1243" s="1" t="s">
        <v>4811</v>
      </c>
      <c r="B1243" s="7" t="s">
        <v>4812</v>
      </c>
      <c r="C1243" s="7" t="s">
        <v>4813</v>
      </c>
      <c r="D1243" s="7" t="s">
        <v>4802</v>
      </c>
      <c r="E1243" s="7" t="s">
        <v>4803</v>
      </c>
      <c r="F1243" s="7" t="str">
        <f>HYPERLINK("http://www.tenutaorsanese.com/","www.tenutaorsanese.com")</f>
        <v>www.tenutaorsanese.com</v>
      </c>
    </row>
    <row r="1244" spans="1:6" ht="16.95" customHeight="1" x14ac:dyDescent="0.25">
      <c r="A1244" s="6" t="s">
        <v>4815</v>
      </c>
      <c r="B1244" s="5" t="s">
        <v>4816</v>
      </c>
      <c r="C1244" s="5" t="s">
        <v>4817</v>
      </c>
      <c r="D1244" s="5" t="s">
        <v>4818</v>
      </c>
      <c r="E1244" s="5" t="s">
        <v>4806</v>
      </c>
      <c r="F1244" s="5" t="str">
        <f>HYPERLINK("http://www.lombardiaalleva.it/","www.lombardiaalleva.it")</f>
        <v>www.lombardiaalleva.it</v>
      </c>
    </row>
    <row r="1245" spans="1:6" ht="29.55" customHeight="1" x14ac:dyDescent="0.25">
      <c r="A1245" s="1" t="s">
        <v>4819</v>
      </c>
      <c r="B1245" s="7" t="s">
        <v>4820</v>
      </c>
      <c r="C1245" s="7" t="s">
        <v>4813</v>
      </c>
      <c r="D1245" s="7" t="s">
        <v>4821</v>
      </c>
      <c r="E1245" s="7" t="s">
        <v>4822</v>
      </c>
      <c r="F1245" s="7" t="str">
        <f>HYPERLINK("http://www.castellodibossi.it/","www.castellodibossi.it")</f>
        <v>www.castellodibossi.it</v>
      </c>
    </row>
    <row r="1246" spans="1:6" ht="43.05" customHeight="1" x14ac:dyDescent="0.25">
      <c r="A1246" s="6" t="s">
        <v>4823</v>
      </c>
      <c r="B1246" s="5" t="s">
        <v>4824</v>
      </c>
      <c r="C1246" s="5" t="s">
        <v>4805</v>
      </c>
      <c r="D1246" s="5" t="s">
        <v>4825</v>
      </c>
      <c r="E1246" s="5" t="s">
        <v>4826</v>
      </c>
      <c r="F1246" s="5" t="str">
        <f>HYPERLINK("http://www.sinisagricola.it/","www.sinisagricola.it")</f>
        <v>www.sinisagricola.it</v>
      </c>
    </row>
    <row r="1247" spans="1:6" ht="43.05" customHeight="1" x14ac:dyDescent="0.25">
      <c r="A1247" s="6" t="s">
        <v>4828</v>
      </c>
      <c r="B1247" s="5" t="s">
        <v>4829</v>
      </c>
      <c r="C1247" s="5" t="s">
        <v>4813</v>
      </c>
      <c r="D1247" s="5" t="s">
        <v>4830</v>
      </c>
      <c r="E1247" s="5" t="s">
        <v>4822</v>
      </c>
      <c r="F1247" s="5" t="str">
        <f>HYPERLINK("http://shop.fattoriamontecchio.com/","shop.fattoriamontecchio.com")</f>
        <v>shop.fattoriamontecchio.com</v>
      </c>
    </row>
    <row r="1248" spans="1:6" ht="43.05" customHeight="1" x14ac:dyDescent="0.25">
      <c r="A1248" s="6" t="s">
        <v>4831</v>
      </c>
      <c r="B1248" s="5" t="s">
        <v>4832</v>
      </c>
      <c r="C1248" s="5" t="s">
        <v>4814</v>
      </c>
      <c r="D1248" s="5" t="s">
        <v>4833</v>
      </c>
      <c r="E1248" s="5" t="s">
        <v>4834</v>
      </c>
      <c r="F1248" s="5" t="str">
        <f>HYPERLINK("http://www.cantinacolonnella.it/","www.cantinacolonnella.it")</f>
        <v>www.cantinacolonnella.it</v>
      </c>
    </row>
    <row r="1249" spans="1:6" ht="43.05" customHeight="1" x14ac:dyDescent="0.25">
      <c r="A1249" s="1" t="s">
        <v>4835</v>
      </c>
      <c r="B1249" s="7" t="s">
        <v>4836</v>
      </c>
      <c r="C1249" s="7" t="s">
        <v>4805</v>
      </c>
      <c r="D1249" s="7" t="s">
        <v>4827</v>
      </c>
      <c r="E1249" s="7" t="s">
        <v>4806</v>
      </c>
      <c r="F1249" s="7" t="str">
        <f>HYPERLINK("http://www.azienda-trequanda.it/","www.azienda-trequanda.it")</f>
        <v>www.azienda-trequanda.it</v>
      </c>
    </row>
    <row r="1250" spans="1:6" ht="29.55" customHeight="1" x14ac:dyDescent="0.25">
      <c r="A1250" s="6" t="s">
        <v>4837</v>
      </c>
      <c r="B1250" s="5" t="s">
        <v>4838</v>
      </c>
      <c r="C1250" s="5" t="s">
        <v>4813</v>
      </c>
      <c r="D1250" s="5" t="s">
        <v>4839</v>
      </c>
      <c r="E1250" s="5" t="s">
        <v>4840</v>
      </c>
      <c r="F1250" s="5" t="str">
        <f>HYPERLINK("http://bastianich.com/","bastianich.com")</f>
        <v>bastianich.com</v>
      </c>
    </row>
    <row r="1251" spans="1:6" ht="29.55" customHeight="1" x14ac:dyDescent="0.25">
      <c r="A1251" s="6" t="s">
        <v>4841</v>
      </c>
      <c r="B1251" s="5" t="s">
        <v>4842</v>
      </c>
      <c r="C1251" s="5" t="s">
        <v>4817</v>
      </c>
      <c r="D1251" s="5" t="s">
        <v>4843</v>
      </c>
      <c r="E1251" s="5" t="s">
        <v>4798</v>
      </c>
      <c r="F1251" s="5" t="str">
        <f>HYPERLINK("http://cisal.org/","cisal.org")</f>
        <v>cisal.org</v>
      </c>
    </row>
    <row r="1252" spans="1:6" ht="29.55" customHeight="1" x14ac:dyDescent="0.25">
      <c r="A1252" s="1" t="s">
        <v>4844</v>
      </c>
      <c r="B1252" s="7" t="s">
        <v>4845</v>
      </c>
      <c r="C1252" s="7" t="s">
        <v>4813</v>
      </c>
      <c r="D1252" s="7" t="s">
        <v>4846</v>
      </c>
      <c r="E1252" s="7" t="s">
        <v>4806</v>
      </c>
      <c r="F1252" s="7" t="str">
        <f>HYPERLINK("http://www.igiardinidelbenessere.it/","www.igiardinidelbenessere.it")</f>
        <v>www.igiardinidelbenessere.it</v>
      </c>
    </row>
    <row r="1253" spans="1:6" ht="43.05" customHeight="1" x14ac:dyDescent="0.25">
      <c r="A1253" s="1" t="s">
        <v>4847</v>
      </c>
      <c r="B1253" s="7" t="s">
        <v>4848</v>
      </c>
      <c r="C1253" s="7" t="s">
        <v>4849</v>
      </c>
      <c r="D1253" s="7" t="s">
        <v>4850</v>
      </c>
      <c r="E1253" s="7" t="s">
        <v>4851</v>
      </c>
      <c r="F1253" s="7" t="str">
        <f>HYPERLINK("http://www.latteriacigarello.com/","www.latteriacigarello.com")</f>
        <v>www.latteriacigarello.com</v>
      </c>
    </row>
    <row r="1254" spans="1:6" ht="29.55" customHeight="1" x14ac:dyDescent="0.25">
      <c r="A1254" s="1" t="s">
        <v>4858</v>
      </c>
      <c r="B1254" s="7" t="s">
        <v>4859</v>
      </c>
      <c r="C1254" s="7" t="s">
        <v>4854</v>
      </c>
      <c r="D1254" s="7" t="s">
        <v>4860</v>
      </c>
      <c r="E1254" s="7" t="s">
        <v>4861</v>
      </c>
      <c r="F1254" s="7" t="str">
        <f>HYPERLINK("http://www.araldicavini.com/","www.araldicavini.com")</f>
        <v>www.araldicavini.com</v>
      </c>
    </row>
    <row r="1255" spans="1:6" ht="29.55" customHeight="1" x14ac:dyDescent="0.25">
      <c r="A1255" s="1" t="s">
        <v>4862</v>
      </c>
      <c r="B1255" s="7" t="s">
        <v>4863</v>
      </c>
      <c r="C1255" s="7" t="s">
        <v>4854</v>
      </c>
      <c r="D1255" s="7" t="s">
        <v>4864</v>
      </c>
      <c r="E1255" s="7" t="s">
        <v>4865</v>
      </c>
      <c r="F1255" s="7" t="str">
        <f>HYPERLINK("http://www.ampeleia.it/","www.ampeleia.it")</f>
        <v>www.ampeleia.it</v>
      </c>
    </row>
    <row r="1256" spans="1:6" ht="43.05" customHeight="1" x14ac:dyDescent="0.25">
      <c r="A1256" s="6" t="s">
        <v>4873</v>
      </c>
      <c r="B1256" s="5" t="s">
        <v>4874</v>
      </c>
      <c r="C1256" s="5" t="s">
        <v>4857</v>
      </c>
      <c r="D1256" s="5" t="s">
        <v>4875</v>
      </c>
      <c r="E1256" s="5" t="s">
        <v>4872</v>
      </c>
      <c r="F1256" s="5" t="str">
        <f>HYPERLINK("http://www.operapiamastai.org/sito/azienda-agraria/","www.operapiamastai.org/sito/azienda-agraria/")</f>
        <v>www.operapiamastai.org/sito/azienda-agraria/</v>
      </c>
    </row>
    <row r="1257" spans="1:6" ht="29.55" customHeight="1" x14ac:dyDescent="0.25">
      <c r="A1257" s="1" t="s">
        <v>4876</v>
      </c>
      <c r="B1257" s="7" t="s">
        <v>4877</v>
      </c>
      <c r="C1257" s="7" t="s">
        <v>4870</v>
      </c>
      <c r="D1257" s="7" t="s">
        <v>4878</v>
      </c>
      <c r="E1257" s="7" t="s">
        <v>4879</v>
      </c>
      <c r="F1257" s="7" t="str">
        <f>HYPERLINK("http://fooditaliae.com/","fooditaliae.com")</f>
        <v>fooditaliae.com</v>
      </c>
    </row>
    <row r="1258" spans="1:6" ht="29.55" customHeight="1" x14ac:dyDescent="0.25">
      <c r="A1258" s="6" t="s">
        <v>4880</v>
      </c>
      <c r="B1258" s="5" t="s">
        <v>4881</v>
      </c>
      <c r="C1258" s="5" t="s">
        <v>4882</v>
      </c>
      <c r="D1258" s="5" t="s">
        <v>4883</v>
      </c>
      <c r="E1258" s="5" t="s">
        <v>4884</v>
      </c>
      <c r="F1258" s="5" t="str">
        <f>HYPERLINK("http://www.arcobalenobio.it/","www.arcobalenobio.it")</f>
        <v>www.arcobalenobio.it</v>
      </c>
    </row>
    <row r="1259" spans="1:6" ht="29.55" customHeight="1" x14ac:dyDescent="0.25">
      <c r="A1259" s="6" t="s">
        <v>4885</v>
      </c>
      <c r="B1259" s="5" t="s">
        <v>4886</v>
      </c>
      <c r="C1259" s="5" t="s">
        <v>4852</v>
      </c>
      <c r="D1259" s="5" t="s">
        <v>4887</v>
      </c>
      <c r="E1259" s="5" t="s">
        <v>4853</v>
      </c>
      <c r="F1259" s="5" t="str">
        <f>HYPERLINK("http://agroenergia.eu/","agroenergia.eu")</f>
        <v>agroenergia.eu</v>
      </c>
    </row>
    <row r="1260" spans="1:6" ht="55.65" customHeight="1" x14ac:dyDescent="0.25">
      <c r="A1260" s="6" t="s">
        <v>4888</v>
      </c>
      <c r="B1260" s="5" t="s">
        <v>4889</v>
      </c>
      <c r="C1260" s="5" t="s">
        <v>4890</v>
      </c>
      <c r="D1260" s="5" t="s">
        <v>4871</v>
      </c>
      <c r="E1260" s="5" t="s">
        <v>4851</v>
      </c>
      <c r="F1260" s="5" t="str">
        <f>HYPERLINK("http://www.orogel.it/","www.orogel.it")</f>
        <v>www.orogel.it</v>
      </c>
    </row>
    <row r="1261" spans="1:6" ht="55.65" customHeight="1" x14ac:dyDescent="0.25">
      <c r="A1261" s="1" t="s">
        <v>4891</v>
      </c>
      <c r="B1261" s="7" t="s">
        <v>4892</v>
      </c>
      <c r="C1261" s="7" t="s">
        <v>4868</v>
      </c>
      <c r="D1261" s="7" t="s">
        <v>4893</v>
      </c>
      <c r="E1261" s="7" t="s">
        <v>4869</v>
      </c>
      <c r="F1261" s="7" t="str">
        <f>HYPERLINK("http://www.ilsannicandrese.it/","www.ilsannicandrese.it")</f>
        <v>www.ilsannicandrese.it</v>
      </c>
    </row>
    <row r="1262" spans="1:6" ht="120.3" customHeight="1" x14ac:dyDescent="0.25">
      <c r="A1262" s="6" t="s">
        <v>4894</v>
      </c>
      <c r="B1262" s="5" t="s">
        <v>4895</v>
      </c>
      <c r="C1262" s="5" t="s">
        <v>4896</v>
      </c>
      <c r="D1262" s="5" t="s">
        <v>4855</v>
      </c>
      <c r="E1262" s="5" t="s">
        <v>4856</v>
      </c>
      <c r="F1262" s="5" t="str">
        <f>HYPERLINK("http://www.terriccio.it/","www.terriccio.it")</f>
        <v>www.terriccio.it</v>
      </c>
    </row>
    <row r="1263" spans="1:6" ht="16.95" customHeight="1" x14ac:dyDescent="0.25">
      <c r="A1263" s="6" t="s">
        <v>4897</v>
      </c>
      <c r="B1263" s="5" t="s">
        <v>4898</v>
      </c>
      <c r="C1263" s="5" t="s">
        <v>4899</v>
      </c>
      <c r="D1263" s="5" t="s">
        <v>4878</v>
      </c>
      <c r="E1263" s="5" t="s">
        <v>4879</v>
      </c>
      <c r="F1263" s="5" t="str">
        <f>HYPERLINK("http://www.incubatoiomarchesini.it/","www.incubatoiomarchesini.it")</f>
        <v>www.incubatoiomarchesini.it</v>
      </c>
    </row>
    <row r="1264" spans="1:6" ht="29.55" customHeight="1" x14ac:dyDescent="0.25">
      <c r="A1264" s="1" t="s">
        <v>4900</v>
      </c>
      <c r="B1264" s="7" t="s">
        <v>4901</v>
      </c>
      <c r="C1264" s="7" t="s">
        <v>4896</v>
      </c>
      <c r="D1264" s="7" t="s">
        <v>4866</v>
      </c>
      <c r="E1264" s="7" t="s">
        <v>4867</v>
      </c>
      <c r="F1264" s="7" t="str">
        <f>HYPERLINK("http://falode.it/cms/","falode.it/cms/")</f>
        <v>falode.it/cms/</v>
      </c>
    </row>
    <row r="1265" spans="1:6" ht="43.05" customHeight="1" x14ac:dyDescent="0.25">
      <c r="A1265" s="6" t="s">
        <v>4902</v>
      </c>
      <c r="B1265" s="5" t="s">
        <v>4903</v>
      </c>
      <c r="C1265" s="5" t="s">
        <v>4904</v>
      </c>
      <c r="D1265" s="5" t="s">
        <v>4905</v>
      </c>
      <c r="E1265" s="5" t="s">
        <v>4853</v>
      </c>
      <c r="F1265" s="5" t="str">
        <f>HYPERLINK("http://riservasanmassimo.net/","riservasanmassimo.net")</f>
        <v>riservasanmassimo.net</v>
      </c>
    </row>
    <row r="1266" spans="1:6" ht="29.55" customHeight="1" x14ac:dyDescent="0.25">
      <c r="A1266" s="1" t="s">
        <v>4906</v>
      </c>
      <c r="B1266" s="7" t="s">
        <v>4907</v>
      </c>
      <c r="C1266" s="7" t="s">
        <v>4908</v>
      </c>
      <c r="D1266" s="7" t="s">
        <v>4909</v>
      </c>
      <c r="E1266" s="7" t="s">
        <v>4910</v>
      </c>
      <c r="F1266" s="7" t="str">
        <f>HYPERLINK("http://www.fossamala.it/","www.fossamala.it")</f>
        <v>www.fossamala.it</v>
      </c>
    </row>
    <row r="1267" spans="1:6" ht="145.19999999999999" customHeight="1" x14ac:dyDescent="0.25">
      <c r="A1267" s="1" t="s">
        <v>4913</v>
      </c>
      <c r="B1267" s="7" t="s">
        <v>4914</v>
      </c>
      <c r="C1267" s="7" t="s">
        <v>4915</v>
      </c>
      <c r="D1267" s="7" t="s">
        <v>4916</v>
      </c>
      <c r="E1267" s="7" t="s">
        <v>4917</v>
      </c>
      <c r="F1267" s="7" t="str">
        <f>HYPERLINK("http://ilpalagio.it/","ilpalagio.it")</f>
        <v>ilpalagio.it</v>
      </c>
    </row>
    <row r="1268" spans="1:6" ht="29.55" customHeight="1" x14ac:dyDescent="0.25">
      <c r="A1268" s="6" t="s">
        <v>4918</v>
      </c>
      <c r="B1268" s="5" t="s">
        <v>4919</v>
      </c>
      <c r="C1268" s="5" t="s">
        <v>4920</v>
      </c>
      <c r="D1268" s="5" t="s">
        <v>4921</v>
      </c>
      <c r="E1268" s="5" t="s">
        <v>4922</v>
      </c>
      <c r="F1268" s="5" t="str">
        <f>HYPERLINK("http://www.oliovestino.it/","www.oliovestino.it")</f>
        <v>www.oliovestino.it</v>
      </c>
    </row>
    <row r="1269" spans="1:6" ht="29.55" customHeight="1" x14ac:dyDescent="0.25">
      <c r="A1269" s="6" t="s">
        <v>4923</v>
      </c>
      <c r="B1269" s="5" t="s">
        <v>4924</v>
      </c>
      <c r="C1269" s="5" t="s">
        <v>4925</v>
      </c>
      <c r="D1269" s="5" t="s">
        <v>4926</v>
      </c>
      <c r="E1269" s="5" t="s">
        <v>4912</v>
      </c>
      <c r="F1269" s="5" t="str">
        <f>HYPERLINK("http://www.carionifood.com/","www.carionifood.com")</f>
        <v>www.carionifood.com</v>
      </c>
    </row>
    <row r="1270" spans="1:6" ht="43.05" customHeight="1" x14ac:dyDescent="0.25">
      <c r="A1270" s="1" t="s">
        <v>4928</v>
      </c>
      <c r="B1270" s="7" t="s">
        <v>4929</v>
      </c>
      <c r="C1270" s="7" t="s">
        <v>4930</v>
      </c>
      <c r="D1270" s="7" t="s">
        <v>4931</v>
      </c>
      <c r="E1270" s="7" t="s">
        <v>4932</v>
      </c>
      <c r="F1270" s="7" t="str">
        <f>HYPERLINK("http://www.florapompei.com/","www.florapompei.com")</f>
        <v>www.florapompei.com</v>
      </c>
    </row>
    <row r="1271" spans="1:6" ht="29.55" customHeight="1" x14ac:dyDescent="0.25">
      <c r="A1271" s="6" t="s">
        <v>4933</v>
      </c>
      <c r="B1271" s="5" t="s">
        <v>4934</v>
      </c>
      <c r="C1271" s="5" t="s">
        <v>4935</v>
      </c>
      <c r="D1271" s="5" t="s">
        <v>4936</v>
      </c>
      <c r="E1271" s="5" t="s">
        <v>4937</v>
      </c>
      <c r="F1271" s="5" t="str">
        <f>HYPERLINK("http://serrepontine.com/","serrepontine.com")</f>
        <v>serrepontine.com</v>
      </c>
    </row>
    <row r="1272" spans="1:6" ht="29.55" customHeight="1" x14ac:dyDescent="0.25">
      <c r="A1272" s="1" t="s">
        <v>4938</v>
      </c>
      <c r="B1272" s="7" t="s">
        <v>4939</v>
      </c>
      <c r="C1272" s="7" t="s">
        <v>4911</v>
      </c>
      <c r="D1272" s="7" t="s">
        <v>4940</v>
      </c>
      <c r="E1272" s="7" t="s">
        <v>4912</v>
      </c>
      <c r="F1272" s="7" t="str">
        <f>HYPERLINK("http://www.vinova-coop.it/","www.vinova-coop.it")</f>
        <v>www.vinova-coop.it</v>
      </c>
    </row>
    <row r="1273" spans="1:6" ht="29.55" customHeight="1" x14ac:dyDescent="0.25">
      <c r="A1273" s="1" t="s">
        <v>4941</v>
      </c>
      <c r="B1273" s="7" t="s">
        <v>4942</v>
      </c>
      <c r="C1273" s="7" t="s">
        <v>4908</v>
      </c>
      <c r="D1273" s="7" t="s">
        <v>4916</v>
      </c>
      <c r="E1273" s="7" t="s">
        <v>4917</v>
      </c>
      <c r="F1273" s="7" t="str">
        <f>HYPERLINK("http://www.lagerlawinery.com/","www.lagerlawinery.com")</f>
        <v>www.lagerlawinery.com</v>
      </c>
    </row>
    <row r="1274" spans="1:6" ht="29.55" customHeight="1" x14ac:dyDescent="0.25">
      <c r="A1274" s="6" t="s">
        <v>4944</v>
      </c>
      <c r="B1274" s="5" t="s">
        <v>4945</v>
      </c>
      <c r="C1274" s="5" t="s">
        <v>4946</v>
      </c>
      <c r="D1274" s="5" t="s">
        <v>4931</v>
      </c>
      <c r="E1274" s="5" t="s">
        <v>4932</v>
      </c>
      <c r="F1274" s="5" t="str">
        <f>HYPERLINK("http://scuderiabivans.com/","scuderiabivans.com")</f>
        <v>scuderiabivans.com</v>
      </c>
    </row>
    <row r="1275" spans="1:6" ht="43.05" customHeight="1" x14ac:dyDescent="0.25">
      <c r="A1275" s="1" t="s">
        <v>4947</v>
      </c>
      <c r="B1275" s="7" t="s">
        <v>4948</v>
      </c>
      <c r="C1275" s="7" t="s">
        <v>4949</v>
      </c>
      <c r="D1275" s="7" t="s">
        <v>4950</v>
      </c>
      <c r="E1275" s="7" t="s">
        <v>4951</v>
      </c>
      <c r="F1275" s="7" t="str">
        <f>HYPERLINK("http://www.ajprol.it/","www.ajprol.it")</f>
        <v>www.ajprol.it</v>
      </c>
    </row>
    <row r="1276" spans="1:6" ht="43.05" customHeight="1" x14ac:dyDescent="0.25">
      <c r="A1276" s="6" t="s">
        <v>4952</v>
      </c>
      <c r="B1276" s="5" t="s">
        <v>4953</v>
      </c>
      <c r="C1276" s="5" t="s">
        <v>4915</v>
      </c>
      <c r="D1276" s="5" t="s">
        <v>4954</v>
      </c>
      <c r="E1276" s="5" t="s">
        <v>4955</v>
      </c>
      <c r="F1276" s="5" t="str">
        <f>HYPERLINK("http://capopasseroproduction.it/","capopasseroproduction.it")</f>
        <v>capopasseroproduction.it</v>
      </c>
    </row>
    <row r="1277" spans="1:6" ht="43.05" customHeight="1" x14ac:dyDescent="0.25">
      <c r="A1277" s="1" t="s">
        <v>4956</v>
      </c>
      <c r="B1277" s="7" t="s">
        <v>4957</v>
      </c>
      <c r="C1277" s="7" t="s">
        <v>4908</v>
      </c>
      <c r="D1277" s="7" t="s">
        <v>4958</v>
      </c>
      <c r="E1277" s="7" t="s">
        <v>4932</v>
      </c>
      <c r="F1277" s="7" t="str">
        <f>HYPERLINK("http://www.vinitelaro.it/","www.vinitelaro.it")</f>
        <v>www.vinitelaro.it</v>
      </c>
    </row>
    <row r="1278" spans="1:6" ht="145.19999999999999" customHeight="1" x14ac:dyDescent="0.25">
      <c r="A1278" s="6" t="s">
        <v>4959</v>
      </c>
      <c r="B1278" s="5" t="s">
        <v>4960</v>
      </c>
      <c r="C1278" s="5" t="s">
        <v>4908</v>
      </c>
      <c r="D1278" s="5" t="s">
        <v>4961</v>
      </c>
      <c r="E1278" s="5" t="s">
        <v>4912</v>
      </c>
      <c r="F1278" s="5" t="str">
        <f>HYPERLINK("http://viscontiwines.it/","viscontiwines.it")</f>
        <v>viscontiwines.it</v>
      </c>
    </row>
    <row r="1279" spans="1:6" ht="29.55" customHeight="1" x14ac:dyDescent="0.25">
      <c r="A1279" s="1" t="s">
        <v>4962</v>
      </c>
      <c r="B1279" s="7" t="s">
        <v>4963</v>
      </c>
      <c r="C1279" s="7" t="s">
        <v>4908</v>
      </c>
      <c r="D1279" s="7" t="s">
        <v>4964</v>
      </c>
      <c r="E1279" s="7" t="s">
        <v>4927</v>
      </c>
      <c r="F1279" s="7" t="str">
        <f>HYPERLINK("http://venturinibaldini.it/","venturinibaldini.it")</f>
        <v>venturinibaldini.it</v>
      </c>
    </row>
    <row r="1280" spans="1:6" ht="29.55" customHeight="1" x14ac:dyDescent="0.25">
      <c r="A1280" s="6" t="s">
        <v>4965</v>
      </c>
      <c r="B1280" s="5" t="s">
        <v>4966</v>
      </c>
      <c r="C1280" s="5" t="s">
        <v>4967</v>
      </c>
      <c r="D1280" s="5" t="s">
        <v>4968</v>
      </c>
      <c r="E1280" s="5" t="s">
        <v>4932</v>
      </c>
      <c r="F1280" s="5" t="str">
        <f>HYPERLINK("http://www.raiavincenzo.it/","www.raiavincenzo.it")</f>
        <v>www.raiavincenzo.it</v>
      </c>
    </row>
    <row r="1281" spans="1:6" ht="29.55" customHeight="1" x14ac:dyDescent="0.25">
      <c r="A1281" s="6" t="s">
        <v>4969</v>
      </c>
      <c r="B1281" s="5" t="s">
        <v>4970</v>
      </c>
      <c r="C1281" s="5" t="s">
        <v>4943</v>
      </c>
      <c r="D1281" s="5" t="s">
        <v>4940</v>
      </c>
      <c r="E1281" s="5" t="s">
        <v>4912</v>
      </c>
      <c r="F1281" s="5" t="str">
        <f>HYPERLINK("http://www.sabortofrutta.it/","www.sabortofrutta.it")</f>
        <v>www.sabortofrutta.it</v>
      </c>
    </row>
    <row r="1282" spans="1:6" ht="29.55" customHeight="1" x14ac:dyDescent="0.25">
      <c r="A1282" s="1" t="s">
        <v>4971</v>
      </c>
      <c r="B1282" s="7" t="s">
        <v>4972</v>
      </c>
      <c r="C1282" s="7" t="s">
        <v>4973</v>
      </c>
      <c r="D1282" s="7" t="s">
        <v>4974</v>
      </c>
      <c r="E1282" s="7" t="s">
        <v>4975</v>
      </c>
      <c r="F1282" s="7" t="str">
        <f>HYPERLINK("http://www.dimoradellebalze.com/","www.dimoradellebalze.com")</f>
        <v>www.dimoradellebalze.com</v>
      </c>
    </row>
    <row r="1283" spans="1:6" ht="43.05" customHeight="1" x14ac:dyDescent="0.25">
      <c r="A1283" s="6" t="s">
        <v>4976</v>
      </c>
      <c r="B1283" s="5" t="s">
        <v>4977</v>
      </c>
      <c r="C1283" s="5" t="s">
        <v>4978</v>
      </c>
      <c r="D1283" s="5" t="s">
        <v>4979</v>
      </c>
      <c r="E1283" s="5" t="s">
        <v>4980</v>
      </c>
      <c r="F1283" s="5" t="str">
        <f>HYPERLINK("http://www.caseificiobeduzzo.com/","www.caseificiobeduzzo.com")</f>
        <v>www.caseificiobeduzzo.com</v>
      </c>
    </row>
    <row r="1284" spans="1:6" ht="16.95" customHeight="1" x14ac:dyDescent="0.25">
      <c r="A1284" s="1" t="s">
        <v>4981</v>
      </c>
      <c r="B1284" s="7" t="s">
        <v>4982</v>
      </c>
      <c r="C1284" s="7" t="s">
        <v>4983</v>
      </c>
      <c r="D1284" s="7" t="s">
        <v>4984</v>
      </c>
      <c r="E1284" s="7" t="s">
        <v>4985</v>
      </c>
      <c r="F1284" s="7" t="str">
        <f>HYPERLINK("http://www.gammaverde.it/","www.gammaverde.it")</f>
        <v>www.gammaverde.it</v>
      </c>
    </row>
    <row r="1285" spans="1:6" ht="29.55" customHeight="1" x14ac:dyDescent="0.25">
      <c r="A1285" s="1" t="s">
        <v>4987</v>
      </c>
      <c r="B1285" s="7" t="s">
        <v>4988</v>
      </c>
      <c r="C1285" s="7" t="s">
        <v>4989</v>
      </c>
      <c r="D1285" s="7" t="s">
        <v>4990</v>
      </c>
      <c r="E1285" s="7" t="s">
        <v>4991</v>
      </c>
      <c r="F1285" s="7" t="str">
        <f>HYPERLINK("http://www.cooperativalorto.it/","www.cooperativalorto.it")</f>
        <v>www.cooperativalorto.it</v>
      </c>
    </row>
    <row r="1286" spans="1:6" ht="29.55" customHeight="1" x14ac:dyDescent="0.25">
      <c r="A1286" s="1" t="s">
        <v>4998</v>
      </c>
      <c r="B1286" s="7" t="s">
        <v>4999</v>
      </c>
      <c r="C1286" s="7" t="s">
        <v>4995</v>
      </c>
      <c r="D1286" s="7" t="s">
        <v>5000</v>
      </c>
      <c r="E1286" s="7" t="s">
        <v>5001</v>
      </c>
      <c r="F1286" s="7" t="str">
        <f>HYPERLINK("http://addiocontatore.it/","addiocontatore.it")</f>
        <v>addiocontatore.it</v>
      </c>
    </row>
    <row r="1287" spans="1:6" ht="29.55" customHeight="1" x14ac:dyDescent="0.25">
      <c r="A1287" s="6" t="s">
        <v>5003</v>
      </c>
      <c r="B1287" s="5" t="s">
        <v>5004</v>
      </c>
      <c r="C1287" s="5" t="s">
        <v>4992</v>
      </c>
      <c r="D1287" s="5" t="s">
        <v>4993</v>
      </c>
      <c r="E1287" s="5" t="s">
        <v>4980</v>
      </c>
      <c r="F1287" s="5" t="str">
        <f>HYPERLINK("http://www.happyflor.it/","www.happyflor.it")</f>
        <v>www.happyflor.it</v>
      </c>
    </row>
    <row r="1288" spans="1:6" ht="29.55" customHeight="1" x14ac:dyDescent="0.25">
      <c r="A1288" s="1" t="s">
        <v>5005</v>
      </c>
      <c r="B1288" s="7" t="s">
        <v>5006</v>
      </c>
      <c r="C1288" s="7" t="s">
        <v>5007</v>
      </c>
      <c r="D1288" s="7" t="s">
        <v>4986</v>
      </c>
      <c r="E1288" s="7" t="s">
        <v>4975</v>
      </c>
      <c r="F1288" s="7" t="str">
        <f>HYPERLINK("http://www.societaletteraria.it/","www.societaletteraria.it")</f>
        <v>www.societaletteraria.it</v>
      </c>
    </row>
    <row r="1289" spans="1:6" ht="29.55" customHeight="1" x14ac:dyDescent="0.25">
      <c r="A1289" s="6" t="s">
        <v>5008</v>
      </c>
      <c r="B1289" s="5" t="s">
        <v>5009</v>
      </c>
      <c r="C1289" s="5" t="s">
        <v>5007</v>
      </c>
      <c r="D1289" s="5" t="s">
        <v>5010</v>
      </c>
      <c r="E1289" s="5" t="s">
        <v>5011</v>
      </c>
      <c r="F1289" s="5" t="str">
        <f>HYPERLINK("http://www.villa-lena.it/","www.villa-lena.it")</f>
        <v>www.villa-lena.it</v>
      </c>
    </row>
    <row r="1290" spans="1:6" ht="29.55" customHeight="1" x14ac:dyDescent="0.25">
      <c r="A1290" s="1" t="s">
        <v>5012</v>
      </c>
      <c r="B1290" s="7" t="s">
        <v>5013</v>
      </c>
      <c r="C1290" s="7" t="s">
        <v>5014</v>
      </c>
      <c r="D1290" s="7" t="s">
        <v>5015</v>
      </c>
      <c r="E1290" s="7" t="s">
        <v>4985</v>
      </c>
      <c r="F1290" s="7" t="str">
        <f>HYPERLINK("http://www.blumgarden.it/","www.blumgarden.it")</f>
        <v>www.blumgarden.it</v>
      </c>
    </row>
    <row r="1291" spans="1:6" ht="16.95" customHeight="1" x14ac:dyDescent="0.25">
      <c r="A1291" s="1" t="s">
        <v>5016</v>
      </c>
      <c r="B1291" s="7" t="s">
        <v>5017</v>
      </c>
      <c r="C1291" s="7" t="s">
        <v>5007</v>
      </c>
      <c r="D1291" s="7" t="s">
        <v>5018</v>
      </c>
      <c r="E1291" s="7" t="s">
        <v>4997</v>
      </c>
      <c r="F1291" s="7" t="str">
        <f>HYPERLINK("http://cantinepandora.com/","cantinepandora.com")</f>
        <v>cantinepandora.com</v>
      </c>
    </row>
    <row r="1292" spans="1:6" ht="29.55" customHeight="1" x14ac:dyDescent="0.25">
      <c r="A1292" s="6" t="s">
        <v>5019</v>
      </c>
      <c r="B1292" s="5" t="s">
        <v>5020</v>
      </c>
      <c r="C1292" s="5" t="s">
        <v>4995</v>
      </c>
      <c r="D1292" s="5" t="s">
        <v>5015</v>
      </c>
      <c r="E1292" s="5" t="s">
        <v>4985</v>
      </c>
      <c r="F1292" s="5" t="str">
        <f>HYPERLINK("http://www.fri-el.it/","www.fri-el.it")</f>
        <v>www.fri-el.it</v>
      </c>
    </row>
    <row r="1293" spans="1:6" ht="29.55" customHeight="1" x14ac:dyDescent="0.25">
      <c r="A1293" s="6" t="s">
        <v>5021</v>
      </c>
      <c r="B1293" s="5" t="s">
        <v>5022</v>
      </c>
      <c r="C1293" s="5" t="s">
        <v>5002</v>
      </c>
      <c r="D1293" s="5" t="s">
        <v>5023</v>
      </c>
      <c r="E1293" s="5" t="s">
        <v>4997</v>
      </c>
      <c r="F1293" s="5" t="str">
        <f>HYPERLINK("http://www.masseriadipuglia.it/","www.masseriadipuglia.it")</f>
        <v>www.masseriadipuglia.it</v>
      </c>
    </row>
    <row r="1294" spans="1:6" ht="29.55" customHeight="1" x14ac:dyDescent="0.25">
      <c r="A1294" s="6" t="s">
        <v>5024</v>
      </c>
      <c r="B1294" s="5" t="s">
        <v>5025</v>
      </c>
      <c r="C1294" s="5" t="s">
        <v>4994</v>
      </c>
      <c r="D1294" s="5" t="s">
        <v>4996</v>
      </c>
      <c r="E1294" s="5" t="s">
        <v>4997</v>
      </c>
      <c r="F1294" s="5" t="str">
        <f>HYPERLINK("http://www.aopambro.com/","www.aopambro.com")</f>
        <v>www.aopambro.com</v>
      </c>
    </row>
    <row r="1295" spans="1:6" ht="29.55" customHeight="1" x14ac:dyDescent="0.25">
      <c r="A1295" s="6" t="s">
        <v>5026</v>
      </c>
      <c r="B1295" s="5" t="s">
        <v>5027</v>
      </c>
      <c r="C1295" s="5" t="s">
        <v>5007</v>
      </c>
      <c r="D1295" s="5" t="s">
        <v>4996</v>
      </c>
      <c r="E1295" s="5" t="s">
        <v>4997</v>
      </c>
      <c r="F1295" s="5" t="str">
        <f>HYPERLINK("http://www.darapri.it/","www.darapri.it")</f>
        <v>www.darapri.it</v>
      </c>
    </row>
    <row r="1296" spans="1:6" ht="29.55" customHeight="1" x14ac:dyDescent="0.25">
      <c r="A1296" s="1" t="s">
        <v>5028</v>
      </c>
      <c r="B1296" s="7" t="s">
        <v>5029</v>
      </c>
      <c r="C1296" s="7" t="s">
        <v>5030</v>
      </c>
      <c r="D1296" s="7" t="s">
        <v>5031</v>
      </c>
      <c r="E1296" s="7" t="s">
        <v>5032</v>
      </c>
      <c r="F1296" s="7" t="str">
        <f>HYPERLINK("http://www.lupaia.com/","www.lupaia.com")</f>
        <v>www.lupaia.com</v>
      </c>
    </row>
    <row r="1297" spans="1:6" ht="29.55" customHeight="1" x14ac:dyDescent="0.25">
      <c r="A1297" s="6" t="s">
        <v>5033</v>
      </c>
      <c r="B1297" s="5" t="s">
        <v>5034</v>
      </c>
      <c r="C1297" s="5" t="s">
        <v>5035</v>
      </c>
      <c r="D1297" s="5" t="s">
        <v>5036</v>
      </c>
      <c r="E1297" s="5" t="s">
        <v>5037</v>
      </c>
      <c r="F1297" s="5" t="str">
        <f>HYPERLINK("http://montoneemiliana.it/","montoneemiliana.it")</f>
        <v>montoneemiliana.it</v>
      </c>
    </row>
    <row r="1298" spans="1:6" ht="29.55" customHeight="1" x14ac:dyDescent="0.25">
      <c r="A1298" s="6" t="s">
        <v>5041</v>
      </c>
      <c r="B1298" s="5" t="s">
        <v>5042</v>
      </c>
      <c r="C1298" s="5" t="s">
        <v>5043</v>
      </c>
      <c r="D1298" s="5" t="s">
        <v>5044</v>
      </c>
      <c r="E1298" s="5" t="s">
        <v>5032</v>
      </c>
      <c r="F1298" s="5" t="str">
        <f>HYPERLINK("http://contidisanbonifacio.com/","contidisanbonifacio.com")</f>
        <v>contidisanbonifacio.com</v>
      </c>
    </row>
    <row r="1299" spans="1:6" ht="55.65" customHeight="1" x14ac:dyDescent="0.25">
      <c r="A1299" s="1" t="s">
        <v>5045</v>
      </c>
      <c r="B1299" s="7" t="s">
        <v>5046</v>
      </c>
      <c r="C1299" s="7" t="s">
        <v>5039</v>
      </c>
      <c r="D1299" s="7" t="s">
        <v>5047</v>
      </c>
      <c r="E1299" s="7" t="s">
        <v>5037</v>
      </c>
      <c r="F1299" s="7" t="str">
        <f>HYPERLINK("http://www.eridano.net/","www.eridano.net")</f>
        <v>www.eridano.net</v>
      </c>
    </row>
    <row r="1300" spans="1:6" ht="81.75" customHeight="1" x14ac:dyDescent="0.25">
      <c r="A1300" s="1" t="s">
        <v>5049</v>
      </c>
      <c r="B1300" s="7" t="s">
        <v>5050</v>
      </c>
      <c r="C1300" s="7" t="s">
        <v>5039</v>
      </c>
      <c r="D1300" s="7" t="s">
        <v>5051</v>
      </c>
      <c r="E1300" s="7" t="s">
        <v>5037</v>
      </c>
      <c r="F1300" s="7" t="str">
        <f>HYPERLINK("http://www.gruppoterrae.it/","http://www.gruppoterrae.it")</f>
        <v>http://www.gruppoterrae.it</v>
      </c>
    </row>
    <row r="1301" spans="1:6" ht="29.55" customHeight="1" x14ac:dyDescent="0.25">
      <c r="A1301" s="6" t="s">
        <v>5052</v>
      </c>
      <c r="B1301" s="5" t="s">
        <v>5053</v>
      </c>
      <c r="C1301" s="5" t="s">
        <v>5043</v>
      </c>
      <c r="D1301" s="5" t="s">
        <v>5031</v>
      </c>
      <c r="E1301" s="5" t="s">
        <v>5032</v>
      </c>
      <c r="F1301" s="5" t="str">
        <f>HYPERLINK("http://monterinaldi.com/","monterinaldi.com")</f>
        <v>monterinaldi.com</v>
      </c>
    </row>
    <row r="1302" spans="1:6" ht="29.55" customHeight="1" x14ac:dyDescent="0.25">
      <c r="A1302" s="1" t="s">
        <v>5055</v>
      </c>
      <c r="B1302" s="7" t="s">
        <v>5056</v>
      </c>
      <c r="C1302" s="7" t="s">
        <v>5039</v>
      </c>
      <c r="D1302" s="7" t="s">
        <v>5057</v>
      </c>
      <c r="E1302" s="7" t="s">
        <v>5048</v>
      </c>
      <c r="F1302" s="7" t="str">
        <f>HYPERLINK("http://www.santacroceprodottitipici.it/","www.santacroceprodottitipici.it")</f>
        <v>www.santacroceprodottitipici.it</v>
      </c>
    </row>
    <row r="1303" spans="1:6" ht="29.55" customHeight="1" x14ac:dyDescent="0.25">
      <c r="A1303" s="1" t="s">
        <v>5058</v>
      </c>
      <c r="B1303" s="7" t="s">
        <v>5059</v>
      </c>
      <c r="C1303" s="7" t="s">
        <v>5060</v>
      </c>
      <c r="D1303" s="7" t="s">
        <v>5061</v>
      </c>
      <c r="E1303" s="7" t="s">
        <v>5040</v>
      </c>
      <c r="F1303" s="7" t="str">
        <f>HYPERLINK("http://www.agriturismograziosa.it/","www.agriturismograziosa.it")</f>
        <v>www.agriturismograziosa.it</v>
      </c>
    </row>
    <row r="1304" spans="1:6" ht="16.95" customHeight="1" x14ac:dyDescent="0.25">
      <c r="A1304" s="6" t="s">
        <v>5062</v>
      </c>
      <c r="B1304" s="5" t="s">
        <v>5063</v>
      </c>
      <c r="C1304" s="5" t="s">
        <v>5038</v>
      </c>
      <c r="D1304" s="5" t="s">
        <v>5054</v>
      </c>
      <c r="E1304" s="5" t="s">
        <v>5037</v>
      </c>
      <c r="F1304" s="5" t="str">
        <f>HYPERLINK("http://www.giordanigroup.it/","www.giordanigroup.it")</f>
        <v>www.giordanigroup.it</v>
      </c>
    </row>
    <row r="1305" spans="1:6" ht="29.55" customHeight="1" x14ac:dyDescent="0.25">
      <c r="A1305" s="1" t="s">
        <v>5064</v>
      </c>
      <c r="B1305" s="7" t="s">
        <v>5065</v>
      </c>
      <c r="C1305" s="7" t="s">
        <v>5039</v>
      </c>
      <c r="D1305" s="7" t="s">
        <v>5066</v>
      </c>
      <c r="E1305" s="7" t="s">
        <v>5040</v>
      </c>
      <c r="F1305" s="7" t="str">
        <f>HYPERLINK("http://www.fri-el.it/","www.fri-el.it")</f>
        <v>www.fri-el.it</v>
      </c>
    </row>
    <row r="1306" spans="1:6" ht="81.75" customHeight="1" x14ac:dyDescent="0.25">
      <c r="A1306" s="1" t="s">
        <v>5067</v>
      </c>
      <c r="B1306" s="7" t="s">
        <v>5068</v>
      </c>
      <c r="C1306" s="7" t="s">
        <v>5069</v>
      </c>
      <c r="D1306" s="7" t="s">
        <v>5070</v>
      </c>
      <c r="E1306" s="7" t="s">
        <v>5071</v>
      </c>
      <c r="F1306" s="7" t="str">
        <f>HYPERLINK("http://www.cozevio.it/","www.cozevio.it")</f>
        <v>www.cozevio.it</v>
      </c>
    </row>
    <row r="1307" spans="1:6" ht="29.55" customHeight="1" x14ac:dyDescent="0.25">
      <c r="A1307" s="6" t="s">
        <v>5072</v>
      </c>
      <c r="B1307" s="5" t="s">
        <v>5073</v>
      </c>
      <c r="C1307" s="5" t="s">
        <v>5074</v>
      </c>
      <c r="D1307" s="5" t="s">
        <v>5075</v>
      </c>
      <c r="E1307" s="5" t="s">
        <v>5076</v>
      </c>
      <c r="F1307" s="5" t="str">
        <f>HYPERLINK("http://www.enzazaden.com/","www.enzazaden.com")</f>
        <v>www.enzazaden.com</v>
      </c>
    </row>
    <row r="1308" spans="1:6" ht="29.55" customHeight="1" x14ac:dyDescent="0.25">
      <c r="A1308" s="1" t="s">
        <v>5077</v>
      </c>
      <c r="B1308" s="7" t="s">
        <v>5078</v>
      </c>
      <c r="C1308" s="7" t="s">
        <v>5079</v>
      </c>
      <c r="D1308" s="7" t="s">
        <v>5080</v>
      </c>
      <c r="E1308" s="7" t="s">
        <v>5081</v>
      </c>
      <c r="F1308" s="7" t="str">
        <f>HYPERLINK("http://www.agrinovaitalia.it/","www.agrinovaitalia.it")</f>
        <v>www.agrinovaitalia.it</v>
      </c>
    </row>
    <row r="1309" spans="1:6" ht="68.099999999999994" customHeight="1" x14ac:dyDescent="0.25">
      <c r="A1309" s="1" t="s">
        <v>5085</v>
      </c>
      <c r="B1309" s="7" t="s">
        <v>5086</v>
      </c>
      <c r="C1309" s="7" t="s">
        <v>5087</v>
      </c>
      <c r="D1309" s="7" t="s">
        <v>5088</v>
      </c>
      <c r="E1309" s="7" t="s">
        <v>5089</v>
      </c>
      <c r="F1309" s="7" t="str">
        <f>HYPERLINK("http://www.produttorinocciole.it/","www.produttorinocciole.it")</f>
        <v>www.produttorinocciole.it</v>
      </c>
    </row>
    <row r="1310" spans="1:6" ht="94.2" customHeight="1" x14ac:dyDescent="0.25">
      <c r="A1310" s="6" t="s">
        <v>5090</v>
      </c>
      <c r="B1310" s="5" t="s">
        <v>5091</v>
      </c>
      <c r="C1310" s="5" t="s">
        <v>5087</v>
      </c>
      <c r="D1310" s="5" t="s">
        <v>5092</v>
      </c>
      <c r="E1310" s="5" t="s">
        <v>5093</v>
      </c>
      <c r="F1310" s="5" t="str">
        <f>HYPERLINK("http://copropa.it/","copropa.it")</f>
        <v>copropa.it</v>
      </c>
    </row>
    <row r="1311" spans="1:6" ht="55.65" customHeight="1" x14ac:dyDescent="0.25">
      <c r="A1311" s="6" t="s">
        <v>5095</v>
      </c>
      <c r="B1311" s="5" t="s">
        <v>5096</v>
      </c>
      <c r="C1311" s="5" t="s">
        <v>5097</v>
      </c>
      <c r="D1311" s="5" t="s">
        <v>5098</v>
      </c>
      <c r="E1311" s="5" t="s">
        <v>5094</v>
      </c>
      <c r="F1311" s="5" t="str">
        <f>HYPERLINK("http://www.lestagioniditalia.it/","www.lestagioniditalia.it")</f>
        <v>www.lestagioniditalia.it</v>
      </c>
    </row>
    <row r="1312" spans="1:6" ht="29.55" customHeight="1" x14ac:dyDescent="0.25">
      <c r="A1312" s="1" t="s">
        <v>5099</v>
      </c>
      <c r="B1312" s="7" t="s">
        <v>5100</v>
      </c>
      <c r="C1312" s="7" t="s">
        <v>5101</v>
      </c>
      <c r="D1312" s="7" t="s">
        <v>5102</v>
      </c>
      <c r="E1312" s="7" t="s">
        <v>5103</v>
      </c>
      <c r="F1312" s="7" t="str">
        <f>HYPERLINK("http://palagetto.it/","palagetto.it")</f>
        <v>palagetto.it</v>
      </c>
    </row>
    <row r="1313" spans="1:6" ht="29.55" customHeight="1" x14ac:dyDescent="0.25">
      <c r="A1313" s="1" t="s">
        <v>5104</v>
      </c>
      <c r="B1313" s="7" t="s">
        <v>5105</v>
      </c>
      <c r="C1313" s="7" t="s">
        <v>5082</v>
      </c>
      <c r="D1313" s="7" t="s">
        <v>5088</v>
      </c>
      <c r="E1313" s="7" t="s">
        <v>5089</v>
      </c>
      <c r="F1313" s="7" t="str">
        <f>HYPERLINK("http://www.macellosocialevallebormida.it/","www.macellosocialevallebormida.it")</f>
        <v>www.macellosocialevallebormida.it</v>
      </c>
    </row>
    <row r="1314" spans="1:6" ht="16.95" customHeight="1" x14ac:dyDescent="0.25">
      <c r="A1314" s="1" t="s">
        <v>5106</v>
      </c>
      <c r="B1314" s="7" t="s">
        <v>5107</v>
      </c>
      <c r="C1314" s="7" t="s">
        <v>5097</v>
      </c>
      <c r="D1314" s="7" t="s">
        <v>5108</v>
      </c>
      <c r="E1314" s="7" t="s">
        <v>5071</v>
      </c>
      <c r="F1314" s="7" t="str">
        <f>HYPERLINK("http://www.bistrotaiduecedri.it/","www.bistrotaiduecedri.it")</f>
        <v>www.bistrotaiduecedri.it</v>
      </c>
    </row>
    <row r="1315" spans="1:6" ht="55.65" customHeight="1" x14ac:dyDescent="0.25">
      <c r="A1315" s="6" t="s">
        <v>5109</v>
      </c>
      <c r="B1315" s="5" t="s">
        <v>5110</v>
      </c>
      <c r="C1315" s="5" t="s">
        <v>5069</v>
      </c>
      <c r="D1315" s="5" t="s">
        <v>5111</v>
      </c>
      <c r="E1315" s="5" t="s">
        <v>5112</v>
      </c>
      <c r="F1315" s="5" t="str">
        <f>HYPERLINK("http://www.cooportofrutticolaandorese.it/","www.cooportofrutticolaandorese.it")</f>
        <v>www.cooportofrutticolaandorese.it</v>
      </c>
    </row>
    <row r="1316" spans="1:6" ht="43.05" customHeight="1" x14ac:dyDescent="0.25">
      <c r="A1316" s="6" t="s">
        <v>5114</v>
      </c>
      <c r="B1316" s="5" t="s">
        <v>5115</v>
      </c>
      <c r="C1316" s="5" t="s">
        <v>5101</v>
      </c>
      <c r="D1316" s="5" t="s">
        <v>5116</v>
      </c>
      <c r="E1316" s="5" t="s">
        <v>5084</v>
      </c>
      <c r="F1316" s="5" t="str">
        <f>HYPERLINK("http://www.cottanera.it/","www.cottanera.it")</f>
        <v>www.cottanera.it</v>
      </c>
    </row>
    <row r="1317" spans="1:6" ht="16.95" customHeight="1" x14ac:dyDescent="0.25">
      <c r="A1317" s="6" t="s">
        <v>5117</v>
      </c>
      <c r="B1317" s="5" t="s">
        <v>5118</v>
      </c>
      <c r="C1317" s="5" t="s">
        <v>5083</v>
      </c>
      <c r="D1317" s="5" t="s">
        <v>5119</v>
      </c>
      <c r="E1317" s="5" t="s">
        <v>5120</v>
      </c>
      <c r="F1317" s="5" t="str">
        <f>HYPERLINK("http://iumararelaxresort.it/","iumararelaxresort.it")</f>
        <v>iumararelaxresort.it</v>
      </c>
    </row>
    <row r="1318" spans="1:6" ht="43.05" customHeight="1" x14ac:dyDescent="0.25">
      <c r="A1318" s="1" t="s">
        <v>5121</v>
      </c>
      <c r="B1318" s="7" t="s">
        <v>5122</v>
      </c>
      <c r="C1318" s="7" t="s">
        <v>5087</v>
      </c>
      <c r="D1318" s="7" t="s">
        <v>5123</v>
      </c>
      <c r="E1318" s="7" t="s">
        <v>5124</v>
      </c>
      <c r="F1318" s="7" t="str">
        <f>HYPERLINK("http://www.ortofruttadeltrasimeno.it/","www.ortofruttadeltrasimeno.it")</f>
        <v>www.ortofruttadeltrasimeno.it</v>
      </c>
    </row>
    <row r="1319" spans="1:6" ht="16.95" customHeight="1" x14ac:dyDescent="0.25">
      <c r="A1319" s="1" t="s">
        <v>5125</v>
      </c>
      <c r="B1319" s="7" t="s">
        <v>5126</v>
      </c>
      <c r="C1319" s="7" t="s">
        <v>5113</v>
      </c>
      <c r="D1319" s="7" t="s">
        <v>5127</v>
      </c>
      <c r="E1319" s="7" t="s">
        <v>5094</v>
      </c>
      <c r="F1319" s="7" t="str">
        <f>HYPERLINK("http://cacisrl.it/","cacisrl.it")</f>
        <v>cacisrl.it</v>
      </c>
    </row>
    <row r="1320" spans="1:6" ht="16.95" customHeight="1" x14ac:dyDescent="0.25">
      <c r="A1320" s="6" t="s">
        <v>5128</v>
      </c>
      <c r="B1320" s="5" t="s">
        <v>5129</v>
      </c>
      <c r="C1320" s="5" t="s">
        <v>5069</v>
      </c>
      <c r="D1320" s="5" t="s">
        <v>5127</v>
      </c>
      <c r="E1320" s="5" t="s">
        <v>5094</v>
      </c>
      <c r="F1320" s="5" t="str">
        <f>HYPERLINK("http://www.itagroservizi.it/","www.itagroservizi.it")</f>
        <v>www.itagroservizi.it</v>
      </c>
    </row>
    <row r="1321" spans="1:6" ht="29.55" customHeight="1" x14ac:dyDescent="0.25">
      <c r="A1321" s="1" t="s">
        <v>5130</v>
      </c>
      <c r="B1321" s="7" t="s">
        <v>5131</v>
      </c>
      <c r="C1321" s="7" t="s">
        <v>5101</v>
      </c>
      <c r="D1321" s="7" t="s">
        <v>5102</v>
      </c>
      <c r="E1321" s="7" t="s">
        <v>5103</v>
      </c>
      <c r="F1321" s="7" t="str">
        <f>HYPERLINK("http://www.bindella.it/","www.bindella.it")</f>
        <v>www.bindella.it</v>
      </c>
    </row>
    <row r="1322" spans="1:6" ht="29.55" customHeight="1" x14ac:dyDescent="0.25">
      <c r="A1322" s="1" t="s">
        <v>5132</v>
      </c>
      <c r="B1322" s="7" t="s">
        <v>5133</v>
      </c>
      <c r="C1322" s="7" t="s">
        <v>5134</v>
      </c>
      <c r="D1322" s="7" t="s">
        <v>5135</v>
      </c>
      <c r="E1322" s="7" t="s">
        <v>5136</v>
      </c>
      <c r="F1322" s="7" t="str">
        <f>HYPERLINK("http://campagnola.com/","campagnola.com")</f>
        <v>campagnola.com</v>
      </c>
    </row>
    <row r="1323" spans="1:6" ht="55.65" customHeight="1" x14ac:dyDescent="0.25">
      <c r="A1323" s="6" t="s">
        <v>5137</v>
      </c>
      <c r="B1323" s="5" t="s">
        <v>5138</v>
      </c>
      <c r="C1323" s="5" t="s">
        <v>5134</v>
      </c>
      <c r="D1323" s="5" t="s">
        <v>5139</v>
      </c>
      <c r="E1323" s="5" t="s">
        <v>5140</v>
      </c>
      <c r="F1323" s="5" t="str">
        <f>HYPERLINK("http://www.borgolacaccia.it/","www.borgolacaccia.it")</f>
        <v>www.borgolacaccia.it</v>
      </c>
    </row>
    <row r="1324" spans="1:6" ht="94.2" customHeight="1" x14ac:dyDescent="0.25">
      <c r="A1324" s="6" t="s">
        <v>5141</v>
      </c>
      <c r="B1324" s="5" t="s">
        <v>5142</v>
      </c>
      <c r="C1324" s="5" t="s">
        <v>5143</v>
      </c>
      <c r="D1324" s="5" t="s">
        <v>5144</v>
      </c>
      <c r="E1324" s="5" t="s">
        <v>5145</v>
      </c>
      <c r="F1324" s="5" t="str">
        <f>HYPERLINK("http://www.palagioproducts.com/","www.palagioproducts.com")</f>
        <v>www.palagioproducts.com</v>
      </c>
    </row>
    <row r="1325" spans="1:6" ht="29.55" customHeight="1" x14ac:dyDescent="0.25">
      <c r="A1325" s="6" t="s">
        <v>5148</v>
      </c>
      <c r="B1325" s="5" t="s">
        <v>5149</v>
      </c>
      <c r="C1325" s="5" t="s">
        <v>5150</v>
      </c>
      <c r="D1325" s="5" t="s">
        <v>5139</v>
      </c>
      <c r="E1325" s="5" t="s">
        <v>5140</v>
      </c>
      <c r="F1325" s="5" t="str">
        <f>HYPERLINK("http://www.lissignolilavorazionicontoterzi.it/","http://www.lissignolilavorazionicontoterzi.it")</f>
        <v>http://www.lissignolilavorazionicontoterzi.it</v>
      </c>
    </row>
    <row r="1326" spans="1:6" ht="29.55" customHeight="1" x14ac:dyDescent="0.25">
      <c r="A1326" s="6" t="s">
        <v>5152</v>
      </c>
      <c r="B1326" s="5" t="s">
        <v>5153</v>
      </c>
      <c r="C1326" s="5" t="s">
        <v>5154</v>
      </c>
      <c r="D1326" s="5" t="s">
        <v>5155</v>
      </c>
      <c r="E1326" s="5" t="s">
        <v>5156</v>
      </c>
      <c r="F1326" s="5" t="str">
        <f>HYPERLINK("http://www.corilanga.it/","www.corilanga.it")</f>
        <v>www.corilanga.it</v>
      </c>
    </row>
    <row r="1327" spans="1:6" ht="29.55" customHeight="1" x14ac:dyDescent="0.25">
      <c r="A1327" s="1" t="s">
        <v>5157</v>
      </c>
      <c r="B1327" s="7" t="s">
        <v>5158</v>
      </c>
      <c r="C1327" s="7" t="s">
        <v>5147</v>
      </c>
      <c r="D1327" s="7" t="s">
        <v>5159</v>
      </c>
      <c r="E1327" s="7" t="s">
        <v>5136</v>
      </c>
      <c r="F1327" s="7" t="str">
        <f>HYPERLINK("http://www.puranatura.eu/","www.puranatura.eu")</f>
        <v>www.puranatura.eu</v>
      </c>
    </row>
    <row r="1328" spans="1:6" ht="43.05" customHeight="1" x14ac:dyDescent="0.25">
      <c r="A1328" s="1" t="s">
        <v>5160</v>
      </c>
      <c r="B1328" s="7" t="s">
        <v>5161</v>
      </c>
      <c r="C1328" s="7" t="s">
        <v>5162</v>
      </c>
      <c r="D1328" s="7" t="s">
        <v>5163</v>
      </c>
      <c r="E1328" s="7" t="s">
        <v>5164</v>
      </c>
      <c r="F1328" s="7" t="str">
        <f>HYPERLINK("http://www.coopcampotenese.it/","www.coopcampotenese.it")</f>
        <v>www.coopcampotenese.it</v>
      </c>
    </row>
    <row r="1329" spans="1:6" ht="29.55" customHeight="1" x14ac:dyDescent="0.25">
      <c r="A1329" s="1" t="s">
        <v>5165</v>
      </c>
      <c r="B1329" s="7" t="s">
        <v>5166</v>
      </c>
      <c r="C1329" s="7" t="s">
        <v>5162</v>
      </c>
      <c r="D1329" s="7" t="s">
        <v>5167</v>
      </c>
      <c r="E1329" s="7" t="s">
        <v>5168</v>
      </c>
      <c r="F1329" s="7" t="str">
        <f>HYPERLINK("http://www.facebook.com/caseificiomazzarelli/","www.facebook.com/caseificiomazzarelli/")</f>
        <v>www.facebook.com/caseificiomazzarelli/</v>
      </c>
    </row>
    <row r="1330" spans="1:6" ht="81.75" customHeight="1" x14ac:dyDescent="0.25">
      <c r="A1330" s="6" t="s">
        <v>5169</v>
      </c>
      <c r="B1330" s="5" t="s">
        <v>5170</v>
      </c>
      <c r="C1330" s="5" t="s">
        <v>5171</v>
      </c>
      <c r="D1330" s="5" t="s">
        <v>5159</v>
      </c>
      <c r="E1330" s="5" t="s">
        <v>5136</v>
      </c>
      <c r="F1330" s="5" t="str">
        <f>HYPERLINK("http://www.tabacchicoltorimontegrappa.it/","www.tabacchicoltorimontegrappa.it")</f>
        <v>www.tabacchicoltorimontegrappa.it</v>
      </c>
    </row>
    <row r="1331" spans="1:6" ht="29.55" customHeight="1" x14ac:dyDescent="0.25">
      <c r="A1331" s="1" t="s">
        <v>5172</v>
      </c>
      <c r="B1331" s="7" t="s">
        <v>5173</v>
      </c>
      <c r="C1331" s="7" t="s">
        <v>5174</v>
      </c>
      <c r="D1331" s="7" t="s">
        <v>5175</v>
      </c>
      <c r="E1331" s="7" t="s">
        <v>5176</v>
      </c>
      <c r="F1331" s="7" t="str">
        <f>HYPERLINK("http://griesser.bz/","griesser.bz")</f>
        <v>griesser.bz</v>
      </c>
    </row>
    <row r="1332" spans="1:6" ht="16.95" customHeight="1" x14ac:dyDescent="0.25">
      <c r="A1332" s="6" t="s">
        <v>5177</v>
      </c>
      <c r="B1332" s="5" t="s">
        <v>5178</v>
      </c>
      <c r="C1332" s="5" t="s">
        <v>5179</v>
      </c>
      <c r="D1332" s="5" t="s">
        <v>5163</v>
      </c>
      <c r="E1332" s="5" t="s">
        <v>5164</v>
      </c>
      <c r="F1332" s="5" t="str">
        <f>HYPERLINK("http://www.fullagricola.com/","www.fullagricola.com")</f>
        <v>www.fullagricola.com</v>
      </c>
    </row>
    <row r="1333" spans="1:6" ht="16.95" customHeight="1" x14ac:dyDescent="0.25">
      <c r="A1333" s="6" t="s">
        <v>5181</v>
      </c>
      <c r="B1333" s="5" t="s">
        <v>5182</v>
      </c>
      <c r="C1333" s="5" t="s">
        <v>5183</v>
      </c>
      <c r="D1333" s="5" t="s">
        <v>5184</v>
      </c>
      <c r="E1333" s="5" t="s">
        <v>5140</v>
      </c>
      <c r="F1333" s="5" t="str">
        <f>HYPERLINK("http://www.orosem.it/","www.orosem.it")</f>
        <v>www.orosem.it</v>
      </c>
    </row>
    <row r="1334" spans="1:6" ht="55.65" customHeight="1" x14ac:dyDescent="0.25">
      <c r="A1334" s="1" t="s">
        <v>5185</v>
      </c>
      <c r="B1334" s="7" t="s">
        <v>5186</v>
      </c>
      <c r="C1334" s="7" t="s">
        <v>5187</v>
      </c>
      <c r="D1334" s="7" t="s">
        <v>5167</v>
      </c>
      <c r="E1334" s="7" t="s">
        <v>5168</v>
      </c>
      <c r="F1334" s="7" t="str">
        <f>HYPERLINK("http://www.agrocarnestore.it/","www.agrocarnestore.it")</f>
        <v>www.agrocarnestore.it</v>
      </c>
    </row>
    <row r="1335" spans="1:6" ht="29.55" customHeight="1" x14ac:dyDescent="0.25">
      <c r="A1335" s="1" t="s">
        <v>5188</v>
      </c>
      <c r="B1335" s="7" t="s">
        <v>5189</v>
      </c>
      <c r="C1335" s="7" t="s">
        <v>5143</v>
      </c>
      <c r="D1335" s="7" t="s">
        <v>5190</v>
      </c>
      <c r="E1335" s="7" t="s">
        <v>5151</v>
      </c>
      <c r="F1335" s="7" t="str">
        <f>HYPERLINK("http://www.giovanicoltivatori.it/","www.giovanicoltivatori.it")</f>
        <v>www.giovanicoltivatori.it</v>
      </c>
    </row>
    <row r="1336" spans="1:6" ht="29.55" customHeight="1" x14ac:dyDescent="0.25">
      <c r="A1336" s="6" t="s">
        <v>5191</v>
      </c>
      <c r="B1336" s="5" t="s">
        <v>5192</v>
      </c>
      <c r="C1336" s="5" t="s">
        <v>5162</v>
      </c>
      <c r="D1336" s="5" t="s">
        <v>5193</v>
      </c>
      <c r="E1336" s="5" t="s">
        <v>5140</v>
      </c>
      <c r="F1336" s="5" t="str">
        <f>HYPERLINK("http://www.fattoriesanlorenzo.it/","www.fattoriesanlorenzo.it")</f>
        <v>www.fattoriesanlorenzo.it</v>
      </c>
    </row>
    <row r="1337" spans="1:6" ht="29.55" customHeight="1" x14ac:dyDescent="0.25">
      <c r="A1337" s="6" t="s">
        <v>5194</v>
      </c>
      <c r="B1337" s="5" t="s">
        <v>5195</v>
      </c>
      <c r="C1337" s="5" t="s">
        <v>5147</v>
      </c>
      <c r="D1337" s="5" t="s">
        <v>5196</v>
      </c>
      <c r="E1337" s="5" t="s">
        <v>5140</v>
      </c>
      <c r="F1337" s="5" t="str">
        <f>HYPERLINK("http://www.crocedottoreagronomo.it/","www.crocedottoreagronomo.it")</f>
        <v>www.crocedottoreagronomo.it</v>
      </c>
    </row>
    <row r="1338" spans="1:6" ht="68.099999999999994" customHeight="1" x14ac:dyDescent="0.25">
      <c r="A1338" s="6" t="s">
        <v>5197</v>
      </c>
      <c r="B1338" s="5" t="s">
        <v>5198</v>
      </c>
      <c r="C1338" s="5" t="s">
        <v>5146</v>
      </c>
      <c r="D1338" s="5" t="s">
        <v>5199</v>
      </c>
      <c r="E1338" s="5" t="s">
        <v>5180</v>
      </c>
      <c r="F1338" s="5" t="str">
        <f>HYPERLINK("http://www.arapicoltori.com/","www.arapicoltori.com")</f>
        <v>www.arapicoltori.com</v>
      </c>
    </row>
    <row r="1339" spans="1:6" ht="29.55" customHeight="1" x14ac:dyDescent="0.25">
      <c r="A1339" s="6" t="s">
        <v>5200</v>
      </c>
      <c r="B1339" s="5" t="s">
        <v>5201</v>
      </c>
      <c r="C1339" s="5" t="s">
        <v>5150</v>
      </c>
      <c r="D1339" s="5" t="s">
        <v>5202</v>
      </c>
      <c r="E1339" s="5" t="s">
        <v>5203</v>
      </c>
      <c r="F1339" s="5" t="str">
        <f>HYPERLINK("http://www.coopsantasabina.it/","www.coopsantasabina.it")</f>
        <v>www.coopsantasabina.it</v>
      </c>
    </row>
    <row r="1340" spans="1:6" ht="81.75" customHeight="1" x14ac:dyDescent="0.25">
      <c r="A1340" s="1" t="s">
        <v>5204</v>
      </c>
      <c r="B1340" s="7" t="s">
        <v>5205</v>
      </c>
      <c r="C1340" s="7" t="s">
        <v>5206</v>
      </c>
      <c r="D1340" s="7" t="s">
        <v>5207</v>
      </c>
      <c r="E1340" s="7" t="s">
        <v>5208</v>
      </c>
      <c r="F1340" s="7" t="str">
        <f>HYPERLINK("http://www.oliopog.it/","www.oliopog.it")</f>
        <v>www.oliopog.it</v>
      </c>
    </row>
    <row r="1341" spans="1:6" ht="29.55" customHeight="1" x14ac:dyDescent="0.25">
      <c r="A1341" s="6" t="s">
        <v>5211</v>
      </c>
      <c r="B1341" s="5" t="s">
        <v>5212</v>
      </c>
      <c r="C1341" s="5" t="s">
        <v>5210</v>
      </c>
      <c r="D1341" s="5" t="s">
        <v>5213</v>
      </c>
      <c r="E1341" s="5" t="s">
        <v>5214</v>
      </c>
      <c r="F1341" s="5" t="str">
        <f>HYPERLINK("http://ovofrescosanmartino.com/","ovofrescosanmartino.com")</f>
        <v>ovofrescosanmartino.com</v>
      </c>
    </row>
    <row r="1342" spans="1:6" ht="29.55" customHeight="1" x14ac:dyDescent="0.25">
      <c r="A1342" s="6" t="s">
        <v>5217</v>
      </c>
      <c r="B1342" s="5" t="s">
        <v>5218</v>
      </c>
      <c r="C1342" s="5" t="s">
        <v>5219</v>
      </c>
      <c r="D1342" s="5" t="s">
        <v>5220</v>
      </c>
      <c r="E1342" s="5" t="s">
        <v>5221</v>
      </c>
      <c r="F1342" s="5" t="str">
        <f>HYPERLINK("http://www.lamassa.com/","www.lamassa.com")</f>
        <v>www.lamassa.com</v>
      </c>
    </row>
    <row r="1343" spans="1:6" ht="43.05" customHeight="1" x14ac:dyDescent="0.25">
      <c r="A1343" s="1" t="s">
        <v>5222</v>
      </c>
      <c r="B1343" s="7" t="s">
        <v>5223</v>
      </c>
      <c r="C1343" s="7" t="s">
        <v>5224</v>
      </c>
      <c r="D1343" s="7" t="s">
        <v>5225</v>
      </c>
      <c r="E1343" s="7" t="s">
        <v>5226</v>
      </c>
      <c r="F1343" s="7" t="str">
        <f>HYPERLINK("http://disciplinare.allevatoricalabriabasilicata.it/","disciplinare.allevatoricalabriabasilicata.it")</f>
        <v>disciplinare.allevatoricalabriabasilicata.it</v>
      </c>
    </row>
    <row r="1344" spans="1:6" ht="29.55" customHeight="1" x14ac:dyDescent="0.25">
      <c r="A1344" s="6" t="s">
        <v>5228</v>
      </c>
      <c r="B1344" s="5" t="s">
        <v>5229</v>
      </c>
      <c r="C1344" s="5" t="s">
        <v>5219</v>
      </c>
      <c r="D1344" s="5" t="s">
        <v>5230</v>
      </c>
      <c r="E1344" s="5" t="s">
        <v>5231</v>
      </c>
      <c r="F1344" s="5" t="str">
        <f>HYPERLINK("http://www.opera02.it/","www.opera02.it")</f>
        <v>www.opera02.it</v>
      </c>
    </row>
    <row r="1345" spans="1:6" ht="43.05" customHeight="1" x14ac:dyDescent="0.25">
      <c r="A1345" s="1" t="s">
        <v>5232</v>
      </c>
      <c r="B1345" s="7" t="s">
        <v>5233</v>
      </c>
      <c r="C1345" s="7" t="s">
        <v>5215</v>
      </c>
      <c r="D1345" s="7" t="s">
        <v>5234</v>
      </c>
      <c r="E1345" s="7" t="s">
        <v>5235</v>
      </c>
      <c r="F1345" s="7" t="str">
        <f>HYPERLINK("http://www.roccacoop.com/","www.roccacoop.com")</f>
        <v>www.roccacoop.com</v>
      </c>
    </row>
    <row r="1346" spans="1:6" ht="29.55" customHeight="1" x14ac:dyDescent="0.25">
      <c r="A1346" s="6" t="s">
        <v>5236</v>
      </c>
      <c r="B1346" s="5" t="s">
        <v>5237</v>
      </c>
      <c r="C1346" s="5" t="s">
        <v>5238</v>
      </c>
      <c r="D1346" s="5" t="s">
        <v>5227</v>
      </c>
      <c r="E1346" s="5" t="s">
        <v>5216</v>
      </c>
      <c r="F1346" s="5" t="str">
        <f>HYPERLINK("http://www.milanosementi.it/","www.milanosementi.it")</f>
        <v>www.milanosementi.it</v>
      </c>
    </row>
    <row r="1347" spans="1:6" ht="16.95" customHeight="1" x14ac:dyDescent="0.25">
      <c r="A1347" s="6" t="s">
        <v>5239</v>
      </c>
      <c r="B1347" s="5" t="s">
        <v>5240</v>
      </c>
      <c r="C1347" s="5" t="s">
        <v>5215</v>
      </c>
      <c r="D1347" s="5" t="s">
        <v>5241</v>
      </c>
      <c r="E1347" s="5" t="s">
        <v>5216</v>
      </c>
      <c r="F1347" s="5" t="str">
        <f>HYPERLINK("http://www.biagiadeliostrade.it/","www.biagiadeliostrade.it")</f>
        <v>www.biagiadeliostrade.it</v>
      </c>
    </row>
    <row r="1348" spans="1:6" ht="29.55" customHeight="1" x14ac:dyDescent="0.25">
      <c r="A1348" s="6" t="s">
        <v>5242</v>
      </c>
      <c r="B1348" s="5" t="s">
        <v>5243</v>
      </c>
      <c r="C1348" s="5" t="s">
        <v>5244</v>
      </c>
      <c r="D1348" s="5" t="s">
        <v>5245</v>
      </c>
      <c r="E1348" s="5" t="s">
        <v>5214</v>
      </c>
      <c r="F1348" s="5" t="str">
        <f>HYPERLINK("http://www.titignano.com/","www.titignano.com")</f>
        <v>www.titignano.com</v>
      </c>
    </row>
    <row r="1349" spans="1:6" ht="29.55" customHeight="1" x14ac:dyDescent="0.25">
      <c r="A1349" s="1" t="s">
        <v>5246</v>
      </c>
      <c r="B1349" s="7" t="s">
        <v>5247</v>
      </c>
      <c r="C1349" s="7" t="s">
        <v>5209</v>
      </c>
      <c r="D1349" s="7" t="s">
        <v>5248</v>
      </c>
      <c r="E1349" s="7" t="s">
        <v>5249</v>
      </c>
      <c r="F1349" s="7" t="str">
        <f>HYPERLINK("http://www.laterraeilcielo.it/","www.laterraeilcielo.it")</f>
        <v>www.laterraeilcielo.it</v>
      </c>
    </row>
    <row r="1350" spans="1:6" ht="55.65" customHeight="1" x14ac:dyDescent="0.25">
      <c r="A1350" s="6" t="s">
        <v>5250</v>
      </c>
      <c r="B1350" s="5" t="s">
        <v>5251</v>
      </c>
      <c r="C1350" s="5" t="s">
        <v>5206</v>
      </c>
      <c r="D1350" s="5" t="s">
        <v>5252</v>
      </c>
      <c r="E1350" s="5" t="s">
        <v>5253</v>
      </c>
      <c r="F1350" s="5" t="str">
        <f>HYPERLINK("http://neustift.portal.kellereien.it/","neustift.portal.kellereien.it")</f>
        <v>neustift.portal.kellereien.it</v>
      </c>
    </row>
    <row r="1351" spans="1:6" ht="55.65" customHeight="1" x14ac:dyDescent="0.25">
      <c r="A1351" s="1" t="s">
        <v>5254</v>
      </c>
      <c r="B1351" s="7" t="s">
        <v>5255</v>
      </c>
      <c r="C1351" s="7" t="s">
        <v>5219</v>
      </c>
      <c r="D1351" s="7" t="s">
        <v>5256</v>
      </c>
      <c r="E1351" s="7" t="s">
        <v>5231</v>
      </c>
      <c r="F1351" s="7" t="str">
        <f>HYPERLINK("http://luretta.com/","luretta.com")</f>
        <v>luretta.com</v>
      </c>
    </row>
    <row r="1352" spans="1:6" ht="16.95" customHeight="1" x14ac:dyDescent="0.25">
      <c r="A1352" s="1" t="s">
        <v>5257</v>
      </c>
      <c r="B1352" s="7" t="s">
        <v>5258</v>
      </c>
      <c r="C1352" s="7" t="s">
        <v>5215</v>
      </c>
      <c r="D1352" s="7" t="s">
        <v>5207</v>
      </c>
      <c r="E1352" s="7" t="s">
        <v>5208</v>
      </c>
      <c r="F1352" s="7" t="str">
        <f>HYPERLINK("http://www.volortofrutta.it/","www.volortofrutta.it")</f>
        <v>www.volortofrutta.it</v>
      </c>
    </row>
    <row r="1353" spans="1:6" ht="43.05" customHeight="1" x14ac:dyDescent="0.25">
      <c r="A1353" s="1" t="s">
        <v>5259</v>
      </c>
      <c r="B1353" s="7" t="s">
        <v>5260</v>
      </c>
      <c r="C1353" s="7" t="s">
        <v>5261</v>
      </c>
      <c r="D1353" s="7" t="s">
        <v>5262</v>
      </c>
      <c r="E1353" s="7" t="s">
        <v>5263</v>
      </c>
      <c r="F1353" s="7" t="str">
        <f>HYPERLINK("http://aloislageder.eu/eventlocation-de","aloislageder.eu/eventlocation-de")</f>
        <v>aloislageder.eu/eventlocation-de</v>
      </c>
    </row>
    <row r="1354" spans="1:6" ht="16.95" customHeight="1" x14ac:dyDescent="0.25">
      <c r="A1354" s="1" t="s">
        <v>5266</v>
      </c>
      <c r="B1354" s="7" t="s">
        <v>5267</v>
      </c>
      <c r="C1354" s="7" t="s">
        <v>5268</v>
      </c>
      <c r="D1354" s="7" t="s">
        <v>5269</v>
      </c>
      <c r="E1354" s="7" t="s">
        <v>5270</v>
      </c>
      <c r="F1354" s="7" t="str">
        <f>HYPERLINK("http://www.villaggiodellasalutepiu.it/","www.villaggiodellasalutepiu.it")</f>
        <v>www.villaggiodellasalutepiu.it</v>
      </c>
    </row>
    <row r="1355" spans="1:6" ht="55.65" customHeight="1" x14ac:dyDescent="0.25">
      <c r="A1355" s="6" t="s">
        <v>5271</v>
      </c>
      <c r="B1355" s="5" t="s">
        <v>5272</v>
      </c>
      <c r="C1355" s="5" t="s">
        <v>5273</v>
      </c>
      <c r="D1355" s="5" t="s">
        <v>5274</v>
      </c>
      <c r="E1355" s="5" t="s">
        <v>5265</v>
      </c>
      <c r="F1355" s="5" t="str">
        <f>HYPERLINK("http://www.oleificioserranova.it/","www.oleificioserranova.it")</f>
        <v>www.oleificioserranova.it</v>
      </c>
    </row>
    <row r="1356" spans="1:6" ht="29.55" customHeight="1" x14ac:dyDescent="0.25">
      <c r="A1356" s="1" t="s">
        <v>5275</v>
      </c>
      <c r="B1356" s="7" t="s">
        <v>5276</v>
      </c>
      <c r="C1356" s="7" t="s">
        <v>5277</v>
      </c>
      <c r="D1356" s="7" t="s">
        <v>5278</v>
      </c>
      <c r="E1356" s="7" t="s">
        <v>5265</v>
      </c>
      <c r="F1356" s="7" t="str">
        <f>HYPERLINK("http://www.aziendadipietro.it/","www.aziendadipietro.it")</f>
        <v>www.aziendadipietro.it</v>
      </c>
    </row>
    <row r="1357" spans="1:6" ht="29.55" customHeight="1" x14ac:dyDescent="0.25">
      <c r="A1357" s="1" t="s">
        <v>5279</v>
      </c>
      <c r="B1357" s="7" t="s">
        <v>5280</v>
      </c>
      <c r="C1357" s="7" t="s">
        <v>5281</v>
      </c>
      <c r="D1357" s="7" t="s">
        <v>5274</v>
      </c>
      <c r="E1357" s="7" t="s">
        <v>5265</v>
      </c>
      <c r="F1357" s="7" t="str">
        <f>HYPERLINK("http://www.agricolalatianese.it/","www.agricolalatianese.it")</f>
        <v>www.agricolalatianese.it</v>
      </c>
    </row>
    <row r="1358" spans="1:6" ht="29.55" customHeight="1" x14ac:dyDescent="0.25">
      <c r="A1358" s="1" t="s">
        <v>5283</v>
      </c>
      <c r="B1358" s="7" t="s">
        <v>5284</v>
      </c>
      <c r="C1358" s="7" t="s">
        <v>5281</v>
      </c>
      <c r="D1358" s="7" t="s">
        <v>5285</v>
      </c>
      <c r="E1358" s="7" t="s">
        <v>5286</v>
      </c>
      <c r="F1358" s="7" t="str">
        <f>HYPERLINK("http://poggiotondowines.com/","poggiotondowines.com")</f>
        <v>poggiotondowines.com</v>
      </c>
    </row>
    <row r="1359" spans="1:6" ht="29.55" customHeight="1" x14ac:dyDescent="0.25">
      <c r="A1359" s="6" t="s">
        <v>5287</v>
      </c>
      <c r="B1359" s="5" t="s">
        <v>5288</v>
      </c>
      <c r="C1359" s="5" t="s">
        <v>5289</v>
      </c>
      <c r="D1359" s="5" t="s">
        <v>5290</v>
      </c>
      <c r="E1359" s="5" t="s">
        <v>5291</v>
      </c>
      <c r="F1359" s="5" t="str">
        <f>HYPERLINK("http://www.fruttabysud.it/","www.fruttabysud.it")</f>
        <v>www.fruttabysud.it</v>
      </c>
    </row>
    <row r="1360" spans="1:6" ht="16.95" customHeight="1" x14ac:dyDescent="0.25">
      <c r="A1360" s="1" t="s">
        <v>5295</v>
      </c>
      <c r="B1360" s="7" t="s">
        <v>5296</v>
      </c>
      <c r="C1360" s="7" t="s">
        <v>5273</v>
      </c>
      <c r="D1360" s="7" t="s">
        <v>5297</v>
      </c>
      <c r="E1360" s="7" t="s">
        <v>5294</v>
      </c>
      <c r="F1360" s="7" t="str">
        <f>HYPERLINK("http://www.tecnovite.biz/","www.tecnovite.biz")</f>
        <v>www.tecnovite.biz</v>
      </c>
    </row>
    <row r="1361" spans="1:6" ht="29.55" customHeight="1" x14ac:dyDescent="0.25">
      <c r="A1361" s="6" t="s">
        <v>5298</v>
      </c>
      <c r="B1361" s="5" t="s">
        <v>5299</v>
      </c>
      <c r="C1361" s="5" t="s">
        <v>5300</v>
      </c>
      <c r="D1361" s="5" t="s">
        <v>5293</v>
      </c>
      <c r="E1361" s="5" t="s">
        <v>5294</v>
      </c>
      <c r="F1361" s="5" t="str">
        <f>HYPERLINK("http://www.robertomazzi.it/","www.robertomazzi.it")</f>
        <v>www.robertomazzi.it</v>
      </c>
    </row>
    <row r="1362" spans="1:6" ht="29.55" customHeight="1" x14ac:dyDescent="0.25">
      <c r="A1362" s="6" t="s">
        <v>5301</v>
      </c>
      <c r="B1362" s="5" t="s">
        <v>5302</v>
      </c>
      <c r="C1362" s="5" t="s">
        <v>5264</v>
      </c>
      <c r="D1362" s="5" t="s">
        <v>5278</v>
      </c>
      <c r="E1362" s="5" t="s">
        <v>5265</v>
      </c>
      <c r="F1362" s="5" t="str">
        <f>HYPERLINK("http://www.naturbio.it/","www.naturbio.it")</f>
        <v>www.naturbio.it</v>
      </c>
    </row>
    <row r="1363" spans="1:6" ht="29.55" customHeight="1" x14ac:dyDescent="0.25">
      <c r="A1363" s="6" t="s">
        <v>5304</v>
      </c>
      <c r="B1363" s="5" t="s">
        <v>5305</v>
      </c>
      <c r="C1363" s="5" t="s">
        <v>5281</v>
      </c>
      <c r="D1363" s="5" t="s">
        <v>5306</v>
      </c>
      <c r="E1363" s="5" t="s">
        <v>5303</v>
      </c>
      <c r="F1363" s="5" t="str">
        <f>HYPERLINK("http://www.quadrafranciacorta.it/ristorante","www.quadrafranciacorta.it/ristorante")</f>
        <v>www.quadrafranciacorta.it/ristorante</v>
      </c>
    </row>
    <row r="1364" spans="1:6" ht="16.95" customHeight="1" x14ac:dyDescent="0.25">
      <c r="A1364" s="6" t="s">
        <v>5307</v>
      </c>
      <c r="B1364" s="5" t="s">
        <v>5308</v>
      </c>
      <c r="C1364" s="5" t="s">
        <v>5309</v>
      </c>
      <c r="D1364" s="5" t="s">
        <v>5310</v>
      </c>
      <c r="E1364" s="5" t="s">
        <v>5311</v>
      </c>
      <c r="F1364" s="5" t="str">
        <f>HYPERLINK("http://www.avicolasalernitanasrl.it/","www.avicolasalernitanasrl.it")</f>
        <v>www.avicolasalernitanasrl.it</v>
      </c>
    </row>
    <row r="1365" spans="1:6" ht="106.65" customHeight="1" x14ac:dyDescent="0.25">
      <c r="A1365" s="6" t="s">
        <v>5312</v>
      </c>
      <c r="B1365" s="5" t="s">
        <v>5313</v>
      </c>
      <c r="C1365" s="5" t="s">
        <v>5281</v>
      </c>
      <c r="D1365" s="5" t="s">
        <v>5314</v>
      </c>
      <c r="E1365" s="5" t="s">
        <v>5282</v>
      </c>
      <c r="F1365" s="5" t="str">
        <f>HYPERLINK("http://www.agricolacortese.com/","www.agricolacortese.com")</f>
        <v>www.agricolacortese.com</v>
      </c>
    </row>
    <row r="1366" spans="1:6" ht="29.55" customHeight="1" x14ac:dyDescent="0.25">
      <c r="A1366" s="6" t="s">
        <v>5315</v>
      </c>
      <c r="B1366" s="5" t="s">
        <v>5316</v>
      </c>
      <c r="C1366" s="5" t="s">
        <v>5317</v>
      </c>
      <c r="D1366" s="5" t="s">
        <v>5310</v>
      </c>
      <c r="E1366" s="5" t="s">
        <v>5311</v>
      </c>
      <c r="F1366" s="5" t="str">
        <f>HYPERLINK("http://bs-societa-agricola-srl-04891340657.quantofattura.com/","bs-societa-agricola-srl-04891340657.quantofattura.com")</f>
        <v>bs-societa-agricola-srl-04891340657.quantofattura.com</v>
      </c>
    </row>
    <row r="1367" spans="1:6" ht="29.55" customHeight="1" x14ac:dyDescent="0.25">
      <c r="A1367" s="1" t="s">
        <v>5318</v>
      </c>
      <c r="B1367" s="7" t="s">
        <v>5319</v>
      </c>
      <c r="C1367" s="7" t="s">
        <v>5292</v>
      </c>
      <c r="D1367" s="7" t="s">
        <v>5320</v>
      </c>
      <c r="E1367" s="7" t="s">
        <v>5321</v>
      </c>
      <c r="F1367" s="7" t="str">
        <f>HYPERLINK("http://www.cuoredetruria.it/","www.cuoredetruria.it")</f>
        <v>www.cuoredetruria.it</v>
      </c>
    </row>
    <row r="1368" spans="1:6" ht="29.55" customHeight="1" x14ac:dyDescent="0.25">
      <c r="A1368" s="6" t="s">
        <v>5322</v>
      </c>
      <c r="B1368" s="5" t="s">
        <v>5323</v>
      </c>
      <c r="C1368" s="5" t="s">
        <v>5281</v>
      </c>
      <c r="D1368" s="5" t="s">
        <v>5324</v>
      </c>
      <c r="E1368" s="5" t="s">
        <v>5286</v>
      </c>
      <c r="F1368" s="5" t="str">
        <f>HYPERLINK("http://cacciaalpiano.it/","cacciaalpiano.it")</f>
        <v>cacciaalpiano.it</v>
      </c>
    </row>
    <row r="1369" spans="1:6" ht="16.95" customHeight="1" x14ac:dyDescent="0.25">
      <c r="A1369" s="1" t="s">
        <v>5325</v>
      </c>
      <c r="B1369" s="7" t="s">
        <v>5326</v>
      </c>
      <c r="C1369" s="7" t="s">
        <v>5273</v>
      </c>
      <c r="D1369" s="7" t="s">
        <v>5327</v>
      </c>
      <c r="E1369" s="7" t="s">
        <v>5328</v>
      </c>
      <c r="F1369" s="7" t="str">
        <f>HYPERLINK("http://www.segasidda-pisoni.com/","www.segasidda-pisoni.com")</f>
        <v>www.segasidda-pisoni.com</v>
      </c>
    </row>
    <row r="1370" spans="1:6" ht="29.55" customHeight="1" x14ac:dyDescent="0.25">
      <c r="A1370" s="6" t="s">
        <v>5332</v>
      </c>
      <c r="B1370" s="5" t="s">
        <v>5333</v>
      </c>
      <c r="C1370" s="5" t="s">
        <v>5334</v>
      </c>
      <c r="D1370" s="5" t="s">
        <v>5335</v>
      </c>
      <c r="E1370" s="5" t="s">
        <v>5336</v>
      </c>
      <c r="F1370" s="5" t="str">
        <f>HYPERLINK("http://www.abcmarsala.it/","www.abcmarsala.it")</f>
        <v>www.abcmarsala.it</v>
      </c>
    </row>
    <row r="1371" spans="1:6" ht="29.55" customHeight="1" x14ac:dyDescent="0.25">
      <c r="A1371" s="6" t="s">
        <v>5339</v>
      </c>
      <c r="B1371" s="5" t="s">
        <v>5340</v>
      </c>
      <c r="C1371" s="5" t="s">
        <v>5341</v>
      </c>
      <c r="D1371" s="5" t="s">
        <v>5330</v>
      </c>
      <c r="E1371" s="5" t="s">
        <v>5331</v>
      </c>
      <c r="F1371" s="5" t="str">
        <f>HYPERLINK("http://www.bsinvest.it/","www.bsinvest.it")</f>
        <v>www.bsinvest.it</v>
      </c>
    </row>
    <row r="1372" spans="1:6" ht="29.55" customHeight="1" x14ac:dyDescent="0.25">
      <c r="A1372" s="6" t="s">
        <v>5344</v>
      </c>
      <c r="B1372" s="5" t="s">
        <v>5345</v>
      </c>
      <c r="C1372" s="5" t="s">
        <v>5346</v>
      </c>
      <c r="D1372" s="5" t="s">
        <v>5347</v>
      </c>
      <c r="E1372" s="5" t="s">
        <v>5348</v>
      </c>
      <c r="F1372" s="5" t="str">
        <f>HYPERLINK("http://usa.angoris.com/","usa.angoris.com")</f>
        <v>usa.angoris.com</v>
      </c>
    </row>
    <row r="1373" spans="1:6" ht="29.55" customHeight="1" x14ac:dyDescent="0.25">
      <c r="A1373" s="1" t="s">
        <v>5350</v>
      </c>
      <c r="B1373" s="7" t="s">
        <v>5351</v>
      </c>
      <c r="C1373" s="7" t="s">
        <v>5329</v>
      </c>
      <c r="D1373" s="7" t="s">
        <v>5352</v>
      </c>
      <c r="E1373" s="7" t="s">
        <v>5353</v>
      </c>
      <c r="F1373" s="7" t="str">
        <f>HYPERLINK("http://www.tremonti.it/","http://www.tremonti.it")</f>
        <v>http://www.tremonti.it</v>
      </c>
    </row>
    <row r="1374" spans="1:6" ht="55.65" customHeight="1" x14ac:dyDescent="0.25">
      <c r="A1374" s="6" t="s">
        <v>5354</v>
      </c>
      <c r="B1374" s="5" t="s">
        <v>5355</v>
      </c>
      <c r="C1374" s="5" t="s">
        <v>5342</v>
      </c>
      <c r="D1374" s="5" t="s">
        <v>5356</v>
      </c>
      <c r="E1374" s="5" t="s">
        <v>5343</v>
      </c>
      <c r="F1374" s="5" t="str">
        <f>HYPERLINK("http://www.spacciodelcontadino.100botteghe.it/","www.spacciodelcontadino.100botteghe.it")</f>
        <v>www.spacciodelcontadino.100botteghe.it</v>
      </c>
    </row>
    <row r="1375" spans="1:6" ht="68.099999999999994" customHeight="1" x14ac:dyDescent="0.25">
      <c r="A1375" s="1" t="s">
        <v>5357</v>
      </c>
      <c r="B1375" s="7" t="s">
        <v>5358</v>
      </c>
      <c r="C1375" s="7" t="s">
        <v>5334</v>
      </c>
      <c r="D1375" s="7" t="s">
        <v>5359</v>
      </c>
      <c r="E1375" s="7" t="s">
        <v>5353</v>
      </c>
      <c r="F1375" s="7" t="str">
        <f>HYPERLINK("http://www.copap.it/","www.copap.it")</f>
        <v>www.copap.it</v>
      </c>
    </row>
    <row r="1376" spans="1:6" ht="29.55" customHeight="1" x14ac:dyDescent="0.25">
      <c r="A1376" s="1" t="s">
        <v>5361</v>
      </c>
      <c r="B1376" s="7" t="s">
        <v>5362</v>
      </c>
      <c r="C1376" s="7" t="s">
        <v>5329</v>
      </c>
      <c r="D1376" s="7" t="s">
        <v>5363</v>
      </c>
      <c r="E1376" s="7" t="s">
        <v>5364</v>
      </c>
      <c r="F1376" s="7" t="str">
        <f>HYPERLINK("http://fattorialavacchio.com/","fattorialavacchio.com")</f>
        <v>fattorialavacchio.com</v>
      </c>
    </row>
    <row r="1377" spans="1:6" ht="29.55" customHeight="1" x14ac:dyDescent="0.25">
      <c r="A1377" s="6" t="s">
        <v>5365</v>
      </c>
      <c r="B1377" s="5" t="s">
        <v>5366</v>
      </c>
      <c r="C1377" s="5" t="s">
        <v>5367</v>
      </c>
      <c r="D1377" s="5" t="s">
        <v>5368</v>
      </c>
      <c r="E1377" s="5" t="s">
        <v>5343</v>
      </c>
      <c r="F1377" s="5" t="str">
        <f>HYPERLINK("http://www.forcher.it/","www.forcher.it")</f>
        <v>www.forcher.it</v>
      </c>
    </row>
    <row r="1378" spans="1:6" ht="16.95" customHeight="1" x14ac:dyDescent="0.25">
      <c r="A1378" s="6" t="s">
        <v>5369</v>
      </c>
      <c r="B1378" s="5" t="s">
        <v>5370</v>
      </c>
      <c r="C1378" s="5" t="s">
        <v>5337</v>
      </c>
      <c r="D1378" s="5" t="s">
        <v>5360</v>
      </c>
      <c r="E1378" s="5" t="s">
        <v>5343</v>
      </c>
      <c r="F1378" s="5" t="str">
        <f>HYPERLINK("http://pascolialti.com/","pascolialti.com")</f>
        <v>pascolialti.com</v>
      </c>
    </row>
    <row r="1379" spans="1:6" ht="29.55" customHeight="1" x14ac:dyDescent="0.25">
      <c r="A1379" s="6" t="s">
        <v>5371</v>
      </c>
      <c r="B1379" s="5" t="s">
        <v>5372</v>
      </c>
      <c r="C1379" s="5" t="s">
        <v>5373</v>
      </c>
      <c r="D1379" s="5" t="s">
        <v>5349</v>
      </c>
      <c r="E1379" s="5" t="s">
        <v>5338</v>
      </c>
      <c r="F1379" s="5" t="str">
        <f>HYPERLINK("http://www.rominella.it/","www.rominella.it")</f>
        <v>www.rominella.it</v>
      </c>
    </row>
    <row r="1380" spans="1:6" ht="29.55" customHeight="1" x14ac:dyDescent="0.25">
      <c r="A1380" s="1" t="s">
        <v>5374</v>
      </c>
      <c r="B1380" s="7" t="s">
        <v>5375</v>
      </c>
      <c r="C1380" s="7" t="s">
        <v>5376</v>
      </c>
      <c r="D1380" s="7" t="s">
        <v>5377</v>
      </c>
      <c r="E1380" s="7" t="s">
        <v>5343</v>
      </c>
      <c r="F1380" s="7" t="str">
        <f>HYPERLINK("http://www.oasirossi.it/","www.oasirossi.it")</f>
        <v>www.oasirossi.it</v>
      </c>
    </row>
    <row r="1381" spans="1:6" ht="43.05" customHeight="1" x14ac:dyDescent="0.25">
      <c r="A1381" s="1" t="s">
        <v>5378</v>
      </c>
      <c r="B1381" s="7" t="s">
        <v>5379</v>
      </c>
      <c r="C1381" s="7" t="s">
        <v>5380</v>
      </c>
      <c r="D1381" s="7" t="s">
        <v>5381</v>
      </c>
      <c r="E1381" s="7" t="s">
        <v>5382</v>
      </c>
      <c r="F1381" s="7" t="str">
        <f>HYPERLINK("http://www.fattoriaaes.it/","www.fattoriaaes.it")</f>
        <v>www.fattoriaaes.it</v>
      </c>
    </row>
    <row r="1382" spans="1:6" ht="43.05" customHeight="1" x14ac:dyDescent="0.25">
      <c r="A1382" s="1" t="s">
        <v>5383</v>
      </c>
      <c r="B1382" s="7" t="s">
        <v>5384</v>
      </c>
      <c r="C1382" s="7" t="s">
        <v>5385</v>
      </c>
      <c r="D1382" s="7" t="s">
        <v>5386</v>
      </c>
      <c r="E1382" s="7" t="s">
        <v>5387</v>
      </c>
      <c r="F1382" s="7" t="str">
        <f>HYPERLINK("http://www.villaggiocirulli.it/","www.villaggiocirulli.it/")</f>
        <v>www.villaggiocirulli.it/</v>
      </c>
    </row>
    <row r="1383" spans="1:6" ht="120.3" customHeight="1" x14ac:dyDescent="0.25">
      <c r="A1383" s="6" t="s">
        <v>5393</v>
      </c>
      <c r="B1383" s="5" t="s">
        <v>5394</v>
      </c>
      <c r="C1383" s="5" t="s">
        <v>5385</v>
      </c>
      <c r="D1383" s="5" t="s">
        <v>5395</v>
      </c>
      <c r="E1383" s="5" t="s">
        <v>5391</v>
      </c>
      <c r="F1383" s="5" t="str">
        <f>HYPERLINK("http://www.cantinaditortona.it/","www.cantinaditortona.it")</f>
        <v>www.cantinaditortona.it</v>
      </c>
    </row>
    <row r="1384" spans="1:6" ht="16.95" customHeight="1" x14ac:dyDescent="0.25">
      <c r="A1384" s="1" t="s">
        <v>5396</v>
      </c>
      <c r="B1384" s="7" t="s">
        <v>5397</v>
      </c>
      <c r="C1384" s="7" t="s">
        <v>5398</v>
      </c>
      <c r="D1384" s="7" t="s">
        <v>5399</v>
      </c>
      <c r="E1384" s="7" t="s">
        <v>5400</v>
      </c>
      <c r="F1384" s="7" t="str">
        <f>HYPERLINK("http://www.mangiacane.com/","www.mangiacane.com")</f>
        <v>www.mangiacane.com</v>
      </c>
    </row>
    <row r="1385" spans="1:6" ht="16.95" customHeight="1" x14ac:dyDescent="0.25">
      <c r="A1385" s="1" t="s">
        <v>5401</v>
      </c>
      <c r="B1385" s="7" t="s">
        <v>5402</v>
      </c>
      <c r="C1385" s="7" t="s">
        <v>5380</v>
      </c>
      <c r="D1385" s="7" t="s">
        <v>5403</v>
      </c>
      <c r="E1385" s="7" t="s">
        <v>5388</v>
      </c>
      <c r="F1385" s="7" t="str">
        <f>HYPERLINK("http://www.agrotecservizi.it/","www.agrotecservizi.it")</f>
        <v>www.agrotecservizi.it</v>
      </c>
    </row>
    <row r="1386" spans="1:6" ht="29.55" customHeight="1" x14ac:dyDescent="0.25">
      <c r="A1386" s="6" t="s">
        <v>5405</v>
      </c>
      <c r="B1386" s="5" t="s">
        <v>5406</v>
      </c>
      <c r="C1386" s="5" t="s">
        <v>5404</v>
      </c>
      <c r="D1386" s="5" t="s">
        <v>5381</v>
      </c>
      <c r="E1386" s="5" t="s">
        <v>5382</v>
      </c>
      <c r="F1386" s="5" t="str">
        <f>HYPERLINK("http://www.tenutamattioni.it/","www.tenutamattioni.it")</f>
        <v>www.tenutamattioni.it</v>
      </c>
    </row>
    <row r="1387" spans="1:6" ht="29.55" customHeight="1" x14ac:dyDescent="0.25">
      <c r="A1387" s="1" t="s">
        <v>5407</v>
      </c>
      <c r="B1387" s="7" t="s">
        <v>5408</v>
      </c>
      <c r="C1387" s="7" t="s">
        <v>5389</v>
      </c>
      <c r="D1387" s="7" t="s">
        <v>5409</v>
      </c>
      <c r="E1387" s="7" t="s">
        <v>5410</v>
      </c>
      <c r="F1387" s="7" t="str">
        <f>HYPERLINK("http://www.cooperativacerere.it/","www.cooperativacerere.it")</f>
        <v>www.cooperativacerere.it</v>
      </c>
    </row>
    <row r="1388" spans="1:6" ht="68.099999999999994" customHeight="1" x14ac:dyDescent="0.25">
      <c r="A1388" s="1" t="s">
        <v>5411</v>
      </c>
      <c r="B1388" s="7" t="s">
        <v>5412</v>
      </c>
      <c r="C1388" s="7" t="s">
        <v>5385</v>
      </c>
      <c r="D1388" s="7" t="s">
        <v>5413</v>
      </c>
      <c r="E1388" s="7" t="s">
        <v>5410</v>
      </c>
      <c r="F1388" s="7" t="str">
        <f>HYPERLINK("http://www.lattesannio.it/","www.lattesannio.it")</f>
        <v>www.lattesannio.it</v>
      </c>
    </row>
    <row r="1389" spans="1:6" ht="43.05" customHeight="1" x14ac:dyDescent="0.25">
      <c r="A1389" s="6" t="s">
        <v>5414</v>
      </c>
      <c r="B1389" s="5" t="s">
        <v>5415</v>
      </c>
      <c r="C1389" s="5" t="s">
        <v>5416</v>
      </c>
      <c r="D1389" s="5" t="s">
        <v>5417</v>
      </c>
      <c r="E1389" s="5" t="s">
        <v>5392</v>
      </c>
      <c r="F1389" s="5" t="str">
        <f>HYPERLINK("http://www.ciarrocchi.info/","www.ciarrocchi.info")</f>
        <v>www.ciarrocchi.info</v>
      </c>
    </row>
    <row r="1390" spans="1:6" ht="29.55" customHeight="1" x14ac:dyDescent="0.25">
      <c r="A1390" s="6" t="s">
        <v>5418</v>
      </c>
      <c r="B1390" s="5" t="s">
        <v>5419</v>
      </c>
      <c r="C1390" s="5" t="s">
        <v>5389</v>
      </c>
      <c r="D1390" s="5" t="s">
        <v>5390</v>
      </c>
      <c r="E1390" s="5" t="s">
        <v>5391</v>
      </c>
      <c r="F1390" s="5" t="str">
        <f>HYPERLINK("http://biancoviso.it/","biancoviso.it")</f>
        <v>biancoviso.it</v>
      </c>
    </row>
    <row r="1391" spans="1:6" ht="43.05" customHeight="1" x14ac:dyDescent="0.25">
      <c r="A1391" s="6" t="s">
        <v>5421</v>
      </c>
      <c r="B1391" s="5" t="s">
        <v>5422</v>
      </c>
      <c r="C1391" s="5" t="s">
        <v>5389</v>
      </c>
      <c r="D1391" s="5" t="s">
        <v>5423</v>
      </c>
      <c r="E1391" s="5" t="s">
        <v>5424</v>
      </c>
      <c r="F1391" s="5" t="str">
        <f>HYPERLINK("http://www.fruitalba.com/","www.fruitalba.com")</f>
        <v>www.fruitalba.com</v>
      </c>
    </row>
    <row r="1392" spans="1:6" ht="16.95" customHeight="1" x14ac:dyDescent="0.25">
      <c r="A1392" s="1" t="s">
        <v>5425</v>
      </c>
      <c r="B1392" s="7" t="s">
        <v>5426</v>
      </c>
      <c r="C1392" s="7" t="s">
        <v>5427</v>
      </c>
      <c r="D1392" s="7" t="s">
        <v>5428</v>
      </c>
      <c r="E1392" s="7" t="s">
        <v>5388</v>
      </c>
      <c r="F1392" s="7" t="str">
        <f>HYPERLINK("http://www.vivaizanella.it/","www.vivaizanella.it")</f>
        <v>www.vivaizanella.it</v>
      </c>
    </row>
    <row r="1393" spans="1:6" ht="43.05" customHeight="1" x14ac:dyDescent="0.25">
      <c r="A1393" s="6" t="s">
        <v>5429</v>
      </c>
      <c r="B1393" s="5" t="s">
        <v>5430</v>
      </c>
      <c r="C1393" s="5" t="s">
        <v>5431</v>
      </c>
      <c r="D1393" s="5" t="s">
        <v>5432</v>
      </c>
      <c r="E1393" s="5" t="s">
        <v>5420</v>
      </c>
      <c r="F1393" s="5" t="str">
        <f>HYPERLINK("http://shop.masseriachinunno.it/","shop.masseriachinunno.it")</f>
        <v>shop.masseriachinunno.it</v>
      </c>
    </row>
    <row r="1394" spans="1:6" ht="16.95" customHeight="1" x14ac:dyDescent="0.25">
      <c r="A1394" s="1" t="s">
        <v>5433</v>
      </c>
      <c r="B1394" s="7" t="s">
        <v>5434</v>
      </c>
      <c r="C1394" s="7" t="s">
        <v>5435</v>
      </c>
      <c r="D1394" s="7" t="s">
        <v>5436</v>
      </c>
      <c r="E1394" s="7" t="s">
        <v>5437</v>
      </c>
      <c r="F1394" s="7" t="str">
        <f>HYPERLINK("http://www.mediflor.us/old","www.mediflor.us/old")</f>
        <v>www.mediflor.us/old</v>
      </c>
    </row>
    <row r="1395" spans="1:6" ht="29.55" customHeight="1" x14ac:dyDescent="0.25">
      <c r="A1395" s="1" t="s">
        <v>5439</v>
      </c>
      <c r="B1395" s="7" t="s">
        <v>5440</v>
      </c>
      <c r="C1395" s="7" t="s">
        <v>5441</v>
      </c>
      <c r="D1395" s="7" t="s">
        <v>5442</v>
      </c>
      <c r="E1395" s="7" t="s">
        <v>5443</v>
      </c>
      <c r="F1395" s="7" t="str">
        <f>HYPERLINK("http://www.agriturismobormio.it/","www.agriturismobormio.it")</f>
        <v>www.agriturismobormio.it</v>
      </c>
    </row>
    <row r="1396" spans="1:6" ht="29.55" customHeight="1" x14ac:dyDescent="0.25">
      <c r="A1396" s="6" t="s">
        <v>5445</v>
      </c>
      <c r="B1396" s="5" t="s">
        <v>5446</v>
      </c>
      <c r="C1396" s="5" t="s">
        <v>5447</v>
      </c>
      <c r="D1396" s="5" t="s">
        <v>5448</v>
      </c>
      <c r="E1396" s="5" t="s">
        <v>5449</v>
      </c>
      <c r="F1396" s="5" t="str">
        <f>HYPERLINK("http://www.mionetto.com/","www.mionetto.com")</f>
        <v>www.mionetto.com</v>
      </c>
    </row>
    <row r="1397" spans="1:6" ht="43.05" customHeight="1" x14ac:dyDescent="0.25">
      <c r="A1397" s="1" t="s">
        <v>5450</v>
      </c>
      <c r="B1397" s="7" t="s">
        <v>5451</v>
      </c>
      <c r="C1397" s="7" t="s">
        <v>5441</v>
      </c>
      <c r="D1397" s="7" t="s">
        <v>5452</v>
      </c>
      <c r="E1397" s="7" t="s">
        <v>5453</v>
      </c>
      <c r="F1397" s="7" t="str">
        <f>HYPERLINK("http://www.caseificiosansalvatore.it/","www.caseificiosansalvatore.it")</f>
        <v>www.caseificiosansalvatore.it</v>
      </c>
    </row>
    <row r="1398" spans="1:6" ht="29.55" customHeight="1" x14ac:dyDescent="0.25">
      <c r="A1398" s="6" t="s">
        <v>5457</v>
      </c>
      <c r="B1398" s="5" t="s">
        <v>5458</v>
      </c>
      <c r="C1398" s="5" t="s">
        <v>5447</v>
      </c>
      <c r="D1398" s="5" t="s">
        <v>5459</v>
      </c>
      <c r="E1398" s="5" t="s">
        <v>5460</v>
      </c>
      <c r="F1398" s="5" t="str">
        <f>HYPERLINK("http://www.villapoggiosalvi.it/","www.villapoggiosalvi.it")</f>
        <v>www.villapoggiosalvi.it</v>
      </c>
    </row>
    <row r="1399" spans="1:6" ht="43.05" customHeight="1" x14ac:dyDescent="0.25">
      <c r="A1399" s="1" t="s">
        <v>5461</v>
      </c>
      <c r="B1399" s="7" t="s">
        <v>5462</v>
      </c>
      <c r="C1399" s="7" t="s">
        <v>5447</v>
      </c>
      <c r="D1399" s="7" t="s">
        <v>5463</v>
      </c>
      <c r="E1399" s="7" t="s">
        <v>5464</v>
      </c>
      <c r="F1399" s="7" t="str">
        <f>HYPERLINK("http://www.tenutepieralisi.it/","www.tenutepieralisi.it")</f>
        <v>www.tenutepieralisi.it</v>
      </c>
    </row>
    <row r="1400" spans="1:6" ht="29.55" customHeight="1" x14ac:dyDescent="0.25">
      <c r="A1400" s="6" t="s">
        <v>5465</v>
      </c>
      <c r="B1400" s="5" t="s">
        <v>5466</v>
      </c>
      <c r="C1400" s="5" t="s">
        <v>5467</v>
      </c>
      <c r="D1400" s="5" t="s">
        <v>5468</v>
      </c>
      <c r="E1400" s="5" t="s">
        <v>5449</v>
      </c>
      <c r="F1400" s="5" t="str">
        <f>HYPERLINK("http://www.cooperativaagricenter.it/","www.cooperativaagricenter.it")</f>
        <v>www.cooperativaagricenter.it</v>
      </c>
    </row>
    <row r="1401" spans="1:6" ht="29.55" customHeight="1" x14ac:dyDescent="0.25">
      <c r="A1401" s="6" t="s">
        <v>5470</v>
      </c>
      <c r="B1401" s="5" t="s">
        <v>5471</v>
      </c>
      <c r="C1401" s="5" t="s">
        <v>5472</v>
      </c>
      <c r="D1401" s="5" t="s">
        <v>5469</v>
      </c>
      <c r="E1401" s="5" t="s">
        <v>5437</v>
      </c>
      <c r="F1401" s="5" t="str">
        <f>HYPERLINK("http://www.agriimpol.it/","www.agriimpol.it")</f>
        <v>www.agriimpol.it</v>
      </c>
    </row>
    <row r="1402" spans="1:6" ht="43.05" customHeight="1" x14ac:dyDescent="0.25">
      <c r="A1402" s="6" t="s">
        <v>5473</v>
      </c>
      <c r="B1402" s="5" t="s">
        <v>5474</v>
      </c>
      <c r="C1402" s="5" t="s">
        <v>5444</v>
      </c>
      <c r="D1402" s="5" t="s">
        <v>5456</v>
      </c>
      <c r="E1402" s="5" t="s">
        <v>5438</v>
      </c>
      <c r="F1402" s="5" t="str">
        <f>HYPERLINK("http://www.coopad.it/","www.coopad.it")</f>
        <v>www.coopad.it</v>
      </c>
    </row>
    <row r="1403" spans="1:6" ht="16.95" customHeight="1" x14ac:dyDescent="0.25">
      <c r="A1403" s="1" t="s">
        <v>5475</v>
      </c>
      <c r="B1403" s="7" t="s">
        <v>5476</v>
      </c>
      <c r="C1403" s="7" t="s">
        <v>5455</v>
      </c>
      <c r="D1403" s="7" t="s">
        <v>5477</v>
      </c>
      <c r="E1403" s="7" t="s">
        <v>5454</v>
      </c>
      <c r="F1403" s="7" t="str">
        <f>HYPERLINK("http://frantoiogallotti.com/","frantoiogallotti.com")</f>
        <v>frantoiogallotti.com</v>
      </c>
    </row>
    <row r="1404" spans="1:6" ht="29.55" customHeight="1" x14ac:dyDescent="0.25">
      <c r="A1404" s="6" t="s">
        <v>5478</v>
      </c>
      <c r="B1404" s="5" t="s">
        <v>5479</v>
      </c>
      <c r="C1404" s="5" t="s">
        <v>5480</v>
      </c>
      <c r="D1404" s="5" t="s">
        <v>5481</v>
      </c>
      <c r="E1404" s="5" t="s">
        <v>5482</v>
      </c>
      <c r="F1404" s="5" t="str">
        <f>HYPERLINK("http://www.terreinfiore.com/","www.terreinfiore.com")</f>
        <v>www.terreinfiore.com</v>
      </c>
    </row>
    <row r="1405" spans="1:6" ht="29.55" customHeight="1" x14ac:dyDescent="0.25">
      <c r="A1405" s="1" t="s">
        <v>5483</v>
      </c>
      <c r="B1405" s="7" t="s">
        <v>5484</v>
      </c>
      <c r="C1405" s="7" t="s">
        <v>5447</v>
      </c>
      <c r="D1405" s="7" t="s">
        <v>5485</v>
      </c>
      <c r="E1405" s="7" t="s">
        <v>5482</v>
      </c>
      <c r="F1405" s="7" t="str">
        <f>HYPERLINK("http://shop.abbaziasantanastasia.com/","shop.abbaziasantanastasia.com")</f>
        <v>shop.abbaziasantanastasia.com</v>
      </c>
    </row>
    <row r="1406" spans="1:6" ht="29.55" customHeight="1" x14ac:dyDescent="0.25">
      <c r="A1406" s="1" t="s">
        <v>5486</v>
      </c>
      <c r="B1406" s="7" t="s">
        <v>5487</v>
      </c>
      <c r="C1406" s="7" t="s">
        <v>5447</v>
      </c>
      <c r="D1406" s="7" t="s">
        <v>5477</v>
      </c>
      <c r="E1406" s="7" t="s">
        <v>5454</v>
      </c>
      <c r="F1406" s="7" t="str">
        <f>HYPERLINK("http://www.paoloenoemiadamico.net/","www.paoloenoemiadamico.net")</f>
        <v>www.paoloenoemiadamico.net</v>
      </c>
    </row>
    <row r="1407" spans="1:6" ht="43.05" customHeight="1" x14ac:dyDescent="0.25">
      <c r="A1407" s="6" t="s">
        <v>5488</v>
      </c>
      <c r="B1407" s="5" t="s">
        <v>5489</v>
      </c>
      <c r="C1407" s="5" t="s">
        <v>5490</v>
      </c>
      <c r="D1407" s="5" t="s">
        <v>5436</v>
      </c>
      <c r="E1407" s="5" t="s">
        <v>5437</v>
      </c>
      <c r="F1407" s="5" t="str">
        <f>HYPERLINK("http://www.gruppomignano.it/","www.gruppomignano.it")</f>
        <v>www.gruppomignano.it</v>
      </c>
    </row>
    <row r="1408" spans="1:6" ht="43.05" customHeight="1" x14ac:dyDescent="0.25">
      <c r="A1408" s="1" t="s">
        <v>5491</v>
      </c>
      <c r="B1408" s="7" t="s">
        <v>5492</v>
      </c>
      <c r="C1408" s="7" t="s">
        <v>5455</v>
      </c>
      <c r="D1408" s="7" t="s">
        <v>5493</v>
      </c>
      <c r="E1408" s="7" t="s">
        <v>5449</v>
      </c>
      <c r="F1408" s="7" t="str">
        <f>HYPERLINK("http://www.caseusveneti.it/","www.caseusveneti.it")</f>
        <v>www.caseusveneti.it</v>
      </c>
    </row>
    <row r="1409" spans="1:6" ht="29.55" customHeight="1" x14ac:dyDescent="0.25">
      <c r="A1409" s="6" t="s">
        <v>5494</v>
      </c>
      <c r="B1409" s="5" t="s">
        <v>5495</v>
      </c>
      <c r="C1409" s="5" t="s">
        <v>5496</v>
      </c>
      <c r="D1409" s="5" t="s">
        <v>5497</v>
      </c>
      <c r="E1409" s="5" t="s">
        <v>5443</v>
      </c>
      <c r="F1409" s="5" t="str">
        <f>HYPERLINK("http://www.ilnuovobosco.it/","www.ilnuovobosco.it")</f>
        <v>www.ilnuovobosco.it</v>
      </c>
    </row>
    <row r="1410" spans="1:6" ht="132.75" customHeight="1" x14ac:dyDescent="0.25">
      <c r="A1410" s="1" t="s">
        <v>5498</v>
      </c>
      <c r="B1410" s="7" t="s">
        <v>5499</v>
      </c>
      <c r="C1410" s="7" t="s">
        <v>5447</v>
      </c>
      <c r="D1410" s="7" t="s">
        <v>5500</v>
      </c>
      <c r="E1410" s="7" t="s">
        <v>5453</v>
      </c>
      <c r="F1410" s="7" t="str">
        <f>HYPERLINK("http://www.cantineromagnoli.it/","www.cantineromagnoli.it")</f>
        <v>www.cantineromagnoli.it</v>
      </c>
    </row>
    <row r="1411" spans="1:6" ht="43.05" customHeight="1" x14ac:dyDescent="0.25">
      <c r="A1411" s="6" t="s">
        <v>5502</v>
      </c>
      <c r="B1411" s="5" t="s">
        <v>5503</v>
      </c>
      <c r="C1411" s="5" t="s">
        <v>5504</v>
      </c>
      <c r="D1411" s="5" t="s">
        <v>5505</v>
      </c>
      <c r="E1411" s="5" t="s">
        <v>5506</v>
      </c>
      <c r="F1411" s="5" t="str">
        <f>HYPERLINK("http://www.uposicilia.it/","www.uposicilia.it")</f>
        <v>www.uposicilia.it</v>
      </c>
    </row>
    <row r="1412" spans="1:6" ht="43.05" customHeight="1" x14ac:dyDescent="0.25">
      <c r="A1412" s="1" t="s">
        <v>5509</v>
      </c>
      <c r="B1412" s="7" t="s">
        <v>5510</v>
      </c>
      <c r="C1412" s="7" t="s">
        <v>5511</v>
      </c>
      <c r="D1412" s="7" t="s">
        <v>5512</v>
      </c>
      <c r="E1412" s="7" t="s">
        <v>5513</v>
      </c>
      <c r="F1412" s="7" t="str">
        <f>HYPERLINK("http://www.cantinabergamasca.it/","www.cantinabergamasca.it")</f>
        <v>www.cantinabergamasca.it</v>
      </c>
    </row>
    <row r="1413" spans="1:6" ht="43.05" customHeight="1" x14ac:dyDescent="0.25">
      <c r="A1413" s="6" t="s">
        <v>5514</v>
      </c>
      <c r="B1413" s="5" t="s">
        <v>5515</v>
      </c>
      <c r="C1413" s="5" t="s">
        <v>5511</v>
      </c>
      <c r="D1413" s="5" t="s">
        <v>5516</v>
      </c>
      <c r="E1413" s="5" t="s">
        <v>5517</v>
      </c>
      <c r="F1413" s="5" t="str">
        <f>HYPERLINK("http://www.agricolacentolani.com/","www.agricolacentolani.com")</f>
        <v>www.agricolacentolani.com</v>
      </c>
    </row>
    <row r="1414" spans="1:6" ht="29.55" customHeight="1" x14ac:dyDescent="0.25">
      <c r="A1414" s="1" t="s">
        <v>5518</v>
      </c>
      <c r="B1414" s="7" t="s">
        <v>5519</v>
      </c>
      <c r="C1414" s="7" t="s">
        <v>5511</v>
      </c>
      <c r="D1414" s="7" t="s">
        <v>5520</v>
      </c>
      <c r="E1414" s="7" t="s">
        <v>5521</v>
      </c>
      <c r="F1414" s="7" t="str">
        <f>HYPERLINK("http://www.lecappuccinelle.it/","www.lecappuccinelle.it")</f>
        <v>www.lecappuccinelle.it</v>
      </c>
    </row>
    <row r="1415" spans="1:6" ht="29.55" customHeight="1" x14ac:dyDescent="0.25">
      <c r="A1415" s="6" t="s">
        <v>5522</v>
      </c>
      <c r="B1415" s="5" t="s">
        <v>5523</v>
      </c>
      <c r="C1415" s="5" t="s">
        <v>5524</v>
      </c>
      <c r="D1415" s="5" t="s">
        <v>5505</v>
      </c>
      <c r="E1415" s="5" t="s">
        <v>5506</v>
      </c>
      <c r="F1415" s="5" t="str">
        <f>HYPERLINK("http://www.coopchiaramonte.it/","www.coopchiaramonte.it")</f>
        <v>www.coopchiaramonte.it</v>
      </c>
    </row>
    <row r="1416" spans="1:6" ht="29.55" customHeight="1" x14ac:dyDescent="0.25">
      <c r="A1416" s="1" t="s">
        <v>5525</v>
      </c>
      <c r="B1416" s="7" t="s">
        <v>5526</v>
      </c>
      <c r="C1416" s="7" t="s">
        <v>5527</v>
      </c>
      <c r="D1416" s="7" t="s">
        <v>5528</v>
      </c>
      <c r="E1416" s="7" t="s">
        <v>5529</v>
      </c>
      <c r="F1416" s="7" t="str">
        <f>HYPERLINK("http://www.cooperativasanpio.it/","www.cooperativasanpio.it")</f>
        <v>www.cooperativasanpio.it</v>
      </c>
    </row>
    <row r="1417" spans="1:6" ht="29.55" customHeight="1" x14ac:dyDescent="0.25">
      <c r="A1417" s="6" t="s">
        <v>5530</v>
      </c>
      <c r="B1417" s="5" t="s">
        <v>5531</v>
      </c>
      <c r="C1417" s="5" t="s">
        <v>5532</v>
      </c>
      <c r="D1417" s="5" t="s">
        <v>5533</v>
      </c>
      <c r="E1417" s="5" t="s">
        <v>5506</v>
      </c>
      <c r="F1417" s="5" t="str">
        <f>HYPERLINK("http://www.verdeoropachino.it/","www.verdeoropachino.it")</f>
        <v>www.verdeoropachino.it</v>
      </c>
    </row>
    <row r="1418" spans="1:6" ht="29.55" customHeight="1" x14ac:dyDescent="0.25">
      <c r="A1418" s="1" t="s">
        <v>5534</v>
      </c>
      <c r="B1418" s="7" t="s">
        <v>5535</v>
      </c>
      <c r="C1418" s="7" t="s">
        <v>5511</v>
      </c>
      <c r="D1418" s="7" t="s">
        <v>5536</v>
      </c>
      <c r="E1418" s="7" t="s">
        <v>5501</v>
      </c>
      <c r="F1418" s="7" t="str">
        <f>HYPERLINK("http://www.vinilafortezza.it/","www.vinilafortezza.it")</f>
        <v>www.vinilafortezza.it</v>
      </c>
    </row>
    <row r="1419" spans="1:6" ht="29.55" customHeight="1" x14ac:dyDescent="0.25">
      <c r="A1419" s="6" t="s">
        <v>5541</v>
      </c>
      <c r="B1419" s="5" t="s">
        <v>5542</v>
      </c>
      <c r="C1419" s="5" t="s">
        <v>5543</v>
      </c>
      <c r="D1419" s="5" t="s">
        <v>5544</v>
      </c>
      <c r="E1419" s="5" t="s">
        <v>5538</v>
      </c>
      <c r="F1419" s="5" t="str">
        <f>HYPERLINK("http://www.agricolagiansanti.it/","www.agricolagiansanti.it")</f>
        <v>www.agricolagiansanti.it</v>
      </c>
    </row>
    <row r="1420" spans="1:6" ht="43.05" customHeight="1" x14ac:dyDescent="0.25">
      <c r="A1420" s="6" t="s">
        <v>5545</v>
      </c>
      <c r="B1420" s="5" t="s">
        <v>5546</v>
      </c>
      <c r="C1420" s="5" t="s">
        <v>5547</v>
      </c>
      <c r="D1420" s="5" t="s">
        <v>5537</v>
      </c>
      <c r="E1420" s="5" t="s">
        <v>5538</v>
      </c>
      <c r="F1420" s="5" t="str">
        <f>HYPERLINK("http://www.mhcactiland.it/","www.mhcactiland.it")</f>
        <v>www.mhcactiland.it</v>
      </c>
    </row>
    <row r="1421" spans="1:6" ht="29.55" customHeight="1" x14ac:dyDescent="0.25">
      <c r="A1421" s="6" t="s">
        <v>5549</v>
      </c>
      <c r="B1421" s="5" t="s">
        <v>5550</v>
      </c>
      <c r="C1421" s="5" t="s">
        <v>5551</v>
      </c>
      <c r="D1421" s="5" t="s">
        <v>5552</v>
      </c>
      <c r="E1421" s="5" t="s">
        <v>5553</v>
      </c>
      <c r="F1421" s="5" t="str">
        <f>HYPERLINK("http://www.spazioverde.tn.it/","www.spazioverde.tn.it")</f>
        <v>www.spazioverde.tn.it</v>
      </c>
    </row>
    <row r="1422" spans="1:6" ht="55.65" customHeight="1" x14ac:dyDescent="0.25">
      <c r="A1422" s="1" t="s">
        <v>5555</v>
      </c>
      <c r="B1422" s="7" t="s">
        <v>5556</v>
      </c>
      <c r="C1422" s="7" t="s">
        <v>5508</v>
      </c>
      <c r="D1422" s="7" t="s">
        <v>5557</v>
      </c>
      <c r="E1422" s="7" t="s">
        <v>5529</v>
      </c>
      <c r="F1422" s="7" t="str">
        <f>HYPERLINK("http://digilander.libero.it/soc.coop.acoprol.srl/","digilander.libero.it/soc.coop.acoprol.srl/")</f>
        <v>digilander.libero.it/soc.coop.acoprol.srl/</v>
      </c>
    </row>
    <row r="1423" spans="1:6" ht="94.2" customHeight="1" x14ac:dyDescent="0.25">
      <c r="A1423" s="6" t="s">
        <v>5558</v>
      </c>
      <c r="B1423" s="5" t="s">
        <v>5559</v>
      </c>
      <c r="C1423" s="5" t="s">
        <v>5511</v>
      </c>
      <c r="D1423" s="5" t="s">
        <v>5560</v>
      </c>
      <c r="E1423" s="5" t="s">
        <v>5506</v>
      </c>
      <c r="F1423" s="5" t="str">
        <f>HYPERLINK("http://www.alessandrodicamporeale.it/","www.alessandrodicamporeale.it")</f>
        <v>www.alessandrodicamporeale.it</v>
      </c>
    </row>
    <row r="1424" spans="1:6" ht="120.3" customHeight="1" x14ac:dyDescent="0.25">
      <c r="A1424" s="1" t="s">
        <v>5561</v>
      </c>
      <c r="B1424" s="7" t="s">
        <v>5562</v>
      </c>
      <c r="C1424" s="7" t="s">
        <v>5511</v>
      </c>
      <c r="D1424" s="7" t="s">
        <v>5560</v>
      </c>
      <c r="E1424" s="7" t="s">
        <v>5506</v>
      </c>
      <c r="F1424" s="7" t="str">
        <f>HYPERLINK("http://www.cantinasocialealtobelice.it/","www.cantinasocialealtobelice.it")</f>
        <v>www.cantinasocialealtobelice.it</v>
      </c>
    </row>
    <row r="1425" spans="1:6" ht="29.55" customHeight="1" x14ac:dyDescent="0.25">
      <c r="A1425" s="6" t="s">
        <v>5563</v>
      </c>
      <c r="B1425" s="5" t="s">
        <v>5564</v>
      </c>
      <c r="C1425" s="5" t="s">
        <v>5565</v>
      </c>
      <c r="D1425" s="5" t="s">
        <v>5540</v>
      </c>
      <c r="E1425" s="5" t="s">
        <v>5501</v>
      </c>
      <c r="F1425" s="5" t="str">
        <f>HYPERLINK("http://www.coralplant.it/","www.coralplant.it")</f>
        <v>www.coralplant.it</v>
      </c>
    </row>
    <row r="1426" spans="1:6" ht="43.05" customHeight="1" x14ac:dyDescent="0.25">
      <c r="A1426" s="1" t="s">
        <v>5566</v>
      </c>
      <c r="B1426" s="7" t="s">
        <v>5567</v>
      </c>
      <c r="C1426" s="7" t="s">
        <v>5539</v>
      </c>
      <c r="D1426" s="7" t="s">
        <v>5568</v>
      </c>
      <c r="E1426" s="7" t="s">
        <v>5507</v>
      </c>
      <c r="F1426" s="7" t="str">
        <f>HYPERLINK("http://www.latteriasummaga.com/","www.latteriasummaga.com")</f>
        <v>www.latteriasummaga.com</v>
      </c>
    </row>
    <row r="1427" spans="1:6" ht="29.55" customHeight="1" x14ac:dyDescent="0.25">
      <c r="A1427" s="6" t="s">
        <v>5569</v>
      </c>
      <c r="B1427" s="5" t="s">
        <v>5570</v>
      </c>
      <c r="C1427" s="5" t="s">
        <v>5548</v>
      </c>
      <c r="D1427" s="5" t="s">
        <v>5571</v>
      </c>
      <c r="E1427" s="5" t="s">
        <v>5554</v>
      </c>
      <c r="F1427" s="5" t="str">
        <f>HYPERLINK("http://www.olitores.com/","www.olitores.com")</f>
        <v>www.olitores.com</v>
      </c>
    </row>
    <row r="1428" spans="1:6" ht="29.55" customHeight="1" x14ac:dyDescent="0.25">
      <c r="A1428" s="1" t="s">
        <v>5572</v>
      </c>
      <c r="B1428" s="7" t="s">
        <v>5573</v>
      </c>
      <c r="C1428" s="7" t="s">
        <v>5574</v>
      </c>
      <c r="D1428" s="7" t="s">
        <v>5575</v>
      </c>
      <c r="E1428" s="7" t="s">
        <v>5576</v>
      </c>
      <c r="F1428" s="7" t="str">
        <f>HYPERLINK("http://www.afgreen.it/","www.afgreen.it")</f>
        <v>www.afgreen.it</v>
      </c>
    </row>
    <row r="1429" spans="1:6" ht="29.55" customHeight="1" x14ac:dyDescent="0.25">
      <c r="A1429" s="6" t="s">
        <v>5581</v>
      </c>
      <c r="B1429" s="5" t="s">
        <v>5582</v>
      </c>
      <c r="C1429" s="5" t="s">
        <v>5583</v>
      </c>
      <c r="D1429" s="5" t="s">
        <v>5584</v>
      </c>
      <c r="E1429" s="5" t="s">
        <v>5585</v>
      </c>
      <c r="F1429" s="5" t="str">
        <f>HYPERLINK("http://vivaibiagini.it/","vivaibiagini.it")</f>
        <v>vivaibiagini.it</v>
      </c>
    </row>
    <row r="1430" spans="1:6" ht="29.55" customHeight="1" x14ac:dyDescent="0.25">
      <c r="A1430" s="1" t="s">
        <v>5588</v>
      </c>
      <c r="B1430" s="7" t="s">
        <v>5589</v>
      </c>
      <c r="C1430" s="7" t="s">
        <v>5590</v>
      </c>
      <c r="D1430" s="7" t="s">
        <v>5591</v>
      </c>
      <c r="E1430" s="7" t="s">
        <v>5578</v>
      </c>
      <c r="F1430" s="7" t="str">
        <f>HYPERLINK("http://www.adriaticafertilizzanti.com/","www.adriaticafertilizzanti.com")</f>
        <v>www.adriaticafertilizzanti.com</v>
      </c>
    </row>
    <row r="1431" spans="1:6" ht="94.2" customHeight="1" x14ac:dyDescent="0.25">
      <c r="A1431" s="6" t="s">
        <v>5592</v>
      </c>
      <c r="B1431" s="5" t="s">
        <v>5593</v>
      </c>
      <c r="C1431" s="5" t="s">
        <v>5587</v>
      </c>
      <c r="D1431" s="5" t="s">
        <v>5594</v>
      </c>
      <c r="E1431" s="5" t="s">
        <v>5594</v>
      </c>
      <c r="F1431" s="5" t="str">
        <f>HYPERLINK("http://cantinesarduspater.it/","cantinesarduspater.it")</f>
        <v>cantinesarduspater.it</v>
      </c>
    </row>
    <row r="1432" spans="1:6" ht="29.55" customHeight="1" x14ac:dyDescent="0.25">
      <c r="A1432" s="6" t="s">
        <v>5595</v>
      </c>
      <c r="B1432" s="5" t="s">
        <v>5596</v>
      </c>
      <c r="C1432" s="5" t="s">
        <v>5597</v>
      </c>
      <c r="D1432" s="5" t="s">
        <v>5598</v>
      </c>
      <c r="E1432" s="5" t="s">
        <v>5599</v>
      </c>
      <c r="F1432" s="5" t="str">
        <f>HYPERLINK("http://www.spadarotta.it/","www.spadarotta.it")</f>
        <v>www.spadarotta.it</v>
      </c>
    </row>
    <row r="1433" spans="1:6" ht="94.2" customHeight="1" x14ac:dyDescent="0.25">
      <c r="A1433" s="6" t="s">
        <v>5600</v>
      </c>
      <c r="B1433" s="5" t="s">
        <v>5601</v>
      </c>
      <c r="C1433" s="5" t="s">
        <v>5579</v>
      </c>
      <c r="D1433" s="5" t="s">
        <v>5602</v>
      </c>
      <c r="E1433" s="5" t="s">
        <v>5580</v>
      </c>
      <c r="F1433" s="5" t="str">
        <f>HYPERLINK("http://www.oliodiostuni.it/","www.oliodiostuni.it")</f>
        <v>www.oliodiostuni.it</v>
      </c>
    </row>
    <row r="1434" spans="1:6" ht="55.65" customHeight="1" x14ac:dyDescent="0.25">
      <c r="A1434" s="6" t="s">
        <v>5603</v>
      </c>
      <c r="B1434" s="5" t="s">
        <v>5604</v>
      </c>
      <c r="C1434" s="5" t="s">
        <v>5587</v>
      </c>
      <c r="D1434" s="5" t="s">
        <v>5605</v>
      </c>
      <c r="E1434" s="5" t="s">
        <v>5606</v>
      </c>
      <c r="F1434" s="5" t="str">
        <f>HYPERLINK("http://feudo-maccari-societa-agricola-srl-o-in-sigla-fm-s-01973460890.quantofattura.com/","feudo-maccari-societa-agricola-srl-o-in-sigla-fm-s-01973460890.quantofattura.com")</f>
        <v>feudo-maccari-societa-agricola-srl-o-in-sigla-fm-s-01973460890.quantofattura.com</v>
      </c>
    </row>
    <row r="1435" spans="1:6" ht="16.95" customHeight="1" x14ac:dyDescent="0.25">
      <c r="A1435" s="6" t="s">
        <v>5607</v>
      </c>
      <c r="B1435" s="5" t="s">
        <v>5608</v>
      </c>
      <c r="C1435" s="5" t="s">
        <v>5590</v>
      </c>
      <c r="D1435" s="5" t="s">
        <v>5575</v>
      </c>
      <c r="E1435" s="5" t="s">
        <v>5576</v>
      </c>
      <c r="F1435" s="5" t="str">
        <f>HYPERLINK("http://abcgenetix.com/","abcgenetix.com")</f>
        <v>abcgenetix.com</v>
      </c>
    </row>
    <row r="1436" spans="1:6" ht="16.95" customHeight="1" x14ac:dyDescent="0.25">
      <c r="A1436" s="1" t="s">
        <v>5609</v>
      </c>
      <c r="B1436" s="7" t="s">
        <v>5610</v>
      </c>
      <c r="C1436" s="7" t="s">
        <v>5611</v>
      </c>
      <c r="D1436" s="7" t="s">
        <v>5612</v>
      </c>
      <c r="E1436" s="7" t="s">
        <v>5578</v>
      </c>
      <c r="F1436" s="7" t="str">
        <f>HYPERLINK("http://gardenschio.com/","gardenschio.com")</f>
        <v>gardenschio.com</v>
      </c>
    </row>
    <row r="1437" spans="1:6" ht="29.55" customHeight="1" x14ac:dyDescent="0.25">
      <c r="A1437" s="6" t="s">
        <v>5613</v>
      </c>
      <c r="B1437" s="5" t="s">
        <v>5614</v>
      </c>
      <c r="C1437" s="5" t="s">
        <v>5587</v>
      </c>
      <c r="D1437" s="5" t="s">
        <v>5615</v>
      </c>
      <c r="E1437" s="5" t="s">
        <v>5585</v>
      </c>
      <c r="F1437" s="5" t="str">
        <f>HYPERLINK("http://www.artiminowines.com/","www.artiminowines.com")</f>
        <v>www.artiminowines.com</v>
      </c>
    </row>
    <row r="1438" spans="1:6" ht="55.65" customHeight="1" x14ac:dyDescent="0.25">
      <c r="A1438" s="1" t="s">
        <v>5616</v>
      </c>
      <c r="B1438" s="7" t="s">
        <v>5617</v>
      </c>
      <c r="C1438" s="7" t="s">
        <v>5587</v>
      </c>
      <c r="D1438" s="7" t="s">
        <v>5618</v>
      </c>
      <c r="E1438" s="7" t="s">
        <v>5619</v>
      </c>
      <c r="F1438" s="7" t="str">
        <f>HYPERLINK("http://ilcontevini.it/","ilcontevini.it")</f>
        <v>ilcontevini.it</v>
      </c>
    </row>
    <row r="1439" spans="1:6" ht="29.55" customHeight="1" x14ac:dyDescent="0.25">
      <c r="A1439" s="6" t="s">
        <v>5620</v>
      </c>
      <c r="B1439" s="5" t="s">
        <v>5621</v>
      </c>
      <c r="C1439" s="5" t="s">
        <v>5577</v>
      </c>
      <c r="D1439" s="5" t="s">
        <v>5622</v>
      </c>
      <c r="E1439" s="5" t="s">
        <v>5606</v>
      </c>
      <c r="F1439" s="5" t="str">
        <f>HYPERLINK("http://www.bubalus.it/","www.bubalus.it")</f>
        <v>www.bubalus.it</v>
      </c>
    </row>
    <row r="1440" spans="1:6" ht="29.55" customHeight="1" x14ac:dyDescent="0.25">
      <c r="A1440" s="1" t="s">
        <v>5623</v>
      </c>
      <c r="B1440" s="7" t="s">
        <v>5624</v>
      </c>
      <c r="C1440" s="7" t="s">
        <v>5586</v>
      </c>
      <c r="D1440" s="7" t="s">
        <v>5625</v>
      </c>
      <c r="E1440" s="7" t="s">
        <v>5580</v>
      </c>
      <c r="F1440" s="7" t="str">
        <f>HYPERLINK("http://www.vegeland.it/","www.vegeland.it")</f>
        <v>www.vegeland.it</v>
      </c>
    </row>
    <row r="1441" spans="1:6" ht="43.05" customHeight="1" x14ac:dyDescent="0.25">
      <c r="A1441" s="6" t="s">
        <v>5626</v>
      </c>
      <c r="B1441" s="5" t="s">
        <v>5627</v>
      </c>
      <c r="C1441" s="5" t="s">
        <v>5577</v>
      </c>
      <c r="D1441" s="5" t="s">
        <v>5598</v>
      </c>
      <c r="E1441" s="5" t="s">
        <v>5599</v>
      </c>
      <c r="F1441" s="5" t="str">
        <f>HYPERLINK("http://www.latterianuovamandrio.it/","www.latterianuovamandrio.it")</f>
        <v>www.latterianuovamandrio.it</v>
      </c>
    </row>
    <row r="1442" spans="1:6" ht="43.05" customHeight="1" x14ac:dyDescent="0.25">
      <c r="A1442" s="6" t="s">
        <v>5628</v>
      </c>
      <c r="B1442" s="5" t="s">
        <v>5629</v>
      </c>
      <c r="C1442" s="5" t="s">
        <v>5574</v>
      </c>
      <c r="D1442" s="5" t="s">
        <v>5630</v>
      </c>
      <c r="E1442" s="5" t="s">
        <v>5576</v>
      </c>
      <c r="F1442" s="5" t="str">
        <f>HYPERLINK("http://clarabellashop.it/","clarabellashop.it")</f>
        <v>clarabellashop.it</v>
      </c>
    </row>
    <row r="1443" spans="1:6" ht="43.05" customHeight="1" x14ac:dyDescent="0.25">
      <c r="A1443" s="1" t="s">
        <v>5631</v>
      </c>
      <c r="B1443" s="7" t="s">
        <v>5632</v>
      </c>
      <c r="C1443" s="7" t="s">
        <v>5633</v>
      </c>
      <c r="D1443" s="7" t="s">
        <v>5634</v>
      </c>
      <c r="E1443" s="7" t="s">
        <v>5635</v>
      </c>
      <c r="F1443" s="7" t="str">
        <f>HYPERLINK("http://www.pianaimpianti.com/","www.pianaimpianti.com")</f>
        <v>www.pianaimpianti.com</v>
      </c>
    </row>
    <row r="1444" spans="1:6" ht="43.05" customHeight="1" x14ac:dyDescent="0.25">
      <c r="A1444" s="6" t="s">
        <v>5638</v>
      </c>
      <c r="B1444" s="5" t="s">
        <v>5639</v>
      </c>
      <c r="C1444" s="5" t="s">
        <v>5640</v>
      </c>
      <c r="D1444" s="5" t="s">
        <v>5641</v>
      </c>
      <c r="E1444" s="5" t="s">
        <v>5642</v>
      </c>
      <c r="F1444" s="5" t="str">
        <f>HYPERLINK("http://www.vinitenutamontefantino.it/","www.vinitenutamontefantino.it")</f>
        <v>www.vinitenutamontefantino.it</v>
      </c>
    </row>
    <row r="1445" spans="1:6" ht="29.55" customHeight="1" x14ac:dyDescent="0.25">
      <c r="A1445" s="1" t="s">
        <v>5644</v>
      </c>
      <c r="B1445" s="7" t="s">
        <v>5645</v>
      </c>
      <c r="C1445" s="7" t="s">
        <v>5646</v>
      </c>
      <c r="D1445" s="7" t="s">
        <v>5647</v>
      </c>
      <c r="E1445" s="7" t="s">
        <v>5648</v>
      </c>
      <c r="F1445" s="7" t="str">
        <f>HYPERLINK("http://www.walnutsproduction.com/","www.walnutsproduction.com")</f>
        <v>www.walnutsproduction.com</v>
      </c>
    </row>
    <row r="1446" spans="1:6" ht="29.55" customHeight="1" x14ac:dyDescent="0.25">
      <c r="A1446" s="6" t="s">
        <v>5649</v>
      </c>
      <c r="B1446" s="5" t="s">
        <v>5650</v>
      </c>
      <c r="C1446" s="5" t="s">
        <v>5651</v>
      </c>
      <c r="D1446" s="5" t="s">
        <v>5652</v>
      </c>
      <c r="E1446" s="5" t="s">
        <v>5653</v>
      </c>
      <c r="F1446" s="5" t="str">
        <f>HYPERLINK("http://www.castellolaleccia.com/","www.castellolaleccia.com")</f>
        <v>www.castellolaleccia.com</v>
      </c>
    </row>
    <row r="1447" spans="1:6" ht="16.95" customHeight="1" x14ac:dyDescent="0.25">
      <c r="A1447" s="6" t="s">
        <v>5657</v>
      </c>
      <c r="B1447" s="5" t="s">
        <v>5658</v>
      </c>
      <c r="C1447" s="5" t="s">
        <v>5651</v>
      </c>
      <c r="D1447" s="5" t="s">
        <v>5636</v>
      </c>
      <c r="E1447" s="5" t="s">
        <v>5637</v>
      </c>
      <c r="F1447" s="5" t="str">
        <f>HYPERLINK("http://www.nicolagatta.com/","www.nicolagatta.com")</f>
        <v>www.nicolagatta.com</v>
      </c>
    </row>
    <row r="1448" spans="1:6" ht="68.099999999999994" customHeight="1" x14ac:dyDescent="0.25">
      <c r="A1448" s="6" t="s">
        <v>5659</v>
      </c>
      <c r="B1448" s="5" t="s">
        <v>5660</v>
      </c>
      <c r="C1448" s="5" t="s">
        <v>5651</v>
      </c>
      <c r="D1448" s="5" t="s">
        <v>5661</v>
      </c>
      <c r="E1448" s="5" t="s">
        <v>5653</v>
      </c>
      <c r="F1448" s="5" t="str">
        <f>HYPERLINK("http://vignamaggio.com/","vignamaggio.com")</f>
        <v>vignamaggio.com</v>
      </c>
    </row>
    <row r="1449" spans="1:6" ht="16.95" customHeight="1" x14ac:dyDescent="0.25">
      <c r="A1449" s="1" t="s">
        <v>5662</v>
      </c>
      <c r="B1449" s="7" t="s">
        <v>5663</v>
      </c>
      <c r="C1449" s="7" t="s">
        <v>5664</v>
      </c>
      <c r="D1449" s="7" t="s">
        <v>5636</v>
      </c>
      <c r="E1449" s="7" t="s">
        <v>5637</v>
      </c>
      <c r="F1449" s="7" t="str">
        <f>HYPERLINK("http://www.rosaflorsrl.it/","www.rosaflorsrl.it")</f>
        <v>www.rosaflorsrl.it</v>
      </c>
    </row>
    <row r="1450" spans="1:6" ht="29.55" customHeight="1" x14ac:dyDescent="0.25">
      <c r="A1450" s="6" t="s">
        <v>5665</v>
      </c>
      <c r="B1450" s="5" t="s">
        <v>5666</v>
      </c>
      <c r="C1450" s="5" t="s">
        <v>5667</v>
      </c>
      <c r="D1450" s="5" t="s">
        <v>5655</v>
      </c>
      <c r="E1450" s="5" t="s">
        <v>5656</v>
      </c>
      <c r="F1450" s="5" t="str">
        <f>HYPERLINK("http://scudettonapoli.orocampania.com/","scudettonapoli.orocampania.com")</f>
        <v>scudettonapoli.orocampania.com</v>
      </c>
    </row>
    <row r="1451" spans="1:6" ht="43.05" customHeight="1" x14ac:dyDescent="0.25">
      <c r="A1451" s="1" t="s">
        <v>5668</v>
      </c>
      <c r="B1451" s="7" t="s">
        <v>5669</v>
      </c>
      <c r="C1451" s="7" t="s">
        <v>5651</v>
      </c>
      <c r="D1451" s="7" t="s">
        <v>5670</v>
      </c>
      <c r="E1451" s="7" t="s">
        <v>5671</v>
      </c>
      <c r="F1451" s="7" t="str">
        <f>HYPERLINK("http://shop.terredetrinci.it/","shop.terredetrinci.it")</f>
        <v>shop.terredetrinci.it</v>
      </c>
    </row>
    <row r="1452" spans="1:6" ht="29.55" customHeight="1" x14ac:dyDescent="0.25">
      <c r="A1452" s="1" t="s">
        <v>5672</v>
      </c>
      <c r="B1452" s="7" t="s">
        <v>5673</v>
      </c>
      <c r="C1452" s="7" t="s">
        <v>5643</v>
      </c>
      <c r="D1452" s="7" t="s">
        <v>5674</v>
      </c>
      <c r="E1452" s="7" t="s">
        <v>5653</v>
      </c>
      <c r="F1452" s="7" t="str">
        <f>HYPERLINK("http://vytasole.it/","vytasole.it")</f>
        <v>vytasole.it</v>
      </c>
    </row>
    <row r="1453" spans="1:6" ht="29.55" customHeight="1" x14ac:dyDescent="0.25">
      <c r="A1453" s="1" t="s">
        <v>5675</v>
      </c>
      <c r="B1453" s="7" t="s">
        <v>5676</v>
      </c>
      <c r="C1453" s="7" t="s">
        <v>5633</v>
      </c>
      <c r="D1453" s="7" t="s">
        <v>5677</v>
      </c>
      <c r="E1453" s="7" t="s">
        <v>5642</v>
      </c>
      <c r="F1453" s="7" t="str">
        <f>HYPERLINK("http://piemontenord.confcooperative.it/","piemontenord.confcooperative.it")</f>
        <v>piemontenord.confcooperative.it</v>
      </c>
    </row>
    <row r="1454" spans="1:6" ht="29.55" customHeight="1" x14ac:dyDescent="0.25">
      <c r="A1454" s="6" t="s">
        <v>5678</v>
      </c>
      <c r="B1454" s="5" t="s">
        <v>5679</v>
      </c>
      <c r="C1454" s="5" t="s">
        <v>5640</v>
      </c>
      <c r="D1454" s="5" t="s">
        <v>5680</v>
      </c>
      <c r="E1454" s="5" t="s">
        <v>5681</v>
      </c>
      <c r="F1454" s="5" t="str">
        <f>HYPERLINK("http://www.gobbifrutta.com/","www.gobbifrutta.com")</f>
        <v>www.gobbifrutta.com</v>
      </c>
    </row>
    <row r="1455" spans="1:6" ht="29.55" customHeight="1" x14ac:dyDescent="0.25">
      <c r="A1455" s="6" t="s">
        <v>5682</v>
      </c>
      <c r="B1455" s="5" t="s">
        <v>5683</v>
      </c>
      <c r="C1455" s="5" t="s">
        <v>5651</v>
      </c>
      <c r="D1455" s="5" t="s">
        <v>5684</v>
      </c>
      <c r="E1455" s="5" t="s">
        <v>5685</v>
      </c>
      <c r="F1455" s="5" t="str">
        <f>HYPERLINK("http://www.levignedizamo.wine/","www.levignedizamo.wine")</f>
        <v>www.levignedizamo.wine</v>
      </c>
    </row>
    <row r="1456" spans="1:6" ht="29.55" customHeight="1" x14ac:dyDescent="0.25">
      <c r="A1456" s="6" t="s">
        <v>5686</v>
      </c>
      <c r="B1456" s="5" t="s">
        <v>5687</v>
      </c>
      <c r="C1456" s="5" t="s">
        <v>5688</v>
      </c>
      <c r="D1456" s="5" t="s">
        <v>5689</v>
      </c>
      <c r="E1456" s="5" t="s">
        <v>5642</v>
      </c>
      <c r="F1456" s="5" t="str">
        <f>HYPERLINK("http://agronatura.it/","agronatura.it")</f>
        <v>agronatura.it</v>
      </c>
    </row>
    <row r="1457" spans="1:6" ht="29.55" customHeight="1" x14ac:dyDescent="0.25">
      <c r="A1457" s="6" t="s">
        <v>5690</v>
      </c>
      <c r="B1457" s="5" t="s">
        <v>5691</v>
      </c>
      <c r="C1457" s="5" t="s">
        <v>5633</v>
      </c>
      <c r="D1457" s="5" t="s">
        <v>5692</v>
      </c>
      <c r="E1457" s="5" t="s">
        <v>5654</v>
      </c>
      <c r="F1457" s="5" t="str">
        <f>HYPERLINK("http://www.cooperativasalvuccio.it/","www.cooperativasalvuccio.it")</f>
        <v>www.cooperativasalvuccio.it</v>
      </c>
    </row>
    <row r="1458" spans="1:6" ht="29.55" customHeight="1" x14ac:dyDescent="0.25">
      <c r="A1458" s="6" t="s">
        <v>5695</v>
      </c>
      <c r="B1458" s="5" t="s">
        <v>5696</v>
      </c>
      <c r="C1458" s="5" t="s">
        <v>5697</v>
      </c>
      <c r="D1458" s="5" t="s">
        <v>5698</v>
      </c>
      <c r="E1458" s="5" t="s">
        <v>5699</v>
      </c>
      <c r="F1458" s="5" t="str">
        <f>HYPERLINK("http://www.capecciatc.it/","www.capecciatc.it")</f>
        <v>www.capecciatc.it</v>
      </c>
    </row>
    <row r="1459" spans="1:6" ht="29.55" customHeight="1" x14ac:dyDescent="0.25">
      <c r="A1459" s="6" t="s">
        <v>5704</v>
      </c>
      <c r="B1459" s="5" t="s">
        <v>5705</v>
      </c>
      <c r="C1459" s="5" t="s">
        <v>5706</v>
      </c>
      <c r="D1459" s="5" t="s">
        <v>5701</v>
      </c>
      <c r="E1459" s="5" t="s">
        <v>5702</v>
      </c>
      <c r="F1459" s="5" t="str">
        <f>HYPERLINK("http://stefanofarinawines.com/","stefanofarinawines.com")</f>
        <v>stefanofarinawines.com</v>
      </c>
    </row>
    <row r="1460" spans="1:6" ht="29.55" customHeight="1" x14ac:dyDescent="0.25">
      <c r="A1460" s="1" t="s">
        <v>5707</v>
      </c>
      <c r="B1460" s="7" t="s">
        <v>5708</v>
      </c>
      <c r="C1460" s="7" t="s">
        <v>5706</v>
      </c>
      <c r="D1460" s="7" t="s">
        <v>5709</v>
      </c>
      <c r="E1460" s="7" t="s">
        <v>5710</v>
      </c>
      <c r="F1460" s="7" t="str">
        <f>HYPERLINK("http://www.villadianella.it/","www.villadianella.it")</f>
        <v>www.villadianella.it</v>
      </c>
    </row>
    <row r="1461" spans="1:6" ht="43.05" customHeight="1" x14ac:dyDescent="0.25">
      <c r="A1461" s="6" t="s">
        <v>5711</v>
      </c>
      <c r="B1461" s="5" t="s">
        <v>5712</v>
      </c>
      <c r="C1461" s="5" t="s">
        <v>5713</v>
      </c>
      <c r="D1461" s="5" t="s">
        <v>5714</v>
      </c>
      <c r="E1461" s="5" t="s">
        <v>5703</v>
      </c>
      <c r="F1461" s="5" t="str">
        <f>HYPERLINK("http://www.collietruschi.it/","www.collietruschi.it")</f>
        <v>www.collietruschi.it</v>
      </c>
    </row>
    <row r="1462" spans="1:6" ht="16.95" customHeight="1" x14ac:dyDescent="0.25">
      <c r="A1462" s="1" t="s">
        <v>5715</v>
      </c>
      <c r="B1462" s="7" t="s">
        <v>5716</v>
      </c>
      <c r="C1462" s="7" t="s">
        <v>5693</v>
      </c>
      <c r="D1462" s="7" t="s">
        <v>5717</v>
      </c>
      <c r="E1462" s="7" t="s">
        <v>5718</v>
      </c>
      <c r="F1462" s="7" t="str">
        <f>HYPERLINK("http://www.agrotecnicafraron.it/","www.agrotecnicafraron.it")</f>
        <v>www.agrotecnicafraron.it</v>
      </c>
    </row>
    <row r="1463" spans="1:6" ht="29.55" customHeight="1" x14ac:dyDescent="0.25">
      <c r="A1463" s="1" t="s">
        <v>5719</v>
      </c>
      <c r="B1463" s="7" t="s">
        <v>5720</v>
      </c>
      <c r="C1463" s="7" t="s">
        <v>5693</v>
      </c>
      <c r="D1463" s="7" t="s">
        <v>5721</v>
      </c>
      <c r="E1463" s="7" t="s">
        <v>5722</v>
      </c>
      <c r="F1463" s="7" t="str">
        <f>HYPERLINK("http://www.vitaci.it/","www.vitaci.it")</f>
        <v>www.vitaci.it</v>
      </c>
    </row>
    <row r="1464" spans="1:6" ht="16.95" customHeight="1" x14ac:dyDescent="0.25">
      <c r="A1464" s="6" t="s">
        <v>5723</v>
      </c>
      <c r="B1464" s="5" t="s">
        <v>5724</v>
      </c>
      <c r="C1464" s="5" t="s">
        <v>5693</v>
      </c>
      <c r="D1464" s="5" t="s">
        <v>5725</v>
      </c>
      <c r="E1464" s="5" t="s">
        <v>5703</v>
      </c>
      <c r="F1464" s="5" t="str">
        <f>HYPERLINK("http://www.bromotirrena.com/","www.bromotirrena.com")</f>
        <v>www.bromotirrena.com</v>
      </c>
    </row>
    <row r="1465" spans="1:6" ht="29.55" customHeight="1" x14ac:dyDescent="0.25">
      <c r="A1465" s="6" t="s">
        <v>5726</v>
      </c>
      <c r="B1465" s="5" t="s">
        <v>5727</v>
      </c>
      <c r="C1465" s="5" t="s">
        <v>5700</v>
      </c>
      <c r="D1465" s="5" t="s">
        <v>5728</v>
      </c>
      <c r="E1465" s="5" t="s">
        <v>5729</v>
      </c>
      <c r="F1465" s="5" t="str">
        <f>HYPERLINK("http://www.sant-andreasrl.it/","www.sant-andreasrl.it")</f>
        <v>www.sant-andreasrl.it</v>
      </c>
    </row>
    <row r="1466" spans="1:6" ht="29.55" customHeight="1" x14ac:dyDescent="0.25">
      <c r="A1466" s="1" t="s">
        <v>5730</v>
      </c>
      <c r="B1466" s="7" t="s">
        <v>5731</v>
      </c>
      <c r="C1466" s="7" t="s">
        <v>5693</v>
      </c>
      <c r="D1466" s="7" t="s">
        <v>5721</v>
      </c>
      <c r="E1466" s="7" t="s">
        <v>5722</v>
      </c>
      <c r="F1466" s="7" t="str">
        <f>HYPERLINK("http://soccopamcom.serversicuro.it/","soccopamcom.serversicuro.it")</f>
        <v>soccopamcom.serversicuro.it</v>
      </c>
    </row>
    <row r="1467" spans="1:6" ht="81.75" customHeight="1" x14ac:dyDescent="0.25">
      <c r="A1467" s="1" t="s">
        <v>5734</v>
      </c>
      <c r="B1467" s="7" t="s">
        <v>5735</v>
      </c>
      <c r="C1467" s="7" t="s">
        <v>5706</v>
      </c>
      <c r="D1467" s="7" t="s">
        <v>5736</v>
      </c>
      <c r="E1467" s="7" t="s">
        <v>5710</v>
      </c>
      <c r="F1467" s="7" t="str">
        <f>HYPERLINK("http://www.belguardo.it/","www.belguardo.it")</f>
        <v>www.belguardo.it</v>
      </c>
    </row>
    <row r="1468" spans="1:6" ht="29.55" customHeight="1" x14ac:dyDescent="0.25">
      <c r="A1468" s="1" t="s">
        <v>5737</v>
      </c>
      <c r="B1468" s="7" t="s">
        <v>5738</v>
      </c>
      <c r="C1468" s="7" t="s">
        <v>5700</v>
      </c>
      <c r="D1468" s="7" t="s">
        <v>5739</v>
      </c>
      <c r="E1468" s="7" t="s">
        <v>5733</v>
      </c>
      <c r="F1468" s="7" t="str">
        <f>HYPERLINK("http://www.borseggi.it/","www.borseggi.it")</f>
        <v>www.borseggi.it</v>
      </c>
    </row>
    <row r="1469" spans="1:6" ht="29.55" customHeight="1" x14ac:dyDescent="0.25">
      <c r="A1469" s="1" t="s">
        <v>5740</v>
      </c>
      <c r="B1469" s="7" t="s">
        <v>5741</v>
      </c>
      <c r="C1469" s="7" t="s">
        <v>5713</v>
      </c>
      <c r="D1469" s="7" t="s">
        <v>5742</v>
      </c>
      <c r="E1469" s="7" t="s">
        <v>5722</v>
      </c>
      <c r="F1469" s="7" t="str">
        <f>HYPERLINK("http://www.librandi.it/","www.librandi.it")</f>
        <v>www.librandi.it</v>
      </c>
    </row>
    <row r="1470" spans="1:6" ht="16.95" customHeight="1" x14ac:dyDescent="0.25">
      <c r="A1470" s="6" t="s">
        <v>5743</v>
      </c>
      <c r="B1470" s="5" t="s">
        <v>5744</v>
      </c>
      <c r="C1470" s="5" t="s">
        <v>5693</v>
      </c>
      <c r="D1470" s="5" t="s">
        <v>5732</v>
      </c>
      <c r="E1470" s="5" t="s">
        <v>5694</v>
      </c>
      <c r="F1470" s="5" t="str">
        <f>HYPERLINK("http://www.corones-kronplatz.com/","www.corones-kronplatz.com")</f>
        <v>www.corones-kronplatz.com</v>
      </c>
    </row>
    <row r="1471" spans="1:6" ht="16.95" customHeight="1" x14ac:dyDescent="0.25">
      <c r="A1471" s="6" t="s">
        <v>5745</v>
      </c>
      <c r="B1471" s="5" t="s">
        <v>5746</v>
      </c>
      <c r="C1471" s="5" t="s">
        <v>5747</v>
      </c>
      <c r="D1471" s="5" t="s">
        <v>5748</v>
      </c>
      <c r="E1471" s="5" t="s">
        <v>5733</v>
      </c>
      <c r="F1471" s="5" t="str">
        <f>HYPERLINK("http://www.fito-consult.it/","www.fito-consult.it")</f>
        <v>www.fito-consult.it</v>
      </c>
    </row>
    <row r="1472" spans="1:6" ht="29.55" customHeight="1" x14ac:dyDescent="0.25">
      <c r="A1472" s="6" t="s">
        <v>5749</v>
      </c>
      <c r="B1472" s="5" t="s">
        <v>5750</v>
      </c>
      <c r="C1472" s="5" t="s">
        <v>5706</v>
      </c>
      <c r="D1472" s="5" t="s">
        <v>5751</v>
      </c>
      <c r="E1472" s="5" t="s">
        <v>5710</v>
      </c>
      <c r="F1472" s="5" t="str">
        <f>HYPERLINK("http://www.fattoriadimagliano.it/","www.fattoriadimagliano.it")</f>
        <v>www.fattoriadimagliano.it</v>
      </c>
    </row>
    <row r="1473" spans="1:6" ht="43.05" customHeight="1" x14ac:dyDescent="0.25">
      <c r="A1473" s="1" t="s">
        <v>5755</v>
      </c>
      <c r="B1473" s="7" t="s">
        <v>5756</v>
      </c>
      <c r="C1473" s="7" t="s">
        <v>5757</v>
      </c>
      <c r="D1473" s="7" t="s">
        <v>5758</v>
      </c>
      <c r="E1473" s="7" t="s">
        <v>5759</v>
      </c>
      <c r="F1473" s="7" t="str">
        <f>HYPERLINK("http://www.ipastini.it/","www.ipastini.it")</f>
        <v>www.ipastini.it</v>
      </c>
    </row>
    <row r="1474" spans="1:6" ht="29.55" customHeight="1" x14ac:dyDescent="0.25">
      <c r="A1474" s="1" t="s">
        <v>5761</v>
      </c>
      <c r="B1474" s="7" t="s">
        <v>5762</v>
      </c>
      <c r="C1474" s="7" t="s">
        <v>5763</v>
      </c>
      <c r="D1474" s="7" t="s">
        <v>5764</v>
      </c>
      <c r="E1474" s="7" t="s">
        <v>5754</v>
      </c>
      <c r="F1474" s="7" t="str">
        <f>HYPERLINK("http://sanfrancescosrlsocietaagricola.business.site/","sanfrancescosrlsocietaagricola.business.site/")</f>
        <v>sanfrancescosrlsocietaagricola.business.site/</v>
      </c>
    </row>
    <row r="1475" spans="1:6" ht="16.95" customHeight="1" x14ac:dyDescent="0.25">
      <c r="A1475" s="1" t="s">
        <v>5765</v>
      </c>
      <c r="B1475" s="7" t="s">
        <v>5766</v>
      </c>
      <c r="C1475" s="7" t="s">
        <v>5752</v>
      </c>
      <c r="D1475" s="7" t="s">
        <v>5767</v>
      </c>
      <c r="E1475" s="7" t="s">
        <v>5768</v>
      </c>
      <c r="F1475" s="7" t="str">
        <f>HYPERLINK("http://www.zangirolami.org/","www.zangirolami.org")</f>
        <v>www.zangirolami.org</v>
      </c>
    </row>
    <row r="1476" spans="1:6" ht="55.65" customHeight="1" x14ac:dyDescent="0.25">
      <c r="A1476" s="1" t="s">
        <v>5770</v>
      </c>
      <c r="B1476" s="7" t="s">
        <v>5771</v>
      </c>
      <c r="C1476" s="7" t="s">
        <v>5757</v>
      </c>
      <c r="D1476" s="7" t="s">
        <v>5772</v>
      </c>
      <c r="E1476" s="7" t="s">
        <v>5769</v>
      </c>
      <c r="F1476" s="7" t="str">
        <f>HYPERLINK("http://www.mazzei.it/it/tenute/zisola/la-tenuta/","www.mazzei.it/it/tenute/zisola/la-tenuta/")</f>
        <v>www.mazzei.it/it/tenute/zisola/la-tenuta/</v>
      </c>
    </row>
    <row r="1477" spans="1:6" ht="43.05" customHeight="1" x14ac:dyDescent="0.25">
      <c r="A1477" s="6" t="s">
        <v>5776</v>
      </c>
      <c r="B1477" s="5" t="s">
        <v>5777</v>
      </c>
      <c r="C1477" s="5" t="s">
        <v>5757</v>
      </c>
      <c r="D1477" s="5" t="s">
        <v>5778</v>
      </c>
      <c r="E1477" s="5" t="s">
        <v>5779</v>
      </c>
      <c r="F1477" s="5" t="str">
        <f>HYPERLINK("http://www.lagiustiniana.it/","www.lagiustiniana.it")</f>
        <v>www.lagiustiniana.it</v>
      </c>
    </row>
    <row r="1478" spans="1:6" ht="29.55" customHeight="1" x14ac:dyDescent="0.25">
      <c r="A1478" s="1" t="s">
        <v>5780</v>
      </c>
      <c r="B1478" s="7" t="s">
        <v>5781</v>
      </c>
      <c r="C1478" s="7" t="s">
        <v>5782</v>
      </c>
      <c r="D1478" s="7" t="s">
        <v>5753</v>
      </c>
      <c r="E1478" s="7" t="s">
        <v>5754</v>
      </c>
      <c r="F1478" s="7" t="str">
        <f>HYPERLINK("http://www.lameri.it/","www.lameri.it")</f>
        <v>www.lameri.it</v>
      </c>
    </row>
    <row r="1479" spans="1:6" ht="29.55" customHeight="1" x14ac:dyDescent="0.25">
      <c r="A1479" s="6" t="s">
        <v>5783</v>
      </c>
      <c r="B1479" s="5" t="s">
        <v>5784</v>
      </c>
      <c r="C1479" s="5" t="s">
        <v>5774</v>
      </c>
      <c r="D1479" s="5" t="s">
        <v>5773</v>
      </c>
      <c r="E1479" s="5" t="s">
        <v>5754</v>
      </c>
      <c r="F1479" s="5" t="str">
        <f>HYPERLINK("http://www.lascarionavivai.it/","www.lascarionavivai.it")</f>
        <v>www.lascarionavivai.it</v>
      </c>
    </row>
    <row r="1480" spans="1:6" ht="29.55" customHeight="1" x14ac:dyDescent="0.25">
      <c r="A1480" s="1" t="s">
        <v>5785</v>
      </c>
      <c r="B1480" s="7" t="s">
        <v>5786</v>
      </c>
      <c r="C1480" s="7" t="s">
        <v>5775</v>
      </c>
      <c r="D1480" s="7" t="s">
        <v>5787</v>
      </c>
      <c r="E1480" s="7" t="s">
        <v>5760</v>
      </c>
      <c r="F1480" s="7" t="str">
        <f>HYPERLINK("http://camagrecoop.it/","camagrecoop.it")</f>
        <v>camagrecoop.it</v>
      </c>
    </row>
    <row r="1481" spans="1:6" ht="29.55" customHeight="1" x14ac:dyDescent="0.25">
      <c r="A1481" s="1" t="s">
        <v>5788</v>
      </c>
      <c r="B1481" s="7" t="s">
        <v>5789</v>
      </c>
      <c r="C1481" s="7" t="s">
        <v>5790</v>
      </c>
      <c r="D1481" s="7" t="s">
        <v>5791</v>
      </c>
      <c r="E1481" s="7" t="s">
        <v>5769</v>
      </c>
      <c r="F1481" s="7" t="str">
        <f>HYPERLINK("http://www.ifruttidelsole.it/","www.ifruttidelsole.it/")</f>
        <v>www.ifruttidelsole.it/</v>
      </c>
    </row>
    <row r="1482" spans="1:6" ht="16.95" customHeight="1" x14ac:dyDescent="0.25">
      <c r="A1482" s="6" t="s">
        <v>5792</v>
      </c>
      <c r="B1482" s="5" t="s">
        <v>5793</v>
      </c>
      <c r="C1482" s="5" t="s">
        <v>5794</v>
      </c>
      <c r="D1482" s="5" t="s">
        <v>5795</v>
      </c>
      <c r="E1482" s="5" t="s">
        <v>5768</v>
      </c>
      <c r="F1482" s="5" t="str">
        <f>HYPERLINK("http://www.trotstallions.it/","www.trotstallions.it")</f>
        <v>www.trotstallions.it</v>
      </c>
    </row>
    <row r="1483" spans="1:6" ht="29.55" customHeight="1" x14ac:dyDescent="0.25">
      <c r="A1483" s="1" t="s">
        <v>5796</v>
      </c>
      <c r="B1483" s="7" t="s">
        <v>5797</v>
      </c>
      <c r="C1483" s="7" t="s">
        <v>5798</v>
      </c>
      <c r="D1483" s="7" t="s">
        <v>5799</v>
      </c>
      <c r="E1483" s="7" t="s">
        <v>5759</v>
      </c>
      <c r="F1483" s="7" t="str">
        <f>HYPERLINK("http://www.frantoiodibenedetto.it/","www.frantoiodibenedetto.it")</f>
        <v>www.frantoiodibenedetto.it</v>
      </c>
    </row>
    <row r="1484" spans="1:6" ht="29.55" customHeight="1" x14ac:dyDescent="0.25">
      <c r="A1484" s="6" t="s">
        <v>5800</v>
      </c>
      <c r="B1484" s="5" t="s">
        <v>5801</v>
      </c>
      <c r="C1484" s="5" t="s">
        <v>5757</v>
      </c>
      <c r="D1484" s="5" t="s">
        <v>5802</v>
      </c>
      <c r="E1484" s="5" t="s">
        <v>5802</v>
      </c>
      <c r="F1484" s="5" t="str">
        <f>HYPERLINK("http://www.audarya.it/","www.audarya.it")</f>
        <v>www.audarya.it</v>
      </c>
    </row>
    <row r="1485" spans="1:6" ht="81.75" customHeight="1" x14ac:dyDescent="0.25">
      <c r="A1485" s="1" t="s">
        <v>5809</v>
      </c>
      <c r="B1485" s="7" t="s">
        <v>5810</v>
      </c>
      <c r="C1485" s="7" t="s">
        <v>5811</v>
      </c>
      <c r="D1485" s="7" t="s">
        <v>5812</v>
      </c>
      <c r="E1485" s="7" t="s">
        <v>5813</v>
      </c>
      <c r="F1485" s="7" t="str">
        <f>HYPERLINK("http://campomaggio.it/","campomaggio.it")</f>
        <v>campomaggio.it</v>
      </c>
    </row>
    <row r="1486" spans="1:6" ht="29.55" customHeight="1" x14ac:dyDescent="0.25">
      <c r="A1486" s="1" t="s">
        <v>5815</v>
      </c>
      <c r="B1486" s="7" t="s">
        <v>5816</v>
      </c>
      <c r="C1486" s="7" t="s">
        <v>5806</v>
      </c>
      <c r="D1486" s="7" t="s">
        <v>5817</v>
      </c>
      <c r="E1486" s="7" t="s">
        <v>5818</v>
      </c>
      <c r="F1486" s="7" t="str">
        <f>HYPERLINK("http://www.masseriapietrafitta.it/","www.masseriapietrafitta.it")</f>
        <v>www.masseriapietrafitta.it</v>
      </c>
    </row>
    <row r="1487" spans="1:6" ht="43.05" customHeight="1" x14ac:dyDescent="0.25">
      <c r="A1487" s="1" t="s">
        <v>5821</v>
      </c>
      <c r="B1487" s="7" t="s">
        <v>5822</v>
      </c>
      <c r="C1487" s="7" t="s">
        <v>5823</v>
      </c>
      <c r="D1487" s="7" t="s">
        <v>5824</v>
      </c>
      <c r="E1487" s="7" t="s">
        <v>5825</v>
      </c>
      <c r="F1487" s="7" t="str">
        <f>HYPERLINK("http://la-murese-societa-cooperativa-agricola-01923120768.quantofattura.com/","la-murese-societa-cooperativa-agricola-01923120768.quantofattura.com")</f>
        <v>la-murese-societa-cooperativa-agricola-01923120768.quantofattura.com</v>
      </c>
    </row>
    <row r="1488" spans="1:6" ht="29.55" customHeight="1" x14ac:dyDescent="0.25">
      <c r="A1488" s="6" t="s">
        <v>5826</v>
      </c>
      <c r="B1488" s="5" t="s">
        <v>5827</v>
      </c>
      <c r="C1488" s="5" t="s">
        <v>5819</v>
      </c>
      <c r="D1488" s="5" t="s">
        <v>5828</v>
      </c>
      <c r="E1488" s="5" t="s">
        <v>5829</v>
      </c>
      <c r="F1488" s="5" t="str">
        <f>HYPERLINK("http://feudodisisa.com/","feudodisisa.com")</f>
        <v>feudodisisa.com</v>
      </c>
    </row>
    <row r="1489" spans="1:6" ht="29.55" customHeight="1" x14ac:dyDescent="0.25">
      <c r="A1489" s="1" t="s">
        <v>5830</v>
      </c>
      <c r="B1489" s="7" t="s">
        <v>5831</v>
      </c>
      <c r="C1489" s="7" t="s">
        <v>5832</v>
      </c>
      <c r="D1489" s="7" t="s">
        <v>5833</v>
      </c>
      <c r="E1489" s="7" t="s">
        <v>5833</v>
      </c>
      <c r="F1489" s="7" t="str">
        <f>HYPERLINK("http://www.champagne.fr/","www.champagne.fr")</f>
        <v>www.champagne.fr</v>
      </c>
    </row>
    <row r="1490" spans="1:6" ht="29.55" customHeight="1" x14ac:dyDescent="0.25">
      <c r="A1490" s="6" t="s">
        <v>5834</v>
      </c>
      <c r="B1490" s="5" t="s">
        <v>5835</v>
      </c>
      <c r="C1490" s="5" t="s">
        <v>5836</v>
      </c>
      <c r="D1490" s="5" t="s">
        <v>5804</v>
      </c>
      <c r="E1490" s="5" t="s">
        <v>5805</v>
      </c>
      <c r="F1490" s="5" t="str">
        <f>HYPERLINK("http://progettomeristema.it/","progettomeristema.it")</f>
        <v>progettomeristema.it</v>
      </c>
    </row>
    <row r="1491" spans="1:6" ht="29.55" customHeight="1" x14ac:dyDescent="0.25">
      <c r="A1491" s="1" t="s">
        <v>5837</v>
      </c>
      <c r="B1491" s="7" t="s">
        <v>5838</v>
      </c>
      <c r="C1491" s="7" t="s">
        <v>5839</v>
      </c>
      <c r="D1491" s="7" t="s">
        <v>5840</v>
      </c>
      <c r="E1491" s="7" t="s">
        <v>5829</v>
      </c>
      <c r="F1491" s="7" t="str">
        <f>HYPERLINK("http://www.goldenfruitscudera.com/","www.goldenfruitscudera.com")</f>
        <v>www.goldenfruitscudera.com</v>
      </c>
    </row>
    <row r="1492" spans="1:6" ht="16.95" customHeight="1" x14ac:dyDescent="0.25">
      <c r="A1492" s="6" t="s">
        <v>5841</v>
      </c>
      <c r="B1492" s="5" t="s">
        <v>5842</v>
      </c>
      <c r="C1492" s="5" t="s">
        <v>5843</v>
      </c>
      <c r="D1492" s="5" t="s">
        <v>5844</v>
      </c>
      <c r="E1492" s="5" t="s">
        <v>5845</v>
      </c>
      <c r="F1492" s="5" t="str">
        <f>HYPERLINK("http://ragionierilegno.it/","ragionierilegno.it")</f>
        <v>ragionierilegno.it</v>
      </c>
    </row>
    <row r="1493" spans="1:6" ht="29.55" customHeight="1" x14ac:dyDescent="0.25">
      <c r="A1493" s="6" t="s">
        <v>5847</v>
      </c>
      <c r="B1493" s="5" t="s">
        <v>5848</v>
      </c>
      <c r="C1493" s="5" t="s">
        <v>5849</v>
      </c>
      <c r="D1493" s="5" t="s">
        <v>5820</v>
      </c>
      <c r="E1493" s="5" t="s">
        <v>5818</v>
      </c>
      <c r="F1493" s="5" t="str">
        <f>HYPERLINK("http://clubdellamandorla.it/","clubdellamandorla.it")</f>
        <v>clubdellamandorla.it</v>
      </c>
    </row>
    <row r="1494" spans="1:6" ht="29.55" customHeight="1" x14ac:dyDescent="0.25">
      <c r="A1494" s="6" t="s">
        <v>5850</v>
      </c>
      <c r="B1494" s="5" t="s">
        <v>5851</v>
      </c>
      <c r="C1494" s="5" t="s">
        <v>5852</v>
      </c>
      <c r="D1494" s="5" t="s">
        <v>5853</v>
      </c>
      <c r="E1494" s="5" t="s">
        <v>5854</v>
      </c>
      <c r="F1494" s="5" t="str">
        <f>HYPERLINK("http://www.fpatrento.it/","www.fpatrento.it")</f>
        <v>www.fpatrento.it</v>
      </c>
    </row>
    <row r="1495" spans="1:6" ht="55.65" customHeight="1" x14ac:dyDescent="0.25">
      <c r="A1495" s="1" t="s">
        <v>5855</v>
      </c>
      <c r="B1495" s="7" t="s">
        <v>5856</v>
      </c>
      <c r="C1495" s="7" t="s">
        <v>5811</v>
      </c>
      <c r="D1495" s="7" t="s">
        <v>5814</v>
      </c>
      <c r="E1495" s="7" t="s">
        <v>5808</v>
      </c>
      <c r="F1495" s="7" t="str">
        <f>HYPERLINK("http://curtense.it/","curtense.it")</f>
        <v>curtense.it</v>
      </c>
    </row>
    <row r="1496" spans="1:6" ht="29.55" customHeight="1" x14ac:dyDescent="0.25">
      <c r="A1496" s="6" t="s">
        <v>5857</v>
      </c>
      <c r="B1496" s="5" t="s">
        <v>5858</v>
      </c>
      <c r="C1496" s="5" t="s">
        <v>5823</v>
      </c>
      <c r="D1496" s="5" t="s">
        <v>5804</v>
      </c>
      <c r="E1496" s="5" t="s">
        <v>5805</v>
      </c>
      <c r="F1496" s="5" t="str">
        <f>HYPERLINK("http://www.agricolaronca.com/","www.agricolaronca.com")</f>
        <v>www.agricolaronca.com</v>
      </c>
    </row>
    <row r="1497" spans="1:6" ht="29.55" customHeight="1" x14ac:dyDescent="0.25">
      <c r="A1497" s="6" t="s">
        <v>5859</v>
      </c>
      <c r="B1497" s="5" t="s">
        <v>5860</v>
      </c>
      <c r="C1497" s="5" t="s">
        <v>5823</v>
      </c>
      <c r="D1497" s="5" t="s">
        <v>5807</v>
      </c>
      <c r="E1497" s="5" t="s">
        <v>5808</v>
      </c>
      <c r="F1497" s="5" t="str">
        <f>HYPERLINK("http://agrocasearia.com/","agrocasearia.com")</f>
        <v>agrocasearia.com</v>
      </c>
    </row>
    <row r="1498" spans="1:6" ht="29.55" customHeight="1" x14ac:dyDescent="0.25">
      <c r="A1498" s="1" t="s">
        <v>5861</v>
      </c>
      <c r="B1498" s="7" t="s">
        <v>5862</v>
      </c>
      <c r="C1498" s="7" t="s">
        <v>5863</v>
      </c>
      <c r="D1498" s="7" t="s">
        <v>5846</v>
      </c>
      <c r="E1498" s="7" t="s">
        <v>5829</v>
      </c>
      <c r="F1498" s="7" t="str">
        <f>HYPERLINK("http://www.apicoltorietnei.it/","www.apicoltorietnei.it")</f>
        <v>www.apicoltorietnei.it</v>
      </c>
    </row>
    <row r="1499" spans="1:6" ht="43.05" customHeight="1" x14ac:dyDescent="0.25">
      <c r="A1499" s="6" t="s">
        <v>5864</v>
      </c>
      <c r="B1499" s="5" t="s">
        <v>5865</v>
      </c>
      <c r="C1499" s="5" t="s">
        <v>5819</v>
      </c>
      <c r="D1499" s="5" t="s">
        <v>5866</v>
      </c>
      <c r="E1499" s="5" t="s">
        <v>5845</v>
      </c>
      <c r="F1499" s="5" t="str">
        <f>HYPERLINK("http://www.tenutadicarleone.com/","www.tenutadicarleone.com")</f>
        <v>www.tenutadicarleone.com</v>
      </c>
    </row>
    <row r="1500" spans="1:6" ht="29.55" customHeight="1" x14ac:dyDescent="0.25">
      <c r="A1500" s="1" t="s">
        <v>5867</v>
      </c>
      <c r="B1500" s="7" t="s">
        <v>5868</v>
      </c>
      <c r="C1500" s="7" t="s">
        <v>5819</v>
      </c>
      <c r="D1500" s="7" t="s">
        <v>5869</v>
      </c>
      <c r="E1500" s="7" t="s">
        <v>5870</v>
      </c>
      <c r="F1500" s="7" t="str">
        <f>HYPERLINK("http://www.vallereale.com/","www.vallereale.com")</f>
        <v>www.vallereale.com</v>
      </c>
    </row>
    <row r="1501" spans="1:6" ht="43.05" customHeight="1" x14ac:dyDescent="0.25">
      <c r="A1501" s="6" t="s">
        <v>5871</v>
      </c>
      <c r="B1501" s="5" t="s">
        <v>5872</v>
      </c>
      <c r="C1501" s="5" t="s">
        <v>5803</v>
      </c>
      <c r="D1501" s="5" t="s">
        <v>5873</v>
      </c>
      <c r="E1501" s="5" t="s">
        <v>5805</v>
      </c>
      <c r="F1501" s="5" t="str">
        <f>HYPERLINK("http://www.aosm2consulenza.it/","www.aosm2consulenza.it")</f>
        <v>www.aosm2consulenza.it</v>
      </c>
    </row>
    <row r="1502" spans="1:6" ht="29.55" customHeight="1" x14ac:dyDescent="0.25">
      <c r="A1502" s="6" t="s">
        <v>5874</v>
      </c>
      <c r="B1502" s="5" t="s">
        <v>5875</v>
      </c>
      <c r="C1502" s="5" t="s">
        <v>5806</v>
      </c>
      <c r="D1502" s="5" t="s">
        <v>5876</v>
      </c>
      <c r="E1502" s="5" t="s">
        <v>5877</v>
      </c>
      <c r="F1502" s="5" t="str">
        <f>HYPERLINK("http://www.emiliatasting.it/","www.emiliatasting.it")</f>
        <v>www.emiliatasting.it</v>
      </c>
    </row>
    <row r="1503" spans="1:6" ht="29.55" customHeight="1" x14ac:dyDescent="0.25">
      <c r="A1503" s="1" t="s">
        <v>5878</v>
      </c>
      <c r="B1503" s="7" t="s">
        <v>5879</v>
      </c>
      <c r="C1503" s="7" t="s">
        <v>5823</v>
      </c>
      <c r="D1503" s="7" t="s">
        <v>5824</v>
      </c>
      <c r="E1503" s="7" t="s">
        <v>5825</v>
      </c>
      <c r="F1503" s="7" t="str">
        <f>HYPERLINK("http://www.rapollafiorente.it/","www.rapollafiorente.it")</f>
        <v>www.rapollafiorente.it</v>
      </c>
    </row>
    <row r="1504" spans="1:6" ht="43.05" customHeight="1" x14ac:dyDescent="0.25">
      <c r="A1504" s="1" t="s">
        <v>5880</v>
      </c>
      <c r="B1504" s="7" t="s">
        <v>5881</v>
      </c>
      <c r="C1504" s="7" t="s">
        <v>5882</v>
      </c>
      <c r="D1504" s="7" t="s">
        <v>5883</v>
      </c>
      <c r="E1504" s="7" t="s">
        <v>5884</v>
      </c>
      <c r="F1504" s="7" t="str">
        <f>HYPERLINK("http://www.resherbis.it/","www.resherbis.it")</f>
        <v>www.resherbis.it</v>
      </c>
    </row>
    <row r="1505" spans="1:6" ht="29.55" customHeight="1" x14ac:dyDescent="0.25">
      <c r="A1505" s="1" t="s">
        <v>5886</v>
      </c>
      <c r="B1505" s="7" t="s">
        <v>5887</v>
      </c>
      <c r="C1505" s="7" t="s">
        <v>5882</v>
      </c>
      <c r="D1505" s="7" t="s">
        <v>5888</v>
      </c>
      <c r="E1505" s="7" t="s">
        <v>5889</v>
      </c>
      <c r="F1505" s="7" t="str">
        <f>HYPERLINK("http://www.tenutafontino.it/","www.tenutafontino.it")</f>
        <v>www.tenutafontino.it</v>
      </c>
    </row>
    <row r="1506" spans="1:6" ht="16.95" customHeight="1" x14ac:dyDescent="0.25">
      <c r="A1506" s="6" t="s">
        <v>5890</v>
      </c>
      <c r="B1506" s="5" t="s">
        <v>5891</v>
      </c>
      <c r="C1506" s="5" t="s">
        <v>5892</v>
      </c>
      <c r="D1506" s="5" t="s">
        <v>5893</v>
      </c>
      <c r="E1506" s="5" t="s">
        <v>5894</v>
      </c>
      <c r="F1506" s="5" t="str">
        <f>HYPERLINK("http://www.mcgenetics.it/","www.mcgenetics.it")</f>
        <v>www.mcgenetics.it</v>
      </c>
    </row>
    <row r="1507" spans="1:6" ht="29.55" customHeight="1" x14ac:dyDescent="0.25">
      <c r="A1507" s="1" t="s">
        <v>5895</v>
      </c>
      <c r="B1507" s="7" t="s">
        <v>5896</v>
      </c>
      <c r="C1507" s="7" t="s">
        <v>5897</v>
      </c>
      <c r="D1507" s="7" t="s">
        <v>5898</v>
      </c>
      <c r="E1507" s="7" t="s">
        <v>5889</v>
      </c>
      <c r="F1507" s="7" t="str">
        <f>HYPERLINK("http://www.compagniatoscanasigari.it/","www.compagniatoscanasigari.it")</f>
        <v>www.compagniatoscanasigari.it</v>
      </c>
    </row>
    <row r="1508" spans="1:6" ht="29.55" customHeight="1" x14ac:dyDescent="0.25">
      <c r="A1508" s="6" t="s">
        <v>5900</v>
      </c>
      <c r="B1508" s="5" t="s">
        <v>5901</v>
      </c>
      <c r="C1508" s="5" t="s">
        <v>5899</v>
      </c>
      <c r="D1508" s="5" t="s">
        <v>5902</v>
      </c>
      <c r="E1508" s="5" t="s">
        <v>5903</v>
      </c>
      <c r="F1508" s="5" t="str">
        <f>HYPERLINK("http://www.roncomargherita.it/","www.roncomargherita.it")</f>
        <v>www.roncomargherita.it</v>
      </c>
    </row>
    <row r="1509" spans="1:6" ht="16.95" customHeight="1" x14ac:dyDescent="0.25">
      <c r="A1509" s="6" t="s">
        <v>5904</v>
      </c>
      <c r="B1509" s="5" t="s">
        <v>5905</v>
      </c>
      <c r="C1509" s="5" t="s">
        <v>5906</v>
      </c>
      <c r="D1509" s="5" t="s">
        <v>5907</v>
      </c>
      <c r="E1509" s="5" t="s">
        <v>5908</v>
      </c>
      <c r="F1509" s="5" t="str">
        <f>HYPERLINK("http://www.luglifranco.it/","www.luglifranco.it")</f>
        <v>www.luglifranco.it</v>
      </c>
    </row>
    <row r="1510" spans="1:6" ht="43.05" customHeight="1" x14ac:dyDescent="0.25">
      <c r="A1510" s="1" t="s">
        <v>5909</v>
      </c>
      <c r="B1510" s="7" t="s">
        <v>5910</v>
      </c>
      <c r="C1510" s="7" t="s">
        <v>5911</v>
      </c>
      <c r="D1510" s="7" t="s">
        <v>5912</v>
      </c>
      <c r="E1510" s="7" t="s">
        <v>5913</v>
      </c>
      <c r="F1510" s="7" t="str">
        <f>HYPERLINK("http://www.agricolturacapodarco.com/","www.agricolturacapodarco.com")</f>
        <v>www.agricolturacapodarco.com</v>
      </c>
    </row>
    <row r="1511" spans="1:6" ht="29.55" customHeight="1" x14ac:dyDescent="0.25">
      <c r="A1511" s="6" t="s">
        <v>5914</v>
      </c>
      <c r="B1511" s="5" t="s">
        <v>5915</v>
      </c>
      <c r="C1511" s="5" t="s">
        <v>5916</v>
      </c>
      <c r="D1511" s="5" t="s">
        <v>5883</v>
      </c>
      <c r="E1511" s="5" t="s">
        <v>5884</v>
      </c>
      <c r="F1511" s="5" t="str">
        <f>HYPERLINK("http://www.borgocastellopanicaglia.com/","www.borgocastellopanicaglia.com")</f>
        <v>www.borgocastellopanicaglia.com</v>
      </c>
    </row>
    <row r="1512" spans="1:6" ht="16.95" customHeight="1" x14ac:dyDescent="0.25">
      <c r="A1512" s="1" t="s">
        <v>5917</v>
      </c>
      <c r="B1512" s="7" t="s">
        <v>5918</v>
      </c>
      <c r="C1512" s="7" t="s">
        <v>5919</v>
      </c>
      <c r="D1512" s="7" t="s">
        <v>5920</v>
      </c>
      <c r="E1512" s="7" t="s">
        <v>5921</v>
      </c>
      <c r="F1512" s="7" t="str">
        <f>HYPERLINK("http://www.anticouliveto.com/","www.anticouliveto.com")</f>
        <v>www.anticouliveto.com</v>
      </c>
    </row>
    <row r="1513" spans="1:6" ht="29.55" customHeight="1" x14ac:dyDescent="0.25">
      <c r="A1513" s="6" t="s">
        <v>5922</v>
      </c>
      <c r="B1513" s="5" t="s">
        <v>5923</v>
      </c>
      <c r="C1513" s="5" t="s">
        <v>5924</v>
      </c>
      <c r="D1513" s="5" t="s">
        <v>5925</v>
      </c>
      <c r="E1513" s="5" t="s">
        <v>5908</v>
      </c>
      <c r="F1513" s="5" t="str">
        <f>HYPERLINK("http://www.tenutadifrassineto.com/","www.tenutadifrassineto.com")</f>
        <v>www.tenutadifrassineto.com</v>
      </c>
    </row>
    <row r="1514" spans="1:6" ht="29.55" customHeight="1" x14ac:dyDescent="0.25">
      <c r="A1514" s="1" t="s">
        <v>5926</v>
      </c>
      <c r="B1514" s="7" t="s">
        <v>5927</v>
      </c>
      <c r="C1514" s="7" t="s">
        <v>5899</v>
      </c>
      <c r="D1514" s="7" t="s">
        <v>5928</v>
      </c>
      <c r="E1514" s="7" t="s">
        <v>5889</v>
      </c>
      <c r="F1514" s="7" t="str">
        <f>HYPERLINK("http://www.villatrasqua.it/","www.villatrasqua.it")</f>
        <v>www.villatrasqua.it</v>
      </c>
    </row>
    <row r="1515" spans="1:6" ht="55.65" customHeight="1" x14ac:dyDescent="0.25">
      <c r="A1515" s="6" t="s">
        <v>5930</v>
      </c>
      <c r="B1515" s="5" t="s">
        <v>5931</v>
      </c>
      <c r="C1515" s="5" t="s">
        <v>5932</v>
      </c>
      <c r="D1515" s="5" t="s">
        <v>5933</v>
      </c>
      <c r="E1515" s="5" t="s">
        <v>5908</v>
      </c>
      <c r="F1515" s="5" t="str">
        <f>HYPERLINK("http://www.cooperativalorto.com/","www.cooperativalorto.com")</f>
        <v>www.cooperativalorto.com</v>
      </c>
    </row>
    <row r="1516" spans="1:6" ht="68.099999999999994" customHeight="1" x14ac:dyDescent="0.25">
      <c r="A1516" s="1" t="s">
        <v>5934</v>
      </c>
      <c r="B1516" s="7" t="s">
        <v>5935</v>
      </c>
      <c r="C1516" s="7" t="s">
        <v>5932</v>
      </c>
      <c r="D1516" s="7" t="s">
        <v>5936</v>
      </c>
      <c r="E1516" s="7" t="s">
        <v>5937</v>
      </c>
      <c r="F1516" s="7" t="str">
        <f>HYPERLINK("http://www.atsmontemaggiore.it/","www.atsmontemaggiore.it")</f>
        <v>www.atsmontemaggiore.it</v>
      </c>
    </row>
    <row r="1517" spans="1:6" ht="16.95" customHeight="1" x14ac:dyDescent="0.25">
      <c r="A1517" s="6" t="s">
        <v>5938</v>
      </c>
      <c r="B1517" s="5" t="s">
        <v>5939</v>
      </c>
      <c r="C1517" s="5" t="s">
        <v>5916</v>
      </c>
      <c r="D1517" s="5" t="s">
        <v>5940</v>
      </c>
      <c r="E1517" s="5" t="s">
        <v>5941</v>
      </c>
      <c r="F1517" s="5" t="str">
        <f>HYPERLINK("http://www.laporporata.it/","www.laporporata.it")</f>
        <v>www.laporporata.it</v>
      </c>
    </row>
    <row r="1518" spans="1:6" ht="29.55" customHeight="1" x14ac:dyDescent="0.25">
      <c r="A1518" s="1" t="s">
        <v>5942</v>
      </c>
      <c r="B1518" s="7" t="s">
        <v>5943</v>
      </c>
      <c r="C1518" s="7" t="s">
        <v>5906</v>
      </c>
      <c r="D1518" s="7" t="s">
        <v>5944</v>
      </c>
      <c r="E1518" s="7" t="s">
        <v>5941</v>
      </c>
      <c r="F1518" s="7" t="str">
        <f>HYPERLINK("http://www.aziendaagricolaterrebianche.com/","www.aziendaagricolaterrebianche.com")</f>
        <v>www.aziendaagricolaterrebianche.com</v>
      </c>
    </row>
    <row r="1519" spans="1:6" ht="16.95" customHeight="1" x14ac:dyDescent="0.25">
      <c r="A1519" s="6" t="s">
        <v>5945</v>
      </c>
      <c r="B1519" s="5" t="s">
        <v>5946</v>
      </c>
      <c r="C1519" s="5" t="s">
        <v>5947</v>
      </c>
      <c r="D1519" s="5" t="s">
        <v>5948</v>
      </c>
      <c r="E1519" s="5" t="s">
        <v>5885</v>
      </c>
      <c r="F1519" s="5" t="str">
        <f>HYPERLINK("http://www.ippomed.it/","http://www.ippomed.it")</f>
        <v>http://www.ippomed.it</v>
      </c>
    </row>
    <row r="1520" spans="1:6" ht="43.05" customHeight="1" x14ac:dyDescent="0.25">
      <c r="A1520" s="6" t="s">
        <v>5949</v>
      </c>
      <c r="B1520" s="5" t="s">
        <v>5950</v>
      </c>
      <c r="C1520" s="5" t="s">
        <v>5929</v>
      </c>
      <c r="D1520" s="5" t="s">
        <v>5888</v>
      </c>
      <c r="E1520" s="5" t="s">
        <v>5889</v>
      </c>
      <c r="F1520" s="5" t="str">
        <f>HYPERLINK("http://www.fattoriapianetti.it/","www.fattoriapianetti.it")</f>
        <v>www.fattoriapianetti.it</v>
      </c>
    </row>
    <row r="1521" spans="1:6" ht="29.55" customHeight="1" x14ac:dyDescent="0.25">
      <c r="A1521" s="1" t="s">
        <v>5951</v>
      </c>
      <c r="B1521" s="7" t="s">
        <v>5952</v>
      </c>
      <c r="C1521" s="7" t="s">
        <v>5906</v>
      </c>
      <c r="D1521" s="7" t="s">
        <v>5953</v>
      </c>
      <c r="E1521" s="7" t="s">
        <v>5954</v>
      </c>
      <c r="F1521" s="7" t="str">
        <f>HYPERLINK("http://www.pastavera.it/","www.pastavera.it")</f>
        <v>www.pastavera.it</v>
      </c>
    </row>
    <row r="1522" spans="1:6" ht="29.55" customHeight="1" x14ac:dyDescent="0.25">
      <c r="A1522" s="6" t="s">
        <v>5956</v>
      </c>
      <c r="B1522" s="5" t="s">
        <v>5957</v>
      </c>
      <c r="C1522" s="5" t="s">
        <v>5958</v>
      </c>
      <c r="D1522" s="5" t="s">
        <v>5959</v>
      </c>
      <c r="E1522" s="5" t="s">
        <v>5960</v>
      </c>
      <c r="F1522" s="5" t="str">
        <f>HYPERLINK("http://www.agriturismocarloenadia.it/","www.agriturismocarloenadia.it")</f>
        <v>www.agriturismocarloenadia.it</v>
      </c>
    </row>
    <row r="1523" spans="1:6" ht="16.95" customHeight="1" x14ac:dyDescent="0.25">
      <c r="A1523" s="1" t="s">
        <v>5962</v>
      </c>
      <c r="B1523" s="7" t="s">
        <v>5963</v>
      </c>
      <c r="C1523" s="7" t="s">
        <v>5964</v>
      </c>
      <c r="D1523" s="7" t="s">
        <v>5965</v>
      </c>
      <c r="E1523" s="7" t="s">
        <v>5961</v>
      </c>
      <c r="F1523" s="7" t="str">
        <f>HYPERLINK("http://www.stelladelsudsrl.com/","www.stelladelsudsrl.com")</f>
        <v>www.stelladelsudsrl.com</v>
      </c>
    </row>
    <row r="1524" spans="1:6" ht="29.55" customHeight="1" x14ac:dyDescent="0.25">
      <c r="A1524" s="6" t="s">
        <v>5966</v>
      </c>
      <c r="B1524" s="5" t="s">
        <v>5967</v>
      </c>
      <c r="C1524" s="5" t="s">
        <v>5955</v>
      </c>
      <c r="D1524" s="5" t="s">
        <v>5968</v>
      </c>
      <c r="E1524" s="5" t="s">
        <v>5969</v>
      </c>
      <c r="F1524" s="5" t="str">
        <f>HYPERLINK("http://www.borgosanfaustino.it/","www.borgosanfaustino.it")</f>
        <v>www.borgosanfaustino.it</v>
      </c>
    </row>
    <row r="1525" spans="1:6" ht="16.95" customHeight="1" x14ac:dyDescent="0.25">
      <c r="A1525" s="1" t="s">
        <v>5970</v>
      </c>
      <c r="B1525" s="7" t="s">
        <v>5971</v>
      </c>
      <c r="C1525" s="7" t="s">
        <v>5972</v>
      </c>
      <c r="D1525" s="7" t="s">
        <v>5973</v>
      </c>
      <c r="E1525" s="7" t="s">
        <v>5961</v>
      </c>
      <c r="F1525" s="7" t="str">
        <f>HYPERLINK("http://www.sodanogroup.it/","www.sodanogroup.it")</f>
        <v>www.sodanogroup.it</v>
      </c>
    </row>
    <row r="1526" spans="1:6" ht="29.55" customHeight="1" x14ac:dyDescent="0.25">
      <c r="A1526" s="6" t="s">
        <v>5974</v>
      </c>
      <c r="B1526" s="5" t="s">
        <v>5975</v>
      </c>
      <c r="C1526" s="5" t="s">
        <v>5976</v>
      </c>
      <c r="D1526" s="5" t="s">
        <v>5977</v>
      </c>
      <c r="E1526" s="5" t="s">
        <v>5978</v>
      </c>
      <c r="F1526" s="5" t="str">
        <f>HYPERLINK("http://www.agrideasrls.it/","www.agrideasrls.it")</f>
        <v>www.agrideasrls.it</v>
      </c>
    </row>
    <row r="1527" spans="1:6" ht="29.55" customHeight="1" x14ac:dyDescent="0.25">
      <c r="A1527" s="6" t="s">
        <v>5979</v>
      </c>
      <c r="B1527" s="5" t="s">
        <v>5980</v>
      </c>
      <c r="C1527" s="5" t="s">
        <v>5958</v>
      </c>
      <c r="D1527" s="5" t="s">
        <v>5981</v>
      </c>
      <c r="E1527" s="5" t="s">
        <v>5960</v>
      </c>
      <c r="F1527" s="5" t="str">
        <f>HYPERLINK("http://www.aziendaagricolamadonnadellaneve.it/","www.aziendaagricolamadonnadellaneve.it")</f>
        <v>www.aziendaagricolamadonnadellaneve.it</v>
      </c>
    </row>
    <row r="1528" spans="1:6" ht="29.55" customHeight="1" x14ac:dyDescent="0.25">
      <c r="A1528" s="1" t="s">
        <v>5982</v>
      </c>
      <c r="B1528" s="7" t="s">
        <v>5983</v>
      </c>
      <c r="C1528" s="7" t="s">
        <v>5984</v>
      </c>
      <c r="D1528" s="7" t="s">
        <v>5985</v>
      </c>
      <c r="E1528" s="7" t="s">
        <v>5986</v>
      </c>
      <c r="F1528" s="7" t="str">
        <f>HYPERLINK("http://www.vivaibioplant.it/","www.vivaibioplant.it")</f>
        <v>www.vivaibioplant.it</v>
      </c>
    </row>
    <row r="1529" spans="1:6" ht="55.65" customHeight="1" x14ac:dyDescent="0.25">
      <c r="A1529" s="1" t="s">
        <v>5987</v>
      </c>
      <c r="B1529" s="7" t="s">
        <v>5988</v>
      </c>
      <c r="C1529" s="7" t="s">
        <v>5989</v>
      </c>
      <c r="D1529" s="7" t="s">
        <v>5990</v>
      </c>
      <c r="E1529" s="7" t="s">
        <v>5960</v>
      </c>
      <c r="F1529" s="7" t="str">
        <f>HYPERLINK("http://coprag.it/","coprag.it")</f>
        <v>coprag.it</v>
      </c>
    </row>
    <row r="1530" spans="1:6" ht="29.55" customHeight="1" x14ac:dyDescent="0.25">
      <c r="A1530" s="1" t="s">
        <v>5992</v>
      </c>
      <c r="B1530" s="7" t="s">
        <v>5993</v>
      </c>
      <c r="C1530" s="7" t="s">
        <v>5994</v>
      </c>
      <c r="D1530" s="7" t="s">
        <v>5985</v>
      </c>
      <c r="E1530" s="7" t="s">
        <v>5986</v>
      </c>
      <c r="F1530" s="7" t="str">
        <f>HYPERLINK("http://www.tenutachiaramonte.com/","www.tenutachiaramonte.com")</f>
        <v>www.tenutachiaramonte.com</v>
      </c>
    </row>
    <row r="1531" spans="1:6" ht="16.95" customHeight="1" x14ac:dyDescent="0.25">
      <c r="A1531" s="1" t="s">
        <v>5995</v>
      </c>
      <c r="B1531" s="7" t="s">
        <v>5996</v>
      </c>
      <c r="C1531" s="7" t="s">
        <v>5997</v>
      </c>
      <c r="D1531" s="7" t="s">
        <v>5991</v>
      </c>
      <c r="E1531" s="7" t="s">
        <v>5986</v>
      </c>
      <c r="F1531" s="7" t="str">
        <f>HYPERLINK("http://www.winerelaisfeudidelpisciotto.com/","www.winerelaisfeudidelpisciotto.com")</f>
        <v>www.winerelaisfeudidelpisciotto.com</v>
      </c>
    </row>
    <row r="1532" spans="1:6" ht="16.95" customHeight="1" x14ac:dyDescent="0.25">
      <c r="A1532" s="1" t="s">
        <v>5998</v>
      </c>
      <c r="B1532" s="7" t="s">
        <v>5999</v>
      </c>
      <c r="C1532" s="7" t="s">
        <v>5997</v>
      </c>
      <c r="D1532" s="7" t="s">
        <v>6000</v>
      </c>
      <c r="E1532" s="7" t="s">
        <v>6001</v>
      </c>
      <c r="F1532" s="7" t="str">
        <f>HYPERLINK("http://www.tenimentigrieco.it/","www.tenimentigrieco.it")</f>
        <v>www.tenimentigrieco.it</v>
      </c>
    </row>
    <row r="1533" spans="1:6" ht="29.55" customHeight="1" x14ac:dyDescent="0.25">
      <c r="A1533" s="6" t="s">
        <v>6002</v>
      </c>
      <c r="B1533" s="5" t="s">
        <v>6003</v>
      </c>
      <c r="C1533" s="5" t="s">
        <v>6004</v>
      </c>
      <c r="D1533" s="5" t="s">
        <v>6005</v>
      </c>
      <c r="E1533" s="5" t="s">
        <v>6006</v>
      </c>
      <c r="F1533" s="5" t="str">
        <f>HYPERLINK("http://www.lacortedeifiori.it/","www.lacortedeifiori.it")</f>
        <v>www.lacortedeifiori.it</v>
      </c>
    </row>
    <row r="1534" spans="1:6" ht="29.55" customHeight="1" x14ac:dyDescent="0.25">
      <c r="A1534" s="6" t="s">
        <v>6007</v>
      </c>
      <c r="B1534" s="5" t="s">
        <v>6008</v>
      </c>
      <c r="C1534" s="5" t="s">
        <v>5976</v>
      </c>
      <c r="D1534" s="5" t="s">
        <v>6009</v>
      </c>
      <c r="E1534" s="5" t="s">
        <v>5978</v>
      </c>
      <c r="F1534" s="5" t="str">
        <f>HYPERLINK("http://www.allevamentolaflorida.it/","www.allevamentolaflorida.it")</f>
        <v>www.allevamentolaflorida.it</v>
      </c>
    </row>
    <row r="1535" spans="1:6" ht="43.05" customHeight="1" x14ac:dyDescent="0.25">
      <c r="A1535" s="1" t="s">
        <v>6010</v>
      </c>
      <c r="B1535" s="7" t="s">
        <v>6011</v>
      </c>
      <c r="C1535" s="7" t="s">
        <v>6012</v>
      </c>
      <c r="D1535" s="7" t="s">
        <v>6013</v>
      </c>
      <c r="E1535" s="7" t="s">
        <v>5978</v>
      </c>
      <c r="F1535" s="7" t="str">
        <f>HYPERLINK("http://www.tenuteriovini.it/","www.tenuteriovini.it")</f>
        <v>www.tenuteriovini.it</v>
      </c>
    </row>
    <row r="1536" spans="1:6" ht="43.05" customHeight="1" x14ac:dyDescent="0.25">
      <c r="A1536" s="1" t="s">
        <v>6014</v>
      </c>
      <c r="B1536" s="7" t="s">
        <v>6015</v>
      </c>
      <c r="C1536" s="7" t="s">
        <v>6016</v>
      </c>
      <c r="D1536" s="7" t="s">
        <v>6017</v>
      </c>
      <c r="E1536" s="7" t="s">
        <v>6018</v>
      </c>
      <c r="F1536" s="7" t="str">
        <f>HYPERLINK("http://www.pucciarella.it/","www.pucciarella.it")</f>
        <v>www.pucciarella.it</v>
      </c>
    </row>
    <row r="1537" spans="1:6" ht="81.75" customHeight="1" x14ac:dyDescent="0.25">
      <c r="A1537" s="6" t="s">
        <v>6019</v>
      </c>
      <c r="B1537" s="5" t="s">
        <v>6020</v>
      </c>
      <c r="C1537" s="5" t="s">
        <v>6021</v>
      </c>
      <c r="D1537" s="5" t="s">
        <v>6022</v>
      </c>
      <c r="E1537" s="5" t="s">
        <v>6022</v>
      </c>
      <c r="F1537" s="5" t="str">
        <f>HYPERLINK("http://www.oliocopar.it/","www.oliocopar.it")</f>
        <v>www.oliocopar.it</v>
      </c>
    </row>
    <row r="1538" spans="1:6" ht="55.65" customHeight="1" x14ac:dyDescent="0.25">
      <c r="A1538" s="1" t="s">
        <v>6023</v>
      </c>
      <c r="B1538" s="7" t="s">
        <v>6024</v>
      </c>
      <c r="C1538" s="7" t="s">
        <v>6025</v>
      </c>
      <c r="D1538" s="7" t="s">
        <v>6026</v>
      </c>
      <c r="E1538" s="7" t="s">
        <v>6027</v>
      </c>
      <c r="F1538" s="7" t="str">
        <f>HYPERLINK("http://capperipantelleria.com/","capperipantelleria.com")</f>
        <v>capperipantelleria.com</v>
      </c>
    </row>
    <row r="1539" spans="1:6" ht="16.95" customHeight="1" x14ac:dyDescent="0.25">
      <c r="A1539" s="1" t="s">
        <v>6028</v>
      </c>
      <c r="B1539" s="7" t="s">
        <v>6029</v>
      </c>
      <c r="C1539" s="7" t="s">
        <v>6021</v>
      </c>
      <c r="D1539" s="7" t="s">
        <v>6030</v>
      </c>
      <c r="E1539" s="7" t="s">
        <v>6031</v>
      </c>
      <c r="F1539" s="7" t="str">
        <f>HYPERLINK("http://www.pacicostruzioni.com/","www.pacicostruzioni.com")</f>
        <v>www.pacicostruzioni.com</v>
      </c>
    </row>
    <row r="1540" spans="1:6" ht="29.55" customHeight="1" x14ac:dyDescent="0.25">
      <c r="A1540" s="6" t="s">
        <v>6032</v>
      </c>
      <c r="B1540" s="5" t="s">
        <v>6033</v>
      </c>
      <c r="C1540" s="5" t="s">
        <v>6034</v>
      </c>
      <c r="D1540" s="5" t="s">
        <v>6035</v>
      </c>
      <c r="E1540" s="5" t="s">
        <v>6036</v>
      </c>
      <c r="F1540" s="5" t="str">
        <f>HYPERLINK("http://www.scuderiabiasuzzi.it/","www.scuderiabiasuzzi.it")</f>
        <v>www.scuderiabiasuzzi.it</v>
      </c>
    </row>
    <row r="1541" spans="1:6" ht="16.95" customHeight="1" x14ac:dyDescent="0.25">
      <c r="A1541" s="6" t="s">
        <v>6038</v>
      </c>
      <c r="B1541" s="5" t="s">
        <v>6039</v>
      </c>
      <c r="C1541" s="5" t="s">
        <v>6040</v>
      </c>
      <c r="D1541" s="5" t="s">
        <v>6041</v>
      </c>
      <c r="E1541" s="5" t="s">
        <v>6042</v>
      </c>
      <c r="F1541" s="5" t="str">
        <f>HYPERLINK("http://www.castagnolisrl.com/","www.castagnolisrl.com")</f>
        <v>www.castagnolisrl.com</v>
      </c>
    </row>
    <row r="1542" spans="1:6" ht="43.05" customHeight="1" x14ac:dyDescent="0.25">
      <c r="A1542" s="6" t="s">
        <v>6044</v>
      </c>
      <c r="B1542" s="5" t="s">
        <v>6045</v>
      </c>
      <c r="C1542" s="5" t="s">
        <v>6046</v>
      </c>
      <c r="D1542" s="5" t="s">
        <v>6047</v>
      </c>
      <c r="E1542" s="5" t="s">
        <v>6048</v>
      </c>
      <c r="F1542" s="5" t="str">
        <f>HYPERLINK("http://www.villasardi1926.it/","www.villasardi1926.it")</f>
        <v>www.villasardi1926.it</v>
      </c>
    </row>
    <row r="1543" spans="1:6" ht="43.05" customHeight="1" x14ac:dyDescent="0.25">
      <c r="A1543" s="6" t="s">
        <v>6049</v>
      </c>
      <c r="B1543" s="5" t="s">
        <v>6050</v>
      </c>
      <c r="C1543" s="5" t="s">
        <v>6043</v>
      </c>
      <c r="D1543" s="5" t="s">
        <v>6051</v>
      </c>
      <c r="E1543" s="5" t="s">
        <v>6052</v>
      </c>
      <c r="F1543" s="5" t="str">
        <f>HYPERLINK("http://www.pumdeliverus.it/","www.pumdeliverus.it")</f>
        <v>www.pumdeliverus.it</v>
      </c>
    </row>
    <row r="1544" spans="1:6" ht="29.55" customHeight="1" x14ac:dyDescent="0.25">
      <c r="A1544" s="1" t="s">
        <v>6053</v>
      </c>
      <c r="B1544" s="7" t="s">
        <v>6054</v>
      </c>
      <c r="C1544" s="7" t="s">
        <v>6046</v>
      </c>
      <c r="D1544" s="7" t="s">
        <v>6055</v>
      </c>
      <c r="E1544" s="7" t="s">
        <v>6056</v>
      </c>
      <c r="F1544" s="7" t="str">
        <f>HYPERLINK("http://www.peqagri.it/","www.peqagri.it")</f>
        <v>www.peqagri.it</v>
      </c>
    </row>
    <row r="1545" spans="1:6" ht="29.55" customHeight="1" x14ac:dyDescent="0.25">
      <c r="A1545" s="6" t="s">
        <v>6057</v>
      </c>
      <c r="B1545" s="5" t="s">
        <v>6058</v>
      </c>
      <c r="C1545" s="5" t="s">
        <v>6046</v>
      </c>
      <c r="D1545" s="5" t="s">
        <v>6059</v>
      </c>
      <c r="E1545" s="5" t="s">
        <v>6060</v>
      </c>
      <c r="F1545" s="5" t="str">
        <f>HYPERLINK("http://zito.it/","zito.it")</f>
        <v>zito.it</v>
      </c>
    </row>
    <row r="1546" spans="1:6" ht="29.55" customHeight="1" x14ac:dyDescent="0.25">
      <c r="A1546" s="1" t="s">
        <v>6061</v>
      </c>
      <c r="B1546" s="7" t="s">
        <v>6062</v>
      </c>
      <c r="C1546" s="7" t="s">
        <v>6043</v>
      </c>
      <c r="D1546" s="7" t="s">
        <v>6037</v>
      </c>
      <c r="E1546" s="7" t="s">
        <v>6036</v>
      </c>
      <c r="F1546" s="7" t="str">
        <f>HYPERLINK("http://www.agripharma.it/","www.agripharma.it")</f>
        <v>www.agripharma.it</v>
      </c>
    </row>
    <row r="1547" spans="1:6" ht="29.55" customHeight="1" x14ac:dyDescent="0.25">
      <c r="A1547" s="1" t="s">
        <v>6063</v>
      </c>
      <c r="B1547" s="7" t="s">
        <v>6064</v>
      </c>
      <c r="C1547" s="7" t="s">
        <v>6065</v>
      </c>
      <c r="D1547" s="7" t="s">
        <v>6066</v>
      </c>
      <c r="E1547" s="7" t="s">
        <v>6042</v>
      </c>
      <c r="F1547" s="7" t="str">
        <f>HYPERLINK("http://www.cuniola.it/","www.cuniola.it")</f>
        <v>www.cuniola.it</v>
      </c>
    </row>
    <row r="1548" spans="1:6" ht="94.2" customHeight="1" x14ac:dyDescent="0.25">
      <c r="A1548" s="1" t="s">
        <v>6067</v>
      </c>
      <c r="B1548" s="7" t="s">
        <v>6068</v>
      </c>
      <c r="C1548" s="7" t="s">
        <v>6043</v>
      </c>
      <c r="D1548" s="7" t="s">
        <v>6069</v>
      </c>
      <c r="E1548" s="7" t="s">
        <v>6052</v>
      </c>
      <c r="F1548" s="7" t="str">
        <f>HYPERLINK("http://fattoriemonregalesi.it/","fattoriemonregalesi.it")</f>
        <v>fattoriemonregalesi.it</v>
      </c>
    </row>
    <row r="1549" spans="1:6" ht="29.55" customHeight="1" x14ac:dyDescent="0.25">
      <c r="A1549" s="1" t="s">
        <v>6070</v>
      </c>
      <c r="B1549" s="7" t="s">
        <v>6071</v>
      </c>
      <c r="C1549" s="7" t="s">
        <v>6072</v>
      </c>
      <c r="D1549" s="7" t="s">
        <v>6073</v>
      </c>
      <c r="E1549" s="7" t="s">
        <v>6018</v>
      </c>
      <c r="F1549" s="7" t="str">
        <f>HYPERLINK("http://www.unicaspecimen.it/","www.unicaspecimen.it")</f>
        <v>www.unicaspecimen.it</v>
      </c>
    </row>
    <row r="1550" spans="1:6" ht="29.55" customHeight="1" x14ac:dyDescent="0.25">
      <c r="A1550" s="1" t="s">
        <v>6074</v>
      </c>
      <c r="B1550" s="7" t="s">
        <v>6075</v>
      </c>
      <c r="C1550" s="7" t="s">
        <v>6076</v>
      </c>
      <c r="D1550" s="7" t="s">
        <v>6077</v>
      </c>
      <c r="E1550" s="7" t="s">
        <v>6078</v>
      </c>
      <c r="F1550" s="7" t="str">
        <f>HYPERLINK("http://www.agrireteservice.it/","www.agrireteservice.it")</f>
        <v>www.agrireteservice.it</v>
      </c>
    </row>
    <row r="1551" spans="1:6" ht="43.05" customHeight="1" x14ac:dyDescent="0.25">
      <c r="A1551" s="6" t="s">
        <v>6079</v>
      </c>
      <c r="B1551" s="5" t="s">
        <v>6080</v>
      </c>
      <c r="C1551" s="5" t="s">
        <v>6081</v>
      </c>
      <c r="D1551" s="5" t="s">
        <v>6082</v>
      </c>
      <c r="E1551" s="5" t="s">
        <v>6083</v>
      </c>
      <c r="F1551" s="5" t="str">
        <f>HYPERLINK("http://www.poggiocastro.com/","www.poggiocastro.com")</f>
        <v>www.poggiocastro.com</v>
      </c>
    </row>
    <row r="1552" spans="1:6" ht="43.05" customHeight="1" x14ac:dyDescent="0.25">
      <c r="A1552" s="1" t="s">
        <v>6085</v>
      </c>
      <c r="B1552" s="7" t="s">
        <v>6086</v>
      </c>
      <c r="C1552" s="7" t="s">
        <v>6087</v>
      </c>
      <c r="D1552" s="7" t="s">
        <v>6088</v>
      </c>
      <c r="E1552" s="7" t="s">
        <v>6089</v>
      </c>
      <c r="F1552" s="7" t="str">
        <f>HYPERLINK("http://www.leonessavivai.it/","www.leonessavivai.it")</f>
        <v>www.leonessavivai.it</v>
      </c>
    </row>
    <row r="1553" spans="1:6" ht="43.05" customHeight="1" x14ac:dyDescent="0.25">
      <c r="A1553" s="1" t="s">
        <v>6091</v>
      </c>
      <c r="B1553" s="7" t="s">
        <v>6092</v>
      </c>
      <c r="C1553" s="7" t="s">
        <v>6093</v>
      </c>
      <c r="D1553" s="7" t="s">
        <v>6094</v>
      </c>
      <c r="E1553" s="7" t="s">
        <v>6095</v>
      </c>
      <c r="F1553" s="7" t="str">
        <f>HYPERLINK("http://www.carniagricola.it/","www.carniagricola.it")</f>
        <v>www.carniagricola.it</v>
      </c>
    </row>
    <row r="1554" spans="1:6" ht="29.55" customHeight="1" x14ac:dyDescent="0.25">
      <c r="A1554" s="1" t="s">
        <v>6100</v>
      </c>
      <c r="B1554" s="7" t="s">
        <v>6101</v>
      </c>
      <c r="C1554" s="7" t="s">
        <v>6102</v>
      </c>
      <c r="D1554" s="7" t="s">
        <v>6103</v>
      </c>
      <c r="E1554" s="7" t="s">
        <v>6090</v>
      </c>
      <c r="F1554" s="7" t="str">
        <f>HYPERLINK("http://www.vivai-iacono.it/","www.vivai-iacono.it")</f>
        <v>www.vivai-iacono.it</v>
      </c>
    </row>
    <row r="1555" spans="1:6" ht="43.05" customHeight="1" x14ac:dyDescent="0.25">
      <c r="A1555" s="6" t="s">
        <v>6104</v>
      </c>
      <c r="B1555" s="5" t="s">
        <v>6105</v>
      </c>
      <c r="C1555" s="5" t="s">
        <v>6081</v>
      </c>
      <c r="D1555" s="5" t="s">
        <v>6106</v>
      </c>
      <c r="E1555" s="5" t="s">
        <v>6089</v>
      </c>
      <c r="F1555" s="5" t="str">
        <f>HYPERLINK("http://www.lecampagnole.co.uk/","www.lecampagnole.co.uk")</f>
        <v>www.lecampagnole.co.uk</v>
      </c>
    </row>
    <row r="1556" spans="1:6" ht="16.95" customHeight="1" x14ac:dyDescent="0.25">
      <c r="A1556" s="6" t="s">
        <v>6107</v>
      </c>
      <c r="B1556" s="5" t="s">
        <v>6108</v>
      </c>
      <c r="C1556" s="5" t="s">
        <v>6109</v>
      </c>
      <c r="D1556" s="5" t="s">
        <v>6110</v>
      </c>
      <c r="E1556" s="5" t="s">
        <v>6084</v>
      </c>
      <c r="F1556" s="5" t="str">
        <f>HYPERLINK("http://www.shop.gbagricola.it/","www.shop.gbagricola.it")</f>
        <v>www.shop.gbagricola.it</v>
      </c>
    </row>
    <row r="1557" spans="1:6" ht="29.55" customHeight="1" x14ac:dyDescent="0.25">
      <c r="A1557" s="1" t="s">
        <v>6111</v>
      </c>
      <c r="B1557" s="7" t="s">
        <v>6112</v>
      </c>
      <c r="C1557" s="7" t="s">
        <v>6081</v>
      </c>
      <c r="D1557" s="7" t="s">
        <v>6113</v>
      </c>
      <c r="E1557" s="7" t="s">
        <v>6114</v>
      </c>
      <c r="F1557" s="7" t="str">
        <f>HYPERLINK("http://www.agriturismoburla.it/","www.agriturismoburla.it")</f>
        <v>www.agriturismoburla.it</v>
      </c>
    </row>
    <row r="1558" spans="1:6" ht="29.55" customHeight="1" x14ac:dyDescent="0.25">
      <c r="A1558" s="6" t="s">
        <v>6116</v>
      </c>
      <c r="B1558" s="5" t="s">
        <v>6117</v>
      </c>
      <c r="C1558" s="5" t="s">
        <v>6096</v>
      </c>
      <c r="D1558" s="5" t="s">
        <v>6077</v>
      </c>
      <c r="E1558" s="5" t="s">
        <v>6078</v>
      </c>
      <c r="F1558" s="5" t="str">
        <f>HYPERLINK("http://www.pomarsrl.it/","www.pomarsrl.it")</f>
        <v>www.pomarsrl.it</v>
      </c>
    </row>
    <row r="1559" spans="1:6" ht="29.55" customHeight="1" x14ac:dyDescent="0.25">
      <c r="A1559" s="1" t="s">
        <v>6118</v>
      </c>
      <c r="B1559" s="7" t="s">
        <v>6119</v>
      </c>
      <c r="C1559" s="7" t="s">
        <v>6115</v>
      </c>
      <c r="D1559" s="7" t="s">
        <v>6120</v>
      </c>
      <c r="E1559" s="7" t="s">
        <v>6114</v>
      </c>
      <c r="F1559" s="7" t="str">
        <f>HYPERLINK("http://calliero.it/","calliero.it")</f>
        <v>calliero.it</v>
      </c>
    </row>
    <row r="1560" spans="1:6" ht="29.55" customHeight="1" x14ac:dyDescent="0.25">
      <c r="A1560" s="6" t="s">
        <v>6121</v>
      </c>
      <c r="B1560" s="5" t="s">
        <v>6122</v>
      </c>
      <c r="C1560" s="5" t="s">
        <v>6102</v>
      </c>
      <c r="D1560" s="5" t="s">
        <v>6123</v>
      </c>
      <c r="E1560" s="5" t="s">
        <v>6098</v>
      </c>
      <c r="F1560" s="5" t="str">
        <f>HYPERLINK("http://www.larcaverde.com/","www.larcaverde.com")</f>
        <v>www.larcaverde.com</v>
      </c>
    </row>
    <row r="1561" spans="1:6" ht="29.55" customHeight="1" x14ac:dyDescent="0.25">
      <c r="A1561" s="1" t="s">
        <v>6124</v>
      </c>
      <c r="B1561" s="7" t="s">
        <v>6125</v>
      </c>
      <c r="C1561" s="7" t="s">
        <v>6109</v>
      </c>
      <c r="D1561" s="7" t="s">
        <v>6097</v>
      </c>
      <c r="E1561" s="7" t="s">
        <v>6098</v>
      </c>
      <c r="F1561" s="7" t="str">
        <f>HYPERLINK("http://www.borgoantichiortiassisi.it/","www.borgoantichiortiassisi.it")</f>
        <v>www.borgoantichiortiassisi.it</v>
      </c>
    </row>
    <row r="1562" spans="1:6" ht="29.55" customHeight="1" x14ac:dyDescent="0.25">
      <c r="A1562" s="6" t="s">
        <v>6126</v>
      </c>
      <c r="B1562" s="5" t="s">
        <v>6127</v>
      </c>
      <c r="C1562" s="5" t="s">
        <v>6128</v>
      </c>
      <c r="D1562" s="5" t="s">
        <v>6129</v>
      </c>
      <c r="E1562" s="5" t="s">
        <v>6099</v>
      </c>
      <c r="F1562" s="5" t="str">
        <f>HYPERLINK("http://www.mediterranea-piante.it/","www.mediterranea-piante.it")</f>
        <v>www.mediterranea-piante.it</v>
      </c>
    </row>
    <row r="1563" spans="1:6" ht="29.55" customHeight="1" x14ac:dyDescent="0.25">
      <c r="A1563" s="6" t="s">
        <v>6132</v>
      </c>
      <c r="B1563" s="5" t="s">
        <v>6133</v>
      </c>
      <c r="C1563" s="5" t="s">
        <v>6134</v>
      </c>
      <c r="D1563" s="5" t="s">
        <v>6135</v>
      </c>
      <c r="E1563" s="5" t="s">
        <v>6131</v>
      </c>
      <c r="F1563" s="5" t="str">
        <f>HYPERLINK("http://www.vivaiemmanuele.com/","www.vivaiemmanuele.com")</f>
        <v>www.vivaiemmanuele.com</v>
      </c>
    </row>
    <row r="1564" spans="1:6" ht="29.55" customHeight="1" x14ac:dyDescent="0.25">
      <c r="A1564" s="1" t="s">
        <v>6136</v>
      </c>
      <c r="B1564" s="7" t="s">
        <v>6137</v>
      </c>
      <c r="C1564" s="7" t="s">
        <v>6138</v>
      </c>
      <c r="D1564" s="7" t="s">
        <v>6139</v>
      </c>
      <c r="E1564" s="7" t="s">
        <v>6140</v>
      </c>
      <c r="F1564" s="7" t="str">
        <f>HYPERLINK("http://lafenice.tel/","lafenice.tel")</f>
        <v>lafenice.tel</v>
      </c>
    </row>
    <row r="1565" spans="1:6" ht="29.55" customHeight="1" x14ac:dyDescent="0.25">
      <c r="A1565" s="1" t="s">
        <v>6142</v>
      </c>
      <c r="B1565" s="7" t="s">
        <v>6143</v>
      </c>
      <c r="C1565" s="7" t="s">
        <v>6144</v>
      </c>
      <c r="D1565" s="7" t="s">
        <v>6145</v>
      </c>
      <c r="E1565" s="7" t="s">
        <v>6146</v>
      </c>
      <c r="F1565" s="7" t="str">
        <f>HYPERLINK("http://www.crakbrewery.com/","www.crakbrewery.com")</f>
        <v>www.crakbrewery.com</v>
      </c>
    </row>
    <row r="1566" spans="1:6" ht="81.75" customHeight="1" x14ac:dyDescent="0.25">
      <c r="A1566" s="1" t="s">
        <v>6147</v>
      </c>
      <c r="B1566" s="7" t="s">
        <v>6148</v>
      </c>
      <c r="C1566" s="7" t="s">
        <v>6130</v>
      </c>
      <c r="D1566" s="7" t="s">
        <v>6149</v>
      </c>
      <c r="E1566" s="7" t="s">
        <v>6150</v>
      </c>
      <c r="F1566" s="7" t="str">
        <f>HYPERLINK("http://www.csoqualita.it/","www.csoqualita.it")</f>
        <v>www.csoqualita.it</v>
      </c>
    </row>
    <row r="1567" spans="1:6" ht="55.65" customHeight="1" x14ac:dyDescent="0.25">
      <c r="A1567" s="1" t="s">
        <v>6151</v>
      </c>
      <c r="B1567" s="7" t="s">
        <v>6152</v>
      </c>
      <c r="C1567" s="7" t="s">
        <v>6130</v>
      </c>
      <c r="D1567" s="7" t="s">
        <v>6153</v>
      </c>
      <c r="E1567" s="7" t="s">
        <v>6131</v>
      </c>
      <c r="F1567" s="7" t="str">
        <f>HYPERLINK("http://www.siciliaapom.it/","www.siciliaapom.it")</f>
        <v>www.siciliaapom.it</v>
      </c>
    </row>
    <row r="1568" spans="1:6" ht="55.65" customHeight="1" x14ac:dyDescent="0.25">
      <c r="A1568" s="1" t="s">
        <v>6158</v>
      </c>
      <c r="B1568" s="7" t="s">
        <v>6159</v>
      </c>
      <c r="C1568" s="7" t="s">
        <v>6160</v>
      </c>
      <c r="D1568" s="7" t="s">
        <v>6161</v>
      </c>
      <c r="E1568" s="7" t="s">
        <v>6141</v>
      </c>
      <c r="F1568" s="7" t="str">
        <f>HYPERLINK("http://agriverde.net/","agriverde.net")</f>
        <v>agriverde.net</v>
      </c>
    </row>
    <row r="1569" spans="1:6" ht="29.55" customHeight="1" x14ac:dyDescent="0.25">
      <c r="A1569" s="1" t="s">
        <v>6163</v>
      </c>
      <c r="B1569" s="7" t="s">
        <v>6164</v>
      </c>
      <c r="C1569" s="7" t="s">
        <v>6162</v>
      </c>
      <c r="D1569" s="7" t="s">
        <v>6155</v>
      </c>
      <c r="E1569" s="7" t="s">
        <v>6156</v>
      </c>
      <c r="F1569" s="7" t="str">
        <f>HYPERLINK("http://www.corteaura.it/","www.corteaura.it")</f>
        <v>www.corteaura.it</v>
      </c>
    </row>
    <row r="1570" spans="1:6" ht="29.55" customHeight="1" x14ac:dyDescent="0.25">
      <c r="A1570" s="6" t="s">
        <v>6165</v>
      </c>
      <c r="B1570" s="5" t="s">
        <v>6166</v>
      </c>
      <c r="C1570" s="5" t="s">
        <v>6162</v>
      </c>
      <c r="D1570" s="5" t="s">
        <v>6167</v>
      </c>
      <c r="E1570" s="5" t="s">
        <v>6168</v>
      </c>
      <c r="F1570" s="5" t="str">
        <f>HYPERLINK("http://www.marchesialfieri.it/","www.marchesialfieri.it")</f>
        <v>www.marchesialfieri.it</v>
      </c>
    </row>
    <row r="1571" spans="1:6" ht="29.55" customHeight="1" x14ac:dyDescent="0.25">
      <c r="A1571" s="6" t="s">
        <v>6170</v>
      </c>
      <c r="B1571" s="5" t="s">
        <v>6171</v>
      </c>
      <c r="C1571" s="5" t="s">
        <v>6160</v>
      </c>
      <c r="D1571" s="5" t="s">
        <v>6172</v>
      </c>
      <c r="E1571" s="5" t="s">
        <v>6173</v>
      </c>
      <c r="F1571" s="5" t="str">
        <f>HYPERLINK("http://www.brogionilemosseortofloricoltura.com/","www.brogionilemosseortofloricoltura.com")</f>
        <v>www.brogionilemosseortofloricoltura.com</v>
      </c>
    </row>
    <row r="1572" spans="1:6" ht="55.65" customHeight="1" x14ac:dyDescent="0.25">
      <c r="A1572" s="6" t="s">
        <v>6174</v>
      </c>
      <c r="B1572" s="5" t="s">
        <v>6175</v>
      </c>
      <c r="C1572" s="5" t="s">
        <v>6162</v>
      </c>
      <c r="D1572" s="5" t="s">
        <v>6176</v>
      </c>
      <c r="E1572" s="5" t="s">
        <v>6177</v>
      </c>
      <c r="F1572" s="5" t="str">
        <f>HYPERLINK("http://www.villamora.it/","www.villamora.it")</f>
        <v>www.villamora.it</v>
      </c>
    </row>
    <row r="1573" spans="1:6" ht="16.95" customHeight="1" x14ac:dyDescent="0.25">
      <c r="A1573" s="6" t="s">
        <v>6178</v>
      </c>
      <c r="B1573" s="5" t="s">
        <v>6179</v>
      </c>
      <c r="C1573" s="5" t="s">
        <v>6180</v>
      </c>
      <c r="D1573" s="5" t="s">
        <v>6181</v>
      </c>
      <c r="E1573" s="5" t="s">
        <v>6141</v>
      </c>
      <c r="F1573" s="5" t="str">
        <f>HYPERLINK("http://germoglivivo.it/","germoglivivo.it")</f>
        <v>germoglivivo.it</v>
      </c>
    </row>
    <row r="1574" spans="1:6" ht="29.55" customHeight="1" x14ac:dyDescent="0.25">
      <c r="A1574" s="1" t="s">
        <v>6182</v>
      </c>
      <c r="B1574" s="7" t="s">
        <v>6183</v>
      </c>
      <c r="C1574" s="7" t="s">
        <v>6154</v>
      </c>
      <c r="D1574" s="7" t="s">
        <v>6169</v>
      </c>
      <c r="E1574" s="7" t="s">
        <v>6140</v>
      </c>
      <c r="F1574" s="7" t="str">
        <f>HYPERLINK("http://www.cfenergy.it/","www.cfenergy.it")</f>
        <v>www.cfenergy.it</v>
      </c>
    </row>
    <row r="1575" spans="1:6" ht="29.55" customHeight="1" x14ac:dyDescent="0.25">
      <c r="A1575" s="6" t="s">
        <v>6184</v>
      </c>
      <c r="B1575" s="5" t="s">
        <v>6185</v>
      </c>
      <c r="C1575" s="5" t="s">
        <v>6186</v>
      </c>
      <c r="D1575" s="5" t="s">
        <v>6187</v>
      </c>
      <c r="E1575" s="5" t="s">
        <v>6188</v>
      </c>
      <c r="F1575" s="5" t="str">
        <f>HYPERLINK("http://ortodicampo.com/","ortodicampo.com")</f>
        <v>ortodicampo.com</v>
      </c>
    </row>
    <row r="1576" spans="1:6" ht="43.05" customHeight="1" x14ac:dyDescent="0.25">
      <c r="A1576" s="6" t="s">
        <v>6189</v>
      </c>
      <c r="B1576" s="5" t="s">
        <v>6190</v>
      </c>
      <c r="C1576" s="5" t="s">
        <v>6162</v>
      </c>
      <c r="D1576" s="5" t="s">
        <v>6191</v>
      </c>
      <c r="E1576" s="5" t="s">
        <v>6146</v>
      </c>
      <c r="F1576" s="5" t="str">
        <f>HYPERLINK("http://sutto.it/","sutto.it")</f>
        <v>sutto.it</v>
      </c>
    </row>
    <row r="1577" spans="1:6" ht="29.55" customHeight="1" x14ac:dyDescent="0.25">
      <c r="A1577" s="1" t="s">
        <v>6192</v>
      </c>
      <c r="B1577" s="7" t="s">
        <v>6193</v>
      </c>
      <c r="C1577" s="7" t="s">
        <v>6157</v>
      </c>
      <c r="D1577" s="7" t="s">
        <v>6194</v>
      </c>
      <c r="E1577" s="7" t="s">
        <v>6195</v>
      </c>
      <c r="F1577" s="7" t="str">
        <f>HYPERLINK("http://www.sardaflora.com/","www.sardaflora.com")</f>
        <v>www.sardaflora.com</v>
      </c>
    </row>
    <row r="1578" spans="1:6" ht="43.05" customHeight="1" x14ac:dyDescent="0.25">
      <c r="A1578" s="6" t="s">
        <v>6196</v>
      </c>
      <c r="B1578" s="5" t="s">
        <v>6197</v>
      </c>
      <c r="C1578" s="5" t="s">
        <v>6162</v>
      </c>
      <c r="D1578" s="5" t="s">
        <v>6198</v>
      </c>
      <c r="E1578" s="5" t="s">
        <v>6173</v>
      </c>
      <c r="F1578" s="5" t="str">
        <f>HYPERLINK("http://www.ilmolinodigrace.com/","http://www.ilmolinodigrace.com")</f>
        <v>http://www.ilmolinodigrace.com</v>
      </c>
    </row>
    <row r="1579" spans="1:6" ht="43.05" customHeight="1" x14ac:dyDescent="0.25">
      <c r="A1579" s="1" t="s">
        <v>6202</v>
      </c>
      <c r="B1579" s="7" t="s">
        <v>6203</v>
      </c>
      <c r="C1579" s="7" t="s">
        <v>6204</v>
      </c>
      <c r="D1579" s="7" t="s">
        <v>6205</v>
      </c>
      <c r="E1579" s="7" t="s">
        <v>6206</v>
      </c>
      <c r="F1579" s="7" t="str">
        <f>HYPERLINK("http://shop.talosa.it/","shop.talosa.it")</f>
        <v>shop.talosa.it</v>
      </c>
    </row>
    <row r="1580" spans="1:6" ht="55.65" customHeight="1" x14ac:dyDescent="0.25">
      <c r="A1580" s="1" t="s">
        <v>6209</v>
      </c>
      <c r="B1580" s="7" t="s">
        <v>6210</v>
      </c>
      <c r="C1580" s="7" t="s">
        <v>6211</v>
      </c>
      <c r="D1580" s="7" t="s">
        <v>6200</v>
      </c>
      <c r="E1580" s="7" t="s">
        <v>6201</v>
      </c>
      <c r="F1580" s="7" t="str">
        <f>HYPERLINK("http://www.olivetidauni.it/","www.olivetidauni.it")</f>
        <v>www.olivetidauni.it</v>
      </c>
    </row>
    <row r="1581" spans="1:6" ht="29.55" customHeight="1" x14ac:dyDescent="0.25">
      <c r="A1581" s="6" t="s">
        <v>6212</v>
      </c>
      <c r="B1581" s="5" t="s">
        <v>6213</v>
      </c>
      <c r="C1581" s="5" t="s">
        <v>6214</v>
      </c>
      <c r="D1581" s="5" t="s">
        <v>6215</v>
      </c>
      <c r="E1581" s="5" t="s">
        <v>6206</v>
      </c>
      <c r="F1581" s="5" t="str">
        <f>HYPERLINK("http://www.cooperativaagribios.com/","www.cooperativaagribios.com")</f>
        <v>www.cooperativaagribios.com</v>
      </c>
    </row>
    <row r="1582" spans="1:6" ht="29.55" customHeight="1" x14ac:dyDescent="0.25">
      <c r="A1582" s="6" t="s">
        <v>6217</v>
      </c>
      <c r="B1582" s="5" t="s">
        <v>6218</v>
      </c>
      <c r="C1582" s="5" t="s">
        <v>6219</v>
      </c>
      <c r="D1582" s="5" t="s">
        <v>6220</v>
      </c>
      <c r="E1582" s="5" t="s">
        <v>6199</v>
      </c>
      <c r="F1582" s="5" t="str">
        <f>HYPERLINK("http://www.baronemacri.it/","www.baronemacri.it")</f>
        <v>www.baronemacri.it</v>
      </c>
    </row>
    <row r="1583" spans="1:6" ht="29.55" customHeight="1" x14ac:dyDescent="0.25">
      <c r="A1583" s="6" t="s">
        <v>6221</v>
      </c>
      <c r="B1583" s="5" t="s">
        <v>6222</v>
      </c>
      <c r="C1583" s="5" t="s">
        <v>6219</v>
      </c>
      <c r="D1583" s="5" t="s">
        <v>6205</v>
      </c>
      <c r="E1583" s="5" t="s">
        <v>6206</v>
      </c>
      <c r="F1583" s="5" t="str">
        <f>HYPERLINK("http://www.panizzi.it/","www.panizzi.it")</f>
        <v>www.panizzi.it</v>
      </c>
    </row>
    <row r="1584" spans="1:6" ht="29.55" customHeight="1" x14ac:dyDescent="0.25">
      <c r="A1584" s="1" t="s">
        <v>6223</v>
      </c>
      <c r="B1584" s="7" t="s">
        <v>6224</v>
      </c>
      <c r="C1584" s="7" t="s">
        <v>6214</v>
      </c>
      <c r="D1584" s="7" t="s">
        <v>6225</v>
      </c>
      <c r="E1584" s="7" t="s">
        <v>6208</v>
      </c>
      <c r="F1584" s="7" t="str">
        <f>HYPERLINK("http://www.fruttomania.it/","www.fruttomania.it")</f>
        <v>www.fruttomania.it</v>
      </c>
    </row>
    <row r="1585" spans="1:6" ht="43.05" customHeight="1" x14ac:dyDescent="0.25">
      <c r="A1585" s="6" t="s">
        <v>6226</v>
      </c>
      <c r="B1585" s="5" t="s">
        <v>6227</v>
      </c>
      <c r="C1585" s="5" t="s">
        <v>6219</v>
      </c>
      <c r="D1585" s="5" t="s">
        <v>6228</v>
      </c>
      <c r="E1585" s="5" t="s">
        <v>6229</v>
      </c>
      <c r="F1585" s="5" t="str">
        <f>HYPERLINK("http://www.capicheralalomellina.com/","www.capicheralalomellina.com")</f>
        <v>www.capicheralalomellina.com</v>
      </c>
    </row>
    <row r="1586" spans="1:6" ht="29.55" customHeight="1" x14ac:dyDescent="0.25">
      <c r="A1586" s="1" t="s">
        <v>6230</v>
      </c>
      <c r="B1586" s="7" t="s">
        <v>6231</v>
      </c>
      <c r="C1586" s="7" t="s">
        <v>6232</v>
      </c>
      <c r="D1586" s="7" t="s">
        <v>6233</v>
      </c>
      <c r="E1586" s="7" t="s">
        <v>6216</v>
      </c>
      <c r="F1586" s="7" t="str">
        <f>HYPERLINK("http://www.manfrediniapicoltura.it/","www.manfrediniapicoltura.it")</f>
        <v>www.manfrediniapicoltura.it</v>
      </c>
    </row>
    <row r="1587" spans="1:6" ht="29.55" customHeight="1" x14ac:dyDescent="0.25">
      <c r="A1587" s="6" t="s">
        <v>6234</v>
      </c>
      <c r="B1587" s="5" t="s">
        <v>6235</v>
      </c>
      <c r="C1587" s="5" t="s">
        <v>6219</v>
      </c>
      <c r="D1587" s="5" t="s">
        <v>6236</v>
      </c>
      <c r="E1587" s="5" t="s">
        <v>6237</v>
      </c>
      <c r="F1587" s="5" t="str">
        <f>HYPERLINK("http://castelvecchio.com/","castelvecchio.com")</f>
        <v>castelvecchio.com</v>
      </c>
    </row>
    <row r="1588" spans="1:6" ht="16.95" customHeight="1" x14ac:dyDescent="0.25">
      <c r="A1588" s="6" t="s">
        <v>6238</v>
      </c>
      <c r="B1588" s="5" t="s">
        <v>6239</v>
      </c>
      <c r="C1588" s="5" t="s">
        <v>6219</v>
      </c>
      <c r="D1588" s="5" t="s">
        <v>6240</v>
      </c>
      <c r="E1588" s="5" t="s">
        <v>6201</v>
      </c>
      <c r="F1588" s="5" t="str">
        <f>HYPERLINK("http://www.agricolasalatino.it/","http://www.agricolasalatino.it")</f>
        <v>http://www.agricolasalatino.it</v>
      </c>
    </row>
    <row r="1589" spans="1:6" ht="29.55" customHeight="1" x14ac:dyDescent="0.25">
      <c r="A1589" s="1" t="s">
        <v>6241</v>
      </c>
      <c r="B1589" s="7" t="s">
        <v>6242</v>
      </c>
      <c r="C1589" s="7" t="s">
        <v>6219</v>
      </c>
      <c r="D1589" s="7" t="s">
        <v>6205</v>
      </c>
      <c r="E1589" s="7" t="s">
        <v>6206</v>
      </c>
      <c r="F1589" s="7" t="str">
        <f>HYPERLINK("http://poderebrizio.it/","poderebrizio.it/")</f>
        <v>poderebrizio.it/</v>
      </c>
    </row>
    <row r="1590" spans="1:6" ht="43.05" customHeight="1" x14ac:dyDescent="0.25">
      <c r="A1590" s="6" t="s">
        <v>6243</v>
      </c>
      <c r="B1590" s="5" t="s">
        <v>6244</v>
      </c>
      <c r="C1590" s="5" t="s">
        <v>6207</v>
      </c>
      <c r="D1590" s="5" t="s">
        <v>6220</v>
      </c>
      <c r="E1590" s="5" t="s">
        <v>6199</v>
      </c>
      <c r="F1590" s="5" t="s">
        <v>6245</v>
      </c>
    </row>
    <row r="1591" spans="1:6" ht="29.55" customHeight="1" x14ac:dyDescent="0.25">
      <c r="A1591" s="6" t="s">
        <v>6246</v>
      </c>
      <c r="B1591" s="5" t="s">
        <v>6247</v>
      </c>
      <c r="C1591" s="5" t="s">
        <v>6219</v>
      </c>
      <c r="D1591" s="5" t="s">
        <v>6248</v>
      </c>
      <c r="E1591" s="5" t="s">
        <v>6249</v>
      </c>
      <c r="F1591" s="5" t="str">
        <f>HYPERLINK("http://www.contithun.com/","www.contithun.com")</f>
        <v>www.contithun.com</v>
      </c>
    </row>
    <row r="1592" spans="1:6" ht="16.95" customHeight="1" x14ac:dyDescent="0.25">
      <c r="A1592" s="1" t="s">
        <v>6250</v>
      </c>
      <c r="B1592" s="7" t="s">
        <v>6251</v>
      </c>
      <c r="C1592" s="7" t="s">
        <v>6252</v>
      </c>
      <c r="D1592" s="7" t="s">
        <v>6253</v>
      </c>
      <c r="E1592" s="7" t="s">
        <v>6254</v>
      </c>
      <c r="F1592" s="7" t="str">
        <f>HYPERLINK("http://www.agrichiantisnc.it/","www.agrichiantisnc.it")</f>
        <v>www.agrichiantisnc.it</v>
      </c>
    </row>
    <row r="1593" spans="1:6" ht="29.55" customHeight="1" x14ac:dyDescent="0.25">
      <c r="A1593" s="6" t="s">
        <v>6258</v>
      </c>
      <c r="B1593" s="5" t="s">
        <v>6259</v>
      </c>
      <c r="C1593" s="5" t="s">
        <v>6260</v>
      </c>
      <c r="D1593" s="5" t="s">
        <v>6261</v>
      </c>
      <c r="E1593" s="5" t="s">
        <v>6262</v>
      </c>
      <c r="F1593" s="5" t="str">
        <f>HYPERLINK("http://www.aromadomus.it/","www.aromadomus.it")</f>
        <v>www.aromadomus.it</v>
      </c>
    </row>
    <row r="1594" spans="1:6" ht="29.55" customHeight="1" x14ac:dyDescent="0.25">
      <c r="A1594" s="1" t="s">
        <v>6263</v>
      </c>
      <c r="B1594" s="7" t="s">
        <v>6264</v>
      </c>
      <c r="C1594" s="7" t="s">
        <v>6265</v>
      </c>
      <c r="D1594" s="7" t="s">
        <v>6266</v>
      </c>
      <c r="E1594" s="7" t="s">
        <v>6267</v>
      </c>
      <c r="F1594" s="7" t="str">
        <f>HYPERLINK("http://www.masseriasusafa.com/","www.masseriasusafa.com")</f>
        <v>www.masseriasusafa.com</v>
      </c>
    </row>
    <row r="1595" spans="1:6" ht="43.05" customHeight="1" x14ac:dyDescent="0.25">
      <c r="A1595" s="6" t="s">
        <v>6268</v>
      </c>
      <c r="B1595" s="5" t="s">
        <v>6269</v>
      </c>
      <c r="C1595" s="5" t="s">
        <v>6270</v>
      </c>
      <c r="D1595" s="5" t="s">
        <v>6271</v>
      </c>
      <c r="E1595" s="5" t="s">
        <v>6272</v>
      </c>
      <c r="F1595" s="5" t="str">
        <f>HYPERLINK("http://cooplavalle.it/","cooplavalle.it")</f>
        <v>cooplavalle.it</v>
      </c>
    </row>
    <row r="1596" spans="1:6" ht="29.55" customHeight="1" x14ac:dyDescent="0.25">
      <c r="A1596" s="1" t="s">
        <v>6273</v>
      </c>
      <c r="B1596" s="7" t="s">
        <v>6274</v>
      </c>
      <c r="C1596" s="7" t="s">
        <v>6275</v>
      </c>
      <c r="D1596" s="7" t="s">
        <v>6276</v>
      </c>
      <c r="E1596" s="7" t="s">
        <v>6277</v>
      </c>
      <c r="F1596" s="7" t="str">
        <f>HYPERLINK("http://www.aziendaagricolacentrocarne.it/","www.aziendaagricolacentrocarne.it")</f>
        <v>www.aziendaagricolacentrocarne.it</v>
      </c>
    </row>
    <row r="1597" spans="1:6" ht="16.95" customHeight="1" x14ac:dyDescent="0.25">
      <c r="A1597" s="6" t="s">
        <v>6281</v>
      </c>
      <c r="B1597" s="5" t="s">
        <v>6282</v>
      </c>
      <c r="C1597" s="5" t="s">
        <v>6283</v>
      </c>
      <c r="D1597" s="5" t="s">
        <v>6255</v>
      </c>
      <c r="E1597" s="5" t="s">
        <v>6256</v>
      </c>
      <c r="F1597" s="5" t="str">
        <f>HYPERLINK("http://www.savutoapicoltura.com/","www.savutoapicoltura.com")</f>
        <v>www.savutoapicoltura.com</v>
      </c>
    </row>
    <row r="1598" spans="1:6" ht="29.55" customHeight="1" x14ac:dyDescent="0.25">
      <c r="A1598" s="1" t="s">
        <v>6284</v>
      </c>
      <c r="B1598" s="7" t="s">
        <v>6285</v>
      </c>
      <c r="C1598" s="7" t="s">
        <v>6278</v>
      </c>
      <c r="D1598" s="7" t="s">
        <v>6279</v>
      </c>
      <c r="E1598" s="7" t="s">
        <v>6262</v>
      </c>
      <c r="F1598" s="7" t="str">
        <f>HYPERLINK("http://www.limoncelloshop.it/","www.limoncelloshop.it")</f>
        <v>www.limoncelloshop.it</v>
      </c>
    </row>
    <row r="1599" spans="1:6" ht="16.95" customHeight="1" x14ac:dyDescent="0.25">
      <c r="A1599" s="6" t="s">
        <v>6286</v>
      </c>
      <c r="B1599" s="5" t="s">
        <v>6287</v>
      </c>
      <c r="C1599" s="5" t="s">
        <v>6288</v>
      </c>
      <c r="D1599" s="5" t="s">
        <v>6255</v>
      </c>
      <c r="E1599" s="5" t="s">
        <v>6256</v>
      </c>
      <c r="F1599" s="5" t="str">
        <f>HYPERLINK("http://risomagisa.it/","risomagisa.it")</f>
        <v>risomagisa.it</v>
      </c>
    </row>
    <row r="1600" spans="1:6" ht="43.05" customHeight="1" x14ac:dyDescent="0.25">
      <c r="A1600" s="1" t="s">
        <v>6289</v>
      </c>
      <c r="B1600" s="7" t="s">
        <v>6290</v>
      </c>
      <c r="C1600" s="7" t="s">
        <v>6291</v>
      </c>
      <c r="D1600" s="7" t="s">
        <v>6292</v>
      </c>
      <c r="E1600" s="7" t="s">
        <v>6293</v>
      </c>
      <c r="F1600" s="7" t="str">
        <f>HYPERLINK("http://www.concadoro.org/","www.concadoro.org")</f>
        <v>www.concadoro.org</v>
      </c>
    </row>
    <row r="1601" spans="1:6" ht="29.55" customHeight="1" x14ac:dyDescent="0.25">
      <c r="A1601" s="6" t="s">
        <v>6294</v>
      </c>
      <c r="B1601" s="5" t="s">
        <v>6295</v>
      </c>
      <c r="C1601" s="5" t="s">
        <v>6296</v>
      </c>
      <c r="D1601" s="5" t="s">
        <v>6297</v>
      </c>
      <c r="E1601" s="5" t="s">
        <v>6298</v>
      </c>
      <c r="F1601" s="5" t="str">
        <f>HYPERLINK("http://www.casteldellupo.it/","www.casteldellupo.it")</f>
        <v>www.casteldellupo.it</v>
      </c>
    </row>
    <row r="1602" spans="1:6" ht="29.55" customHeight="1" x14ac:dyDescent="0.25">
      <c r="A1602" s="6" t="s">
        <v>6300</v>
      </c>
      <c r="B1602" s="5" t="s">
        <v>6301</v>
      </c>
      <c r="C1602" s="5" t="s">
        <v>6296</v>
      </c>
      <c r="D1602" s="5" t="s">
        <v>6302</v>
      </c>
      <c r="E1602" s="5" t="s">
        <v>6257</v>
      </c>
      <c r="F1602" s="5" t="str">
        <f>HYPERLINK("http://www.cascinaranverso.it/","www.cascinaranverso.it")</f>
        <v>www.cascinaranverso.it</v>
      </c>
    </row>
    <row r="1603" spans="1:6" ht="29.55" customHeight="1" x14ac:dyDescent="0.25">
      <c r="A1603" s="1" t="s">
        <v>6304</v>
      </c>
      <c r="B1603" s="7" t="s">
        <v>6305</v>
      </c>
      <c r="C1603" s="7" t="s">
        <v>6280</v>
      </c>
      <c r="D1603" s="7" t="s">
        <v>6306</v>
      </c>
      <c r="E1603" s="7" t="s">
        <v>6262</v>
      </c>
      <c r="F1603" s="7" t="str">
        <f>HYPERLINK("http://www.fattoriegarofalo.it/","www.fattoriegarofalo.it")</f>
        <v>www.fattoriegarofalo.it</v>
      </c>
    </row>
    <row r="1604" spans="1:6" ht="29.55" customHeight="1" x14ac:dyDescent="0.25">
      <c r="A1604" s="1" t="s">
        <v>6308</v>
      </c>
      <c r="B1604" s="7" t="s">
        <v>6309</v>
      </c>
      <c r="C1604" s="7" t="s">
        <v>6303</v>
      </c>
      <c r="D1604" s="7" t="s">
        <v>6310</v>
      </c>
      <c r="E1604" s="7" t="s">
        <v>6298</v>
      </c>
      <c r="F1604" s="7" t="str">
        <f>HYPERLINK("http://www.brianzavivai.it/","www.brianzavivai.it")</f>
        <v>www.brianzavivai.it</v>
      </c>
    </row>
    <row r="1605" spans="1:6" ht="55.65" customHeight="1" x14ac:dyDescent="0.25">
      <c r="A1605" s="6" t="s">
        <v>6311</v>
      </c>
      <c r="B1605" s="5" t="s">
        <v>6312</v>
      </c>
      <c r="C1605" s="5" t="s">
        <v>6313</v>
      </c>
      <c r="D1605" s="5" t="s">
        <v>6314</v>
      </c>
      <c r="E1605" s="5" t="s">
        <v>6307</v>
      </c>
      <c r="F1605" s="5" t="str">
        <f>HYPERLINK("http://www.cortemarchigiana.it/","www.cortemarchigiana.it")</f>
        <v>www.cortemarchigiana.it</v>
      </c>
    </row>
    <row r="1606" spans="1:6" ht="29.55" customHeight="1" x14ac:dyDescent="0.25">
      <c r="A1606" s="1" t="s">
        <v>6315</v>
      </c>
      <c r="B1606" s="7" t="s">
        <v>6316</v>
      </c>
      <c r="C1606" s="7" t="s">
        <v>6291</v>
      </c>
      <c r="D1606" s="7" t="s">
        <v>6299</v>
      </c>
      <c r="E1606" s="7" t="s">
        <v>6293</v>
      </c>
      <c r="F1606" s="7" t="str">
        <f>HYPERLINK("http://lagenovesa.org/","lagenovesa.org")</f>
        <v>lagenovesa.org</v>
      </c>
    </row>
    <row r="1607" spans="1:6" ht="16.95" customHeight="1" x14ac:dyDescent="0.25">
      <c r="A1607" s="6" t="s">
        <v>6317</v>
      </c>
      <c r="B1607" s="5" t="s">
        <v>6318</v>
      </c>
      <c r="C1607" s="5" t="s">
        <v>6296</v>
      </c>
      <c r="D1607" s="5" t="s">
        <v>6319</v>
      </c>
      <c r="E1607" s="5" t="s">
        <v>6272</v>
      </c>
      <c r="F1607" s="5" t="str">
        <f>HYPERLINK("http://www.ilpollenza.it/","www.ilpollenza.it")</f>
        <v>www.ilpollenza.it</v>
      </c>
    </row>
    <row r="1608" spans="1:6" ht="29.55" customHeight="1" x14ac:dyDescent="0.25">
      <c r="A1608" s="6" t="s">
        <v>6322</v>
      </c>
      <c r="B1608" s="5" t="s">
        <v>6323</v>
      </c>
      <c r="C1608" s="5" t="s">
        <v>6324</v>
      </c>
      <c r="D1608" s="5" t="s">
        <v>6325</v>
      </c>
      <c r="E1608" s="5" t="s">
        <v>6326</v>
      </c>
      <c r="F1608" s="5" t="str">
        <f>HYPERLINK("http://www.ortobioflora.it/","www.ortobioflora.it")</f>
        <v>www.ortobioflora.it</v>
      </c>
    </row>
    <row r="1609" spans="1:6" ht="68.099999999999994" customHeight="1" x14ac:dyDescent="0.25">
      <c r="A1609" s="1" t="s">
        <v>6327</v>
      </c>
      <c r="B1609" s="7" t="s">
        <v>6328</v>
      </c>
      <c r="C1609" s="7" t="s">
        <v>6329</v>
      </c>
      <c r="D1609" s="7" t="s">
        <v>6330</v>
      </c>
      <c r="E1609" s="7" t="s">
        <v>6331</v>
      </c>
      <c r="F1609" s="7" t="str">
        <f>HYPERLINK("http://www.pasinisangiovanni.it/","www.pasinisangiovanni.it")</f>
        <v>www.pasinisangiovanni.it</v>
      </c>
    </row>
    <row r="1610" spans="1:6" ht="43.05" customHeight="1" x14ac:dyDescent="0.25">
      <c r="A1610" s="6" t="s">
        <v>6335</v>
      </c>
      <c r="B1610" s="5" t="s">
        <v>6336</v>
      </c>
      <c r="C1610" s="5" t="s">
        <v>6337</v>
      </c>
      <c r="D1610" s="5" t="s">
        <v>6320</v>
      </c>
      <c r="E1610" s="5" t="s">
        <v>6321</v>
      </c>
      <c r="F1610" s="5" t="str">
        <f>HYPERLINK("http://www.coopser.it/","www.coopser.it")</f>
        <v>www.coopser.it</v>
      </c>
    </row>
    <row r="1611" spans="1:6" ht="55.65" customHeight="1" x14ac:dyDescent="0.25">
      <c r="A1611" s="1" t="s">
        <v>6338</v>
      </c>
      <c r="B1611" s="7" t="s">
        <v>6339</v>
      </c>
      <c r="C1611" s="7" t="s">
        <v>6329</v>
      </c>
      <c r="D1611" s="7" t="s">
        <v>6340</v>
      </c>
      <c r="E1611" s="7" t="s">
        <v>6341</v>
      </c>
      <c r="F1611" s="7" t="str">
        <f>HYPERLINK("http://www.viticoltoriingauni.it/","www.viticoltoriingauni.it")</f>
        <v>www.viticoltoriingauni.it</v>
      </c>
    </row>
    <row r="1612" spans="1:6" ht="43.05" customHeight="1" x14ac:dyDescent="0.25">
      <c r="A1612" s="6" t="s">
        <v>6342</v>
      </c>
      <c r="B1612" s="5" t="s">
        <v>6343</v>
      </c>
      <c r="C1612" s="5" t="s">
        <v>6329</v>
      </c>
      <c r="D1612" s="5" t="s">
        <v>6344</v>
      </c>
      <c r="E1612" s="5" t="s">
        <v>6345</v>
      </c>
      <c r="F1612" s="5" t="str">
        <f>HYPERLINK("http://www.fattoriasvetoni.it/","www.fattoriasvetoni.it")</f>
        <v>www.fattoriasvetoni.it</v>
      </c>
    </row>
    <row r="1613" spans="1:6" ht="29.55" customHeight="1" x14ac:dyDescent="0.25">
      <c r="A1613" s="6" t="s">
        <v>6346</v>
      </c>
      <c r="B1613" s="5" t="s">
        <v>6347</v>
      </c>
      <c r="C1613" s="5" t="s">
        <v>6329</v>
      </c>
      <c r="D1613" s="5" t="s">
        <v>6348</v>
      </c>
      <c r="E1613" s="5" t="s">
        <v>6331</v>
      </c>
      <c r="F1613" s="5" t="str">
        <f>HYPERLINK("http://pietraporzia.mberoma.it/","pietraporzia.mberoma.it")</f>
        <v>pietraporzia.mberoma.it</v>
      </c>
    </row>
    <row r="1614" spans="1:6" ht="132.75" customHeight="1" x14ac:dyDescent="0.25">
      <c r="A1614" s="1" t="s">
        <v>6349</v>
      </c>
      <c r="B1614" s="7" t="s">
        <v>6350</v>
      </c>
      <c r="C1614" s="7" t="s">
        <v>6329</v>
      </c>
      <c r="D1614" s="7" t="s">
        <v>6351</v>
      </c>
      <c r="E1614" s="7" t="s">
        <v>6351</v>
      </c>
      <c r="F1614" s="7" t="str">
        <f>HYPERLINK("http://www.lacrotta.it/","www.lacrotta.it")</f>
        <v>www.lacrotta.it</v>
      </c>
    </row>
    <row r="1615" spans="1:6" ht="29.55" customHeight="1" x14ac:dyDescent="0.25">
      <c r="A1615" s="6" t="s">
        <v>6352</v>
      </c>
      <c r="B1615" s="5" t="s">
        <v>6353</v>
      </c>
      <c r="C1615" s="5" t="s">
        <v>6332</v>
      </c>
      <c r="D1615" s="5" t="s">
        <v>6354</v>
      </c>
      <c r="E1615" s="5" t="s">
        <v>6326</v>
      </c>
      <c r="F1615" s="5" t="str">
        <f>HYPERLINK("http://www.echiantichi.com/","www.echiantichi.com")</f>
        <v>www.echiantichi.com</v>
      </c>
    </row>
    <row r="1616" spans="1:6" ht="29.55" customHeight="1" x14ac:dyDescent="0.25">
      <c r="A1616" s="6" t="s">
        <v>6356</v>
      </c>
      <c r="B1616" s="5" t="s">
        <v>6357</v>
      </c>
      <c r="C1616" s="5" t="s">
        <v>6358</v>
      </c>
      <c r="D1616" s="5" t="s">
        <v>6359</v>
      </c>
      <c r="E1616" s="5" t="s">
        <v>6334</v>
      </c>
      <c r="F1616" s="5" t="str">
        <f>HYPERLINK("http://www.cooperativaagricoladueg.it/","www.cooperativaagricoladueg.it")</f>
        <v>www.cooperativaagricoladueg.it</v>
      </c>
    </row>
    <row r="1617" spans="1:6" ht="29.55" customHeight="1" x14ac:dyDescent="0.25">
      <c r="A1617" s="6" t="s">
        <v>6362</v>
      </c>
      <c r="B1617" s="5" t="s">
        <v>6363</v>
      </c>
      <c r="C1617" s="5" t="s">
        <v>6329</v>
      </c>
      <c r="D1617" s="5" t="s">
        <v>6364</v>
      </c>
      <c r="E1617" s="5" t="s">
        <v>6345</v>
      </c>
      <c r="F1617" s="5" t="str">
        <f>HYPERLINK("http://www.impostino.com/","www.impostino.com")</f>
        <v>www.impostino.com</v>
      </c>
    </row>
    <row r="1618" spans="1:6" ht="43.05" customHeight="1" x14ac:dyDescent="0.25">
      <c r="A1618" s="6" t="s">
        <v>6365</v>
      </c>
      <c r="B1618" s="5" t="s">
        <v>6366</v>
      </c>
      <c r="C1618" s="5" t="s">
        <v>6329</v>
      </c>
      <c r="D1618" s="5" t="s">
        <v>6330</v>
      </c>
      <c r="E1618" s="5" t="s">
        <v>6331</v>
      </c>
      <c r="F1618" s="5" t="str">
        <f>HYPERLINK("http://www.gardavino.it/","www.gardavino.it")</f>
        <v>www.gardavino.it</v>
      </c>
    </row>
    <row r="1619" spans="1:6" ht="29.55" customHeight="1" x14ac:dyDescent="0.25">
      <c r="A1619" s="6" t="s">
        <v>6367</v>
      </c>
      <c r="B1619" s="5" t="s">
        <v>6368</v>
      </c>
      <c r="C1619" s="5" t="s">
        <v>6329</v>
      </c>
      <c r="D1619" s="5" t="s">
        <v>6355</v>
      </c>
      <c r="E1619" s="5" t="s">
        <v>6333</v>
      </c>
      <c r="F1619" s="5" t="str">
        <f>HYPERLINK("http://www.valledellacate.com/","www.valledellacate.com")</f>
        <v>www.valledellacate.com</v>
      </c>
    </row>
    <row r="1620" spans="1:6" ht="29.55" customHeight="1" x14ac:dyDescent="0.25">
      <c r="A1620" s="1" t="s">
        <v>6369</v>
      </c>
      <c r="B1620" s="7" t="s">
        <v>6370</v>
      </c>
      <c r="C1620" s="7" t="s">
        <v>6371</v>
      </c>
      <c r="D1620" s="7" t="s">
        <v>6360</v>
      </c>
      <c r="E1620" s="7" t="s">
        <v>6361</v>
      </c>
      <c r="F1620" s="7" t="str">
        <f>HYPERLINK("http://www.pasolinidallonda.com/","www.pasolinidallonda.com")</f>
        <v>www.pasolinidallonda.com</v>
      </c>
    </row>
    <row r="1621" spans="1:6" ht="29.55" customHeight="1" x14ac:dyDescent="0.25">
      <c r="A1621" s="6" t="s">
        <v>6372</v>
      </c>
      <c r="B1621" s="5" t="s">
        <v>6373</v>
      </c>
      <c r="C1621" s="5" t="s">
        <v>6374</v>
      </c>
      <c r="D1621" s="5" t="s">
        <v>6375</v>
      </c>
      <c r="E1621" s="5" t="s">
        <v>6376</v>
      </c>
      <c r="F1621" s="5" t="str">
        <f>HYPERLINK("http://www.agriturismoalciliegio.it/","www.agriturismoalciliegio.it")</f>
        <v>www.agriturismoalciliegio.it</v>
      </c>
    </row>
    <row r="1622" spans="1:6" ht="29.55" customHeight="1" x14ac:dyDescent="0.25">
      <c r="A1622" s="6" t="s">
        <v>6377</v>
      </c>
      <c r="B1622" s="5" t="s">
        <v>6378</v>
      </c>
      <c r="C1622" s="5" t="s">
        <v>6329</v>
      </c>
      <c r="D1622" s="5" t="s">
        <v>6379</v>
      </c>
      <c r="E1622" s="5" t="s">
        <v>6376</v>
      </c>
      <c r="F1622" s="5" t="str">
        <f>HYPERLINK("http://www.borgoconventi.it/","www.borgoconventi.it")</f>
        <v>www.borgoconventi.it</v>
      </c>
    </row>
    <row r="1623" spans="1:6" ht="29.55" customHeight="1" x14ac:dyDescent="0.25">
      <c r="A1623" s="6" t="s">
        <v>6380</v>
      </c>
      <c r="B1623" s="5" t="s">
        <v>6381</v>
      </c>
      <c r="C1623" s="5" t="s">
        <v>6382</v>
      </c>
      <c r="D1623" s="5" t="s">
        <v>6383</v>
      </c>
      <c r="E1623" s="5" t="s">
        <v>6384</v>
      </c>
      <c r="F1623" s="5" t="str">
        <f>HYPERLINK("http://agricolamariotti.it/","agricolamariotti.it")</f>
        <v>agricolamariotti.it</v>
      </c>
    </row>
    <row r="1624" spans="1:6" ht="43.05" customHeight="1" x14ac:dyDescent="0.25">
      <c r="A1624" s="1" t="s">
        <v>6385</v>
      </c>
      <c r="B1624" s="7" t="s">
        <v>6386</v>
      </c>
      <c r="C1624" s="7" t="s">
        <v>6387</v>
      </c>
      <c r="D1624" s="7" t="s">
        <v>6388</v>
      </c>
      <c r="E1624" s="7" t="s">
        <v>6389</v>
      </c>
      <c r="F1624" s="7" t="str">
        <f>HYPERLINK("http://www.agricolapoggiodesto.com/","www.agricolapoggiodesto.com")</f>
        <v>www.agricolapoggiodesto.com</v>
      </c>
    </row>
    <row r="1625" spans="1:6" ht="16.95" customHeight="1" x14ac:dyDescent="0.25">
      <c r="A1625" s="6" t="s">
        <v>6390</v>
      </c>
      <c r="B1625" s="5" t="s">
        <v>6391</v>
      </c>
      <c r="C1625" s="5" t="s">
        <v>6392</v>
      </c>
      <c r="D1625" s="5" t="s">
        <v>6383</v>
      </c>
      <c r="E1625" s="5" t="s">
        <v>6384</v>
      </c>
      <c r="F1625" s="5" t="str">
        <f>HYPERLINK("http://www.poggiovalle.com/","www.poggiovalle.com")</f>
        <v>www.poggiovalle.com</v>
      </c>
    </row>
    <row r="1626" spans="1:6" ht="29.55" customHeight="1" x14ac:dyDescent="0.25">
      <c r="A1626" s="1" t="s">
        <v>6394</v>
      </c>
      <c r="B1626" s="7" t="s">
        <v>6395</v>
      </c>
      <c r="C1626" s="7" t="s">
        <v>6396</v>
      </c>
      <c r="D1626" s="7" t="s">
        <v>6397</v>
      </c>
      <c r="E1626" s="7" t="s">
        <v>6389</v>
      </c>
      <c r="F1626" s="7" t="str">
        <f>HYPERLINK("http://www.dimoraghirlandaio.it/","www.dimoraghirlandaio.it")</f>
        <v>www.dimoraghirlandaio.it</v>
      </c>
    </row>
    <row r="1627" spans="1:6" ht="55.65" customHeight="1" x14ac:dyDescent="0.25">
      <c r="A1627" s="6" t="s">
        <v>6398</v>
      </c>
      <c r="B1627" s="5" t="s">
        <v>6399</v>
      </c>
      <c r="C1627" s="5" t="s">
        <v>6400</v>
      </c>
      <c r="D1627" s="5" t="s">
        <v>6401</v>
      </c>
      <c r="E1627" s="5" t="s">
        <v>6402</v>
      </c>
      <c r="F1627" s="5" t="str">
        <f>HYPERLINK("http://www.santacroceprodottitipici.it/","www.santacroceprodottitipici.it")</f>
        <v>www.santacroceprodottitipici.it</v>
      </c>
    </row>
    <row r="1628" spans="1:6" ht="29.55" customHeight="1" x14ac:dyDescent="0.25">
      <c r="A1628" s="1" t="s">
        <v>6403</v>
      </c>
      <c r="B1628" s="7" t="s">
        <v>6404</v>
      </c>
      <c r="C1628" s="7" t="s">
        <v>6405</v>
      </c>
      <c r="D1628" s="7" t="s">
        <v>6406</v>
      </c>
      <c r="E1628" s="7" t="s">
        <v>6406</v>
      </c>
      <c r="F1628" s="7" t="str">
        <f>HYPERLINK("http://www.cantinacastiadas.com/","www.cantinacastiadas.com")</f>
        <v>www.cantinacastiadas.com</v>
      </c>
    </row>
    <row r="1629" spans="1:6" ht="29.55" customHeight="1" x14ac:dyDescent="0.25">
      <c r="A1629" s="1" t="s">
        <v>6411</v>
      </c>
      <c r="B1629" s="7" t="s">
        <v>6412</v>
      </c>
      <c r="C1629" s="7" t="s">
        <v>6413</v>
      </c>
      <c r="D1629" s="7" t="s">
        <v>6414</v>
      </c>
      <c r="E1629" s="7" t="s">
        <v>6393</v>
      </c>
      <c r="F1629" s="7" t="str">
        <f>HYPERLINK("http://tenutadellago.com/","tenutadellago.com")</f>
        <v>tenutadellago.com</v>
      </c>
    </row>
    <row r="1630" spans="1:6" ht="29.55" customHeight="1" x14ac:dyDescent="0.25">
      <c r="A1630" s="1" t="s">
        <v>6415</v>
      </c>
      <c r="B1630" s="7" t="s">
        <v>6416</v>
      </c>
      <c r="C1630" s="7" t="s">
        <v>6405</v>
      </c>
      <c r="D1630" s="7" t="s">
        <v>6417</v>
      </c>
      <c r="E1630" s="7" t="s">
        <v>6418</v>
      </c>
      <c r="F1630" s="7" t="str">
        <f>HYPERLINK("http://www.cantinasanmartino.it/en/home-2/","www.cantinasanmartino.it/en/home-2/")</f>
        <v>www.cantinasanmartino.it/en/home-2/</v>
      </c>
    </row>
    <row r="1631" spans="1:6" ht="29.55" customHeight="1" x14ac:dyDescent="0.25">
      <c r="A1631" s="6" t="s">
        <v>6419</v>
      </c>
      <c r="B1631" s="5" t="s">
        <v>6420</v>
      </c>
      <c r="C1631" s="5" t="s">
        <v>6421</v>
      </c>
      <c r="D1631" s="5" t="s">
        <v>6422</v>
      </c>
      <c r="E1631" s="5" t="s">
        <v>6423</v>
      </c>
      <c r="F1631" s="5" t="str">
        <f>HYPERLINK("http://www.risoacquaesole.it/","www.risoacquaesole.it")</f>
        <v>www.risoacquaesole.it</v>
      </c>
    </row>
    <row r="1632" spans="1:6" ht="16.95" customHeight="1" x14ac:dyDescent="0.25">
      <c r="A1632" s="6" t="s">
        <v>6425</v>
      </c>
      <c r="B1632" s="5" t="s">
        <v>6426</v>
      </c>
      <c r="C1632" s="5" t="s">
        <v>6427</v>
      </c>
      <c r="D1632" s="5" t="s">
        <v>6428</v>
      </c>
      <c r="E1632" s="5" t="s">
        <v>6409</v>
      </c>
      <c r="F1632" s="5" t="str">
        <f>HYPERLINK("http://www.fratellipastore.it/","www.fratellipastore.it")</f>
        <v>www.fratellipastore.it</v>
      </c>
    </row>
    <row r="1633" spans="1:6" ht="43.05" customHeight="1" x14ac:dyDescent="0.25">
      <c r="A1633" s="1" t="s">
        <v>6429</v>
      </c>
      <c r="B1633" s="7" t="s">
        <v>6430</v>
      </c>
      <c r="C1633" s="7" t="s">
        <v>6408</v>
      </c>
      <c r="D1633" s="7" t="s">
        <v>6431</v>
      </c>
      <c r="E1633" s="7" t="s">
        <v>6409</v>
      </c>
      <c r="F1633" s="7" t="str">
        <f>HYPERLINK("http://www.consorziovivaistieuropei.it/","www.consorziovivaistieuropei.it")</f>
        <v>www.consorziovivaistieuropei.it</v>
      </c>
    </row>
    <row r="1634" spans="1:6" ht="29.55" customHeight="1" x14ac:dyDescent="0.25">
      <c r="A1634" s="6" t="s">
        <v>6432</v>
      </c>
      <c r="B1634" s="5" t="s">
        <v>6433</v>
      </c>
      <c r="C1634" s="5" t="s">
        <v>6410</v>
      </c>
      <c r="D1634" s="5" t="s">
        <v>6407</v>
      </c>
      <c r="E1634" s="5" t="s">
        <v>6402</v>
      </c>
      <c r="F1634" s="5" t="str">
        <f>HYPERLINK("http://www.arteagricola.it/","www.arteagricola.it")</f>
        <v>www.arteagricola.it</v>
      </c>
    </row>
    <row r="1635" spans="1:6" ht="29.55" customHeight="1" x14ac:dyDescent="0.25">
      <c r="A1635" s="1" t="s">
        <v>6434</v>
      </c>
      <c r="B1635" s="7" t="s">
        <v>6435</v>
      </c>
      <c r="C1635" s="7" t="s">
        <v>6405</v>
      </c>
      <c r="D1635" s="7" t="s">
        <v>6436</v>
      </c>
      <c r="E1635" s="7" t="s">
        <v>6389</v>
      </c>
      <c r="F1635" s="7" t="str">
        <f>HYPERLINK("http://castellinvilla.com/","castellinvilla.com")</f>
        <v>castellinvilla.com</v>
      </c>
    </row>
    <row r="1636" spans="1:6" ht="29.55" customHeight="1" x14ac:dyDescent="0.25">
      <c r="A1636" s="6" t="s">
        <v>6437</v>
      </c>
      <c r="B1636" s="5" t="s">
        <v>6438</v>
      </c>
      <c r="C1636" s="5" t="s">
        <v>6410</v>
      </c>
      <c r="D1636" s="5" t="s">
        <v>6439</v>
      </c>
      <c r="E1636" s="5" t="s">
        <v>6389</v>
      </c>
      <c r="F1636" s="5" t="str">
        <f>HYPERLINK("http://pescaiaresort.com/","pescaiaresort.com")</f>
        <v>pescaiaresort.com</v>
      </c>
    </row>
    <row r="1637" spans="1:6" ht="29.55" customHeight="1" x14ac:dyDescent="0.25">
      <c r="A1637" s="1" t="s">
        <v>6440</v>
      </c>
      <c r="B1637" s="7" t="s">
        <v>6441</v>
      </c>
      <c r="C1637" s="7" t="s">
        <v>6405</v>
      </c>
      <c r="D1637" s="7" t="s">
        <v>6424</v>
      </c>
      <c r="E1637" s="7" t="s">
        <v>6409</v>
      </c>
      <c r="F1637" s="7" t="str">
        <f>HYPERLINK("http://www.tenutalamarchesa.it/","www.tenutalamarchesa.it")</f>
        <v>www.tenutalamarchesa.it</v>
      </c>
    </row>
    <row r="1638" spans="1:6" ht="29.55" customHeight="1" x14ac:dyDescent="0.25">
      <c r="A1638" s="6" t="s">
        <v>6442</v>
      </c>
      <c r="B1638" s="5" t="s">
        <v>6443</v>
      </c>
      <c r="C1638" s="5" t="s">
        <v>6444</v>
      </c>
      <c r="D1638" s="5" t="s">
        <v>6445</v>
      </c>
      <c r="E1638" s="5" t="s">
        <v>6446</v>
      </c>
      <c r="F1638" s="5" t="str">
        <f>HYPERLINK("http://www.calcagnopaolobasilico.it/","www.calcagnopaolobasilico.it")</f>
        <v>www.calcagnopaolobasilico.it</v>
      </c>
    </row>
    <row r="1639" spans="1:6" ht="68.099999999999994" customHeight="1" x14ac:dyDescent="0.25">
      <c r="A1639" s="1" t="s">
        <v>6447</v>
      </c>
      <c r="B1639" s="7" t="s">
        <v>6448</v>
      </c>
      <c r="C1639" s="7" t="s">
        <v>6449</v>
      </c>
      <c r="D1639" s="7" t="s">
        <v>6450</v>
      </c>
      <c r="E1639" s="7" t="s">
        <v>6451</v>
      </c>
      <c r="F1639" s="7" t="str">
        <f>HYPERLINK("http://www.patflor.eu/","www.patflor.eu")</f>
        <v>www.patflor.eu</v>
      </c>
    </row>
    <row r="1640" spans="1:6" ht="81.75" customHeight="1" x14ac:dyDescent="0.25">
      <c r="A1640" s="1" t="s">
        <v>6454</v>
      </c>
      <c r="B1640" s="7" t="s">
        <v>6455</v>
      </c>
      <c r="C1640" s="7" t="s">
        <v>6456</v>
      </c>
      <c r="D1640" s="7" t="s">
        <v>6457</v>
      </c>
      <c r="E1640" s="7" t="s">
        <v>6458</v>
      </c>
      <c r="F1640" s="7" t="str">
        <f>HYPERLINK("http://www.mirafiore.it/","www.mirafiore.it")</f>
        <v>www.mirafiore.it</v>
      </c>
    </row>
    <row r="1641" spans="1:6" ht="29.55" customHeight="1" x14ac:dyDescent="0.25">
      <c r="A1641" s="6" t="s">
        <v>6459</v>
      </c>
      <c r="B1641" s="5" t="s">
        <v>6460</v>
      </c>
      <c r="C1641" s="5" t="s">
        <v>6456</v>
      </c>
      <c r="D1641" s="5" t="s">
        <v>6452</v>
      </c>
      <c r="E1641" s="5" t="s">
        <v>6453</v>
      </c>
      <c r="F1641" s="5" t="str">
        <f>HYPERLINK("http://riecine.it/","riecine.it")</f>
        <v>riecine.it</v>
      </c>
    </row>
    <row r="1642" spans="1:6" ht="29.55" customHeight="1" x14ac:dyDescent="0.25">
      <c r="A1642" s="6" t="s">
        <v>6461</v>
      </c>
      <c r="B1642" s="5" t="s">
        <v>6462</v>
      </c>
      <c r="C1642" s="5" t="s">
        <v>6456</v>
      </c>
      <c r="D1642" s="5" t="s">
        <v>6463</v>
      </c>
      <c r="E1642" s="5" t="s">
        <v>6464</v>
      </c>
      <c r="F1642" s="5" t="str">
        <f>HYPERLINK("http://www.ilborgodelbalsamico.it/","www.ilborgodelbalsamico.it")</f>
        <v>www.ilborgodelbalsamico.it</v>
      </c>
    </row>
    <row r="1643" spans="1:6" ht="94.2" customHeight="1" x14ac:dyDescent="0.25">
      <c r="A1643" s="6" t="s">
        <v>6466</v>
      </c>
      <c r="B1643" s="5" t="s">
        <v>6467</v>
      </c>
      <c r="C1643" s="5" t="s">
        <v>6449</v>
      </c>
      <c r="D1643" s="5" t="s">
        <v>6468</v>
      </c>
      <c r="E1643" s="5" t="s">
        <v>6458</v>
      </c>
      <c r="F1643" s="5" t="str">
        <f>HYPERLINK("http://www.cantinasocialecastagnolemonferrato.it/","www.cantinasocialecastagnolemonferrato.it")</f>
        <v>www.cantinasocialecastagnolemonferrato.it</v>
      </c>
    </row>
    <row r="1644" spans="1:6" ht="68.099999999999994" customHeight="1" x14ac:dyDescent="0.25">
      <c r="A1644" s="1" t="s">
        <v>6469</v>
      </c>
      <c r="B1644" s="7" t="s">
        <v>6470</v>
      </c>
      <c r="C1644" s="7" t="s">
        <v>6471</v>
      </c>
      <c r="D1644" s="7" t="s">
        <v>6472</v>
      </c>
      <c r="E1644" s="7" t="s">
        <v>6453</v>
      </c>
      <c r="F1644" s="7" t="str">
        <f>HYPERLINK("http://www.castellooliveto.it/","www.castellooliveto.it")</f>
        <v>www.castellooliveto.it</v>
      </c>
    </row>
    <row r="1645" spans="1:6" ht="43.05" customHeight="1" x14ac:dyDescent="0.25">
      <c r="A1645" s="1" t="s">
        <v>6474</v>
      </c>
      <c r="B1645" s="7" t="s">
        <v>6475</v>
      </c>
      <c r="C1645" s="7" t="s">
        <v>6465</v>
      </c>
      <c r="D1645" s="7" t="s">
        <v>6452</v>
      </c>
      <c r="E1645" s="7" t="s">
        <v>6453</v>
      </c>
      <c r="F1645" s="7" t="str">
        <f>HYPERLINK("http://www.ortodepecci.it/","www.ortodepecci.it")</f>
        <v>www.ortodepecci.it</v>
      </c>
    </row>
    <row r="1646" spans="1:6" ht="55.65" customHeight="1" x14ac:dyDescent="0.25">
      <c r="A1646" s="1" t="s">
        <v>6476</v>
      </c>
      <c r="B1646" s="7" t="s">
        <v>6477</v>
      </c>
      <c r="C1646" s="7" t="s">
        <v>6456</v>
      </c>
      <c r="D1646" s="7" t="s">
        <v>6478</v>
      </c>
      <c r="E1646" s="7" t="s">
        <v>6464</v>
      </c>
      <c r="F1646" s="7" t="str">
        <f>HYPERLINK("http://www.cortedaibo.it/","www.cortedaibo.it")</f>
        <v>www.cortedaibo.it</v>
      </c>
    </row>
    <row r="1647" spans="1:6" ht="29.55" customHeight="1" x14ac:dyDescent="0.25">
      <c r="A1647" s="6" t="s">
        <v>6479</v>
      </c>
      <c r="B1647" s="5" t="s">
        <v>6480</v>
      </c>
      <c r="C1647" s="5" t="s">
        <v>6481</v>
      </c>
      <c r="D1647" s="5" t="s">
        <v>6482</v>
      </c>
      <c r="E1647" s="5" t="s">
        <v>6483</v>
      </c>
      <c r="F1647" s="5" t="str">
        <f>HYPERLINK("http://societa-agricola-tosetto-srl.business.site/","societa-agricola-tosetto-srl.business.site/")</f>
        <v>societa-agricola-tosetto-srl.business.site/</v>
      </c>
    </row>
    <row r="1648" spans="1:6" ht="43.05" customHeight="1" x14ac:dyDescent="0.25">
      <c r="A1648" s="1" t="s">
        <v>6484</v>
      </c>
      <c r="B1648" s="7" t="s">
        <v>6485</v>
      </c>
      <c r="C1648" s="7" t="s">
        <v>6473</v>
      </c>
      <c r="D1648" s="7" t="s">
        <v>6486</v>
      </c>
      <c r="E1648" s="7" t="s">
        <v>6487</v>
      </c>
      <c r="F1648" s="7" t="str">
        <f>HYPERLINK("http://www.cipolladicannara.it/","www.cipolladicannara.it")</f>
        <v>www.cipolladicannara.it</v>
      </c>
    </row>
    <row r="1649" spans="1:6" ht="29.55" customHeight="1" x14ac:dyDescent="0.25">
      <c r="A1649" s="1" t="s">
        <v>6489</v>
      </c>
      <c r="B1649" s="7" t="s">
        <v>6490</v>
      </c>
      <c r="C1649" s="7" t="s">
        <v>6456</v>
      </c>
      <c r="D1649" s="7" t="s">
        <v>6491</v>
      </c>
      <c r="E1649" s="7" t="s">
        <v>6492</v>
      </c>
      <c r="F1649" s="7" t="str">
        <f>HYPERLINK("http://shop.rametz.com/","shop.rametz.com")</f>
        <v>shop.rametz.com</v>
      </c>
    </row>
    <row r="1650" spans="1:6" ht="29.55" customHeight="1" x14ac:dyDescent="0.25">
      <c r="A1650" s="1" t="s">
        <v>6493</v>
      </c>
      <c r="B1650" s="7" t="s">
        <v>6494</v>
      </c>
      <c r="C1650" s="7" t="s">
        <v>6456</v>
      </c>
      <c r="D1650" s="7" t="s">
        <v>6495</v>
      </c>
      <c r="E1650" s="7" t="s">
        <v>6488</v>
      </c>
      <c r="F1650" s="7" t="str">
        <f>HYPERLINK("http://www.saraja.it/","www.saraja.it")</f>
        <v>www.saraja.it</v>
      </c>
    </row>
    <row r="1651" spans="1:6" ht="29.55" customHeight="1" x14ac:dyDescent="0.25">
      <c r="A1651" s="6" t="s">
        <v>6500</v>
      </c>
      <c r="B1651" s="5" t="s">
        <v>6501</v>
      </c>
      <c r="C1651" s="5" t="s">
        <v>6502</v>
      </c>
      <c r="D1651" s="5" t="s">
        <v>6503</v>
      </c>
      <c r="E1651" s="5" t="s">
        <v>6497</v>
      </c>
      <c r="F1651" s="5" t="str">
        <f>HYPERLINK("http://www.vivaicoviser.com/","www.vivaicoviser.com")</f>
        <v>www.vivaicoviser.com</v>
      </c>
    </row>
    <row r="1652" spans="1:6" ht="29.55" customHeight="1" x14ac:dyDescent="0.25">
      <c r="A1652" s="6" t="s">
        <v>6506</v>
      </c>
      <c r="B1652" s="5" t="s">
        <v>6507</v>
      </c>
      <c r="C1652" s="5" t="s">
        <v>6508</v>
      </c>
      <c r="D1652" s="5" t="s">
        <v>6509</v>
      </c>
      <c r="E1652" s="5" t="s">
        <v>6510</v>
      </c>
      <c r="F1652" s="5" t="str">
        <f>HYPERLINK("http://www.santaluciafranciacorta.it/","www.santaluciafranciacorta.it")</f>
        <v>www.santaluciafranciacorta.it</v>
      </c>
    </row>
    <row r="1653" spans="1:6" ht="16.95" customHeight="1" x14ac:dyDescent="0.25">
      <c r="A1653" s="1" t="s">
        <v>6511</v>
      </c>
      <c r="B1653" s="7" t="s">
        <v>6512</v>
      </c>
      <c r="C1653" s="7" t="s">
        <v>6513</v>
      </c>
      <c r="D1653" s="7" t="s">
        <v>6514</v>
      </c>
      <c r="E1653" s="7" t="s">
        <v>6515</v>
      </c>
      <c r="F1653" s="7" t="str">
        <f>HYPERLINK("http://www.mariottinigarden.it/","www.mariottinigarden.it")</f>
        <v>www.mariottinigarden.it</v>
      </c>
    </row>
    <row r="1654" spans="1:6" ht="55.65" customHeight="1" x14ac:dyDescent="0.25">
      <c r="A1654" s="6" t="s">
        <v>6516</v>
      </c>
      <c r="B1654" s="5" t="s">
        <v>6517</v>
      </c>
      <c r="C1654" s="5" t="s">
        <v>6513</v>
      </c>
      <c r="D1654" s="5" t="s">
        <v>6518</v>
      </c>
      <c r="E1654" s="5" t="s">
        <v>6498</v>
      </c>
      <c r="F1654" s="5" t="str">
        <f>HYPERLINK("http://www.villascaminaci.it/","www.villascaminaci.it")</f>
        <v>www.villascaminaci.it</v>
      </c>
    </row>
    <row r="1655" spans="1:6" ht="29.55" customHeight="1" x14ac:dyDescent="0.25">
      <c r="A1655" s="1" t="s">
        <v>6519</v>
      </c>
      <c r="B1655" s="7" t="s">
        <v>6520</v>
      </c>
      <c r="C1655" s="7" t="s">
        <v>6521</v>
      </c>
      <c r="D1655" s="7" t="s">
        <v>6522</v>
      </c>
      <c r="E1655" s="7" t="s">
        <v>6523</v>
      </c>
      <c r="F1655" s="7" t="str">
        <f>HYPERLINK("http://verdeinopera.com/","verdeinopera.com")</f>
        <v>verdeinopera.com</v>
      </c>
    </row>
    <row r="1656" spans="1:6" ht="29.55" customHeight="1" x14ac:dyDescent="0.25">
      <c r="A1656" s="6" t="s">
        <v>6526</v>
      </c>
      <c r="B1656" s="5" t="s">
        <v>6527</v>
      </c>
      <c r="C1656" s="5" t="s">
        <v>6508</v>
      </c>
      <c r="D1656" s="5" t="s">
        <v>6528</v>
      </c>
      <c r="E1656" s="5" t="s">
        <v>6529</v>
      </c>
      <c r="F1656" s="5" t="str">
        <f>HYPERLINK("http://terralsole.com/","terralsole.com")</f>
        <v>terralsole.com</v>
      </c>
    </row>
    <row r="1657" spans="1:6" ht="43.05" customHeight="1" x14ac:dyDescent="0.25">
      <c r="A1657" s="6" t="s">
        <v>6530</v>
      </c>
      <c r="B1657" s="5" t="s">
        <v>6531</v>
      </c>
      <c r="C1657" s="5" t="s">
        <v>6505</v>
      </c>
      <c r="D1657" s="5" t="s">
        <v>6528</v>
      </c>
      <c r="E1657" s="5" t="s">
        <v>6529</v>
      </c>
      <c r="F1657" s="5" t="str">
        <f>HYPERLINK("http://shop.castellotricerchi.com/","shop.castellotricerchi.com")</f>
        <v>shop.castellotricerchi.com</v>
      </c>
    </row>
    <row r="1658" spans="1:6" ht="29.55" customHeight="1" x14ac:dyDescent="0.25">
      <c r="A1658" s="1" t="s">
        <v>6532</v>
      </c>
      <c r="B1658" s="7" t="s">
        <v>6533</v>
      </c>
      <c r="C1658" s="7" t="s">
        <v>6496</v>
      </c>
      <c r="D1658" s="7" t="s">
        <v>6534</v>
      </c>
      <c r="E1658" s="7" t="s">
        <v>6510</v>
      </c>
      <c r="F1658" s="7" t="str">
        <f>HYPERLINK("http://www.cavazzinispurghilavoriagricoli.it/","www.cavazzinispurghilavoriagricoli.it")</f>
        <v>www.cavazzinispurghilavoriagricoli.it</v>
      </c>
    </row>
    <row r="1659" spans="1:6" ht="43.05" customHeight="1" x14ac:dyDescent="0.25">
      <c r="A1659" s="1" t="s">
        <v>6535</v>
      </c>
      <c r="B1659" s="7" t="s">
        <v>6536</v>
      </c>
      <c r="C1659" s="7" t="s">
        <v>6496</v>
      </c>
      <c r="D1659" s="7" t="s">
        <v>6537</v>
      </c>
      <c r="E1659" s="7" t="s">
        <v>6510</v>
      </c>
      <c r="F1659" s="7" t="str">
        <f>HYPERLINK("http://www.gltagliabue.it/","www.gltagliabue.it")</f>
        <v>www.gltagliabue.it</v>
      </c>
    </row>
    <row r="1660" spans="1:6" ht="43.05" customHeight="1" x14ac:dyDescent="0.25">
      <c r="A1660" s="6" t="s">
        <v>6538</v>
      </c>
      <c r="B1660" s="5" t="s">
        <v>6539</v>
      </c>
      <c r="C1660" s="5" t="s">
        <v>6504</v>
      </c>
      <c r="D1660" s="5" t="s">
        <v>6540</v>
      </c>
      <c r="E1660" s="5" t="s">
        <v>6497</v>
      </c>
      <c r="F1660" s="5" t="str">
        <f>HYPERLINK("http://www.agricoladelsole.it/","www.agricoladelsole.it")</f>
        <v>www.agricoladelsole.it</v>
      </c>
    </row>
    <row r="1661" spans="1:6" ht="29.55" customHeight="1" x14ac:dyDescent="0.25">
      <c r="A1661" s="6" t="s">
        <v>6541</v>
      </c>
      <c r="B1661" s="5" t="s">
        <v>6542</v>
      </c>
      <c r="C1661" s="5" t="s">
        <v>6524</v>
      </c>
      <c r="D1661" s="5" t="s">
        <v>6543</v>
      </c>
      <c r="E1661" s="5" t="s">
        <v>6525</v>
      </c>
      <c r="F1661" s="5" t="str">
        <f>HYPERLINK("http://borgodelgazzano.it/","borgodelgazzano.it")</f>
        <v>borgodelgazzano.it</v>
      </c>
    </row>
    <row r="1662" spans="1:6" ht="16.95" customHeight="1" x14ac:dyDescent="0.25">
      <c r="A1662" s="1" t="s">
        <v>6544</v>
      </c>
      <c r="B1662" s="7" t="s">
        <v>6545</v>
      </c>
      <c r="C1662" s="7" t="s">
        <v>6546</v>
      </c>
      <c r="D1662" s="7" t="s">
        <v>6547</v>
      </c>
      <c r="E1662" s="7" t="s">
        <v>6497</v>
      </c>
      <c r="F1662" s="7" t="str">
        <f>HYPERLINK("http://www.jessyflor.it/","www.jessyflor.it")</f>
        <v>www.jessyflor.it</v>
      </c>
    </row>
    <row r="1663" spans="1:6" ht="29.55" customHeight="1" x14ac:dyDescent="0.25">
      <c r="A1663" s="1" t="s">
        <v>6548</v>
      </c>
      <c r="B1663" s="7" t="s">
        <v>6549</v>
      </c>
      <c r="C1663" s="7" t="s">
        <v>6505</v>
      </c>
      <c r="D1663" s="7" t="s">
        <v>6550</v>
      </c>
      <c r="E1663" s="7" t="s">
        <v>6499</v>
      </c>
      <c r="F1663" s="7" t="str">
        <f>HYPERLINK("http://www.canegra.com/","www.canegra.com")</f>
        <v>www.canegra.com</v>
      </c>
    </row>
    <row r="1664" spans="1:6" ht="29.55" customHeight="1" x14ac:dyDescent="0.25">
      <c r="A1664" s="6" t="s">
        <v>6551</v>
      </c>
      <c r="B1664" s="5" t="s">
        <v>6552</v>
      </c>
      <c r="C1664" s="5" t="s">
        <v>6553</v>
      </c>
      <c r="D1664" s="5" t="s">
        <v>6554</v>
      </c>
      <c r="E1664" s="5" t="s">
        <v>6498</v>
      </c>
      <c r="F1664" s="5" t="str">
        <f>HYPERLINK("http://www.vivaicintoli.it/","www.vivaicintoli.it")</f>
        <v>www.vivaicintoli.it</v>
      </c>
    </row>
    <row r="1665" spans="1:6" ht="16.95" customHeight="1" x14ac:dyDescent="0.25">
      <c r="A1665" s="1" t="s">
        <v>6559</v>
      </c>
      <c r="B1665" s="7" t="s">
        <v>6560</v>
      </c>
      <c r="C1665" s="7" t="s">
        <v>6561</v>
      </c>
      <c r="D1665" s="7" t="s">
        <v>6562</v>
      </c>
      <c r="E1665" s="7" t="s">
        <v>6563</v>
      </c>
      <c r="F1665" s="7" t="str">
        <f>HYPERLINK("http://www.bowlinglafavorita.it/","www.bowlinglafavorita.it")</f>
        <v>www.bowlinglafavorita.it</v>
      </c>
    </row>
    <row r="1666" spans="1:6" ht="29.55" customHeight="1" x14ac:dyDescent="0.25">
      <c r="A1666" s="1" t="s">
        <v>6566</v>
      </c>
      <c r="B1666" s="7" t="s">
        <v>6567</v>
      </c>
      <c r="C1666" s="7" t="s">
        <v>6561</v>
      </c>
      <c r="D1666" s="7" t="s">
        <v>6557</v>
      </c>
      <c r="E1666" s="7" t="s">
        <v>6558</v>
      </c>
      <c r="F1666" s="7" t="str">
        <f>HYPERLINK("http://www.lefontanette.com/","www.lefontanette.com")</f>
        <v>www.lefontanette.com</v>
      </c>
    </row>
    <row r="1667" spans="1:6" ht="43.05" customHeight="1" x14ac:dyDescent="0.25">
      <c r="A1667" s="1" t="s">
        <v>6570</v>
      </c>
      <c r="B1667" s="7" t="s">
        <v>6571</v>
      </c>
      <c r="C1667" s="7" t="s">
        <v>6555</v>
      </c>
      <c r="D1667" s="7" t="s">
        <v>6572</v>
      </c>
      <c r="E1667" s="7" t="s">
        <v>6565</v>
      </c>
      <c r="F1667" s="7" t="str">
        <f>HYPERLINK("http://www.caseificioaltissimo.it/","www.caseificioaltissimo.it")</f>
        <v>www.caseificioaltissimo.it</v>
      </c>
    </row>
    <row r="1668" spans="1:6" ht="16.95" customHeight="1" x14ac:dyDescent="0.25">
      <c r="A1668" s="6" t="s">
        <v>6573</v>
      </c>
      <c r="B1668" s="5" t="s">
        <v>6574</v>
      </c>
      <c r="C1668" s="5" t="s">
        <v>6569</v>
      </c>
      <c r="D1668" s="5" t="s">
        <v>6575</v>
      </c>
      <c r="E1668" s="5" t="s">
        <v>6576</v>
      </c>
      <c r="F1668" s="5" t="str">
        <f>HYPERLINK("http://www.ristoranteal588.com/","www.ristoranteal588.com")</f>
        <v>www.ristoranteal588.com</v>
      </c>
    </row>
    <row r="1669" spans="1:6" ht="29.55" customHeight="1" x14ac:dyDescent="0.25">
      <c r="A1669" s="1" t="s">
        <v>6577</v>
      </c>
      <c r="B1669" s="7" t="s">
        <v>6578</v>
      </c>
      <c r="C1669" s="7" t="s">
        <v>6579</v>
      </c>
      <c r="D1669" s="7" t="s">
        <v>6580</v>
      </c>
      <c r="E1669" s="7" t="s">
        <v>6568</v>
      </c>
      <c r="F1669" s="7" t="str">
        <f>HYPERLINK("http://oinoevini.it/","oinoevini.it")</f>
        <v>oinoevini.it</v>
      </c>
    </row>
    <row r="1670" spans="1:6" ht="29.55" customHeight="1" x14ac:dyDescent="0.25">
      <c r="A1670" s="6" t="s">
        <v>6581</v>
      </c>
      <c r="B1670" s="5" t="s">
        <v>6582</v>
      </c>
      <c r="C1670" s="5" t="s">
        <v>6579</v>
      </c>
      <c r="D1670" s="5" t="s">
        <v>6583</v>
      </c>
      <c r="E1670" s="5" t="s">
        <v>6584</v>
      </c>
      <c r="F1670" s="5" t="str">
        <f>HYPERLINK("http://www.terredivalter.it/","www.terredivalter.it")</f>
        <v>www.terredivalter.it</v>
      </c>
    </row>
    <row r="1671" spans="1:6" ht="29.55" customHeight="1" x14ac:dyDescent="0.25">
      <c r="A1671" s="1" t="s">
        <v>6585</v>
      </c>
      <c r="B1671" s="7" t="s">
        <v>6586</v>
      </c>
      <c r="C1671" s="7" t="s">
        <v>6555</v>
      </c>
      <c r="D1671" s="7" t="s">
        <v>6587</v>
      </c>
      <c r="E1671" s="7" t="s">
        <v>6556</v>
      </c>
      <c r="F1671" s="7" t="str">
        <f>HYPERLINK("http://www.casalecollemonastero.it/","www.casalecollemonastero.it")</f>
        <v>www.casalecollemonastero.it</v>
      </c>
    </row>
    <row r="1672" spans="1:6" ht="16.95" customHeight="1" x14ac:dyDescent="0.25">
      <c r="A1672" s="6" t="s">
        <v>6588</v>
      </c>
      <c r="B1672" s="5" t="s">
        <v>6589</v>
      </c>
      <c r="C1672" s="5" t="s">
        <v>6579</v>
      </c>
      <c r="D1672" s="5" t="s">
        <v>6587</v>
      </c>
      <c r="E1672" s="5" t="s">
        <v>6556</v>
      </c>
      <c r="F1672" s="5" t="str">
        <f>HYPERLINK("http://principepallavicini.com/","principepallavicini.com")</f>
        <v>principepallavicini.com</v>
      </c>
    </row>
    <row r="1673" spans="1:6" ht="29.55" customHeight="1" x14ac:dyDescent="0.25">
      <c r="A1673" s="6" t="s">
        <v>6590</v>
      </c>
      <c r="B1673" s="5" t="s">
        <v>6591</v>
      </c>
      <c r="C1673" s="5" t="s">
        <v>6564</v>
      </c>
      <c r="D1673" s="5" t="s">
        <v>6592</v>
      </c>
      <c r="E1673" s="5" t="s">
        <v>6592</v>
      </c>
      <c r="F1673" s="5" t="str">
        <f>HYPERLINK("http://www.lesbieres.it/","www.lesbieres.it")</f>
        <v>www.lesbieres.it</v>
      </c>
    </row>
    <row r="1674" spans="1:6" ht="29.55" customHeight="1" x14ac:dyDescent="0.25">
      <c r="A1674" s="6" t="s">
        <v>6593</v>
      </c>
      <c r="B1674" s="5" t="s">
        <v>6594</v>
      </c>
      <c r="C1674" s="5" t="s">
        <v>6579</v>
      </c>
      <c r="D1674" s="5" t="s">
        <v>6575</v>
      </c>
      <c r="E1674" s="5" t="s">
        <v>6576</v>
      </c>
      <c r="F1674" s="5" t="str">
        <f>HYPERLINK("http://www.villapillo.com/","www.villapillo.com")</f>
        <v>www.villapillo.com</v>
      </c>
    </row>
    <row r="1675" spans="1:6" ht="29.55" customHeight="1" x14ac:dyDescent="0.25">
      <c r="A1675" s="6" t="s">
        <v>6595</v>
      </c>
      <c r="B1675" s="5" t="s">
        <v>6596</v>
      </c>
      <c r="C1675" s="5" t="s">
        <v>6597</v>
      </c>
      <c r="D1675" s="5" t="s">
        <v>6598</v>
      </c>
      <c r="E1675" s="5" t="s">
        <v>6565</v>
      </c>
      <c r="F1675" s="5" t="str">
        <f>HYPERLINK("http://www.agrotecservizi.it/","www.agrotecservizi.it")</f>
        <v>www.agrotecservizi.it</v>
      </c>
    </row>
    <row r="1676" spans="1:6" ht="29.55" customHeight="1" x14ac:dyDescent="0.25">
      <c r="A1676" s="1" t="s">
        <v>6599</v>
      </c>
      <c r="B1676" s="7" t="s">
        <v>6600</v>
      </c>
      <c r="C1676" s="7" t="s">
        <v>6601</v>
      </c>
      <c r="D1676" s="7" t="s">
        <v>6602</v>
      </c>
      <c r="E1676" s="7" t="s">
        <v>6603</v>
      </c>
      <c r="F1676" s="7" t="str">
        <f>HYPERLINK("http://www.donnachiara.com/","www.donnachiara.com")</f>
        <v>www.donnachiara.com</v>
      </c>
    </row>
    <row r="1677" spans="1:6" ht="29.55" customHeight="1" x14ac:dyDescent="0.25">
      <c r="A1677" s="1" t="s">
        <v>6606</v>
      </c>
      <c r="B1677" s="7" t="s">
        <v>6607</v>
      </c>
      <c r="C1677" s="7" t="s">
        <v>6608</v>
      </c>
      <c r="D1677" s="7" t="s">
        <v>6609</v>
      </c>
      <c r="E1677" s="7" t="s">
        <v>6610</v>
      </c>
      <c r="F1677" s="7" t="str">
        <f>HYPERLINK("http://www.geagri.it/","www.geagri.it")</f>
        <v>www.geagri.it</v>
      </c>
    </row>
    <row r="1678" spans="1:6" ht="132.75" customHeight="1" x14ac:dyDescent="0.25">
      <c r="A1678" s="6" t="s">
        <v>6611</v>
      </c>
      <c r="B1678" s="5" t="s">
        <v>6612</v>
      </c>
      <c r="C1678" s="5" t="s">
        <v>6601</v>
      </c>
      <c r="D1678" s="5" t="s">
        <v>6613</v>
      </c>
      <c r="E1678" s="5" t="s">
        <v>6605</v>
      </c>
      <c r="F1678" s="5" t="str">
        <f>HYPERLINK("http://assuli.it/","assuli.it")</f>
        <v>assuli.it</v>
      </c>
    </row>
    <row r="1679" spans="1:6" ht="68.099999999999994" customHeight="1" x14ac:dyDescent="0.25">
      <c r="A1679" s="1" t="s">
        <v>6614</v>
      </c>
      <c r="B1679" s="7" t="s">
        <v>6615</v>
      </c>
      <c r="C1679" s="7" t="s">
        <v>6608</v>
      </c>
      <c r="D1679" s="7" t="s">
        <v>6616</v>
      </c>
      <c r="E1679" s="7" t="s">
        <v>6610</v>
      </c>
      <c r="F1679" s="7" t="str">
        <f>HYPERLINK("http://www.confagricolturafoggia.it/","www.confagricolturafoggia.it")</f>
        <v>www.confagricolturafoggia.it</v>
      </c>
    </row>
    <row r="1680" spans="1:6" ht="43.05" customHeight="1" x14ac:dyDescent="0.25">
      <c r="A1680" s="6" t="s">
        <v>6617</v>
      </c>
      <c r="B1680" s="5" t="s">
        <v>6618</v>
      </c>
      <c r="C1680" s="5" t="s">
        <v>6601</v>
      </c>
      <c r="D1680" s="5" t="s">
        <v>6619</v>
      </c>
      <c r="E1680" s="5" t="s">
        <v>6620</v>
      </c>
      <c r="F1680" s="5" t="str">
        <f>HYPERLINK("http://www.torracciadelpiantavigna.it/","www.torracciadelpiantavigna.it")</f>
        <v>www.torracciadelpiantavigna.it</v>
      </c>
    </row>
    <row r="1681" spans="1:6" ht="29.55" customHeight="1" x14ac:dyDescent="0.25">
      <c r="A1681" s="1" t="s">
        <v>6621</v>
      </c>
      <c r="B1681" s="7" t="s">
        <v>6622</v>
      </c>
      <c r="C1681" s="7" t="s">
        <v>6623</v>
      </c>
      <c r="D1681" s="7" t="s">
        <v>6624</v>
      </c>
      <c r="E1681" s="7" t="s">
        <v>6625</v>
      </c>
      <c r="F1681" s="7" t="str">
        <f>HYPERLINK("http://www.corsira.it/","www.corsira.it")</f>
        <v>www.corsira.it</v>
      </c>
    </row>
    <row r="1682" spans="1:6" ht="29.55" customHeight="1" x14ac:dyDescent="0.25">
      <c r="A1682" s="6" t="s">
        <v>6626</v>
      </c>
      <c r="B1682" s="5" t="s">
        <v>6627</v>
      </c>
      <c r="C1682" s="5" t="s">
        <v>6628</v>
      </c>
      <c r="D1682" s="5" t="s">
        <v>6629</v>
      </c>
      <c r="E1682" s="5" t="s">
        <v>6630</v>
      </c>
      <c r="F1682" s="5" t="str">
        <f>HYPERLINK("http://www.gattifloricoltura.it/","www.gattifloricoltura.it")</f>
        <v>www.gattifloricoltura.it</v>
      </c>
    </row>
    <row r="1683" spans="1:6" ht="29.55" customHeight="1" x14ac:dyDescent="0.25">
      <c r="A1683" s="1" t="s">
        <v>6631</v>
      </c>
      <c r="B1683" s="7" t="s">
        <v>6632</v>
      </c>
      <c r="C1683" s="7" t="s">
        <v>6601</v>
      </c>
      <c r="D1683" s="7" t="s">
        <v>6633</v>
      </c>
      <c r="E1683" s="7" t="s">
        <v>6610</v>
      </c>
      <c r="F1683" s="7" t="str">
        <f>HYPERLINK("http://www.cantinaterradeipadri.it/","www.cantinaterradeipadri.it")</f>
        <v>www.cantinaterradeipadri.it</v>
      </c>
    </row>
    <row r="1684" spans="1:6" ht="29.55" customHeight="1" x14ac:dyDescent="0.25">
      <c r="A1684" s="1" t="s">
        <v>6637</v>
      </c>
      <c r="B1684" s="7" t="s">
        <v>6638</v>
      </c>
      <c r="C1684" s="7" t="s">
        <v>6639</v>
      </c>
      <c r="D1684" s="7" t="s">
        <v>6640</v>
      </c>
      <c r="E1684" s="7" t="s">
        <v>6630</v>
      </c>
      <c r="F1684" s="7" t="str">
        <f>HYPERLINK("http://iperverde.it/","iperverde.it")</f>
        <v>iperverde.it</v>
      </c>
    </row>
    <row r="1685" spans="1:6" ht="68.099999999999994" customHeight="1" x14ac:dyDescent="0.25">
      <c r="A1685" s="6" t="s">
        <v>6641</v>
      </c>
      <c r="B1685" s="5" t="s">
        <v>6642</v>
      </c>
      <c r="C1685" s="5" t="s">
        <v>6601</v>
      </c>
      <c r="D1685" s="5" t="s">
        <v>6643</v>
      </c>
      <c r="E1685" s="5" t="s">
        <v>6625</v>
      </c>
      <c r="F1685" s="5" t="str">
        <f>HYPERLINK("http://www.tenutalequinte.com/","www.tenutalequinte.com")</f>
        <v>www.tenutalequinte.com</v>
      </c>
    </row>
    <row r="1686" spans="1:6" ht="29.55" customHeight="1" x14ac:dyDescent="0.25">
      <c r="A1686" s="1" t="s">
        <v>6645</v>
      </c>
      <c r="B1686" s="7" t="s">
        <v>6646</v>
      </c>
      <c r="C1686" s="7" t="s">
        <v>6601</v>
      </c>
      <c r="D1686" s="7" t="s">
        <v>6647</v>
      </c>
      <c r="E1686" s="7" t="s">
        <v>6635</v>
      </c>
      <c r="F1686" s="7" t="str">
        <f>HYPERLINK("http://shop.settecieli.com/","shop.settecieli.com")</f>
        <v>shop.settecieli.com</v>
      </c>
    </row>
    <row r="1687" spans="1:6" ht="43.05" customHeight="1" x14ac:dyDescent="0.25">
      <c r="A1687" s="6" t="s">
        <v>6648</v>
      </c>
      <c r="B1687" s="5" t="s">
        <v>6649</v>
      </c>
      <c r="C1687" s="5" t="s">
        <v>6650</v>
      </c>
      <c r="D1687" s="5" t="s">
        <v>6651</v>
      </c>
      <c r="E1687" s="5" t="s">
        <v>6635</v>
      </c>
      <c r="F1687" s="5" t="str">
        <f>HYPERLINK("http://www.montebelli.it/","www.montebelli.it")</f>
        <v>www.montebelli.it</v>
      </c>
    </row>
    <row r="1688" spans="1:6" ht="29.55" customHeight="1" x14ac:dyDescent="0.25">
      <c r="A1688" s="6" t="s">
        <v>6652</v>
      </c>
      <c r="B1688" s="5" t="s">
        <v>6653</v>
      </c>
      <c r="C1688" s="5" t="s">
        <v>6601</v>
      </c>
      <c r="D1688" s="5" t="s">
        <v>6654</v>
      </c>
      <c r="E1688" s="5" t="s">
        <v>6635</v>
      </c>
      <c r="F1688" s="5" t="str">
        <f>HYPERLINK("http://www.borgopietrafitta.com/","www.borgopietrafitta.com")</f>
        <v>www.borgopietrafitta.com</v>
      </c>
    </row>
    <row r="1689" spans="1:6" ht="81.75" customHeight="1" x14ac:dyDescent="0.25">
      <c r="A1689" s="1" t="s">
        <v>6655</v>
      </c>
      <c r="B1689" s="7" t="s">
        <v>6656</v>
      </c>
      <c r="C1689" s="7" t="s">
        <v>6634</v>
      </c>
      <c r="D1689" s="7" t="s">
        <v>6657</v>
      </c>
      <c r="E1689" s="7" t="s">
        <v>6658</v>
      </c>
      <c r="F1689" s="7" t="str">
        <f>HYPERLINK("http://www.promarche.it/","www.promarche.it")</f>
        <v>www.promarche.it</v>
      </c>
    </row>
    <row r="1690" spans="1:6" ht="29.55" customHeight="1" x14ac:dyDescent="0.25">
      <c r="A1690" s="1" t="s">
        <v>6659</v>
      </c>
      <c r="B1690" s="7" t="s">
        <v>6660</v>
      </c>
      <c r="C1690" s="7" t="s">
        <v>6661</v>
      </c>
      <c r="D1690" s="7" t="s">
        <v>6654</v>
      </c>
      <c r="E1690" s="7" t="s">
        <v>6635</v>
      </c>
      <c r="F1690" s="7" t="str">
        <f>HYPERLINK("http://www.villalacasina.com/","www.villalacasina.com")</f>
        <v>www.villalacasina.com</v>
      </c>
    </row>
    <row r="1691" spans="1:6" ht="43.05" customHeight="1" x14ac:dyDescent="0.25">
      <c r="A1691" s="6" t="s">
        <v>6662</v>
      </c>
      <c r="B1691" s="5" t="s">
        <v>6663</v>
      </c>
      <c r="C1691" s="5" t="s">
        <v>6601</v>
      </c>
      <c r="D1691" s="5" t="s">
        <v>6664</v>
      </c>
      <c r="E1691" s="5" t="s">
        <v>6620</v>
      </c>
      <c r="F1691" s="5" t="str">
        <f>HYPERLINK("http://dosiovigneti.com/","dosiovigneti.com")</f>
        <v>dosiovigneti.com</v>
      </c>
    </row>
    <row r="1692" spans="1:6" ht="29.55" customHeight="1" x14ac:dyDescent="0.25">
      <c r="A1692" s="1" t="s">
        <v>6665</v>
      </c>
      <c r="B1692" s="7" t="s">
        <v>6666</v>
      </c>
      <c r="C1692" s="7" t="s">
        <v>6608</v>
      </c>
      <c r="D1692" s="7" t="s">
        <v>6602</v>
      </c>
      <c r="E1692" s="7" t="s">
        <v>6603</v>
      </c>
      <c r="F1692" s="7" t="str">
        <f>HYPERLINK("http://www.cofrus.com/","http://www.cofrus.com")</f>
        <v>http://www.cofrus.com</v>
      </c>
    </row>
    <row r="1693" spans="1:6" ht="29.55" customHeight="1" x14ac:dyDescent="0.25">
      <c r="A1693" s="6" t="s">
        <v>6667</v>
      </c>
      <c r="B1693" s="5" t="s">
        <v>6668</v>
      </c>
      <c r="C1693" s="5" t="s">
        <v>6636</v>
      </c>
      <c r="D1693" s="5" t="s">
        <v>6669</v>
      </c>
      <c r="E1693" s="5" t="s">
        <v>6610</v>
      </c>
      <c r="F1693" s="5" t="str">
        <f>HYPERLINK("http://www.cap-putignano.it/","www.cap-putignano.it")</f>
        <v>www.cap-putignano.it</v>
      </c>
    </row>
    <row r="1694" spans="1:6" ht="29.55" customHeight="1" x14ac:dyDescent="0.25">
      <c r="A1694" s="1" t="s">
        <v>6670</v>
      </c>
      <c r="B1694" s="7" t="s">
        <v>6671</v>
      </c>
      <c r="C1694" s="7" t="s">
        <v>6604</v>
      </c>
      <c r="D1694" s="7" t="s">
        <v>6669</v>
      </c>
      <c r="E1694" s="7" t="s">
        <v>6610</v>
      </c>
      <c r="F1694" s="7" t="str">
        <f>HYPERLINK("http://www.micotec.net/","www.micotec.net")</f>
        <v>www.micotec.net</v>
      </c>
    </row>
    <row r="1695" spans="1:6" ht="43.05" customHeight="1" x14ac:dyDescent="0.25">
      <c r="A1695" s="6" t="s">
        <v>6672</v>
      </c>
      <c r="B1695" s="5" t="s">
        <v>6673</v>
      </c>
      <c r="C1695" s="5" t="s">
        <v>6628</v>
      </c>
      <c r="D1695" s="5" t="s">
        <v>6674</v>
      </c>
      <c r="E1695" s="5" t="s">
        <v>6675</v>
      </c>
      <c r="F1695" s="5" t="str">
        <f>HYPERLINK("http://www.centrofiore.it/","www.centrofiore.it")</f>
        <v>www.centrofiore.it</v>
      </c>
    </row>
    <row r="1696" spans="1:6" ht="29.55" customHeight="1" x14ac:dyDescent="0.25">
      <c r="A1696" s="1" t="s">
        <v>6676</v>
      </c>
      <c r="B1696" s="7" t="s">
        <v>6677</v>
      </c>
      <c r="C1696" s="7" t="s">
        <v>6678</v>
      </c>
      <c r="D1696" s="7" t="s">
        <v>6679</v>
      </c>
      <c r="E1696" s="7" t="s">
        <v>6680</v>
      </c>
      <c r="F1696" s="7" t="str">
        <f>HYPERLINK("http://www.anticafattoriaillago.it/","www.anticafattoriaillago.it")</f>
        <v>www.anticafattoriaillago.it</v>
      </c>
    </row>
    <row r="1697" spans="1:6" ht="55.65" customHeight="1" x14ac:dyDescent="0.25">
      <c r="A1697" s="6" t="s">
        <v>6681</v>
      </c>
      <c r="B1697" s="5" t="s">
        <v>6682</v>
      </c>
      <c r="C1697" s="5" t="s">
        <v>6644</v>
      </c>
      <c r="D1697" s="5" t="s">
        <v>6683</v>
      </c>
      <c r="E1697" s="5" t="s">
        <v>6684</v>
      </c>
      <c r="F1697" s="5" t="str">
        <f>HYPERLINK("http://www.cooplacollina.it/","www.cooplacollina.it")</f>
        <v>www.cooplacollina.it</v>
      </c>
    </row>
    <row r="1698" spans="1:6" ht="29.55" customHeight="1" x14ac:dyDescent="0.25">
      <c r="A1698" s="6" t="s">
        <v>6685</v>
      </c>
      <c r="B1698" s="5" t="s">
        <v>6686</v>
      </c>
      <c r="C1698" s="5" t="s">
        <v>6687</v>
      </c>
      <c r="D1698" s="5" t="s">
        <v>6688</v>
      </c>
      <c r="E1698" s="5" t="s">
        <v>6689</v>
      </c>
      <c r="F1698" s="5" t="str">
        <f>HYPERLINK("http://fungocardoncello.com/","fungocardoncello.com")</f>
        <v>fungocardoncello.com</v>
      </c>
    </row>
    <row r="1699" spans="1:6" ht="43.05" customHeight="1" x14ac:dyDescent="0.25">
      <c r="A1699" s="6" t="s">
        <v>6690</v>
      </c>
      <c r="B1699" s="5" t="s">
        <v>6691</v>
      </c>
      <c r="C1699" s="5" t="s">
        <v>6692</v>
      </c>
      <c r="D1699" s="5" t="s">
        <v>6693</v>
      </c>
      <c r="E1699" s="5" t="s">
        <v>6694</v>
      </c>
      <c r="F1699" s="5" t="str">
        <f>HYPERLINK("http://www.chiantiser.it/","www.chiantiser.it")</f>
        <v>www.chiantiser.it</v>
      </c>
    </row>
    <row r="1700" spans="1:6" ht="29.55" customHeight="1" x14ac:dyDescent="0.25">
      <c r="A1700" s="1" t="s">
        <v>6699</v>
      </c>
      <c r="B1700" s="7" t="s">
        <v>6700</v>
      </c>
      <c r="C1700" s="7" t="s">
        <v>6701</v>
      </c>
      <c r="D1700" s="7" t="s">
        <v>6702</v>
      </c>
      <c r="E1700" s="7" t="s">
        <v>6698</v>
      </c>
      <c r="F1700" s="7" t="str">
        <f>HYPERLINK("http://vetivaria-srl-12983290151.quantofattura.com/","vetivaria-srl-12983290151.quantofattura.com")</f>
        <v>vetivaria-srl-12983290151.quantofattura.com</v>
      </c>
    </row>
    <row r="1701" spans="1:6" ht="29.55" customHeight="1" x14ac:dyDescent="0.25">
      <c r="A1701" s="6" t="s">
        <v>6704</v>
      </c>
      <c r="B1701" s="5" t="s">
        <v>6705</v>
      </c>
      <c r="C1701" s="5" t="s">
        <v>6696</v>
      </c>
      <c r="D1701" s="5" t="s">
        <v>6706</v>
      </c>
      <c r="E1701" s="5" t="s">
        <v>6707</v>
      </c>
      <c r="F1701" s="5" t="str">
        <f>HYPERLINK("http://www.tenutesannella.it/","www.tenutesannella.it")</f>
        <v>www.tenutesannella.it</v>
      </c>
    </row>
    <row r="1702" spans="1:6" ht="29.55" customHeight="1" x14ac:dyDescent="0.25">
      <c r="A1702" s="1" t="s">
        <v>6708</v>
      </c>
      <c r="B1702" s="7" t="s">
        <v>6709</v>
      </c>
      <c r="C1702" s="7" t="s">
        <v>6696</v>
      </c>
      <c r="D1702" s="7" t="s">
        <v>6695</v>
      </c>
      <c r="E1702" s="7" t="s">
        <v>6694</v>
      </c>
      <c r="F1702" s="7" t="str">
        <f>HYPERLINK("http://www.villasesta.com/","www.villasesta.com")</f>
        <v>www.villasesta.com</v>
      </c>
    </row>
    <row r="1703" spans="1:6" ht="29.55" customHeight="1" x14ac:dyDescent="0.25">
      <c r="A1703" s="6" t="s">
        <v>6711</v>
      </c>
      <c r="B1703" s="5" t="s">
        <v>6712</v>
      </c>
      <c r="C1703" s="5" t="s">
        <v>6696</v>
      </c>
      <c r="D1703" s="5" t="s">
        <v>6695</v>
      </c>
      <c r="E1703" s="5" t="s">
        <v>6694</v>
      </c>
      <c r="F1703" s="5" t="str">
        <f>HYPERLINK("http://www.colombaiodicencio.com/","www.colombaiodicencio.com")</f>
        <v>www.colombaiodicencio.com</v>
      </c>
    </row>
    <row r="1704" spans="1:6" ht="29.55" customHeight="1" x14ac:dyDescent="0.25">
      <c r="A1704" s="1" t="s">
        <v>6713</v>
      </c>
      <c r="B1704" s="7" t="s">
        <v>6714</v>
      </c>
      <c r="C1704" s="7" t="s">
        <v>6703</v>
      </c>
      <c r="D1704" s="7" t="s">
        <v>6715</v>
      </c>
      <c r="E1704" s="7" t="s">
        <v>6716</v>
      </c>
      <c r="F1704" s="7" t="str">
        <f>HYPERLINK("http://www.tenutapomara.it/","www.tenutapomara.it")</f>
        <v>www.tenutapomara.it</v>
      </c>
    </row>
    <row r="1705" spans="1:6" ht="43.05" customHeight="1" x14ac:dyDescent="0.25">
      <c r="A1705" s="6" t="s">
        <v>6717</v>
      </c>
      <c r="B1705" s="5" t="s">
        <v>6718</v>
      </c>
      <c r="C1705" s="5" t="s">
        <v>6696</v>
      </c>
      <c r="D1705" s="5" t="s">
        <v>6719</v>
      </c>
      <c r="E1705" s="5" t="s">
        <v>6694</v>
      </c>
      <c r="F1705" s="5" t="str">
        <f>HYPERLINK("http://www.campoallecomete.it/","www.campoallecomete.it")</f>
        <v>www.campoallecomete.it</v>
      </c>
    </row>
    <row r="1706" spans="1:6" ht="29.55" customHeight="1" x14ac:dyDescent="0.25">
      <c r="A1706" s="1" t="s">
        <v>6720</v>
      </c>
      <c r="B1706" s="7" t="s">
        <v>6721</v>
      </c>
      <c r="C1706" s="7" t="s">
        <v>6722</v>
      </c>
      <c r="D1706" s="7" t="s">
        <v>6723</v>
      </c>
      <c r="E1706" s="7" t="s">
        <v>6724</v>
      </c>
      <c r="F1706" s="7" t="str">
        <f>HYPERLINK("http://www.rinascitavalledolmo.com/","www.rinascitavalledolmo.com")</f>
        <v>www.rinascitavalledolmo.com</v>
      </c>
    </row>
    <row r="1707" spans="1:6" ht="29.55" customHeight="1" x14ac:dyDescent="0.25">
      <c r="A1707" s="6" t="s">
        <v>6725</v>
      </c>
      <c r="B1707" s="5" t="s">
        <v>6726</v>
      </c>
      <c r="C1707" s="5" t="s">
        <v>6722</v>
      </c>
      <c r="D1707" s="5" t="s">
        <v>6727</v>
      </c>
      <c r="E1707" s="5" t="s">
        <v>6707</v>
      </c>
      <c r="F1707" s="5" t="str">
        <f>HYPERLINK("http://masserialecarrubeostuni.it/","masserialecarrubeostuni.it")</f>
        <v>masserialecarrubeostuni.it</v>
      </c>
    </row>
    <row r="1708" spans="1:6" ht="29.55" customHeight="1" x14ac:dyDescent="0.25">
      <c r="A1708" s="6" t="s">
        <v>6728</v>
      </c>
      <c r="B1708" s="5" t="s">
        <v>6729</v>
      </c>
      <c r="C1708" s="5" t="s">
        <v>6696</v>
      </c>
      <c r="D1708" s="5" t="s">
        <v>6730</v>
      </c>
      <c r="E1708" s="5" t="s">
        <v>6707</v>
      </c>
      <c r="F1708" s="5" t="str">
        <f>HYPERLINK("http://www.cantinafiorentino.it/","www.cantinafiorentino.it")</f>
        <v>www.cantinafiorentino.it</v>
      </c>
    </row>
    <row r="1709" spans="1:6" ht="43.05" customHeight="1" x14ac:dyDescent="0.25">
      <c r="A1709" s="1" t="s">
        <v>6732</v>
      </c>
      <c r="B1709" s="7" t="s">
        <v>6733</v>
      </c>
      <c r="C1709" s="7" t="s">
        <v>6734</v>
      </c>
      <c r="D1709" s="7" t="s">
        <v>6735</v>
      </c>
      <c r="E1709" s="7" t="s">
        <v>6697</v>
      </c>
      <c r="F1709" s="7" t="str">
        <f>HYPERLINK("http://www.agricolagenesi.it/","www.agricolagenesi.it")</f>
        <v>www.agricolagenesi.it</v>
      </c>
    </row>
    <row r="1710" spans="1:6" ht="29.55" customHeight="1" x14ac:dyDescent="0.25">
      <c r="A1710" s="6" t="s">
        <v>6736</v>
      </c>
      <c r="B1710" s="5" t="s">
        <v>6737</v>
      </c>
      <c r="C1710" s="5" t="s">
        <v>6710</v>
      </c>
      <c r="D1710" s="5" t="s">
        <v>6731</v>
      </c>
      <c r="E1710" s="5" t="s">
        <v>6724</v>
      </c>
      <c r="F1710" s="5" t="str">
        <f>HYPERLINK("http://oroverdebio.it/","oroverdebio.it")</f>
        <v>oroverdebio.it</v>
      </c>
    </row>
    <row r="1711" spans="1:6" ht="16.95" customHeight="1" x14ac:dyDescent="0.25">
      <c r="A1711" s="6" t="s">
        <v>6740</v>
      </c>
      <c r="B1711" s="5" t="s">
        <v>6741</v>
      </c>
      <c r="C1711" s="5" t="s">
        <v>6742</v>
      </c>
      <c r="D1711" s="5" t="s">
        <v>6743</v>
      </c>
      <c r="E1711" s="5" t="s">
        <v>6744</v>
      </c>
      <c r="F1711" s="5" t="str">
        <f>HYPERLINK("http://agriservizisrl.it/","agriservizisrl.it")</f>
        <v>agriservizisrl.it</v>
      </c>
    </row>
    <row r="1712" spans="1:6" ht="81.75" customHeight="1" x14ac:dyDescent="0.25">
      <c r="A1712" s="1" t="s">
        <v>6745</v>
      </c>
      <c r="B1712" s="7" t="s">
        <v>6746</v>
      </c>
      <c r="C1712" s="7" t="s">
        <v>6738</v>
      </c>
      <c r="D1712" s="7" t="s">
        <v>6747</v>
      </c>
      <c r="E1712" s="7" t="s">
        <v>6748</v>
      </c>
      <c r="F1712" s="7" t="str">
        <f>HYPERLINK("http://www.isoladipaolo.it/","www.isoladipaolo.it")</f>
        <v>www.isoladipaolo.it</v>
      </c>
    </row>
    <row r="1713" spans="1:6" ht="16.95" customHeight="1" x14ac:dyDescent="0.25">
      <c r="A1713" s="6" t="s">
        <v>6753</v>
      </c>
      <c r="B1713" s="5" t="s">
        <v>6754</v>
      </c>
      <c r="C1713" s="5" t="s">
        <v>6742</v>
      </c>
      <c r="D1713" s="5" t="s">
        <v>6755</v>
      </c>
      <c r="E1713" s="5" t="s">
        <v>6739</v>
      </c>
      <c r="F1713" s="5" t="str">
        <f>HYPERLINK("http://tamburrelli.it/","tamburrelli.it")</f>
        <v>tamburrelli.it</v>
      </c>
    </row>
    <row r="1714" spans="1:6" ht="29.55" customHeight="1" x14ac:dyDescent="0.25">
      <c r="A1714" s="6" t="s">
        <v>6756</v>
      </c>
      <c r="B1714" s="5" t="s">
        <v>6757</v>
      </c>
      <c r="C1714" s="5" t="s">
        <v>6738</v>
      </c>
      <c r="D1714" s="5" t="s">
        <v>6747</v>
      </c>
      <c r="E1714" s="5" t="s">
        <v>6748</v>
      </c>
      <c r="F1714" s="5" t="str">
        <f>HYPERLINK("http://www.campodelsole.it/","www.campodelsole.it")</f>
        <v>www.campodelsole.it</v>
      </c>
    </row>
    <row r="1715" spans="1:6" ht="29.55" customHeight="1" x14ac:dyDescent="0.25">
      <c r="A1715" s="6" t="s">
        <v>6758</v>
      </c>
      <c r="B1715" s="5" t="s">
        <v>6759</v>
      </c>
      <c r="C1715" s="5" t="s">
        <v>6738</v>
      </c>
      <c r="D1715" s="5" t="s">
        <v>6760</v>
      </c>
      <c r="E1715" s="5" t="s">
        <v>6749</v>
      </c>
      <c r="F1715" s="5" t="str">
        <f>HYPERLINK("http://www.tenutavillanova.com/","www.tenutavillanova.com")</f>
        <v>www.tenutavillanova.com</v>
      </c>
    </row>
    <row r="1716" spans="1:6" ht="29.55" customHeight="1" x14ac:dyDescent="0.25">
      <c r="A1716" s="6" t="s">
        <v>6761</v>
      </c>
      <c r="B1716" s="5" t="s">
        <v>6762</v>
      </c>
      <c r="C1716" s="5" t="s">
        <v>6751</v>
      </c>
      <c r="D1716" s="5" t="s">
        <v>6763</v>
      </c>
      <c r="E1716" s="5" t="s">
        <v>6739</v>
      </c>
      <c r="F1716" s="5" t="str">
        <f>HYPERLINK("http://www.vizzino.it/","www.vizzino.it")</f>
        <v>www.vizzino.it</v>
      </c>
    </row>
    <row r="1717" spans="1:6" ht="29.55" customHeight="1" x14ac:dyDescent="0.25">
      <c r="A1717" s="1" t="s">
        <v>6764</v>
      </c>
      <c r="B1717" s="7" t="s">
        <v>6765</v>
      </c>
      <c r="C1717" s="7" t="s">
        <v>6751</v>
      </c>
      <c r="D1717" s="7" t="s">
        <v>6766</v>
      </c>
      <c r="E1717" s="7" t="s">
        <v>6767</v>
      </c>
      <c r="F1717" s="7" t="str">
        <f>HYPERLINK("http://gestal2000.com/","gestal2000.com")</f>
        <v>gestal2000.com</v>
      </c>
    </row>
    <row r="1718" spans="1:6" ht="29.55" customHeight="1" x14ac:dyDescent="0.25">
      <c r="A1718" s="6" t="s">
        <v>6768</v>
      </c>
      <c r="B1718" s="5" t="s">
        <v>6769</v>
      </c>
      <c r="C1718" s="5" t="s">
        <v>6738</v>
      </c>
      <c r="D1718" s="5" t="s">
        <v>6743</v>
      </c>
      <c r="E1718" s="5" t="s">
        <v>6744</v>
      </c>
      <c r="F1718" s="5" t="str">
        <f>HYPERLINK("http://giannitessari.wine/","giannitessari.wine")</f>
        <v>giannitessari.wine</v>
      </c>
    </row>
    <row r="1719" spans="1:6" ht="43.05" customHeight="1" x14ac:dyDescent="0.25">
      <c r="A1719" s="1" t="s">
        <v>6770</v>
      </c>
      <c r="B1719" s="7" t="s">
        <v>6771</v>
      </c>
      <c r="C1719" s="7" t="s">
        <v>6772</v>
      </c>
      <c r="D1719" s="7" t="s">
        <v>6773</v>
      </c>
      <c r="E1719" s="7" t="s">
        <v>6767</v>
      </c>
      <c r="F1719" s="7" t="str">
        <f>HYPERLINK("http://villagrant.it/","villagrant.it")</f>
        <v>villagrant.it</v>
      </c>
    </row>
    <row r="1720" spans="1:6" ht="81.75" customHeight="1" x14ac:dyDescent="0.25">
      <c r="A1720" s="1" t="s">
        <v>6774</v>
      </c>
      <c r="B1720" s="7" t="s">
        <v>6775</v>
      </c>
      <c r="C1720" s="7" t="s">
        <v>6750</v>
      </c>
      <c r="D1720" s="7" t="s">
        <v>6776</v>
      </c>
      <c r="E1720" s="7" t="s">
        <v>6752</v>
      </c>
      <c r="F1720" s="7" t="str">
        <f>HYPERLINK("http://www.antoniotrionfihonorati.it/","www.antoniotrionfihonorati.it")</f>
        <v>www.antoniotrionfihonorati.it</v>
      </c>
    </row>
    <row r="1721" spans="1:6" ht="29.55" customHeight="1" x14ac:dyDescent="0.25">
      <c r="A1721" s="6" t="s">
        <v>6777</v>
      </c>
      <c r="B1721" s="5" t="s">
        <v>6778</v>
      </c>
      <c r="C1721" s="5" t="s">
        <v>6738</v>
      </c>
      <c r="D1721" s="5" t="s">
        <v>6779</v>
      </c>
      <c r="E1721" s="5" t="s">
        <v>6780</v>
      </c>
      <c r="F1721" s="5" t="str">
        <f>HYPERLINK("http://vitisinvulture.com/","vitisinvulture.com")</f>
        <v>vitisinvulture.com</v>
      </c>
    </row>
    <row r="1722" spans="1:6" ht="43.05" customHeight="1" x14ac:dyDescent="0.25">
      <c r="A1722" s="1" t="s">
        <v>6781</v>
      </c>
      <c r="B1722" s="7" t="s">
        <v>6782</v>
      </c>
      <c r="C1722" s="7" t="s">
        <v>6783</v>
      </c>
      <c r="D1722" s="7" t="s">
        <v>6784</v>
      </c>
      <c r="E1722" s="7" t="s">
        <v>6785</v>
      </c>
      <c r="F1722" s="7" t="str">
        <f>HYPERLINK("http://www.santantoniovaltaleggio.com/","www.santantoniovaltaleggio.com")</f>
        <v>www.santantoniovaltaleggio.com</v>
      </c>
    </row>
    <row r="1723" spans="1:6" ht="55.65" customHeight="1" x14ac:dyDescent="0.25">
      <c r="A1723" s="6" t="s">
        <v>6786</v>
      </c>
      <c r="B1723" s="5" t="s">
        <v>6787</v>
      </c>
      <c r="C1723" s="5" t="s">
        <v>6788</v>
      </c>
      <c r="D1723" s="5" t="s">
        <v>6789</v>
      </c>
      <c r="E1723" s="5" t="s">
        <v>6790</v>
      </c>
      <c r="F1723" s="5" t="str">
        <f>HYPERLINK("http://www.scal.it/","www.scal.it")</f>
        <v>www.scal.it</v>
      </c>
    </row>
    <row r="1724" spans="1:6" ht="43.05" customHeight="1" x14ac:dyDescent="0.25">
      <c r="A1724" s="1" t="s">
        <v>6791</v>
      </c>
      <c r="B1724" s="7" t="s">
        <v>6792</v>
      </c>
      <c r="C1724" s="7" t="s">
        <v>6793</v>
      </c>
      <c r="D1724" s="7" t="s">
        <v>6794</v>
      </c>
      <c r="E1724" s="7" t="s">
        <v>6795</v>
      </c>
      <c r="F1724" s="7" t="str">
        <f>HYPERLINK("http://nuovagricolagirasole.it/","nuovagricolagirasole.it")</f>
        <v>nuovagricolagirasole.it</v>
      </c>
    </row>
    <row r="1725" spans="1:6" ht="16.95" customHeight="1" x14ac:dyDescent="0.25">
      <c r="A1725" s="1" t="s">
        <v>6796</v>
      </c>
      <c r="B1725" s="7" t="s">
        <v>6797</v>
      </c>
      <c r="C1725" s="7" t="s">
        <v>6798</v>
      </c>
      <c r="D1725" s="7" t="s">
        <v>6799</v>
      </c>
      <c r="E1725" s="7" t="s">
        <v>6800</v>
      </c>
      <c r="F1725" s="7" t="str">
        <f>HYPERLINK("http://www.pianderna.it/","www.pianderna.it")</f>
        <v>www.pianderna.it</v>
      </c>
    </row>
    <row r="1726" spans="1:6" ht="16.95" customHeight="1" x14ac:dyDescent="0.25">
      <c r="A1726" s="6" t="s">
        <v>6801</v>
      </c>
      <c r="B1726" s="5" t="s">
        <v>6802</v>
      </c>
      <c r="C1726" s="5" t="s">
        <v>6803</v>
      </c>
      <c r="D1726" s="5" t="s">
        <v>6804</v>
      </c>
      <c r="E1726" s="5" t="s">
        <v>6805</v>
      </c>
      <c r="F1726" s="5" t="str">
        <f>HYPERLINK("http://www.facebook.com/pg/gardenplanpesaro","www.facebook.com/pg/gardenplanpesaro")</f>
        <v>www.facebook.com/pg/gardenplanpesaro</v>
      </c>
    </row>
    <row r="1727" spans="1:6" ht="29.55" customHeight="1" x14ac:dyDescent="0.25">
      <c r="A1727" s="1" t="s">
        <v>6806</v>
      </c>
      <c r="B1727" s="7" t="s">
        <v>6807</v>
      </c>
      <c r="C1727" s="7" t="s">
        <v>6798</v>
      </c>
      <c r="D1727" s="7" t="s">
        <v>6808</v>
      </c>
      <c r="E1727" s="7" t="s">
        <v>6809</v>
      </c>
      <c r="F1727" s="7" t="str">
        <f>HYPERLINK("http://www.valliunite.com/","www.valliunite.com")</f>
        <v>www.valliunite.com</v>
      </c>
    </row>
    <row r="1728" spans="1:6" ht="29.55" customHeight="1" x14ac:dyDescent="0.25">
      <c r="A1728" s="6" t="s">
        <v>6810</v>
      </c>
      <c r="B1728" s="5" t="s">
        <v>6811</v>
      </c>
      <c r="C1728" s="5" t="s">
        <v>6798</v>
      </c>
      <c r="D1728" s="5" t="s">
        <v>6812</v>
      </c>
      <c r="E1728" s="5" t="s">
        <v>6785</v>
      </c>
      <c r="F1728" s="5" t="str">
        <f>HYPERLINK("http://piandelmaggio.it/","piandelmaggio.it")</f>
        <v>piandelmaggio.it</v>
      </c>
    </row>
    <row r="1729" spans="1:6" ht="16.95" customHeight="1" x14ac:dyDescent="0.25">
      <c r="A1729" s="6" t="s">
        <v>6814</v>
      </c>
      <c r="B1729" s="5" t="s">
        <v>6815</v>
      </c>
      <c r="C1729" s="5" t="s">
        <v>6816</v>
      </c>
      <c r="D1729" s="5" t="s">
        <v>6817</v>
      </c>
      <c r="E1729" s="5" t="s">
        <v>6795</v>
      </c>
      <c r="F1729" s="5" t="str">
        <f>HYPERLINK("http://www.vialenicolasrl.it/","www.vialenicolasrl.it")</f>
        <v>www.vialenicolasrl.it</v>
      </c>
    </row>
    <row r="1730" spans="1:6" ht="29.55" customHeight="1" x14ac:dyDescent="0.25">
      <c r="A1730" s="6" t="s">
        <v>6818</v>
      </c>
      <c r="B1730" s="5" t="s">
        <v>6819</v>
      </c>
      <c r="C1730" s="5" t="s">
        <v>6820</v>
      </c>
      <c r="D1730" s="5" t="s">
        <v>6821</v>
      </c>
      <c r="E1730" s="5" t="s">
        <v>6822</v>
      </c>
      <c r="F1730" s="5" t="str">
        <f>HYPERLINK("http://aprolcampania.it/","aprolcampania.it")</f>
        <v>aprolcampania.it</v>
      </c>
    </row>
    <row r="1731" spans="1:6" ht="55.65" customHeight="1" x14ac:dyDescent="0.25">
      <c r="A1731" s="1" t="s">
        <v>6824</v>
      </c>
      <c r="B1731" s="7" t="s">
        <v>6825</v>
      </c>
      <c r="C1731" s="7" t="s">
        <v>6820</v>
      </c>
      <c r="D1731" s="7" t="s">
        <v>6826</v>
      </c>
      <c r="E1731" s="7" t="s">
        <v>6827</v>
      </c>
      <c r="F1731" s="7" t="str">
        <f>HYPERLINK("http://www.agriturismomandriesanpaolo.it/","www.agriturismomandriesanpaolo.it")</f>
        <v>www.agriturismomandriesanpaolo.it</v>
      </c>
    </row>
    <row r="1732" spans="1:6" ht="29.55" customHeight="1" x14ac:dyDescent="0.25">
      <c r="A1732" s="1" t="s">
        <v>6828</v>
      </c>
      <c r="B1732" s="7" t="s">
        <v>6829</v>
      </c>
      <c r="C1732" s="7" t="s">
        <v>6798</v>
      </c>
      <c r="D1732" s="7" t="s">
        <v>6812</v>
      </c>
      <c r="E1732" s="7" t="s">
        <v>6785</v>
      </c>
      <c r="F1732" s="7" t="str">
        <f>HYPERLINK("http://www.derbuscocives.com/","www.derbuscocives.com")</f>
        <v>www.derbuscocives.com</v>
      </c>
    </row>
    <row r="1733" spans="1:6" ht="29.55" customHeight="1" x14ac:dyDescent="0.25">
      <c r="A1733" s="6" t="s">
        <v>6830</v>
      </c>
      <c r="B1733" s="5" t="s">
        <v>6831</v>
      </c>
      <c r="C1733" s="5" t="s">
        <v>6813</v>
      </c>
      <c r="D1733" s="5" t="s">
        <v>6832</v>
      </c>
      <c r="E1733" s="5" t="s">
        <v>6805</v>
      </c>
      <c r="F1733" s="5" t="str">
        <f>HYPERLINK("http://panificiocooperativaalba.it/","panificiocooperativaalba.it")</f>
        <v>panificiocooperativaalba.it</v>
      </c>
    </row>
    <row r="1734" spans="1:6" ht="29.55" customHeight="1" x14ac:dyDescent="0.25">
      <c r="A1734" s="1" t="s">
        <v>6833</v>
      </c>
      <c r="B1734" s="7" t="s">
        <v>6834</v>
      </c>
      <c r="C1734" s="7" t="s">
        <v>6820</v>
      </c>
      <c r="D1734" s="7" t="s">
        <v>6835</v>
      </c>
      <c r="E1734" s="7" t="s">
        <v>6823</v>
      </c>
      <c r="F1734" s="7" t="str">
        <f>HYPERLINK("http://www.luisapantaleo.it/","www.luisapantaleo.it")</f>
        <v>www.luisapantaleo.it</v>
      </c>
    </row>
    <row r="1735" spans="1:6" ht="29.55" customHeight="1" x14ac:dyDescent="0.25">
      <c r="A1735" s="1" t="s">
        <v>6836</v>
      </c>
      <c r="B1735" s="7" t="s">
        <v>6837</v>
      </c>
      <c r="C1735" s="7" t="s">
        <v>6838</v>
      </c>
      <c r="D1735" s="7" t="s">
        <v>6839</v>
      </c>
      <c r="E1735" s="7" t="s">
        <v>6822</v>
      </c>
      <c r="F1735" s="7" t="str">
        <f>HYPERLINK("http://www.sgvivai.it/","www.sgvivai.it")</f>
        <v>www.sgvivai.it</v>
      </c>
    </row>
    <row r="1736" spans="1:6" ht="29.55" customHeight="1" x14ac:dyDescent="0.25">
      <c r="A1736" s="6" t="s">
        <v>6840</v>
      </c>
      <c r="B1736" s="5" t="s">
        <v>6841</v>
      </c>
      <c r="C1736" s="5" t="s">
        <v>6842</v>
      </c>
      <c r="D1736" s="5" t="s">
        <v>6843</v>
      </c>
      <c r="E1736" s="5" t="s">
        <v>6844</v>
      </c>
      <c r="F1736" s="5" t="str">
        <f>HYPERLINK("http://www.prnservice.it/","www.prnservice.it")</f>
        <v>www.prnservice.it</v>
      </c>
    </row>
    <row r="1737" spans="1:6" ht="29.55" customHeight="1" x14ac:dyDescent="0.25">
      <c r="A1737" s="1" t="s">
        <v>6845</v>
      </c>
      <c r="B1737" s="7" t="s">
        <v>6846</v>
      </c>
      <c r="C1737" s="7" t="s">
        <v>6847</v>
      </c>
      <c r="D1737" s="7" t="s">
        <v>6848</v>
      </c>
      <c r="E1737" s="7" t="s">
        <v>6849</v>
      </c>
      <c r="F1737" s="7" t="str">
        <f>HYPERLINK("http://www.annabelleagriresort.it/","www.annabelleagriresort.it")</f>
        <v>www.annabelleagriresort.it</v>
      </c>
    </row>
    <row r="1738" spans="1:6" ht="81.75" customHeight="1" x14ac:dyDescent="0.25">
      <c r="A1738" s="1" t="s">
        <v>6854</v>
      </c>
      <c r="B1738" s="7" t="s">
        <v>6855</v>
      </c>
      <c r="C1738" s="7" t="s">
        <v>6856</v>
      </c>
      <c r="D1738" s="7" t="s">
        <v>6850</v>
      </c>
      <c r="E1738" s="7" t="s">
        <v>6851</v>
      </c>
      <c r="F1738" s="7" t="str">
        <f>HYPERLINK("http://www.i-mori.it/","www.i-mori.it")</f>
        <v>www.i-mori.it</v>
      </c>
    </row>
    <row r="1739" spans="1:6" ht="29.55" customHeight="1" x14ac:dyDescent="0.25">
      <c r="A1739" s="6" t="s">
        <v>6860</v>
      </c>
      <c r="B1739" s="5" t="s">
        <v>6861</v>
      </c>
      <c r="C1739" s="5" t="s">
        <v>6862</v>
      </c>
      <c r="D1739" s="5" t="s">
        <v>6857</v>
      </c>
      <c r="E1739" s="5" t="s">
        <v>6858</v>
      </c>
      <c r="F1739" s="5" t="str">
        <f>HYPERLINK("http://arborea.bo.it/","arborea.bo.it")</f>
        <v>arborea.bo.it</v>
      </c>
    </row>
    <row r="1740" spans="1:6" ht="29.55" customHeight="1" x14ac:dyDescent="0.25">
      <c r="A1740" s="6" t="s">
        <v>6863</v>
      </c>
      <c r="B1740" s="5" t="s">
        <v>6864</v>
      </c>
      <c r="C1740" s="5" t="s">
        <v>6865</v>
      </c>
      <c r="D1740" s="5" t="s">
        <v>6866</v>
      </c>
      <c r="E1740" s="5" t="s">
        <v>6852</v>
      </c>
      <c r="F1740" s="5" t="str">
        <f>HYPERLINK("http://www.fattoriagaggio.it/","www.fattoriagaggio.it")</f>
        <v>www.fattoriagaggio.it</v>
      </c>
    </row>
    <row r="1741" spans="1:6" ht="29.55" customHeight="1" x14ac:dyDescent="0.25">
      <c r="A1741" s="1" t="s">
        <v>6867</v>
      </c>
      <c r="B1741" s="7" t="s">
        <v>6868</v>
      </c>
      <c r="C1741" s="7" t="s">
        <v>6869</v>
      </c>
      <c r="D1741" s="7" t="s">
        <v>6870</v>
      </c>
      <c r="E1741" s="7" t="s">
        <v>6871</v>
      </c>
      <c r="F1741" s="7" t="str">
        <f>HYPERLINK("http://www.buonoenergia.com/","www.buonoenergia.com")</f>
        <v>www.buonoenergia.com</v>
      </c>
    </row>
    <row r="1742" spans="1:6" ht="43.05" customHeight="1" x14ac:dyDescent="0.25">
      <c r="A1742" s="1" t="s">
        <v>6872</v>
      </c>
      <c r="B1742" s="7" t="s">
        <v>6873</v>
      </c>
      <c r="C1742" s="7" t="s">
        <v>6874</v>
      </c>
      <c r="D1742" s="7" t="s">
        <v>6857</v>
      </c>
      <c r="E1742" s="7" t="s">
        <v>6858</v>
      </c>
      <c r="F1742" s="7" t="str">
        <f>HYPERLINK("http://www.stallasantalucia-bortolani.it/","www.stallasantalucia-bortolani.it")</f>
        <v>www.stallasantalucia-bortolani.it</v>
      </c>
    </row>
    <row r="1743" spans="1:6" ht="43.05" customHeight="1" x14ac:dyDescent="0.25">
      <c r="A1743" s="1" t="s">
        <v>6875</v>
      </c>
      <c r="B1743" s="7" t="s">
        <v>6876</v>
      </c>
      <c r="C1743" s="7" t="s">
        <v>6856</v>
      </c>
      <c r="D1743" s="7" t="s">
        <v>6877</v>
      </c>
      <c r="E1743" s="7" t="s">
        <v>6851</v>
      </c>
      <c r="F1743" s="7" t="str">
        <f>HYPERLINK("http://www.tenutalachiusa.it/","www.tenutalachiusa.it")</f>
        <v>www.tenutalachiusa.it</v>
      </c>
    </row>
    <row r="1744" spans="1:6" ht="29.55" customHeight="1" x14ac:dyDescent="0.25">
      <c r="A1744" s="1" t="s">
        <v>6878</v>
      </c>
      <c r="B1744" s="7" t="s">
        <v>6879</v>
      </c>
      <c r="C1744" s="7" t="s">
        <v>6856</v>
      </c>
      <c r="D1744" s="7" t="s">
        <v>6880</v>
      </c>
      <c r="E1744" s="7" t="s">
        <v>6851</v>
      </c>
      <c r="F1744" s="7" t="str">
        <f>HYPERLINK("http://deglidei.it/","deglidei.it")</f>
        <v>deglidei.it</v>
      </c>
    </row>
    <row r="1745" spans="1:6" ht="29.55" customHeight="1" x14ac:dyDescent="0.25">
      <c r="A1745" s="6" t="s">
        <v>6881</v>
      </c>
      <c r="B1745" s="5" t="s">
        <v>6882</v>
      </c>
      <c r="C1745" s="5" t="s">
        <v>6883</v>
      </c>
      <c r="D1745" s="5" t="s">
        <v>6884</v>
      </c>
      <c r="E1745" s="5" t="s">
        <v>6885</v>
      </c>
      <c r="F1745" s="5" t="str">
        <f>HYPERLINK("http://www.gastaldi.biz/","www.gastaldi.biz")</f>
        <v>www.gastaldi.biz</v>
      </c>
    </row>
    <row r="1746" spans="1:6" ht="55.65" customHeight="1" x14ac:dyDescent="0.25">
      <c r="A1746" s="1" t="s">
        <v>6886</v>
      </c>
      <c r="B1746" s="7" t="s">
        <v>6887</v>
      </c>
      <c r="C1746" s="7" t="s">
        <v>6888</v>
      </c>
      <c r="D1746" s="7" t="s">
        <v>6889</v>
      </c>
      <c r="E1746" s="7" t="s">
        <v>6871</v>
      </c>
      <c r="F1746" s="7" t="str">
        <f>HYPERLINK("http://www.agricolapisciotta.it/","http://www.agricolapisciotta.it")</f>
        <v>http://www.agricolapisciotta.it</v>
      </c>
    </row>
    <row r="1747" spans="1:6" ht="43.05" customHeight="1" x14ac:dyDescent="0.25">
      <c r="A1747" s="6" t="s">
        <v>6890</v>
      </c>
      <c r="B1747" s="5" t="s">
        <v>6891</v>
      </c>
      <c r="C1747" s="5" t="s">
        <v>6856</v>
      </c>
      <c r="D1747" s="5" t="s">
        <v>6853</v>
      </c>
      <c r="E1747" s="5" t="s">
        <v>6852</v>
      </c>
      <c r="F1747" s="5" t="str">
        <f>HYPERLINK("http://www.monziocompagnoni.org/","www.monziocompagnoni.org")</f>
        <v>www.monziocompagnoni.org</v>
      </c>
    </row>
    <row r="1748" spans="1:6" ht="29.55" customHeight="1" x14ac:dyDescent="0.25">
      <c r="A1748" s="6" t="s">
        <v>6892</v>
      </c>
      <c r="B1748" s="5" t="s">
        <v>6893</v>
      </c>
      <c r="C1748" s="5" t="s">
        <v>6842</v>
      </c>
      <c r="D1748" s="5" t="s">
        <v>6894</v>
      </c>
      <c r="E1748" s="5" t="s">
        <v>6849</v>
      </c>
      <c r="F1748" s="5" t="str">
        <f>HYPERLINK("http://it.iqos.com/","it.iqos.com")</f>
        <v>it.iqos.com</v>
      </c>
    </row>
    <row r="1749" spans="1:6" ht="43.05" customHeight="1" x14ac:dyDescent="0.25">
      <c r="A1749" s="6" t="s">
        <v>6895</v>
      </c>
      <c r="B1749" s="5" t="s">
        <v>6896</v>
      </c>
      <c r="C1749" s="5" t="s">
        <v>6897</v>
      </c>
      <c r="D1749" s="5" t="s">
        <v>6898</v>
      </c>
      <c r="E1749" s="5" t="s">
        <v>6859</v>
      </c>
      <c r="F1749" s="5" t="str">
        <f>HYPERLINK("http://www.cvto.it/","www.cvto.it")</f>
        <v>www.cvto.it</v>
      </c>
    </row>
    <row r="1750" spans="1:6" ht="43.05" customHeight="1" x14ac:dyDescent="0.25">
      <c r="A1750" s="1" t="s">
        <v>6899</v>
      </c>
      <c r="B1750" s="7" t="s">
        <v>6900</v>
      </c>
      <c r="C1750" s="7" t="s">
        <v>6901</v>
      </c>
      <c r="D1750" s="7" t="s">
        <v>6902</v>
      </c>
      <c r="E1750" s="7" t="s">
        <v>6903</v>
      </c>
      <c r="F1750" s="7" t="str">
        <f>HYPERLINK("http://www.ortofloricolasantantonio.it/","www.ortofloricolasantantonio.it")</f>
        <v>www.ortofloricolasantantonio.it</v>
      </c>
    </row>
    <row r="1751" spans="1:6" ht="16.95" customHeight="1" x14ac:dyDescent="0.25">
      <c r="A1751" s="1" t="s">
        <v>6904</v>
      </c>
      <c r="B1751" s="7" t="s">
        <v>6905</v>
      </c>
      <c r="C1751" s="7" t="s">
        <v>6906</v>
      </c>
      <c r="D1751" s="7" t="s">
        <v>6907</v>
      </c>
      <c r="E1751" s="7" t="s">
        <v>6908</v>
      </c>
      <c r="F1751" s="7" t="str">
        <f>HYPERLINK("http://www.artemide.org/","www.artemide.org")</f>
        <v>www.artemide.org</v>
      </c>
    </row>
    <row r="1752" spans="1:6" ht="43.05" customHeight="1" x14ac:dyDescent="0.25">
      <c r="A1752" s="1" t="s">
        <v>6909</v>
      </c>
      <c r="B1752" s="7" t="s">
        <v>6910</v>
      </c>
      <c r="C1752" s="7" t="s">
        <v>6911</v>
      </c>
      <c r="D1752" s="7" t="s">
        <v>6912</v>
      </c>
      <c r="E1752" s="7" t="s">
        <v>6913</v>
      </c>
      <c r="F1752" s="7" t="str">
        <f>HYPERLINK("http://www.funtamara.it/","www.funtamara.it")</f>
        <v>www.funtamara.it</v>
      </c>
    </row>
    <row r="1753" spans="1:6" ht="29.55" customHeight="1" x14ac:dyDescent="0.25">
      <c r="A1753" s="6" t="s">
        <v>6914</v>
      </c>
      <c r="B1753" s="5" t="s">
        <v>6915</v>
      </c>
      <c r="C1753" s="5" t="s">
        <v>6916</v>
      </c>
      <c r="D1753" s="5" t="s">
        <v>6917</v>
      </c>
      <c r="E1753" s="5" t="s">
        <v>6908</v>
      </c>
      <c r="F1753" s="5" t="str">
        <f>HYPERLINK("http://www.lavegliese.it/","www.lavegliese.it")</f>
        <v>www.lavegliese.it</v>
      </c>
    </row>
    <row r="1754" spans="1:6" ht="43.05" customHeight="1" x14ac:dyDescent="0.25">
      <c r="A1754" s="6" t="s">
        <v>6923</v>
      </c>
      <c r="B1754" s="5" t="s">
        <v>6924</v>
      </c>
      <c r="C1754" s="5" t="s">
        <v>6911</v>
      </c>
      <c r="D1754" s="5" t="s">
        <v>6907</v>
      </c>
      <c r="E1754" s="5" t="s">
        <v>6908</v>
      </c>
      <c r="F1754" s="5" t="str">
        <f>HYPERLINK("http://www.cooperativamadonnadelrosario.it/","www.cooperativamadonnadelrosario.it")</f>
        <v>www.cooperativamadonnadelrosario.it</v>
      </c>
    </row>
    <row r="1755" spans="1:6" ht="43.05" customHeight="1" x14ac:dyDescent="0.25">
      <c r="A1755" s="6" t="s">
        <v>6925</v>
      </c>
      <c r="B1755" s="5" t="s">
        <v>6926</v>
      </c>
      <c r="C1755" s="5" t="s">
        <v>6918</v>
      </c>
      <c r="D1755" s="5" t="s">
        <v>6927</v>
      </c>
      <c r="E1755" s="5" t="s">
        <v>6922</v>
      </c>
      <c r="F1755" s="5" t="str">
        <f>HYPERLINK("http://www.nuovabeleo.com/","www.nuovabeleo.com")</f>
        <v>www.nuovabeleo.com</v>
      </c>
    </row>
    <row r="1756" spans="1:6" ht="29.55" customHeight="1" x14ac:dyDescent="0.25">
      <c r="A1756" s="6" t="s">
        <v>6928</v>
      </c>
      <c r="B1756" s="5" t="s">
        <v>6929</v>
      </c>
      <c r="C1756" s="5" t="s">
        <v>6930</v>
      </c>
      <c r="D1756" s="5" t="s">
        <v>6931</v>
      </c>
      <c r="E1756" s="5" t="s">
        <v>6919</v>
      </c>
      <c r="F1756" s="5" t="str">
        <f>HYPERLINK("http://osteopatia.poderelagave.com/","osteopatia.poderelagave.com")</f>
        <v>osteopatia.poderelagave.com</v>
      </c>
    </row>
    <row r="1757" spans="1:6" ht="16.95" customHeight="1" x14ac:dyDescent="0.25">
      <c r="A1757" s="1" t="s">
        <v>6933</v>
      </c>
      <c r="B1757" s="7" t="s">
        <v>6934</v>
      </c>
      <c r="C1757" s="7" t="s">
        <v>6916</v>
      </c>
      <c r="D1757" s="7" t="s">
        <v>6935</v>
      </c>
      <c r="E1757" s="7" t="s">
        <v>6908</v>
      </c>
      <c r="F1757" s="7" t="str">
        <f>HYPERLINK("http://www.avicoladelsole.it/","www.avicoladelsole.it")</f>
        <v>www.avicoladelsole.it</v>
      </c>
    </row>
    <row r="1758" spans="1:6" ht="43.05" customHeight="1" x14ac:dyDescent="0.25">
      <c r="A1758" s="6" t="s">
        <v>6936</v>
      </c>
      <c r="B1758" s="5" t="s">
        <v>6937</v>
      </c>
      <c r="C1758" s="5" t="s">
        <v>6932</v>
      </c>
      <c r="D1758" s="5" t="s">
        <v>6920</v>
      </c>
      <c r="E1758" s="5" t="s">
        <v>6921</v>
      </c>
      <c r="F1758" s="5" t="str">
        <f>HYPERLINK("http://www.vallantica.com/","www.vallantica.com")</f>
        <v>www.vallantica.com</v>
      </c>
    </row>
    <row r="1759" spans="1:6" ht="29.55" customHeight="1" x14ac:dyDescent="0.25">
      <c r="A1759" s="1" t="s">
        <v>6938</v>
      </c>
      <c r="B1759" s="7" t="s">
        <v>6939</v>
      </c>
      <c r="C1759" s="7" t="s">
        <v>6940</v>
      </c>
      <c r="D1759" s="7" t="s">
        <v>6931</v>
      </c>
      <c r="E1759" s="7" t="s">
        <v>6919</v>
      </c>
      <c r="F1759" s="7" t="str">
        <f>HYPERLINK("http://www.agriturismolagalizia.com/","www.agriturismolagalizia.com")</f>
        <v>www.agriturismolagalizia.com</v>
      </c>
    </row>
    <row r="1760" spans="1:6" ht="29.55" customHeight="1" x14ac:dyDescent="0.25">
      <c r="A1760" s="6" t="s">
        <v>6941</v>
      </c>
      <c r="B1760" s="5" t="s">
        <v>6942</v>
      </c>
      <c r="C1760" s="5" t="s">
        <v>6943</v>
      </c>
      <c r="D1760" s="5" t="s">
        <v>6944</v>
      </c>
      <c r="E1760" s="5" t="s">
        <v>6921</v>
      </c>
      <c r="F1760" s="5" t="str">
        <f>HYPERLINK("http://www.santisidoro.net/","www.santisidoro.net")</f>
        <v>www.santisidoro.net</v>
      </c>
    </row>
    <row r="1761" spans="1:6" ht="68.099999999999994" customHeight="1" x14ac:dyDescent="0.25">
      <c r="A1761" s="6" t="s">
        <v>6945</v>
      </c>
      <c r="B1761" s="5" t="s">
        <v>6946</v>
      </c>
      <c r="C1761" s="5" t="s">
        <v>6947</v>
      </c>
      <c r="D1761" s="5" t="s">
        <v>6948</v>
      </c>
      <c r="E1761" s="5" t="s">
        <v>6949</v>
      </c>
      <c r="F1761" s="5" t="str">
        <f>HYPERLINK("http://www.mila.it/","www.mila.it/")</f>
        <v>www.mila.it/</v>
      </c>
    </row>
    <row r="1762" spans="1:6" ht="29.55" customHeight="1" x14ac:dyDescent="0.25">
      <c r="A1762" s="1" t="s">
        <v>6952</v>
      </c>
      <c r="B1762" s="7" t="s">
        <v>6953</v>
      </c>
      <c r="C1762" s="7" t="s">
        <v>6954</v>
      </c>
      <c r="D1762" s="7" t="s">
        <v>6955</v>
      </c>
      <c r="E1762" s="7" t="s">
        <v>6956</v>
      </c>
      <c r="F1762" s="7" t="str">
        <f>HYPERLINK("http://www.borghidelleremo.it/","www.borghidelleremo.it")</f>
        <v>www.borghidelleremo.it</v>
      </c>
    </row>
    <row r="1763" spans="1:6" ht="43.05" customHeight="1" x14ac:dyDescent="0.25">
      <c r="A1763" s="6" t="s">
        <v>6957</v>
      </c>
      <c r="B1763" s="5" t="s">
        <v>6958</v>
      </c>
      <c r="C1763" s="5" t="s">
        <v>6959</v>
      </c>
      <c r="D1763" s="5" t="s">
        <v>6960</v>
      </c>
      <c r="E1763" s="5" t="s">
        <v>6961</v>
      </c>
      <c r="F1763" s="5" t="str">
        <f>HYPERLINK("http://www.fileniallevamenti.it/","www.fileniallevamenti.it")</f>
        <v>www.fileniallevamenti.it</v>
      </c>
    </row>
    <row r="1764" spans="1:6" ht="29.55" customHeight="1" x14ac:dyDescent="0.25">
      <c r="A1764" s="1" t="s">
        <v>6962</v>
      </c>
      <c r="B1764" s="7" t="s">
        <v>6963</v>
      </c>
      <c r="C1764" s="7" t="s">
        <v>6964</v>
      </c>
      <c r="D1764" s="7" t="s">
        <v>6965</v>
      </c>
      <c r="E1764" s="7" t="s">
        <v>6966</v>
      </c>
      <c r="F1764" s="7" t="str">
        <f>HYPERLINK("http://www.roncocalino.it/","www.roncocalino.it")</f>
        <v>www.roncocalino.it</v>
      </c>
    </row>
    <row r="1765" spans="1:6" ht="29.55" customHeight="1" x14ac:dyDescent="0.25">
      <c r="A1765" s="6" t="s">
        <v>6967</v>
      </c>
      <c r="B1765" s="5" t="s">
        <v>6968</v>
      </c>
      <c r="C1765" s="5" t="s">
        <v>6969</v>
      </c>
      <c r="D1765" s="5" t="s">
        <v>6970</v>
      </c>
      <c r="E1765" s="5" t="s">
        <v>6971</v>
      </c>
      <c r="F1765" s="5" t="str">
        <f>HYPERLINK("http://www.agricolavittorio.it/","www.agricolavittorio.it")</f>
        <v>www.agricolavittorio.it</v>
      </c>
    </row>
    <row r="1766" spans="1:6" ht="43.05" customHeight="1" x14ac:dyDescent="0.25">
      <c r="A1766" s="1" t="s">
        <v>6972</v>
      </c>
      <c r="B1766" s="7" t="s">
        <v>6973</v>
      </c>
      <c r="C1766" s="7" t="s">
        <v>6964</v>
      </c>
      <c r="D1766" s="7" t="s">
        <v>6974</v>
      </c>
      <c r="E1766" s="7" t="s">
        <v>6975</v>
      </c>
      <c r="F1766" s="7" t="str">
        <f>HYPERLINK("http://www.santappiano.it/","www.santappiano.it")</f>
        <v>www.santappiano.it</v>
      </c>
    </row>
    <row r="1767" spans="1:6" ht="43.05" customHeight="1" x14ac:dyDescent="0.25">
      <c r="A1767" s="6" t="s">
        <v>6978</v>
      </c>
      <c r="B1767" s="5" t="s">
        <v>6979</v>
      </c>
      <c r="C1767" s="5" t="s">
        <v>6980</v>
      </c>
      <c r="D1767" s="5" t="s">
        <v>6981</v>
      </c>
      <c r="E1767" s="5" t="s">
        <v>6950</v>
      </c>
      <c r="F1767" s="5" t="str">
        <f>HYPERLINK("http://www.regus.com/it-it/italy/casalecchio-di-reno/centro-direzionale-la-meridiana-4387","www.regus.com/it-it/italy/casalecchio-di-reno/centro-direzionale-la-meridiana-4387")</f>
        <v>www.regus.com/it-it/italy/casalecchio-di-reno/centro-direzionale-la-meridiana-4387</v>
      </c>
    </row>
    <row r="1768" spans="1:6" ht="43.05" customHeight="1" x14ac:dyDescent="0.25">
      <c r="A1768" s="6" t="s">
        <v>6982</v>
      </c>
      <c r="B1768" s="5" t="s">
        <v>6983</v>
      </c>
      <c r="C1768" s="5" t="s">
        <v>6984</v>
      </c>
      <c r="D1768" s="5" t="s">
        <v>6985</v>
      </c>
      <c r="E1768" s="5" t="s">
        <v>6986</v>
      </c>
      <c r="F1768" s="5" t="str">
        <f>HYPERLINK("http://opperbacco.it/","opperbacco.it")</f>
        <v>opperbacco.it</v>
      </c>
    </row>
    <row r="1769" spans="1:6" ht="29.55" customHeight="1" x14ac:dyDescent="0.25">
      <c r="A1769" s="6" t="s">
        <v>6987</v>
      </c>
      <c r="B1769" s="5" t="s">
        <v>6988</v>
      </c>
      <c r="C1769" s="5" t="s">
        <v>6964</v>
      </c>
      <c r="D1769" s="5" t="s">
        <v>6989</v>
      </c>
      <c r="E1769" s="5" t="s">
        <v>6971</v>
      </c>
      <c r="F1769" s="5" t="str">
        <f>HYPERLINK("http://www.franchinifarm.com/","www.franchinifarm.com")</f>
        <v>www.franchinifarm.com</v>
      </c>
    </row>
    <row r="1770" spans="1:6" ht="29.55" customHeight="1" x14ac:dyDescent="0.25">
      <c r="A1770" s="1" t="s">
        <v>6990</v>
      </c>
      <c r="B1770" s="7" t="s">
        <v>6991</v>
      </c>
      <c r="C1770" s="7" t="s">
        <v>6977</v>
      </c>
      <c r="D1770" s="7" t="s">
        <v>6992</v>
      </c>
      <c r="E1770" s="7" t="s">
        <v>6951</v>
      </c>
      <c r="F1770" s="7" t="str">
        <f>HYPERLINK("http://www.farao.it/","www.farao.it")</f>
        <v>www.farao.it</v>
      </c>
    </row>
    <row r="1771" spans="1:6" ht="29.55" customHeight="1" x14ac:dyDescent="0.25">
      <c r="A1771" s="6" t="s">
        <v>6993</v>
      </c>
      <c r="B1771" s="5" t="s">
        <v>6994</v>
      </c>
      <c r="C1771" s="5" t="s">
        <v>6977</v>
      </c>
      <c r="D1771" s="5" t="s">
        <v>6995</v>
      </c>
      <c r="E1771" s="5" t="s">
        <v>6976</v>
      </c>
      <c r="F1771" s="5" t="str">
        <f>HYPERLINK("http://www.contipianterieti.com/","www.contipianterieti.com")</f>
        <v>www.contipianterieti.com</v>
      </c>
    </row>
    <row r="1772" spans="1:6" ht="68.099999999999994" customHeight="1" x14ac:dyDescent="0.25">
      <c r="A1772" s="1" t="s">
        <v>6996</v>
      </c>
      <c r="B1772" s="7" t="s">
        <v>6997</v>
      </c>
      <c r="C1772" s="7" t="s">
        <v>6964</v>
      </c>
      <c r="D1772" s="7" t="s">
        <v>6998</v>
      </c>
      <c r="E1772" s="7" t="s">
        <v>6951</v>
      </c>
      <c r="F1772" s="7" t="str">
        <f>HYPERLINK("http://viticoltorideltaburno.it/","viticoltorideltaburno.it")</f>
        <v>viticoltorideltaburno.it</v>
      </c>
    </row>
    <row r="1773" spans="1:6" ht="16.95" customHeight="1" x14ac:dyDescent="0.25">
      <c r="A1773" s="6" t="s">
        <v>6999</v>
      </c>
      <c r="B1773" s="5" t="s">
        <v>7000</v>
      </c>
      <c r="C1773" s="5" t="s">
        <v>6980</v>
      </c>
      <c r="D1773" s="5" t="s">
        <v>7001</v>
      </c>
      <c r="E1773" s="5" t="s">
        <v>7002</v>
      </c>
      <c r="F1773" s="5" t="str">
        <f>HYPERLINK("http://www.pojer.it/","www.pojer.it")</f>
        <v>www.pojer.it</v>
      </c>
    </row>
    <row r="1774" spans="1:6" ht="29.55" customHeight="1" x14ac:dyDescent="0.25">
      <c r="A1774" s="1" t="s">
        <v>7003</v>
      </c>
      <c r="B1774" s="7" t="s">
        <v>7004</v>
      </c>
      <c r="C1774" s="7" t="s">
        <v>7005</v>
      </c>
      <c r="D1774" s="7" t="s">
        <v>7006</v>
      </c>
      <c r="E1774" s="7" t="s">
        <v>7007</v>
      </c>
      <c r="F1774" s="7" t="str">
        <f>HYPERLINK("http://www.sibarina.it/","www.sibarina.it")</f>
        <v>www.sibarina.it</v>
      </c>
    </row>
    <row r="1775" spans="1:6" ht="29.55" customHeight="1" x14ac:dyDescent="0.25">
      <c r="A1775" s="6" t="s">
        <v>7008</v>
      </c>
      <c r="B1775" s="5" t="s">
        <v>7009</v>
      </c>
      <c r="C1775" s="5" t="s">
        <v>6964</v>
      </c>
      <c r="D1775" s="5" t="s">
        <v>6965</v>
      </c>
      <c r="E1775" s="5" t="s">
        <v>6966</v>
      </c>
      <c r="F1775" s="5" t="str">
        <f>HYPERLINK("http://chiarazani.it/","chiarazani.it")</f>
        <v>chiarazani.it</v>
      </c>
    </row>
    <row r="1776" spans="1:6" ht="16.95" customHeight="1" x14ac:dyDescent="0.25">
      <c r="A1776" s="6" t="s">
        <v>7010</v>
      </c>
      <c r="B1776" s="5" t="s">
        <v>7011</v>
      </c>
      <c r="C1776" s="5" t="s">
        <v>7012</v>
      </c>
      <c r="D1776" s="5" t="s">
        <v>7013</v>
      </c>
      <c r="E1776" s="5" t="s">
        <v>7014</v>
      </c>
      <c r="F1776" s="5" t="str">
        <f>HYPERLINK("http://www.villazagarasorrento.com/","www.villazagarasorrento.com")</f>
        <v>www.villazagarasorrento.com</v>
      </c>
    </row>
    <row r="1777" spans="1:6" ht="29.55" customHeight="1" x14ac:dyDescent="0.25">
      <c r="A1777" s="1" t="s">
        <v>7019</v>
      </c>
      <c r="B1777" s="7" t="s">
        <v>7020</v>
      </c>
      <c r="C1777" s="7" t="s">
        <v>7012</v>
      </c>
      <c r="D1777" s="7" t="s">
        <v>7021</v>
      </c>
      <c r="E1777" s="7" t="s">
        <v>7016</v>
      </c>
      <c r="F1777" s="7" t="str">
        <f>HYPERLINK("http://www.masseriadonluigi.it/","www.masseriadonluigi.it")</f>
        <v>www.masseriadonluigi.it</v>
      </c>
    </row>
    <row r="1778" spans="1:6" ht="29.55" customHeight="1" x14ac:dyDescent="0.25">
      <c r="A1778" s="6" t="s">
        <v>7022</v>
      </c>
      <c r="B1778" s="5" t="s">
        <v>7023</v>
      </c>
      <c r="C1778" s="5" t="s">
        <v>7024</v>
      </c>
      <c r="D1778" s="5" t="s">
        <v>7025</v>
      </c>
      <c r="E1778" s="5" t="s">
        <v>7026</v>
      </c>
      <c r="F1778" s="5" t="str">
        <f>HYPERLINK("http://www.villacurinaresort.com/","www.villacurinaresort.com")</f>
        <v>www.villacurinaresort.com</v>
      </c>
    </row>
    <row r="1779" spans="1:6" ht="16.95" customHeight="1" x14ac:dyDescent="0.25">
      <c r="A1779" s="1" t="s">
        <v>7027</v>
      </c>
      <c r="B1779" s="7" t="s">
        <v>7028</v>
      </c>
      <c r="C1779" s="7" t="s">
        <v>7029</v>
      </c>
      <c r="D1779" s="7" t="s">
        <v>7030</v>
      </c>
      <c r="E1779" s="7" t="s">
        <v>7031</v>
      </c>
      <c r="F1779" s="7" t="str">
        <f>HYPERLINK("http://www.southernseed.it/","www.southernseed.it")</f>
        <v>www.southernseed.it</v>
      </c>
    </row>
    <row r="1780" spans="1:6" ht="29.55" customHeight="1" x14ac:dyDescent="0.25">
      <c r="A1780" s="1" t="s">
        <v>7033</v>
      </c>
      <c r="B1780" s="7" t="s">
        <v>7034</v>
      </c>
      <c r="C1780" s="7" t="s">
        <v>7035</v>
      </c>
      <c r="D1780" s="7" t="s">
        <v>7013</v>
      </c>
      <c r="E1780" s="7" t="s">
        <v>7014</v>
      </c>
      <c r="F1780" s="7" t="str">
        <f>HYPERLINK("http://www.storiearomatiche.it/","www.storiearomatiche.it")</f>
        <v>www.storiearomatiche.it</v>
      </c>
    </row>
    <row r="1781" spans="1:6" ht="68.099999999999994" customHeight="1" x14ac:dyDescent="0.25">
      <c r="A1781" s="6" t="s">
        <v>7036</v>
      </c>
      <c r="B1781" s="5" t="s">
        <v>7037</v>
      </c>
      <c r="C1781" s="5" t="s">
        <v>7038</v>
      </c>
      <c r="D1781" s="5" t="s">
        <v>7039</v>
      </c>
      <c r="E1781" s="5" t="s">
        <v>7031</v>
      </c>
      <c r="F1781" s="5" t="str">
        <f>HYPERLINK("http://www.bagliodiar.com/","www.bagliodiar.com")</f>
        <v>www.bagliodiar.com</v>
      </c>
    </row>
    <row r="1782" spans="1:6" ht="29.55" customHeight="1" x14ac:dyDescent="0.25">
      <c r="A1782" s="1" t="s">
        <v>7040</v>
      </c>
      <c r="B1782" s="7" t="s">
        <v>7041</v>
      </c>
      <c r="C1782" s="7" t="s">
        <v>7042</v>
      </c>
      <c r="D1782" s="7" t="s">
        <v>7043</v>
      </c>
      <c r="E1782" s="7" t="s">
        <v>7044</v>
      </c>
      <c r="F1782" s="7" t="str">
        <f>HYPERLINK("http://www.scarpariagrumi.it/","www.scarpariagrumi.it")</f>
        <v>www.scarpariagrumi.it</v>
      </c>
    </row>
    <row r="1783" spans="1:6" ht="43.05" customHeight="1" x14ac:dyDescent="0.25">
      <c r="A1783" s="6" t="s">
        <v>7045</v>
      </c>
      <c r="B1783" s="5" t="s">
        <v>7046</v>
      </c>
      <c r="C1783" s="5" t="s">
        <v>7038</v>
      </c>
      <c r="D1783" s="5" t="s">
        <v>7025</v>
      </c>
      <c r="E1783" s="5" t="s">
        <v>7026</v>
      </c>
      <c r="F1783" s="5" t="str">
        <f>HYPERLINK("http://www.terredinano.com/","www.terredinano.com")</f>
        <v>www.terredinano.com</v>
      </c>
    </row>
    <row r="1784" spans="1:6" ht="29.55" customHeight="1" x14ac:dyDescent="0.25">
      <c r="A1784" s="1" t="s">
        <v>7047</v>
      </c>
      <c r="B1784" s="7" t="s">
        <v>7048</v>
      </c>
      <c r="C1784" s="7" t="s">
        <v>7049</v>
      </c>
      <c r="D1784" s="7" t="s">
        <v>7050</v>
      </c>
      <c r="E1784" s="7" t="s">
        <v>7051</v>
      </c>
      <c r="F1784" s="7" t="str">
        <f>HYPERLINK("http://www.fattoriadimonticello.it/","www.fattoriadimonticello.it")</f>
        <v>www.fattoriadimonticello.it</v>
      </c>
    </row>
    <row r="1785" spans="1:6" ht="29.55" customHeight="1" x14ac:dyDescent="0.25">
      <c r="A1785" s="6" t="s">
        <v>7052</v>
      </c>
      <c r="B1785" s="5" t="s">
        <v>7053</v>
      </c>
      <c r="C1785" s="5" t="s">
        <v>7038</v>
      </c>
      <c r="D1785" s="5" t="s">
        <v>7030</v>
      </c>
      <c r="E1785" s="5" t="s">
        <v>7031</v>
      </c>
      <c r="F1785" s="5" t="str">
        <f>HYPERLINK("http://shop.cantinahorus.com/","shop.cantinahorus.com")</f>
        <v>shop.cantinahorus.com</v>
      </c>
    </row>
    <row r="1786" spans="1:6" ht="29.55" customHeight="1" x14ac:dyDescent="0.25">
      <c r="A1786" s="1" t="s">
        <v>7054</v>
      </c>
      <c r="B1786" s="7" t="s">
        <v>7055</v>
      </c>
      <c r="C1786" s="7" t="s">
        <v>7038</v>
      </c>
      <c r="D1786" s="7" t="s">
        <v>7056</v>
      </c>
      <c r="E1786" s="7" t="s">
        <v>7057</v>
      </c>
      <c r="F1786" s="7" t="str">
        <f>HYPERLINK("http://ortodialberico.it/","ortodialberico.it")</f>
        <v>ortodialberico.it</v>
      </c>
    </row>
    <row r="1787" spans="1:6" ht="29.55" customHeight="1" x14ac:dyDescent="0.25">
      <c r="A1787" s="1" t="s">
        <v>7059</v>
      </c>
      <c r="B1787" s="7" t="s">
        <v>7060</v>
      </c>
      <c r="C1787" s="7" t="s">
        <v>7038</v>
      </c>
      <c r="D1787" s="7" t="s">
        <v>7061</v>
      </c>
      <c r="E1787" s="7" t="s">
        <v>7026</v>
      </c>
      <c r="F1787" s="7" t="str">
        <f>HYPERLINK("http://www.casaledivalle.com/","www.casaledivalle.com")</f>
        <v>www.casaledivalle.com</v>
      </c>
    </row>
    <row r="1788" spans="1:6" ht="29.55" customHeight="1" x14ac:dyDescent="0.25">
      <c r="A1788" s="1" t="s">
        <v>7062</v>
      </c>
      <c r="B1788" s="7" t="s">
        <v>7063</v>
      </c>
      <c r="C1788" s="7" t="s">
        <v>7064</v>
      </c>
      <c r="D1788" s="7" t="s">
        <v>7065</v>
      </c>
      <c r="E1788" s="7" t="s">
        <v>7066</v>
      </c>
      <c r="F1788" s="7" t="str">
        <f>HYPERLINK("http://osioflor-societa-agricola-srl-04039590163.quantofattura.com/","osioflor-societa-agricola-srl-04039590163.quantofattura.com")</f>
        <v>osioflor-societa-agricola-srl-04039590163.quantofattura.com</v>
      </c>
    </row>
    <row r="1789" spans="1:6" ht="43.05" customHeight="1" x14ac:dyDescent="0.25">
      <c r="A1789" s="6" t="s">
        <v>7067</v>
      </c>
      <c r="B1789" s="5" t="s">
        <v>7068</v>
      </c>
      <c r="C1789" s="5" t="s">
        <v>7038</v>
      </c>
      <c r="D1789" s="5" t="s">
        <v>7069</v>
      </c>
      <c r="E1789" s="5" t="s">
        <v>7018</v>
      </c>
      <c r="F1789" s="5" t="str">
        <f>HYPERLINK("http://www.collidicrea.it/","www.collidicrea.it")</f>
        <v>www.collidicrea.it</v>
      </c>
    </row>
    <row r="1790" spans="1:6" ht="16.95" customHeight="1" x14ac:dyDescent="0.25">
      <c r="A1790" s="1" t="s">
        <v>7070</v>
      </c>
      <c r="B1790" s="7" t="s">
        <v>7071</v>
      </c>
      <c r="C1790" s="7" t="s">
        <v>7017</v>
      </c>
      <c r="D1790" s="7" t="s">
        <v>7072</v>
      </c>
      <c r="E1790" s="7" t="s">
        <v>7058</v>
      </c>
      <c r="F1790" s="7" t="str">
        <f>HYPERLINK("http://www.marecolegna.it/","www.marecolegna.it")</f>
        <v>www.marecolegna.it</v>
      </c>
    </row>
    <row r="1791" spans="1:6" ht="29.55" customHeight="1" x14ac:dyDescent="0.25">
      <c r="A1791" s="1" t="s">
        <v>7073</v>
      </c>
      <c r="B1791" s="7" t="s">
        <v>7074</v>
      </c>
      <c r="C1791" s="7" t="s">
        <v>7075</v>
      </c>
      <c r="D1791" s="7" t="s">
        <v>7030</v>
      </c>
      <c r="E1791" s="7" t="s">
        <v>7031</v>
      </c>
      <c r="F1791" s="7" t="str">
        <f>HYPERLINK("http://www.vikesrl.com/","www.vikesrl.com")</f>
        <v>www.vikesrl.com</v>
      </c>
    </row>
    <row r="1792" spans="1:6" ht="29.55" customHeight="1" x14ac:dyDescent="0.25">
      <c r="A1792" s="6" t="s">
        <v>7076</v>
      </c>
      <c r="B1792" s="5" t="s">
        <v>7077</v>
      </c>
      <c r="C1792" s="5" t="s">
        <v>7015</v>
      </c>
      <c r="D1792" s="5" t="s">
        <v>7078</v>
      </c>
      <c r="E1792" s="5" t="s">
        <v>7026</v>
      </c>
      <c r="F1792" s="5" t="str">
        <f>HYPERLINK("http://www.mbgarden.it/","www.mbgarden.it")</f>
        <v>www.mbgarden.it</v>
      </c>
    </row>
    <row r="1793" spans="1:6" ht="29.55" customHeight="1" x14ac:dyDescent="0.25">
      <c r="A1793" s="1" t="s">
        <v>7079</v>
      </c>
      <c r="B1793" s="7" t="s">
        <v>7080</v>
      </c>
      <c r="C1793" s="7" t="s">
        <v>7032</v>
      </c>
      <c r="D1793" s="7" t="s">
        <v>7081</v>
      </c>
      <c r="E1793" s="7" t="s">
        <v>7031</v>
      </c>
      <c r="F1793" s="7" t="str">
        <f>HYPERLINK("http://www.lefoglieverdi.it/","www.lefoglieverdi.it")</f>
        <v>www.lefoglieverdi.it</v>
      </c>
    </row>
    <row r="1794" spans="1:6" ht="29.55" customHeight="1" x14ac:dyDescent="0.25">
      <c r="A1794" s="1" t="s">
        <v>7082</v>
      </c>
      <c r="B1794" s="7" t="s">
        <v>7083</v>
      </c>
      <c r="C1794" s="7" t="s">
        <v>7084</v>
      </c>
      <c r="D1794" s="7" t="s">
        <v>7085</v>
      </c>
      <c r="E1794" s="7" t="s">
        <v>7086</v>
      </c>
      <c r="F1794" s="7" t="str">
        <f>HYPERLINK("http://www.lemasseriepiano.com/","www.lemasseriepiano.com")</f>
        <v>www.lemasseriepiano.com</v>
      </c>
    </row>
    <row r="1795" spans="1:6" ht="55.65" customHeight="1" x14ac:dyDescent="0.25">
      <c r="A1795" s="1" t="s">
        <v>7088</v>
      </c>
      <c r="B1795" s="7" t="s">
        <v>7089</v>
      </c>
      <c r="C1795" s="7" t="s">
        <v>7090</v>
      </c>
      <c r="D1795" s="7" t="s">
        <v>7091</v>
      </c>
      <c r="E1795" s="7" t="s">
        <v>7087</v>
      </c>
      <c r="F1795" s="7" t="str">
        <f>HYPERLINK("http://www.bibbiano.com/","www.bibbiano.com")</f>
        <v>www.bibbiano.com</v>
      </c>
    </row>
    <row r="1796" spans="1:6" ht="29.55" customHeight="1" x14ac:dyDescent="0.25">
      <c r="A1796" s="1" t="s">
        <v>7093</v>
      </c>
      <c r="B1796" s="7" t="s">
        <v>7094</v>
      </c>
      <c r="C1796" s="7" t="s">
        <v>7090</v>
      </c>
      <c r="D1796" s="7" t="s">
        <v>7091</v>
      </c>
      <c r="E1796" s="7" t="s">
        <v>7087</v>
      </c>
      <c r="F1796" s="7" t="str">
        <f>HYPERLINK("http://www.lafiorita.com/","www.lafiorita.com")</f>
        <v>www.lafiorita.com</v>
      </c>
    </row>
    <row r="1797" spans="1:6" ht="43.05" customHeight="1" x14ac:dyDescent="0.25">
      <c r="A1797" s="1" t="s">
        <v>7098</v>
      </c>
      <c r="B1797" s="7" t="s">
        <v>7099</v>
      </c>
      <c r="C1797" s="7" t="s">
        <v>7090</v>
      </c>
      <c r="D1797" s="7" t="s">
        <v>7100</v>
      </c>
      <c r="E1797" s="7" t="s">
        <v>7095</v>
      </c>
      <c r="F1797" s="7" t="str">
        <f>HYPERLINK("http://www.villabogdano1880.it/","www.villabogdano1880.it")</f>
        <v>www.villabogdano1880.it</v>
      </c>
    </row>
    <row r="1798" spans="1:6" ht="43.05" customHeight="1" x14ac:dyDescent="0.25">
      <c r="A1798" s="1" t="s">
        <v>7101</v>
      </c>
      <c r="B1798" s="7" t="s">
        <v>7102</v>
      </c>
      <c r="C1798" s="7" t="s">
        <v>7103</v>
      </c>
      <c r="D1798" s="7" t="s">
        <v>7104</v>
      </c>
      <c r="E1798" s="7" t="s">
        <v>7092</v>
      </c>
      <c r="F1798" s="7" t="str">
        <f>HYPERLINK("http://www.prestigeplants.eu/dove-siamo/","www.prestigeplants.eu/dove-siamo/")</f>
        <v>www.prestigeplants.eu/dove-siamo/</v>
      </c>
    </row>
    <row r="1799" spans="1:6" ht="29.55" customHeight="1" x14ac:dyDescent="0.25">
      <c r="A1799" s="6" t="s">
        <v>7105</v>
      </c>
      <c r="B1799" s="5" t="s">
        <v>7106</v>
      </c>
      <c r="C1799" s="5" t="s">
        <v>7107</v>
      </c>
      <c r="D1799" s="5" t="s">
        <v>7108</v>
      </c>
      <c r="E1799" s="5" t="s">
        <v>7109</v>
      </c>
      <c r="F1799" s="5" t="str">
        <f>HYPERLINK("http://www.carionifood.com/","www.carionifood.com")</f>
        <v>www.carionifood.com</v>
      </c>
    </row>
    <row r="1800" spans="1:6" ht="43.05" customHeight="1" x14ac:dyDescent="0.25">
      <c r="A1800" s="6" t="s">
        <v>7112</v>
      </c>
      <c r="B1800" s="5" t="s">
        <v>7113</v>
      </c>
      <c r="C1800" s="5" t="s">
        <v>7103</v>
      </c>
      <c r="D1800" s="5" t="s">
        <v>7114</v>
      </c>
      <c r="E1800" s="5" t="s">
        <v>7087</v>
      </c>
      <c r="F1800" s="5" t="str">
        <f>HYPERLINK("http://pistoiapiante.it/","pistoiapiante.it")</f>
        <v>pistoiapiante.it</v>
      </c>
    </row>
    <row r="1801" spans="1:6" ht="29.55" customHeight="1" x14ac:dyDescent="0.25">
      <c r="A1801" s="6" t="s">
        <v>7117</v>
      </c>
      <c r="B1801" s="5" t="s">
        <v>7118</v>
      </c>
      <c r="C1801" s="5" t="s">
        <v>7119</v>
      </c>
      <c r="D1801" s="5" t="s">
        <v>7091</v>
      </c>
      <c r="E1801" s="5" t="s">
        <v>7087</v>
      </c>
      <c r="F1801" s="5" t="str">
        <f>HYPERLINK("http://icario.it/","icario.it")</f>
        <v>icario.it</v>
      </c>
    </row>
    <row r="1802" spans="1:6" ht="55.65" customHeight="1" x14ac:dyDescent="0.25">
      <c r="A1802" s="1" t="s">
        <v>7120</v>
      </c>
      <c r="B1802" s="7" t="s">
        <v>7121</v>
      </c>
      <c r="C1802" s="7" t="s">
        <v>7096</v>
      </c>
      <c r="D1802" s="7" t="s">
        <v>7122</v>
      </c>
      <c r="E1802" s="7" t="s">
        <v>7092</v>
      </c>
      <c r="F1802" s="7" t="str">
        <f>HYPERLINK("http://www.oliodopcanino.com/","www.oliodopcanino.com")</f>
        <v>www.oliodopcanino.com</v>
      </c>
    </row>
    <row r="1803" spans="1:6" ht="43.05" customHeight="1" x14ac:dyDescent="0.25">
      <c r="A1803" s="1" t="s">
        <v>7123</v>
      </c>
      <c r="B1803" s="7" t="s">
        <v>7124</v>
      </c>
      <c r="C1803" s="7" t="s">
        <v>7090</v>
      </c>
      <c r="D1803" s="7" t="s">
        <v>7125</v>
      </c>
      <c r="E1803" s="7" t="s">
        <v>7092</v>
      </c>
      <c r="F1803" s="7" t="str">
        <f>HYPERLINK("http://castellodicorbara.it/","castellodicorbara.it")</f>
        <v>castellodicorbara.it</v>
      </c>
    </row>
    <row r="1804" spans="1:6" ht="29.55" customHeight="1" x14ac:dyDescent="0.25">
      <c r="A1804" s="1" t="s">
        <v>7127</v>
      </c>
      <c r="B1804" s="7" t="s">
        <v>7128</v>
      </c>
      <c r="C1804" s="7" t="s">
        <v>7129</v>
      </c>
      <c r="D1804" s="7" t="s">
        <v>7130</v>
      </c>
      <c r="E1804" s="7" t="s">
        <v>7097</v>
      </c>
      <c r="F1804" s="7" t="str">
        <f>HYPERLINK("http://www.masseriaseppunisi.it/","www.masseriaseppunisi.it")</f>
        <v>www.masseriaseppunisi.it</v>
      </c>
    </row>
    <row r="1805" spans="1:6" ht="43.05" customHeight="1" x14ac:dyDescent="0.25">
      <c r="A1805" s="6" t="s">
        <v>7131</v>
      </c>
      <c r="B1805" s="5" t="s">
        <v>7132</v>
      </c>
      <c r="C1805" s="5" t="s">
        <v>7133</v>
      </c>
      <c r="D1805" s="5" t="s">
        <v>7134</v>
      </c>
      <c r="E1805" s="5" t="s">
        <v>7086</v>
      </c>
      <c r="F1805" s="5" t="str">
        <f>HYPERLINK("http://www.romanfruit.it/","www.romanfruit.it")</f>
        <v>www.romanfruit.it</v>
      </c>
    </row>
    <row r="1806" spans="1:6" ht="29.55" customHeight="1" x14ac:dyDescent="0.25">
      <c r="A1806" s="1" t="s">
        <v>7135</v>
      </c>
      <c r="B1806" s="7" t="s">
        <v>7136</v>
      </c>
      <c r="C1806" s="7" t="s">
        <v>7110</v>
      </c>
      <c r="D1806" s="7" t="s">
        <v>7137</v>
      </c>
      <c r="E1806" s="7" t="s">
        <v>7111</v>
      </c>
      <c r="F1806" s="7" t="str">
        <f>HYPERLINK("http://www.agriturismoboschicelati.com/","www.agriturismoboschicelati.com")</f>
        <v>www.agriturismoboschicelati.com</v>
      </c>
    </row>
    <row r="1807" spans="1:6" ht="29.55" customHeight="1" x14ac:dyDescent="0.25">
      <c r="A1807" s="6" t="s">
        <v>7138</v>
      </c>
      <c r="B1807" s="5" t="s">
        <v>7139</v>
      </c>
      <c r="C1807" s="5" t="s">
        <v>7140</v>
      </c>
      <c r="D1807" s="5" t="s">
        <v>7141</v>
      </c>
      <c r="E1807" s="5" t="s">
        <v>7116</v>
      </c>
      <c r="F1807" s="5" t="str">
        <f>HYPERLINK("http://marinofiori.it/","marinofiori.it")</f>
        <v>marinofiori.it</v>
      </c>
    </row>
    <row r="1808" spans="1:6" ht="43.05" customHeight="1" x14ac:dyDescent="0.25">
      <c r="A1808" s="1" t="s">
        <v>7142</v>
      </c>
      <c r="B1808" s="7" t="s">
        <v>7143</v>
      </c>
      <c r="C1808" s="7" t="s">
        <v>7144</v>
      </c>
      <c r="D1808" s="7" t="s">
        <v>7145</v>
      </c>
      <c r="E1808" s="7" t="s">
        <v>7146</v>
      </c>
      <c r="F1808" s="7" t="str">
        <f>HYPERLINK("http://www.giardinodeigiorgi.it/","www.giardinodeigiorgi.it")</f>
        <v>www.giardinodeigiorgi.it</v>
      </c>
    </row>
    <row r="1809" spans="1:6" ht="29.55" customHeight="1" x14ac:dyDescent="0.25">
      <c r="A1809" s="6" t="s">
        <v>7147</v>
      </c>
      <c r="B1809" s="5" t="s">
        <v>7148</v>
      </c>
      <c r="C1809" s="5" t="s">
        <v>7133</v>
      </c>
      <c r="D1809" s="5" t="s">
        <v>7149</v>
      </c>
      <c r="E1809" s="5" t="s">
        <v>7087</v>
      </c>
      <c r="F1809" s="5" t="str">
        <f>HYPERLINK("http://lefiligare.com/","lefiligare.com")</f>
        <v>lefiligare.com</v>
      </c>
    </row>
    <row r="1810" spans="1:6" ht="29.55" customHeight="1" x14ac:dyDescent="0.25">
      <c r="A1810" s="1" t="s">
        <v>7150</v>
      </c>
      <c r="B1810" s="7" t="s">
        <v>7151</v>
      </c>
      <c r="C1810" s="7" t="s">
        <v>7152</v>
      </c>
      <c r="D1810" s="7" t="s">
        <v>7126</v>
      </c>
      <c r="E1810" s="7" t="s">
        <v>7111</v>
      </c>
      <c r="F1810" s="7" t="str">
        <f>HYPERLINK("http://cooplalucerna.it/","cooplalucerna.it")</f>
        <v>cooplalucerna.it</v>
      </c>
    </row>
    <row r="1811" spans="1:6" ht="16.95" customHeight="1" x14ac:dyDescent="0.25">
      <c r="A1811" s="6" t="s">
        <v>7153</v>
      </c>
      <c r="B1811" s="5" t="s">
        <v>7154</v>
      </c>
      <c r="C1811" s="5" t="s">
        <v>7115</v>
      </c>
      <c r="D1811" s="5" t="s">
        <v>7155</v>
      </c>
      <c r="E1811" s="5" t="s">
        <v>7111</v>
      </c>
      <c r="F1811" s="5" t="str">
        <f>HYPERLINK("http://www.maestriecologia.it/","www.maestriecologia.it")</f>
        <v>www.maestriecologia.it</v>
      </c>
    </row>
    <row r="1812" spans="1:6" ht="29.55" customHeight="1" x14ac:dyDescent="0.25">
      <c r="A1812" s="1" t="s">
        <v>7156</v>
      </c>
      <c r="B1812" s="7" t="s">
        <v>7157</v>
      </c>
      <c r="C1812" s="7" t="s">
        <v>7158</v>
      </c>
      <c r="D1812" s="7" t="s">
        <v>7159</v>
      </c>
      <c r="E1812" s="7" t="s">
        <v>7160</v>
      </c>
      <c r="F1812" s="7" t="str">
        <f>HYPERLINK("http://www.moncadaenergygroup.com/","www.moncadaenergygroup.com")</f>
        <v>www.moncadaenergygroup.com</v>
      </c>
    </row>
    <row r="1813" spans="1:6" ht="43.05" customHeight="1" x14ac:dyDescent="0.25">
      <c r="A1813" s="1" t="s">
        <v>7164</v>
      </c>
      <c r="B1813" s="7" t="s">
        <v>7165</v>
      </c>
      <c r="C1813" s="7" t="s">
        <v>7166</v>
      </c>
      <c r="D1813" s="7" t="s">
        <v>7167</v>
      </c>
      <c r="E1813" s="7" t="s">
        <v>7168</v>
      </c>
      <c r="F1813" s="7" t="str">
        <f>HYPERLINK("http://www.cooperativalafiorita.it/","www.cooperativalafiorita.it")</f>
        <v>www.cooperativalafiorita.it</v>
      </c>
    </row>
    <row r="1814" spans="1:6" ht="68.099999999999994" customHeight="1" x14ac:dyDescent="0.25">
      <c r="A1814" s="1" t="s">
        <v>7172</v>
      </c>
      <c r="B1814" s="7" t="s">
        <v>7173</v>
      </c>
      <c r="C1814" s="7" t="s">
        <v>7163</v>
      </c>
      <c r="D1814" s="7" t="s">
        <v>7174</v>
      </c>
      <c r="E1814" s="7" t="s">
        <v>7171</v>
      </c>
      <c r="F1814" s="7" t="str">
        <f>HYPERLINK("http://www.agrifarneto.it/","www.agrifarneto.it")</f>
        <v>www.agrifarneto.it</v>
      </c>
    </row>
    <row r="1815" spans="1:6" ht="16.95" customHeight="1" x14ac:dyDescent="0.25">
      <c r="A1815" s="1" t="s">
        <v>7176</v>
      </c>
      <c r="B1815" s="7" t="s">
        <v>7177</v>
      </c>
      <c r="C1815" s="7" t="s">
        <v>7178</v>
      </c>
      <c r="D1815" s="7" t="s">
        <v>7179</v>
      </c>
      <c r="E1815" s="7" t="s">
        <v>7180</v>
      </c>
      <c r="F1815" s="7" t="str">
        <f>HYPERLINK("http://www.migliozzisementi.it/","www.migliozzisementi.it")</f>
        <v>www.migliozzisementi.it</v>
      </c>
    </row>
    <row r="1816" spans="1:6" ht="29.55" customHeight="1" x14ac:dyDescent="0.25">
      <c r="A1816" s="1" t="s">
        <v>7181</v>
      </c>
      <c r="B1816" s="7" t="s">
        <v>7182</v>
      </c>
      <c r="C1816" s="7" t="s">
        <v>7183</v>
      </c>
      <c r="D1816" s="7" t="s">
        <v>7184</v>
      </c>
      <c r="E1816" s="7" t="s">
        <v>7168</v>
      </c>
      <c r="F1816" s="7" t="str">
        <f>HYPERLINK("http://www.levolpi.it/","www.levolpi.it")</f>
        <v>www.levolpi.it</v>
      </c>
    </row>
    <row r="1817" spans="1:6" ht="29.55" customHeight="1" x14ac:dyDescent="0.25">
      <c r="A1817" s="6" t="s">
        <v>7185</v>
      </c>
      <c r="B1817" s="5" t="s">
        <v>7186</v>
      </c>
      <c r="C1817" s="5" t="s">
        <v>7163</v>
      </c>
      <c r="D1817" s="5" t="s">
        <v>7187</v>
      </c>
      <c r="E1817" s="5" t="s">
        <v>7188</v>
      </c>
      <c r="F1817" s="5" t="str">
        <f>HYPERLINK("http://levii.it/","levii.it")</f>
        <v>levii.it</v>
      </c>
    </row>
    <row r="1818" spans="1:6" ht="29.55" customHeight="1" x14ac:dyDescent="0.25">
      <c r="A1818" s="6" t="s">
        <v>7190</v>
      </c>
      <c r="B1818" s="5" t="s">
        <v>7191</v>
      </c>
      <c r="C1818" s="5" t="s">
        <v>7192</v>
      </c>
      <c r="D1818" s="5" t="s">
        <v>7161</v>
      </c>
      <c r="E1818" s="5" t="s">
        <v>7162</v>
      </c>
      <c r="F1818" s="5" t="str">
        <f>HYPERLINK("http://meridiana-srl-societa-agricola-01413620590.quantofattura.com/","meridiana-srl-societa-agricola-01413620590.quantofattura.com")</f>
        <v>meridiana-srl-societa-agricola-01413620590.quantofattura.com</v>
      </c>
    </row>
    <row r="1819" spans="1:6" ht="29.55" customHeight="1" x14ac:dyDescent="0.25">
      <c r="A1819" s="1" t="s">
        <v>7193</v>
      </c>
      <c r="B1819" s="7" t="s">
        <v>7194</v>
      </c>
      <c r="C1819" s="7" t="s">
        <v>7163</v>
      </c>
      <c r="D1819" s="7" t="s">
        <v>7179</v>
      </c>
      <c r="E1819" s="7" t="s">
        <v>7180</v>
      </c>
      <c r="F1819" s="7" t="str">
        <f>HYPERLINK("http://en.borgopaglianetto.com/","en.borgopaglianetto.com")</f>
        <v>en.borgopaglianetto.com</v>
      </c>
    </row>
    <row r="1820" spans="1:6" ht="29.55" customHeight="1" x14ac:dyDescent="0.25">
      <c r="A1820" s="1" t="s">
        <v>7195</v>
      </c>
      <c r="B1820" s="7" t="s">
        <v>7196</v>
      </c>
      <c r="C1820" s="7" t="s">
        <v>7166</v>
      </c>
      <c r="D1820" s="7" t="s">
        <v>7197</v>
      </c>
      <c r="E1820" s="7" t="s">
        <v>7175</v>
      </c>
      <c r="F1820" s="7" t="str">
        <f>HYPERLINK("http://www.camugliano.com/","www.camugliano.com")</f>
        <v>www.camugliano.com</v>
      </c>
    </row>
    <row r="1821" spans="1:6" ht="29.55" customHeight="1" x14ac:dyDescent="0.25">
      <c r="A1821" s="1" t="s">
        <v>7198</v>
      </c>
      <c r="B1821" s="7" t="s">
        <v>7199</v>
      </c>
      <c r="C1821" s="7" t="s">
        <v>7169</v>
      </c>
      <c r="D1821" s="7" t="s">
        <v>7200</v>
      </c>
      <c r="E1821" s="7" t="s">
        <v>7201</v>
      </c>
      <c r="F1821" s="7" t="str">
        <f>HYPERLINK("http://www.capriano.com/","www.capriano.com")</f>
        <v>www.capriano.com</v>
      </c>
    </row>
    <row r="1822" spans="1:6" ht="43.05" customHeight="1" x14ac:dyDescent="0.25">
      <c r="A1822" s="6" t="s">
        <v>7202</v>
      </c>
      <c r="B1822" s="5" t="s">
        <v>7203</v>
      </c>
      <c r="C1822" s="5" t="s">
        <v>7170</v>
      </c>
      <c r="D1822" s="5" t="s">
        <v>7204</v>
      </c>
      <c r="E1822" s="5" t="s">
        <v>7189</v>
      </c>
      <c r="F1822" s="5" t="str">
        <f>HYPERLINK("http://acoshop.it/","acoshop.it")</f>
        <v>acoshop.it</v>
      </c>
    </row>
    <row r="1823" spans="1:6" ht="16.95" customHeight="1" x14ac:dyDescent="0.25">
      <c r="A1823" s="1" t="s">
        <v>7205</v>
      </c>
      <c r="B1823" s="7" t="s">
        <v>7206</v>
      </c>
      <c r="C1823" s="7" t="s">
        <v>7207</v>
      </c>
      <c r="D1823" s="7" t="s">
        <v>7208</v>
      </c>
      <c r="E1823" s="7" t="s">
        <v>7209</v>
      </c>
      <c r="F1823" s="7" t="str">
        <f>HYPERLINK("http://www.dianoscavi.it/","www.dianoscavi.it")</f>
        <v>www.dianoscavi.it</v>
      </c>
    </row>
    <row r="1824" spans="1:6" ht="43.05" customHeight="1" x14ac:dyDescent="0.25">
      <c r="A1824" s="1" t="s">
        <v>7215</v>
      </c>
      <c r="B1824" s="7" t="s">
        <v>7216</v>
      </c>
      <c r="C1824" s="7" t="s">
        <v>7212</v>
      </c>
      <c r="D1824" s="7" t="s">
        <v>7217</v>
      </c>
      <c r="E1824" s="7" t="s">
        <v>7218</v>
      </c>
      <c r="F1824" s="7" t="str">
        <f>HYPERLINK("http://il-crinale-societa-cooperativa-agricola-02693290351.quantofattura.com/","il-crinale-societa-cooperativa-agricola-02693290351.quantofattura.com")</f>
        <v>il-crinale-societa-cooperativa-agricola-02693290351.quantofattura.com</v>
      </c>
    </row>
    <row r="1825" spans="1:6" ht="29.55" customHeight="1" x14ac:dyDescent="0.25">
      <c r="A1825" s="1" t="s">
        <v>7220</v>
      </c>
      <c r="B1825" s="7" t="s">
        <v>7221</v>
      </c>
      <c r="C1825" s="7" t="s">
        <v>7222</v>
      </c>
      <c r="D1825" s="7" t="s">
        <v>7223</v>
      </c>
      <c r="E1825" s="7" t="s">
        <v>7224</v>
      </c>
      <c r="F1825" s="7" t="str">
        <f>HYPERLINK("http://www.lafruttadelponte.it/","www.lafruttadelponte.it")</f>
        <v>www.lafruttadelponte.it</v>
      </c>
    </row>
    <row r="1826" spans="1:6" ht="55.65" customHeight="1" x14ac:dyDescent="0.25">
      <c r="A1826" s="6" t="s">
        <v>7225</v>
      </c>
      <c r="B1826" s="5" t="s">
        <v>7226</v>
      </c>
      <c r="C1826" s="5" t="s">
        <v>7207</v>
      </c>
      <c r="D1826" s="5" t="s">
        <v>7227</v>
      </c>
      <c r="E1826" s="5" t="s">
        <v>7228</v>
      </c>
      <c r="F1826" s="5" t="str">
        <f>HYPERLINK("http://confagricolturapisa.it/","confagricolturapisa.it")</f>
        <v>confagricolturapisa.it</v>
      </c>
    </row>
    <row r="1827" spans="1:6" ht="43.05" customHeight="1" x14ac:dyDescent="0.25">
      <c r="A1827" s="6" t="s">
        <v>7231</v>
      </c>
      <c r="B1827" s="5" t="s">
        <v>7232</v>
      </c>
      <c r="C1827" s="5" t="s">
        <v>7233</v>
      </c>
      <c r="D1827" s="5" t="s">
        <v>7234</v>
      </c>
      <c r="E1827" s="5" t="s">
        <v>7230</v>
      </c>
      <c r="F1827" s="5" t="str">
        <f>HYPERLINK("http://www.lafasanara.it/","www.lafasanara.it")</f>
        <v>www.lafasanara.it</v>
      </c>
    </row>
    <row r="1828" spans="1:6" ht="29.55" customHeight="1" x14ac:dyDescent="0.25">
      <c r="A1828" s="6" t="s">
        <v>7235</v>
      </c>
      <c r="B1828" s="5" t="s">
        <v>7236</v>
      </c>
      <c r="C1828" s="5" t="s">
        <v>7210</v>
      </c>
      <c r="D1828" s="5" t="s">
        <v>7237</v>
      </c>
      <c r="E1828" s="5" t="s">
        <v>7214</v>
      </c>
      <c r="F1828" s="5" t="str">
        <f>HYPERLINK("http://www.cantinecostantinopoli.it/","www.cantinecostantinopoli.it")</f>
        <v>www.cantinecostantinopoli.it</v>
      </c>
    </row>
    <row r="1829" spans="1:6" ht="43.05" customHeight="1" x14ac:dyDescent="0.25">
      <c r="A1829" s="1" t="s">
        <v>7238</v>
      </c>
      <c r="B1829" s="7" t="s">
        <v>7239</v>
      </c>
      <c r="C1829" s="7" t="s">
        <v>7240</v>
      </c>
      <c r="D1829" s="7" t="s">
        <v>7241</v>
      </c>
      <c r="E1829" s="7" t="s">
        <v>7228</v>
      </c>
      <c r="F1829" s="7" t="str">
        <f>HYPERLINK("http://farrodellagarfagnana.it/","farrodellagarfagnana.it")</f>
        <v>farrodellagarfagnana.it</v>
      </c>
    </row>
    <row r="1830" spans="1:6" ht="29.55" customHeight="1" x14ac:dyDescent="0.25">
      <c r="A1830" s="6" t="s">
        <v>7242</v>
      </c>
      <c r="B1830" s="5" t="s">
        <v>7243</v>
      </c>
      <c r="C1830" s="5" t="s">
        <v>7210</v>
      </c>
      <c r="D1830" s="5" t="s">
        <v>7244</v>
      </c>
      <c r="E1830" s="5" t="s">
        <v>7211</v>
      </c>
      <c r="F1830" s="5" t="str">
        <f>HYPERLINK("http://www.vignematte.it/","www.vignematte.it")</f>
        <v>www.vignematte.it</v>
      </c>
    </row>
    <row r="1831" spans="1:6" ht="29.55" customHeight="1" x14ac:dyDescent="0.25">
      <c r="A1831" s="6" t="s">
        <v>7246</v>
      </c>
      <c r="B1831" s="5" t="s">
        <v>7247</v>
      </c>
      <c r="C1831" s="5" t="s">
        <v>7240</v>
      </c>
      <c r="D1831" s="5" t="s">
        <v>7248</v>
      </c>
      <c r="E1831" s="5" t="s">
        <v>7245</v>
      </c>
      <c r="F1831" s="5" t="str">
        <f>HYPERLINK("http://agroenergia.eu/","agroenergia.eu")</f>
        <v>agroenergia.eu</v>
      </c>
    </row>
    <row r="1832" spans="1:6" ht="43.05" customHeight="1" x14ac:dyDescent="0.25">
      <c r="A1832" s="1" t="s">
        <v>7249</v>
      </c>
      <c r="B1832" s="7" t="s">
        <v>7250</v>
      </c>
      <c r="C1832" s="7" t="s">
        <v>7251</v>
      </c>
      <c r="D1832" s="7" t="s">
        <v>7241</v>
      </c>
      <c r="E1832" s="7" t="s">
        <v>7228</v>
      </c>
      <c r="F1832" s="7" t="str">
        <f>HYPERLINK("http://www.coopfrantoiocompitese.it/","www.coopfrantoiocompitese.it")</f>
        <v>www.coopfrantoiocompitese.it</v>
      </c>
    </row>
    <row r="1833" spans="1:6" ht="29.55" customHeight="1" x14ac:dyDescent="0.25">
      <c r="A1833" s="1" t="s">
        <v>7252</v>
      </c>
      <c r="B1833" s="7" t="s">
        <v>7253</v>
      </c>
      <c r="C1833" s="7" t="s">
        <v>7254</v>
      </c>
      <c r="D1833" s="7" t="s">
        <v>7255</v>
      </c>
      <c r="E1833" s="7" t="s">
        <v>7228</v>
      </c>
      <c r="F1833" s="7" t="str">
        <f>HYPERLINK("http://www.cornacchi.com/","www.cornacchi.com")</f>
        <v>www.cornacchi.com</v>
      </c>
    </row>
    <row r="1834" spans="1:6" ht="29.55" customHeight="1" x14ac:dyDescent="0.25">
      <c r="A1834" s="6" t="s">
        <v>7256</v>
      </c>
      <c r="B1834" s="5" t="s">
        <v>7257</v>
      </c>
      <c r="C1834" s="5" t="s">
        <v>7210</v>
      </c>
      <c r="D1834" s="5" t="s">
        <v>7258</v>
      </c>
      <c r="E1834" s="5" t="s">
        <v>7245</v>
      </c>
      <c r="F1834" s="5" t="str">
        <f>HYPERLINK("http://primealture.it/","primealture.it")</f>
        <v>primealture.it</v>
      </c>
    </row>
    <row r="1835" spans="1:6" ht="29.55" customHeight="1" x14ac:dyDescent="0.25">
      <c r="A1835" s="6" t="s">
        <v>7259</v>
      </c>
      <c r="B1835" s="5" t="s">
        <v>7260</v>
      </c>
      <c r="C1835" s="5" t="s">
        <v>7254</v>
      </c>
      <c r="D1835" s="5" t="s">
        <v>7261</v>
      </c>
      <c r="E1835" s="5" t="s">
        <v>7262</v>
      </c>
      <c r="F1835" s="5" t="str">
        <f>HYPERLINK("http://www.officinadelsole.it/","www.officinadelsole.it")</f>
        <v>www.officinadelsole.it</v>
      </c>
    </row>
    <row r="1836" spans="1:6" ht="29.55" customHeight="1" x14ac:dyDescent="0.25">
      <c r="A1836" s="6" t="s">
        <v>7263</v>
      </c>
      <c r="B1836" s="5" t="s">
        <v>7264</v>
      </c>
      <c r="C1836" s="5" t="s">
        <v>7210</v>
      </c>
      <c r="D1836" s="5" t="s">
        <v>7265</v>
      </c>
      <c r="E1836" s="5" t="s">
        <v>7266</v>
      </c>
      <c r="F1836" s="5" t="str">
        <f>HYPERLINK("http://primosic.com/","primosic.com")</f>
        <v>primosic.com</v>
      </c>
    </row>
    <row r="1837" spans="1:6" ht="29.55" customHeight="1" x14ac:dyDescent="0.25">
      <c r="A1837" s="1" t="s">
        <v>7267</v>
      </c>
      <c r="B1837" s="7" t="s">
        <v>7268</v>
      </c>
      <c r="C1837" s="7" t="s">
        <v>7210</v>
      </c>
      <c r="D1837" s="7" t="s">
        <v>7269</v>
      </c>
      <c r="E1837" s="7" t="s">
        <v>7228</v>
      </c>
      <c r="F1837" s="7" t="str">
        <f>HYPERLINK("http://www.villasandrea.com/","www.villasandrea.com")</f>
        <v>www.villasandrea.com</v>
      </c>
    </row>
    <row r="1838" spans="1:6" ht="29.55" customHeight="1" x14ac:dyDescent="0.25">
      <c r="A1838" s="6" t="s">
        <v>7270</v>
      </c>
      <c r="B1838" s="5" t="s">
        <v>7271</v>
      </c>
      <c r="C1838" s="5" t="s">
        <v>7229</v>
      </c>
      <c r="D1838" s="5" t="s">
        <v>7272</v>
      </c>
      <c r="E1838" s="5" t="s">
        <v>7245</v>
      </c>
      <c r="F1838" s="5" t="str">
        <f>HYPERLINK("http://www.allevamentobufalemassari.it/","www.allevamentobufalemassari.it")</f>
        <v>www.allevamentobufalemassari.it</v>
      </c>
    </row>
    <row r="1839" spans="1:6" ht="29.55" customHeight="1" x14ac:dyDescent="0.25">
      <c r="A1839" s="1" t="s">
        <v>7273</v>
      </c>
      <c r="B1839" s="7" t="s">
        <v>7274</v>
      </c>
      <c r="C1839" s="7" t="s">
        <v>7213</v>
      </c>
      <c r="D1839" s="7" t="s">
        <v>7248</v>
      </c>
      <c r="E1839" s="7" t="s">
        <v>7245</v>
      </c>
      <c r="F1839" s="7" t="str">
        <f>HYPERLINK("http://www.bottenago.it/","www.bottenago.it")</f>
        <v>www.bottenago.it</v>
      </c>
    </row>
    <row r="1840" spans="1:6" ht="29.55" customHeight="1" x14ac:dyDescent="0.25">
      <c r="A1840" s="6" t="s">
        <v>7275</v>
      </c>
      <c r="B1840" s="5" t="s">
        <v>7276</v>
      </c>
      <c r="C1840" s="5" t="s">
        <v>7277</v>
      </c>
      <c r="D1840" s="5" t="s">
        <v>7219</v>
      </c>
      <c r="E1840" s="5" t="s">
        <v>7214</v>
      </c>
      <c r="F1840" s="5" t="str">
        <f>HYPERLINK("http://www.cascavilla.it/","www.cascavilla.it")</f>
        <v>www.cascavilla.it</v>
      </c>
    </row>
    <row r="1841" spans="1:6" ht="43.05" customHeight="1" x14ac:dyDescent="0.25">
      <c r="A1841" s="1" t="s">
        <v>7278</v>
      </c>
      <c r="B1841" s="7" t="s">
        <v>7279</v>
      </c>
      <c r="C1841" s="7" t="s">
        <v>7280</v>
      </c>
      <c r="D1841" s="7" t="s">
        <v>7281</v>
      </c>
      <c r="E1841" s="7" t="s">
        <v>7282</v>
      </c>
      <c r="F1841" s="7" t="str">
        <f>HYPERLINK("http://www.monacesca.com/","www.monacesca.com")</f>
        <v>www.monacesca.com</v>
      </c>
    </row>
    <row r="1842" spans="1:6" ht="43.05" customHeight="1" x14ac:dyDescent="0.25">
      <c r="A1842" s="6" t="s">
        <v>7283</v>
      </c>
      <c r="B1842" s="5" t="s">
        <v>7284</v>
      </c>
      <c r="C1842" s="5" t="s">
        <v>7285</v>
      </c>
      <c r="D1842" s="5" t="s">
        <v>7286</v>
      </c>
      <c r="E1842" s="5" t="s">
        <v>7287</v>
      </c>
      <c r="F1842" s="5" t="str">
        <f>HYPERLINK("http://www.frantoiodispello.it/","www.frantoiodispello.it")</f>
        <v>www.frantoiodispello.it</v>
      </c>
    </row>
    <row r="1843" spans="1:6" ht="29.55" customHeight="1" x14ac:dyDescent="0.25">
      <c r="A1843" s="1" t="s">
        <v>7288</v>
      </c>
      <c r="B1843" s="7" t="s">
        <v>7289</v>
      </c>
      <c r="C1843" s="7" t="s">
        <v>7280</v>
      </c>
      <c r="D1843" s="7" t="s">
        <v>7290</v>
      </c>
      <c r="E1843" s="7" t="s">
        <v>7282</v>
      </c>
      <c r="F1843" s="7" t="str">
        <f>HYPERLINK("http://www.fattoriamancini.com/","www.fattoriamancini.com")</f>
        <v>www.fattoriamancini.com</v>
      </c>
    </row>
    <row r="1844" spans="1:6" ht="29.55" customHeight="1" x14ac:dyDescent="0.25">
      <c r="A1844" s="1" t="s">
        <v>7293</v>
      </c>
      <c r="B1844" s="7" t="s">
        <v>7294</v>
      </c>
      <c r="C1844" s="7" t="s">
        <v>7295</v>
      </c>
      <c r="D1844" s="7" t="s">
        <v>7296</v>
      </c>
      <c r="E1844" s="7" t="s">
        <v>7297</v>
      </c>
      <c r="F1844" s="7" t="str">
        <f>HYPERLINK("http://www.gardencoretto.com/","www.gardencoretto.com")</f>
        <v>www.gardencoretto.com</v>
      </c>
    </row>
    <row r="1845" spans="1:6" ht="29.55" customHeight="1" x14ac:dyDescent="0.25">
      <c r="A1845" s="6" t="s">
        <v>7298</v>
      </c>
      <c r="B1845" s="5" t="s">
        <v>7299</v>
      </c>
      <c r="C1845" s="5" t="s">
        <v>7300</v>
      </c>
      <c r="D1845" s="5" t="s">
        <v>7301</v>
      </c>
      <c r="E1845" s="5" t="s">
        <v>7302</v>
      </c>
      <c r="F1845" s="5" t="str">
        <f>HYPERLINK("http://www.naturagrisrl.it/","www.naturagrisrl.it")</f>
        <v>www.naturagrisrl.it</v>
      </c>
    </row>
    <row r="1846" spans="1:6" ht="29.55" customHeight="1" x14ac:dyDescent="0.25">
      <c r="A1846" s="1" t="s">
        <v>7303</v>
      </c>
      <c r="B1846" s="7" t="s">
        <v>7304</v>
      </c>
      <c r="C1846" s="7" t="s">
        <v>7295</v>
      </c>
      <c r="D1846" s="7" t="s">
        <v>7305</v>
      </c>
      <c r="E1846" s="7" t="s">
        <v>7306</v>
      </c>
      <c r="F1846" s="7" t="str">
        <f>HYPERLINK("http://www.alsegnavento.it/","www.alsegnavento.it")</f>
        <v>www.alsegnavento.it</v>
      </c>
    </row>
    <row r="1847" spans="1:6" ht="16.95" customHeight="1" x14ac:dyDescent="0.25">
      <c r="A1847" s="1" t="s">
        <v>7308</v>
      </c>
      <c r="B1847" s="7" t="s">
        <v>7309</v>
      </c>
      <c r="C1847" s="7" t="s">
        <v>7291</v>
      </c>
      <c r="D1847" s="7" t="s">
        <v>7310</v>
      </c>
      <c r="E1847" s="7" t="s">
        <v>7311</v>
      </c>
      <c r="F1847" s="7" t="str">
        <f>HYPERLINK("http://www.terravivagri.it/","www.terravivagri.it")</f>
        <v>www.terravivagri.it</v>
      </c>
    </row>
    <row r="1848" spans="1:6" ht="43.05" customHeight="1" x14ac:dyDescent="0.25">
      <c r="A1848" s="1" t="s">
        <v>7312</v>
      </c>
      <c r="B1848" s="7" t="s">
        <v>7313</v>
      </c>
      <c r="C1848" s="7" t="s">
        <v>7280</v>
      </c>
      <c r="D1848" s="7" t="s">
        <v>7314</v>
      </c>
      <c r="E1848" s="7" t="s">
        <v>7315</v>
      </c>
      <c r="F1848" s="7" t="str">
        <f>HYPERLINK("http://www.frankeserafico.com/","www.frankeserafico.com")</f>
        <v>www.frankeserafico.com</v>
      </c>
    </row>
    <row r="1849" spans="1:6" ht="29.55" customHeight="1" x14ac:dyDescent="0.25">
      <c r="A1849" s="1" t="s">
        <v>7316</v>
      </c>
      <c r="B1849" s="7" t="s">
        <v>7317</v>
      </c>
      <c r="C1849" s="7" t="s">
        <v>7318</v>
      </c>
      <c r="D1849" s="7" t="s">
        <v>7314</v>
      </c>
      <c r="E1849" s="7" t="s">
        <v>7315</v>
      </c>
      <c r="F1849" s="7" t="str">
        <f>HYPERLINK("http://www.biologicarustici.it/","www.biologicarustici.it")</f>
        <v>www.biologicarustici.it</v>
      </c>
    </row>
    <row r="1850" spans="1:6" ht="43.05" customHeight="1" x14ac:dyDescent="0.25">
      <c r="A1850" s="6" t="s">
        <v>7319</v>
      </c>
      <c r="B1850" s="5" t="s">
        <v>7320</v>
      </c>
      <c r="C1850" s="5" t="s">
        <v>7280</v>
      </c>
      <c r="D1850" s="5" t="s">
        <v>7321</v>
      </c>
      <c r="E1850" s="5" t="s">
        <v>7322</v>
      </c>
      <c r="F1850" s="5" t="str">
        <f>HYPERLINK("http://cantinagonzaga.it/","cantinagonzaga.it")</f>
        <v>cantinagonzaga.it</v>
      </c>
    </row>
    <row r="1851" spans="1:6" ht="29.55" customHeight="1" x14ac:dyDescent="0.25">
      <c r="A1851" s="1" t="s">
        <v>7323</v>
      </c>
      <c r="B1851" s="7" t="s">
        <v>7324</v>
      </c>
      <c r="C1851" s="7" t="s">
        <v>7325</v>
      </c>
      <c r="D1851" s="7" t="s">
        <v>7326</v>
      </c>
      <c r="E1851" s="7" t="s">
        <v>7327</v>
      </c>
      <c r="F1851" s="7" t="str">
        <f>HYPERLINK("http://www.ippodromocirigliano.it/","www.ippodromocirigliano.it")</f>
        <v>www.ippodromocirigliano.it</v>
      </c>
    </row>
    <row r="1852" spans="1:6" ht="29.55" customHeight="1" x14ac:dyDescent="0.25">
      <c r="A1852" s="6" t="s">
        <v>7328</v>
      </c>
      <c r="B1852" s="5" t="s">
        <v>7329</v>
      </c>
      <c r="C1852" s="5" t="s">
        <v>7330</v>
      </c>
      <c r="D1852" s="5" t="s">
        <v>7331</v>
      </c>
      <c r="E1852" s="5" t="s">
        <v>7332</v>
      </c>
      <c r="F1852" s="5" t="str">
        <f>HYPERLINK("http://www.villaggioequestre.it/","www.villaggioequestre.it")</f>
        <v>www.villaggioequestre.it</v>
      </c>
    </row>
    <row r="1853" spans="1:6" ht="55.65" customHeight="1" x14ac:dyDescent="0.25">
      <c r="A1853" s="6" t="s">
        <v>7333</v>
      </c>
      <c r="B1853" s="5" t="s">
        <v>7334</v>
      </c>
      <c r="C1853" s="5" t="s">
        <v>7335</v>
      </c>
      <c r="D1853" s="5" t="s">
        <v>7336</v>
      </c>
      <c r="E1853" s="5" t="s">
        <v>7337</v>
      </c>
      <c r="F1853" s="5" t="str">
        <f>HYPERLINK("http://www.ksb.coop/","www.ksb.coop")</f>
        <v>www.ksb.coop</v>
      </c>
    </row>
    <row r="1854" spans="1:6" ht="43.05" customHeight="1" x14ac:dyDescent="0.25">
      <c r="A1854" s="6" t="s">
        <v>7338</v>
      </c>
      <c r="B1854" s="5" t="s">
        <v>7339</v>
      </c>
      <c r="C1854" s="5" t="s">
        <v>7280</v>
      </c>
      <c r="D1854" s="5" t="s">
        <v>7340</v>
      </c>
      <c r="E1854" s="5" t="s">
        <v>7306</v>
      </c>
      <c r="F1854" s="5" t="str">
        <f>HYPERLINK("http://www.cantinaaltapadovana.it/","www.cantinaaltapadovana.it")</f>
        <v>www.cantinaaltapadovana.it</v>
      </c>
    </row>
    <row r="1855" spans="1:6" ht="29.55" customHeight="1" x14ac:dyDescent="0.25">
      <c r="A1855" s="1" t="s">
        <v>7341</v>
      </c>
      <c r="B1855" s="7" t="s">
        <v>7342</v>
      </c>
      <c r="C1855" s="7" t="s">
        <v>7307</v>
      </c>
      <c r="D1855" s="7" t="s">
        <v>7343</v>
      </c>
      <c r="E1855" s="7" t="s">
        <v>7322</v>
      </c>
      <c r="F1855" s="7" t="str">
        <f>HYPERLINK("http://agroenergia.eu/","agroenergia.eu")</f>
        <v>agroenergia.eu</v>
      </c>
    </row>
    <row r="1856" spans="1:6" ht="43.05" customHeight="1" x14ac:dyDescent="0.25">
      <c r="A1856" s="6" t="s">
        <v>7344</v>
      </c>
      <c r="B1856" s="5" t="s">
        <v>7345</v>
      </c>
      <c r="C1856" s="5" t="s">
        <v>7318</v>
      </c>
      <c r="D1856" s="5" t="s">
        <v>7346</v>
      </c>
      <c r="E1856" s="5" t="s">
        <v>7292</v>
      </c>
      <c r="F1856" s="5" t="str">
        <f>HYPERLINK("http://cervarolo-45.laazienda.it/","cervarolo-45.laazienda.it")</f>
        <v>cervarolo-45.laazienda.it</v>
      </c>
    </row>
    <row r="1857" spans="1:6" ht="29.55" customHeight="1" x14ac:dyDescent="0.25">
      <c r="A1857" s="1" t="s">
        <v>7347</v>
      </c>
      <c r="B1857" s="7" t="s">
        <v>7348</v>
      </c>
      <c r="C1857" s="7" t="s">
        <v>7280</v>
      </c>
      <c r="D1857" s="7" t="s">
        <v>7305</v>
      </c>
      <c r="E1857" s="7" t="s">
        <v>7306</v>
      </c>
      <c r="F1857" s="7" t="str">
        <f>HYPERLINK("http://www.cantinerivieradelbrenta.it/","www.cantinerivieradelbrenta.it")</f>
        <v>www.cantinerivieradelbrenta.it</v>
      </c>
    </row>
    <row r="1858" spans="1:6" ht="29.55" customHeight="1" x14ac:dyDescent="0.25">
      <c r="A1858" s="6" t="s">
        <v>7349</v>
      </c>
      <c r="B1858" s="5" t="s">
        <v>7350</v>
      </c>
      <c r="C1858" s="5" t="s">
        <v>7295</v>
      </c>
      <c r="D1858" s="5" t="s">
        <v>7351</v>
      </c>
      <c r="E1858" s="5" t="s">
        <v>7297</v>
      </c>
      <c r="F1858" s="5" t="str">
        <f>HYPERLINK("http://www.marucaexport.it/","www.marucaexport.it")</f>
        <v>www.marucaexport.it</v>
      </c>
    </row>
    <row r="1859" spans="1:6" ht="43.05" customHeight="1" x14ac:dyDescent="0.25">
      <c r="A1859" s="1" t="s">
        <v>7353</v>
      </c>
      <c r="B1859" s="7" t="s">
        <v>7354</v>
      </c>
      <c r="C1859" s="7" t="s">
        <v>7355</v>
      </c>
      <c r="D1859" s="7" t="s">
        <v>7356</v>
      </c>
      <c r="E1859" s="7" t="s">
        <v>7357</v>
      </c>
      <c r="F1859" s="7" t="str">
        <f>HYPERLINK("http://www.ciarrocchifloricoltura.it/","www.ciarrocchifloricoltura.it")</f>
        <v>www.ciarrocchifloricoltura.it</v>
      </c>
    </row>
    <row r="1860" spans="1:6" ht="29.55" customHeight="1" x14ac:dyDescent="0.25">
      <c r="A1860" s="1" t="s">
        <v>7358</v>
      </c>
      <c r="B1860" s="7" t="s">
        <v>7359</v>
      </c>
      <c r="C1860" s="7" t="s">
        <v>7360</v>
      </c>
      <c r="D1860" s="7" t="s">
        <v>7361</v>
      </c>
      <c r="E1860" s="7" t="s">
        <v>7362</v>
      </c>
      <c r="F1860" s="7" t="str">
        <f>HYPERLINK("http://www.contina.it/","www.contina.it")</f>
        <v>www.contina.it</v>
      </c>
    </row>
    <row r="1861" spans="1:6" ht="29.55" customHeight="1" x14ac:dyDescent="0.25">
      <c r="A1861" s="6" t="s">
        <v>7363</v>
      </c>
      <c r="B1861" s="5" t="s">
        <v>7364</v>
      </c>
      <c r="C1861" s="5" t="s">
        <v>7365</v>
      </c>
      <c r="D1861" s="5" t="s">
        <v>7366</v>
      </c>
      <c r="E1861" s="5" t="s">
        <v>7352</v>
      </c>
      <c r="F1861" s="5" t="str">
        <f>HYPERLINK("http://www.labollina.it/","www.labollina.it")</f>
        <v>www.labollina.it</v>
      </c>
    </row>
    <row r="1862" spans="1:6" ht="29.55" customHeight="1" x14ac:dyDescent="0.25">
      <c r="A1862" s="6" t="s">
        <v>7367</v>
      </c>
      <c r="B1862" s="5" t="s">
        <v>7368</v>
      </c>
      <c r="C1862" s="5" t="s">
        <v>7369</v>
      </c>
      <c r="D1862" s="5" t="s">
        <v>7370</v>
      </c>
      <c r="E1862" s="5" t="s">
        <v>7371</v>
      </c>
      <c r="F1862" s="5" t="str">
        <f>HYPERLINK("http://www.solechesorge.it/","www.solechesorge.it")</f>
        <v>www.solechesorge.it</v>
      </c>
    </row>
    <row r="1863" spans="1:6" ht="29.55" customHeight="1" x14ac:dyDescent="0.25">
      <c r="A1863" s="6" t="s">
        <v>7372</v>
      </c>
      <c r="B1863" s="5" t="s">
        <v>7373</v>
      </c>
      <c r="C1863" s="5" t="s">
        <v>7365</v>
      </c>
      <c r="D1863" s="5" t="s">
        <v>7374</v>
      </c>
      <c r="E1863" s="5" t="s">
        <v>7375</v>
      </c>
      <c r="F1863" s="5" t="str">
        <f>HYPERLINK("http://orders.rosarubra.it/","orders.rosarubra.it")</f>
        <v>orders.rosarubra.it</v>
      </c>
    </row>
    <row r="1864" spans="1:6" ht="43.05" customHeight="1" x14ac:dyDescent="0.25">
      <c r="A1864" s="6" t="s">
        <v>7376</v>
      </c>
      <c r="B1864" s="5" t="s">
        <v>7377</v>
      </c>
      <c r="C1864" s="5" t="s">
        <v>7378</v>
      </c>
      <c r="D1864" s="5" t="s">
        <v>7379</v>
      </c>
      <c r="E1864" s="5" t="s">
        <v>7380</v>
      </c>
      <c r="F1864" s="5" t="str">
        <f>HYPERLINK("http://www.loveforcastelluccio.com/","www.loveforcastelluccio.com")</f>
        <v>www.loveforcastelluccio.com</v>
      </c>
    </row>
    <row r="1865" spans="1:6" ht="43.05" customHeight="1" x14ac:dyDescent="0.25">
      <c r="A1865" s="6" t="s">
        <v>7381</v>
      </c>
      <c r="B1865" s="5" t="s">
        <v>7382</v>
      </c>
      <c r="C1865" s="5" t="s">
        <v>7360</v>
      </c>
      <c r="D1865" s="5" t="s">
        <v>7383</v>
      </c>
      <c r="E1865" s="5" t="s">
        <v>7384</v>
      </c>
      <c r="F1865" s="5" t="str">
        <f>HYPERLINK("http://agricando.it/","agricando.it")</f>
        <v>agricando.it</v>
      </c>
    </row>
    <row r="1866" spans="1:6" ht="43.05" customHeight="1" x14ac:dyDescent="0.25">
      <c r="A1866" s="1" t="s">
        <v>7385</v>
      </c>
      <c r="B1866" s="7" t="s">
        <v>7386</v>
      </c>
      <c r="C1866" s="7" t="s">
        <v>7365</v>
      </c>
      <c r="D1866" s="7" t="s">
        <v>7387</v>
      </c>
      <c r="E1866" s="7" t="s">
        <v>7388</v>
      </c>
      <c r="F1866" s="7" t="str">
        <f>HYPERLINK("http://www.agriavventura.it/","www.agriavventura.it")</f>
        <v>www.agriavventura.it</v>
      </c>
    </row>
    <row r="1867" spans="1:6" ht="16.95" customHeight="1" x14ac:dyDescent="0.25">
      <c r="A1867" s="6" t="s">
        <v>7390</v>
      </c>
      <c r="B1867" s="5" t="s">
        <v>7391</v>
      </c>
      <c r="C1867" s="5" t="s">
        <v>7392</v>
      </c>
      <c r="D1867" s="5" t="s">
        <v>7393</v>
      </c>
      <c r="E1867" s="5" t="s">
        <v>7394</v>
      </c>
      <c r="F1867" s="5" t="str">
        <f>HYPERLINK("http://www.smaltimentoverde.it/","www.smaltimentoverde.it")</f>
        <v>www.smaltimentoverde.it</v>
      </c>
    </row>
    <row r="1868" spans="1:6" ht="29.55" customHeight="1" x14ac:dyDescent="0.25">
      <c r="A1868" s="1" t="s">
        <v>7396</v>
      </c>
      <c r="B1868" s="7" t="s">
        <v>7397</v>
      </c>
      <c r="C1868" s="7" t="s">
        <v>7398</v>
      </c>
      <c r="D1868" s="7" t="s">
        <v>7399</v>
      </c>
      <c r="E1868" s="7" t="s">
        <v>7400</v>
      </c>
      <c r="F1868" s="7" t="str">
        <f>HYPERLINK("http://www.burancocinqueterre.it/","http://www.burancocinqueterre.it")</f>
        <v>http://www.burancocinqueterre.it</v>
      </c>
    </row>
    <row r="1869" spans="1:6" ht="16.95" customHeight="1" x14ac:dyDescent="0.25">
      <c r="A1869" s="6" t="s">
        <v>7404</v>
      </c>
      <c r="B1869" s="5" t="s">
        <v>7405</v>
      </c>
      <c r="C1869" s="5" t="s">
        <v>7406</v>
      </c>
      <c r="D1869" s="5" t="s">
        <v>7407</v>
      </c>
      <c r="E1869" s="5" t="s">
        <v>7403</v>
      </c>
      <c r="F1869" s="5" t="str">
        <f>HYPERLINK("http://www.jolesrl.com/","www.jolesrl.com")</f>
        <v>www.jolesrl.com</v>
      </c>
    </row>
    <row r="1870" spans="1:6" ht="55.65" customHeight="1" x14ac:dyDescent="0.25">
      <c r="A1870" s="6" t="s">
        <v>7408</v>
      </c>
      <c r="B1870" s="5" t="s">
        <v>7409</v>
      </c>
      <c r="C1870" s="5" t="s">
        <v>7410</v>
      </c>
      <c r="D1870" s="5" t="s">
        <v>7411</v>
      </c>
      <c r="E1870" s="5" t="s">
        <v>7412</v>
      </c>
      <c r="F1870" s="5" t="str">
        <f>HYPERLINK("http://www.grandivivai.it/","www.grandivivai.it")</f>
        <v>www.grandivivai.it</v>
      </c>
    </row>
    <row r="1871" spans="1:6" ht="29.55" customHeight="1" x14ac:dyDescent="0.25">
      <c r="A1871" s="1" t="s">
        <v>7416</v>
      </c>
      <c r="B1871" s="7" t="s">
        <v>7417</v>
      </c>
      <c r="C1871" s="7" t="s">
        <v>7415</v>
      </c>
      <c r="D1871" s="7" t="s">
        <v>7418</v>
      </c>
      <c r="E1871" s="7" t="s">
        <v>7419</v>
      </c>
      <c r="F1871" s="7" t="str">
        <f>HYPERLINK("http://www.ilgarden.com/","www.ilgarden.com")</f>
        <v>www.ilgarden.com</v>
      </c>
    </row>
    <row r="1872" spans="1:6" ht="43.05" customHeight="1" x14ac:dyDescent="0.25">
      <c r="A1872" s="6" t="s">
        <v>7420</v>
      </c>
      <c r="B1872" s="5" t="s">
        <v>7421</v>
      </c>
      <c r="C1872" s="5" t="s">
        <v>7422</v>
      </c>
      <c r="D1872" s="5" t="s">
        <v>7413</v>
      </c>
      <c r="E1872" s="5" t="s">
        <v>7414</v>
      </c>
      <c r="F1872" s="5" t="str">
        <f>HYPERLINK("http://www.cantinacerveteri.it/","www.cantinacerveteri.it")</f>
        <v>www.cantinacerveteri.it</v>
      </c>
    </row>
    <row r="1873" spans="1:6" ht="29.55" customHeight="1" x14ac:dyDescent="0.25">
      <c r="A1873" s="6" t="s">
        <v>7424</v>
      </c>
      <c r="B1873" s="5" t="s">
        <v>7425</v>
      </c>
      <c r="C1873" s="5" t="s">
        <v>7426</v>
      </c>
      <c r="D1873" s="5" t="s">
        <v>7427</v>
      </c>
      <c r="E1873" s="5" t="s">
        <v>7428</v>
      </c>
      <c r="F1873" s="5" t="str">
        <f>HYPERLINK("http://www.kraeuterschloessl.it/","www.kraeuterschloessl.it")</f>
        <v>www.kraeuterschloessl.it</v>
      </c>
    </row>
    <row r="1874" spans="1:6" ht="29.55" customHeight="1" x14ac:dyDescent="0.25">
      <c r="A1874" s="1" t="s">
        <v>7429</v>
      </c>
      <c r="B1874" s="7" t="s">
        <v>7430</v>
      </c>
      <c r="C1874" s="7" t="s">
        <v>7422</v>
      </c>
      <c r="D1874" s="7" t="s">
        <v>7431</v>
      </c>
      <c r="E1874" s="7" t="s">
        <v>7432</v>
      </c>
      <c r="F1874" s="7" t="str">
        <f>HYPERLINK("http://lafornase.com/","lafornase.com")</f>
        <v>lafornase.com</v>
      </c>
    </row>
    <row r="1875" spans="1:6" ht="43.05" customHeight="1" x14ac:dyDescent="0.25">
      <c r="A1875" s="6" t="s">
        <v>7433</v>
      </c>
      <c r="B1875" s="5" t="s">
        <v>7434</v>
      </c>
      <c r="C1875" s="5" t="s">
        <v>7402</v>
      </c>
      <c r="D1875" s="5" t="s">
        <v>7435</v>
      </c>
      <c r="E1875" s="5" t="s">
        <v>7395</v>
      </c>
      <c r="F1875" s="5" t="str">
        <f>HYPERLINK("http://caseificiocavi.it/","caseificiocavi.it")</f>
        <v>caseificiocavi.it</v>
      </c>
    </row>
    <row r="1876" spans="1:6" ht="106.65" customHeight="1" x14ac:dyDescent="0.25">
      <c r="A1876" s="1" t="s">
        <v>7436</v>
      </c>
      <c r="B1876" s="7" t="s">
        <v>7437</v>
      </c>
      <c r="C1876" s="7" t="s">
        <v>7438</v>
      </c>
      <c r="D1876" s="7" t="s">
        <v>7413</v>
      </c>
      <c r="E1876" s="7" t="s">
        <v>7414</v>
      </c>
      <c r="F1876" s="7" t="str">
        <f>HYPERLINK("http://www.monaciano.com/","www.monaciano.com")</f>
        <v>www.monaciano.com</v>
      </c>
    </row>
    <row r="1877" spans="1:6" ht="43.05" customHeight="1" x14ac:dyDescent="0.25">
      <c r="A1877" s="6" t="s">
        <v>7439</v>
      </c>
      <c r="B1877" s="5" t="s">
        <v>7440</v>
      </c>
      <c r="C1877" s="5" t="s">
        <v>7406</v>
      </c>
      <c r="D1877" s="5" t="s">
        <v>7441</v>
      </c>
      <c r="E1877" s="5" t="s">
        <v>7394</v>
      </c>
      <c r="F1877" s="5" t="str">
        <f>HYPERLINK("http://www.briviofioriepiante.com/","www.briviofioriepiante.com")</f>
        <v>www.briviofioriepiante.com</v>
      </c>
    </row>
    <row r="1878" spans="1:6" ht="29.55" customHeight="1" x14ac:dyDescent="0.25">
      <c r="A1878" s="1" t="s">
        <v>7442</v>
      </c>
      <c r="B1878" s="7" t="s">
        <v>7443</v>
      </c>
      <c r="C1878" s="7" t="s">
        <v>7423</v>
      </c>
      <c r="D1878" s="7" t="s">
        <v>7444</v>
      </c>
      <c r="E1878" s="7" t="s">
        <v>7401</v>
      </c>
      <c r="F1878" s="7" t="str">
        <f>HYPERLINK("http://www.gargatano.it/agriturismo/","www.gargatano.it/agriturismo/")</f>
        <v>www.gargatano.it/agriturismo/</v>
      </c>
    </row>
    <row r="1879" spans="1:6" ht="29.55" customHeight="1" x14ac:dyDescent="0.25">
      <c r="A1879" s="1" t="s">
        <v>7445</v>
      </c>
      <c r="B1879" s="7" t="s">
        <v>7446</v>
      </c>
      <c r="C1879" s="7" t="s">
        <v>7422</v>
      </c>
      <c r="D1879" s="7" t="s">
        <v>7447</v>
      </c>
      <c r="E1879" s="7" t="s">
        <v>7389</v>
      </c>
      <c r="F1879" s="7" t="str">
        <f>HYPERLINK("http://fattoriasanfelo.com/","fattoriasanfelo.com")</f>
        <v>fattoriasanfelo.com</v>
      </c>
    </row>
    <row r="1880" spans="1:6" ht="29.55" customHeight="1" x14ac:dyDescent="0.25">
      <c r="A1880" s="6" t="s">
        <v>7448</v>
      </c>
      <c r="B1880" s="5" t="s">
        <v>7449</v>
      </c>
      <c r="C1880" s="5" t="s">
        <v>7422</v>
      </c>
      <c r="D1880" s="5" t="s">
        <v>7450</v>
      </c>
      <c r="E1880" s="5" t="s">
        <v>7451</v>
      </c>
      <c r="F1880" s="5" t="str">
        <f>HYPERLINK("http://www.shop-filodivino.it/","www.shop-filodivino.it")</f>
        <v>www.shop-filodivino.it</v>
      </c>
    </row>
    <row r="1881" spans="1:6" ht="29.55" customHeight="1" x14ac:dyDescent="0.25">
      <c r="A1881" s="6" t="s">
        <v>7453</v>
      </c>
      <c r="B1881" s="5" t="s">
        <v>7454</v>
      </c>
      <c r="C1881" s="5" t="s">
        <v>7455</v>
      </c>
      <c r="D1881" s="5" t="s">
        <v>7456</v>
      </c>
      <c r="E1881" s="5" t="s">
        <v>7457</v>
      </c>
      <c r="F1881" s="5" t="str">
        <f>HYPERLINK("http://www.carmasciando.it/sitodef/","www.carmasciando.it/sitodef/")</f>
        <v>www.carmasciando.it/sitodef/</v>
      </c>
    </row>
    <row r="1882" spans="1:6" ht="43.05" customHeight="1" x14ac:dyDescent="0.25">
      <c r="A1882" s="1" t="s">
        <v>7460</v>
      </c>
      <c r="B1882" s="7" t="s">
        <v>7461</v>
      </c>
      <c r="C1882" s="7" t="s">
        <v>7462</v>
      </c>
      <c r="D1882" s="7" t="s">
        <v>7463</v>
      </c>
      <c r="E1882" s="7" t="s">
        <v>7464</v>
      </c>
      <c r="F1882" s="7" t="str">
        <f>HYPERLINK("http://grottacampanile.it/","grottacampanile.it")</f>
        <v>grottacampanile.it</v>
      </c>
    </row>
    <row r="1883" spans="1:6" ht="29.55" customHeight="1" x14ac:dyDescent="0.25">
      <c r="A1883" s="6" t="s">
        <v>7465</v>
      </c>
      <c r="B1883" s="5" t="s">
        <v>7466</v>
      </c>
      <c r="C1883" s="5" t="s">
        <v>7467</v>
      </c>
      <c r="D1883" s="5" t="s">
        <v>7468</v>
      </c>
      <c r="E1883" s="5" t="s">
        <v>7464</v>
      </c>
      <c r="F1883" s="5" t="str">
        <f>HYPERLINK("http://www.agriturismoventodimare.it/","www.agriturismoventodimare.it")</f>
        <v>www.agriturismoventodimare.it</v>
      </c>
    </row>
    <row r="1884" spans="1:6" ht="29.55" customHeight="1" x14ac:dyDescent="0.25">
      <c r="A1884" s="1" t="s">
        <v>7469</v>
      </c>
      <c r="B1884" s="7" t="s">
        <v>7470</v>
      </c>
      <c r="C1884" s="7" t="s">
        <v>7471</v>
      </c>
      <c r="D1884" s="7" t="s">
        <v>7472</v>
      </c>
      <c r="E1884" s="7" t="s">
        <v>7473</v>
      </c>
      <c r="F1884" s="7" t="str">
        <f>HYPERLINK("http://www.oltrelatte.it/","www.oltrelatte.it")</f>
        <v>www.oltrelatte.it</v>
      </c>
    </row>
    <row r="1885" spans="1:6" ht="29.55" customHeight="1" x14ac:dyDescent="0.25">
      <c r="A1885" s="6" t="s">
        <v>7474</v>
      </c>
      <c r="B1885" s="5" t="s">
        <v>7475</v>
      </c>
      <c r="C1885" s="5" t="s">
        <v>7476</v>
      </c>
      <c r="D1885" s="5" t="s">
        <v>7477</v>
      </c>
      <c r="E1885" s="5" t="s">
        <v>7457</v>
      </c>
      <c r="F1885" s="5" t="str">
        <f>HYPERLINK("http://paestuminn.com/","paestuminn.com")</f>
        <v>paestuminn.com</v>
      </c>
    </row>
    <row r="1886" spans="1:6" ht="29.55" customHeight="1" x14ac:dyDescent="0.25">
      <c r="A1886" s="6" t="s">
        <v>7480</v>
      </c>
      <c r="B1886" s="5" t="s">
        <v>7481</v>
      </c>
      <c r="C1886" s="5" t="s">
        <v>7482</v>
      </c>
      <c r="D1886" s="5" t="s">
        <v>7483</v>
      </c>
      <c r="E1886" s="5" t="s">
        <v>7484</v>
      </c>
      <c r="F1886" s="5" t="str">
        <f>HYPERLINK("http://cantinebriziarelli.it/","cantinebriziarelli.it")</f>
        <v>cantinebriziarelli.it</v>
      </c>
    </row>
    <row r="1887" spans="1:6" ht="29.55" customHeight="1" x14ac:dyDescent="0.25">
      <c r="A1887" s="6" t="s">
        <v>7485</v>
      </c>
      <c r="B1887" s="5" t="s">
        <v>7486</v>
      </c>
      <c r="C1887" s="5" t="s">
        <v>7487</v>
      </c>
      <c r="D1887" s="5" t="s">
        <v>7488</v>
      </c>
      <c r="E1887" s="5" t="s">
        <v>7489</v>
      </c>
      <c r="F1887" s="5" t="str">
        <f>HYPERLINK("http://www.villadinottola.com/","www.villadinottola.com")</f>
        <v>www.villadinottola.com</v>
      </c>
    </row>
    <row r="1888" spans="1:6" ht="29.55" customHeight="1" x14ac:dyDescent="0.25">
      <c r="A1888" s="1" t="s">
        <v>7490</v>
      </c>
      <c r="B1888" s="7" t="s">
        <v>7491</v>
      </c>
      <c r="C1888" s="7" t="s">
        <v>7487</v>
      </c>
      <c r="D1888" s="7" t="s">
        <v>7492</v>
      </c>
      <c r="E1888" s="7" t="s">
        <v>7492</v>
      </c>
      <c r="F1888" s="7" t="str">
        <f>HYPERLINK("http://olianas.it/","olianas.it")</f>
        <v>olianas.it</v>
      </c>
    </row>
    <row r="1889" spans="1:6" ht="29.55" customHeight="1" x14ac:dyDescent="0.25">
      <c r="A1889" s="6" t="s">
        <v>7493</v>
      </c>
      <c r="B1889" s="5" t="s">
        <v>7494</v>
      </c>
      <c r="C1889" s="5" t="s">
        <v>7487</v>
      </c>
      <c r="D1889" s="5" t="s">
        <v>7488</v>
      </c>
      <c r="E1889" s="5" t="s">
        <v>7489</v>
      </c>
      <c r="F1889" s="5" t="str">
        <f>HYPERLINK("http://www.terraantica.it/","www.terraantica.it")</f>
        <v>www.terraantica.it</v>
      </c>
    </row>
    <row r="1890" spans="1:6" ht="29.55" customHeight="1" x14ac:dyDescent="0.25">
      <c r="A1890" s="6" t="s">
        <v>7496</v>
      </c>
      <c r="B1890" s="5" t="s">
        <v>7497</v>
      </c>
      <c r="C1890" s="5" t="s">
        <v>7487</v>
      </c>
      <c r="D1890" s="5" t="s">
        <v>7498</v>
      </c>
      <c r="E1890" s="5" t="s">
        <v>7452</v>
      </c>
      <c r="F1890" s="5" t="str">
        <f>HYPERLINK("http://www.zerbina.com/","www.zerbina.com")</f>
        <v>www.zerbina.com</v>
      </c>
    </row>
    <row r="1891" spans="1:6" ht="16.95" customHeight="1" x14ac:dyDescent="0.25">
      <c r="A1891" s="6" t="s">
        <v>7499</v>
      </c>
      <c r="B1891" s="5" t="s">
        <v>7500</v>
      </c>
      <c r="C1891" s="5" t="s">
        <v>7501</v>
      </c>
      <c r="D1891" s="5" t="s">
        <v>7502</v>
      </c>
      <c r="E1891" s="5" t="s">
        <v>7458</v>
      </c>
      <c r="F1891" s="5" t="str">
        <f>HYPERLINK("http://www.agritrattor.it/","www.agritrattor.it")</f>
        <v>www.agritrattor.it</v>
      </c>
    </row>
    <row r="1892" spans="1:6" ht="43.05" customHeight="1" x14ac:dyDescent="0.25">
      <c r="A1892" s="6" t="s">
        <v>7503</v>
      </c>
      <c r="B1892" s="5" t="s">
        <v>7504</v>
      </c>
      <c r="C1892" s="5" t="s">
        <v>7487</v>
      </c>
      <c r="D1892" s="5" t="s">
        <v>7505</v>
      </c>
      <c r="E1892" s="5" t="s">
        <v>7492</v>
      </c>
      <c r="F1892" s="5" t="str">
        <f>HYPERLINK("http://www.cantinagiampietropuggioni.it/","www.cantinagiampietropuggioni.it")</f>
        <v>www.cantinagiampietropuggioni.it</v>
      </c>
    </row>
    <row r="1893" spans="1:6" ht="29.55" customHeight="1" x14ac:dyDescent="0.25">
      <c r="A1893" s="1" t="s">
        <v>7507</v>
      </c>
      <c r="B1893" s="7" t="s">
        <v>7508</v>
      </c>
      <c r="C1893" s="7" t="s">
        <v>7462</v>
      </c>
      <c r="D1893" s="7" t="s">
        <v>7509</v>
      </c>
      <c r="E1893" s="7" t="s">
        <v>7479</v>
      </c>
      <c r="F1893" s="7" t="str">
        <f>HYPERLINK("http://www.ceraudo.it/","www.ceraudo.it")</f>
        <v>www.ceraudo.it</v>
      </c>
    </row>
    <row r="1894" spans="1:6" ht="43.05" customHeight="1" x14ac:dyDescent="0.25">
      <c r="A1894" s="6" t="s">
        <v>7510</v>
      </c>
      <c r="B1894" s="5" t="s">
        <v>7511</v>
      </c>
      <c r="C1894" s="5" t="s">
        <v>7487</v>
      </c>
      <c r="D1894" s="5" t="s">
        <v>7512</v>
      </c>
      <c r="E1894" s="5" t="s">
        <v>7458</v>
      </c>
      <c r="F1894" s="5" t="str">
        <f>HYPERLINK("http://www.fondoantico.it/","www.fondoantico.it")</f>
        <v>www.fondoantico.it</v>
      </c>
    </row>
    <row r="1895" spans="1:6" ht="94.2" customHeight="1" x14ac:dyDescent="0.25">
      <c r="A1895" s="1" t="s">
        <v>7513</v>
      </c>
      <c r="B1895" s="7" t="s">
        <v>7514</v>
      </c>
      <c r="C1895" s="7" t="s">
        <v>7487</v>
      </c>
      <c r="D1895" s="7" t="s">
        <v>7515</v>
      </c>
      <c r="E1895" s="7" t="s">
        <v>7516</v>
      </c>
      <c r="F1895" s="7" t="str">
        <f>HYPERLINK("http://www.duemani.eu/","www.duemani.eu")</f>
        <v>www.duemani.eu</v>
      </c>
    </row>
    <row r="1896" spans="1:6" ht="29.55" customHeight="1" x14ac:dyDescent="0.25">
      <c r="A1896" s="6" t="s">
        <v>7517</v>
      </c>
      <c r="B1896" s="5" t="s">
        <v>7518</v>
      </c>
      <c r="C1896" s="5" t="s">
        <v>7459</v>
      </c>
      <c r="D1896" s="5" t="s">
        <v>7478</v>
      </c>
      <c r="E1896" s="5" t="s">
        <v>7479</v>
      </c>
      <c r="F1896" s="5" t="str">
        <f>HYPERLINK("http://www.nfruit.it/","www.nfruit.it")</f>
        <v>www.nfruit.it</v>
      </c>
    </row>
    <row r="1897" spans="1:6" ht="16.95" customHeight="1" x14ac:dyDescent="0.25">
      <c r="A1897" s="1" t="s">
        <v>7519</v>
      </c>
      <c r="B1897" s="7" t="s">
        <v>7520</v>
      </c>
      <c r="C1897" s="7" t="s">
        <v>7506</v>
      </c>
      <c r="D1897" s="7" t="s">
        <v>7521</v>
      </c>
      <c r="E1897" s="7" t="s">
        <v>7495</v>
      </c>
      <c r="F1897" s="7" t="str">
        <f>HYPERLINK("http://www.barbazzabonsai.it/","www.barbazzabonsai.it")</f>
        <v>www.barbazzabonsai.it</v>
      </c>
    </row>
    <row r="1898" spans="1:6" ht="43.05" customHeight="1" x14ac:dyDescent="0.25">
      <c r="A1898" s="1" t="s">
        <v>7525</v>
      </c>
      <c r="B1898" s="7" t="s">
        <v>7526</v>
      </c>
      <c r="C1898" s="7" t="s">
        <v>7527</v>
      </c>
      <c r="D1898" s="7" t="s">
        <v>7528</v>
      </c>
      <c r="E1898" s="7" t="s">
        <v>7529</v>
      </c>
      <c r="F1898" s="7" t="str">
        <f>HYPERLINK("http://www.personali.net/lavalpolicella/attivita/ciliegie3.html","www.personali.net/lavalpolicella/attivita/ciliegie3.html")</f>
        <v>www.personali.net/lavalpolicella/attivita/ciliegie3.html</v>
      </c>
    </row>
    <row r="1899" spans="1:6" ht="29.55" customHeight="1" x14ac:dyDescent="0.25">
      <c r="A1899" s="6" t="s">
        <v>7530</v>
      </c>
      <c r="B1899" s="5" t="s">
        <v>7531</v>
      </c>
      <c r="C1899" s="5" t="s">
        <v>7532</v>
      </c>
      <c r="D1899" s="5" t="s">
        <v>7533</v>
      </c>
      <c r="E1899" s="5" t="s">
        <v>7534</v>
      </c>
      <c r="F1899" s="5" t="str">
        <f>HYPERLINK("http://www.terremargaritelli.com/","www.terremargaritelli.com")</f>
        <v>www.terremargaritelli.com</v>
      </c>
    </row>
    <row r="1900" spans="1:6" ht="43.05" customHeight="1" x14ac:dyDescent="0.25">
      <c r="A1900" s="1" t="s">
        <v>7535</v>
      </c>
      <c r="B1900" s="7" t="s">
        <v>7536</v>
      </c>
      <c r="C1900" s="7" t="s">
        <v>7523</v>
      </c>
      <c r="D1900" s="7" t="s">
        <v>7537</v>
      </c>
      <c r="E1900" s="7" t="s">
        <v>7538</v>
      </c>
      <c r="F1900" s="7" t="str">
        <f>HYPERLINK("http://www.h2owassertechnik.it/","www.h2owassertechnik.it")</f>
        <v>www.h2owassertechnik.it</v>
      </c>
    </row>
    <row r="1901" spans="1:6" ht="29.55" customHeight="1" x14ac:dyDescent="0.25">
      <c r="A1901" s="1" t="s">
        <v>7541</v>
      </c>
      <c r="B1901" s="7" t="s">
        <v>7542</v>
      </c>
      <c r="C1901" s="7" t="s">
        <v>7532</v>
      </c>
      <c r="D1901" s="7" t="s">
        <v>7543</v>
      </c>
      <c r="E1901" s="7" t="s">
        <v>7544</v>
      </c>
      <c r="F1901" s="7" t="str">
        <f>HYPERLINK("http://www.poggiotorselli.it/","www.poggiotorselli.it")</f>
        <v>www.poggiotorselli.it</v>
      </c>
    </row>
    <row r="1902" spans="1:6" ht="29.55" customHeight="1" x14ac:dyDescent="0.25">
      <c r="A1902" s="6" t="s">
        <v>7545</v>
      </c>
      <c r="B1902" s="5" t="s">
        <v>7546</v>
      </c>
      <c r="C1902" s="5" t="s">
        <v>7532</v>
      </c>
      <c r="D1902" s="5" t="s">
        <v>7547</v>
      </c>
      <c r="E1902" s="5" t="s">
        <v>7548</v>
      </c>
      <c r="F1902" s="5" t="str">
        <f>HYPERLINK("http://tenutesella.it/","tenutesella.it")</f>
        <v>tenutesella.it</v>
      </c>
    </row>
    <row r="1903" spans="1:6" ht="43.05" customHeight="1" x14ac:dyDescent="0.25">
      <c r="A1903" s="6" t="s">
        <v>7549</v>
      </c>
      <c r="B1903" s="5" t="s">
        <v>7550</v>
      </c>
      <c r="C1903" s="5" t="s">
        <v>7551</v>
      </c>
      <c r="D1903" s="5" t="s">
        <v>7552</v>
      </c>
      <c r="E1903" s="5" t="s">
        <v>7553</v>
      </c>
      <c r="F1903" s="5" t="str">
        <f>HYPERLINK("https://olioaureum.it/","https://olioaureum.it")</f>
        <v>https://olioaureum.it</v>
      </c>
    </row>
    <row r="1904" spans="1:6" ht="29.55" customHeight="1" x14ac:dyDescent="0.25">
      <c r="A1904" s="1" t="s">
        <v>7554</v>
      </c>
      <c r="B1904" s="7" t="s">
        <v>7555</v>
      </c>
      <c r="C1904" s="7" t="s">
        <v>7532</v>
      </c>
      <c r="D1904" s="7" t="s">
        <v>7533</v>
      </c>
      <c r="E1904" s="7" t="s">
        <v>7534</v>
      </c>
      <c r="F1904" s="7" t="str">
        <f>HYPERLINK("http://perticaia.it/","perticaia.it")</f>
        <v>perticaia.it</v>
      </c>
    </row>
    <row r="1905" spans="1:6" ht="29.55" customHeight="1" x14ac:dyDescent="0.25">
      <c r="A1905" s="6" t="s">
        <v>7556</v>
      </c>
      <c r="B1905" s="5" t="s">
        <v>7557</v>
      </c>
      <c r="C1905" s="5" t="s">
        <v>7558</v>
      </c>
      <c r="D1905" s="5" t="s">
        <v>7539</v>
      </c>
      <c r="E1905" s="5" t="s">
        <v>7540</v>
      </c>
      <c r="F1905" s="5" t="str">
        <f>HYPERLINK("http://www.vecchiamasseria.com/","www.vecchiamasseria.com")</f>
        <v>www.vecchiamasseria.com</v>
      </c>
    </row>
    <row r="1906" spans="1:6" ht="29.55" customHeight="1" x14ac:dyDescent="0.25">
      <c r="A1906" s="1" t="s">
        <v>7559</v>
      </c>
      <c r="B1906" s="7" t="s">
        <v>7560</v>
      </c>
      <c r="C1906" s="7" t="s">
        <v>7532</v>
      </c>
      <c r="D1906" s="7" t="s">
        <v>7561</v>
      </c>
      <c r="E1906" s="7" t="s">
        <v>7544</v>
      </c>
      <c r="F1906" s="7" t="str">
        <f>HYPERLINK("http://www.cerbaiona.com/","www.cerbaiona.com")</f>
        <v>www.cerbaiona.com</v>
      </c>
    </row>
    <row r="1907" spans="1:6" ht="29.55" customHeight="1" x14ac:dyDescent="0.25">
      <c r="A1907" s="1" t="s">
        <v>7562</v>
      </c>
      <c r="B1907" s="7" t="s">
        <v>7563</v>
      </c>
      <c r="C1907" s="7" t="s">
        <v>7564</v>
      </c>
      <c r="D1907" s="7" t="s">
        <v>7565</v>
      </c>
      <c r="E1907" s="7" t="s">
        <v>7566</v>
      </c>
      <c r="F1907" s="7" t="str">
        <f>HYPERLINK("http://www.bagaggera.eu/","www.bagaggera.eu")</f>
        <v>www.bagaggera.eu</v>
      </c>
    </row>
    <row r="1908" spans="1:6" ht="29.55" customHeight="1" x14ac:dyDescent="0.25">
      <c r="A1908" s="6" t="s">
        <v>7567</v>
      </c>
      <c r="B1908" s="5" t="s">
        <v>7568</v>
      </c>
      <c r="C1908" s="5" t="s">
        <v>7532</v>
      </c>
      <c r="D1908" s="5" t="s">
        <v>7569</v>
      </c>
      <c r="E1908" s="5" t="s">
        <v>7548</v>
      </c>
      <c r="F1908" s="5" t="str">
        <f>HYPERLINK("http://tenutarocca.com/","tenutarocca.com")</f>
        <v>tenutarocca.com</v>
      </c>
    </row>
    <row r="1909" spans="1:6" ht="29.55" customHeight="1" x14ac:dyDescent="0.25">
      <c r="A1909" s="1" t="s">
        <v>7570</v>
      </c>
      <c r="B1909" s="7" t="s">
        <v>7571</v>
      </c>
      <c r="C1909" s="7" t="s">
        <v>7572</v>
      </c>
      <c r="D1909" s="7" t="s">
        <v>7573</v>
      </c>
      <c r="E1909" s="7" t="s">
        <v>7544</v>
      </c>
      <c r="F1909" s="7" t="str">
        <f>HYPERLINK("http://www.poderemaremma.it/","www.poderemaremma.it")</f>
        <v>www.poderemaremma.it</v>
      </c>
    </row>
    <row r="1910" spans="1:6" ht="29.55" customHeight="1" x14ac:dyDescent="0.25">
      <c r="A1910" s="6" t="s">
        <v>7574</v>
      </c>
      <c r="B1910" s="5" t="s">
        <v>7575</v>
      </c>
      <c r="C1910" s="5" t="s">
        <v>7576</v>
      </c>
      <c r="D1910" s="5" t="s">
        <v>7577</v>
      </c>
      <c r="E1910" s="5" t="s">
        <v>7524</v>
      </c>
      <c r="F1910" s="5" t="str">
        <f>HYPERLINK("http://www.tenutatambaro.it/","www.tenutatambaro.it")</f>
        <v>www.tenutatambaro.it</v>
      </c>
    </row>
    <row r="1911" spans="1:6" ht="29.55" customHeight="1" x14ac:dyDescent="0.25">
      <c r="A1911" s="6" t="s">
        <v>7578</v>
      </c>
      <c r="B1911" s="5" t="s">
        <v>7579</v>
      </c>
      <c r="C1911" s="5" t="s">
        <v>7522</v>
      </c>
      <c r="D1911" s="5" t="s">
        <v>7580</v>
      </c>
      <c r="E1911" s="5" t="s">
        <v>7524</v>
      </c>
      <c r="F1911" s="5" t="str">
        <f>HYPERLINK("http://www.ovomont.it/","http://www.ovomont.it/")</f>
        <v>http://www.ovomont.it/</v>
      </c>
    </row>
    <row r="1912" spans="1:6" ht="29.55" customHeight="1" x14ac:dyDescent="0.25">
      <c r="A1912" s="1" t="s">
        <v>7581</v>
      </c>
      <c r="B1912" s="7" t="s">
        <v>7582</v>
      </c>
      <c r="C1912" s="7" t="s">
        <v>7583</v>
      </c>
      <c r="D1912" s="7" t="s">
        <v>7584</v>
      </c>
      <c r="E1912" s="7" t="s">
        <v>7585</v>
      </c>
      <c r="F1912" s="7" t="str">
        <f>HYPERLINK("http://greengrass.it/","greengrass.it")</f>
        <v>greengrass.it</v>
      </c>
    </row>
    <row r="1913" spans="1:6" ht="43.05" customHeight="1" x14ac:dyDescent="0.25">
      <c r="A1913" s="6" t="s">
        <v>7586</v>
      </c>
      <c r="B1913" s="5" t="s">
        <v>7587</v>
      </c>
      <c r="C1913" s="5" t="s">
        <v>7588</v>
      </c>
      <c r="D1913" s="5" t="s">
        <v>7589</v>
      </c>
      <c r="E1913" s="5" t="s">
        <v>7590</v>
      </c>
      <c r="F1913" s="5" t="str">
        <f>HYPERLINK("http://www.cesanesedelpiglio.it/","www.cesanesedelpiglio.it")</f>
        <v>www.cesanesedelpiglio.it</v>
      </c>
    </row>
    <row r="1914" spans="1:6" ht="29.55" customHeight="1" x14ac:dyDescent="0.25">
      <c r="A1914" s="1" t="s">
        <v>7591</v>
      </c>
      <c r="B1914" s="7" t="s">
        <v>7592</v>
      </c>
      <c r="C1914" s="7" t="s">
        <v>7588</v>
      </c>
      <c r="D1914" s="7" t="s">
        <v>7593</v>
      </c>
      <c r="E1914" s="7" t="s">
        <v>7585</v>
      </c>
      <c r="F1914" s="7" t="str">
        <f>HYPERLINK("http://shop.tenutadelleripalte.it/","shop.tenutadelleripalte.it")</f>
        <v>shop.tenutadelleripalte.it</v>
      </c>
    </row>
    <row r="1915" spans="1:6" ht="29.55" customHeight="1" x14ac:dyDescent="0.25">
      <c r="A1915" s="6" t="s">
        <v>7594</v>
      </c>
      <c r="B1915" s="5" t="s">
        <v>7595</v>
      </c>
      <c r="C1915" s="5" t="s">
        <v>7596</v>
      </c>
      <c r="D1915" s="5" t="s">
        <v>7597</v>
      </c>
      <c r="E1915" s="5" t="s">
        <v>7598</v>
      </c>
      <c r="F1915" s="5" t="str">
        <f>HYPERLINK("http://www.porcellanasementi.com/","www.porcellanasementi.com")</f>
        <v>www.porcellanasementi.com</v>
      </c>
    </row>
    <row r="1916" spans="1:6" ht="81.75" customHeight="1" x14ac:dyDescent="0.25">
      <c r="A1916" s="6" t="s">
        <v>7600</v>
      </c>
      <c r="B1916" s="5" t="s">
        <v>7601</v>
      </c>
      <c r="C1916" s="5" t="s">
        <v>7602</v>
      </c>
      <c r="D1916" s="5" t="s">
        <v>7603</v>
      </c>
      <c r="E1916" s="5" t="s">
        <v>7604</v>
      </c>
      <c r="F1916" s="5" t="str">
        <f>HYPERLINK("http://liberaterrapuglia.wordpress.com/about","liberaterrapuglia.wordpress.com/about")</f>
        <v>liberaterrapuglia.wordpress.com/about</v>
      </c>
    </row>
    <row r="1917" spans="1:6" ht="29.55" customHeight="1" x14ac:dyDescent="0.25">
      <c r="A1917" s="1" t="s">
        <v>7605</v>
      </c>
      <c r="B1917" s="7" t="s">
        <v>7606</v>
      </c>
      <c r="C1917" s="7" t="s">
        <v>7596</v>
      </c>
      <c r="D1917" s="7" t="s">
        <v>7607</v>
      </c>
      <c r="E1917" s="7" t="s">
        <v>7608</v>
      </c>
      <c r="F1917" s="7" t="str">
        <f>HYPERLINK("http://natale.puntogarden.it/","natale.puntogarden.it")</f>
        <v>natale.puntogarden.it</v>
      </c>
    </row>
    <row r="1918" spans="1:6" ht="29.55" customHeight="1" x14ac:dyDescent="0.25">
      <c r="A1918" s="6" t="s">
        <v>7609</v>
      </c>
      <c r="B1918" s="5" t="s">
        <v>7610</v>
      </c>
      <c r="C1918" s="5" t="s">
        <v>7611</v>
      </c>
      <c r="D1918" s="5" t="s">
        <v>7612</v>
      </c>
      <c r="E1918" s="5" t="s">
        <v>7585</v>
      </c>
      <c r="F1918" s="5" t="str">
        <f>HYPERLINK("http://www.fattorialapalagina.it/","www.fattorialapalagina.it")</f>
        <v>www.fattorialapalagina.it</v>
      </c>
    </row>
    <row r="1919" spans="1:6" ht="29.55" customHeight="1" x14ac:dyDescent="0.25">
      <c r="A1919" s="1" t="s">
        <v>7613</v>
      </c>
      <c r="B1919" s="7" t="s">
        <v>7614</v>
      </c>
      <c r="C1919" s="7" t="s">
        <v>7602</v>
      </c>
      <c r="D1919" s="7" t="s">
        <v>7615</v>
      </c>
      <c r="E1919" s="7" t="s">
        <v>7616</v>
      </c>
      <c r="F1919" s="7" t="str">
        <f>HYPERLINK("http://www.casteldoria.it/","www.casteldoria.it")</f>
        <v>www.casteldoria.it</v>
      </c>
    </row>
    <row r="1920" spans="1:6" ht="16.95" customHeight="1" x14ac:dyDescent="0.25">
      <c r="A1920" s="6" t="s">
        <v>7618</v>
      </c>
      <c r="B1920" s="5" t="s">
        <v>7619</v>
      </c>
      <c r="C1920" s="5" t="s">
        <v>7599</v>
      </c>
      <c r="D1920" s="5" t="s">
        <v>7620</v>
      </c>
      <c r="E1920" s="5" t="s">
        <v>7617</v>
      </c>
      <c r="F1920" s="5" t="str">
        <f>HYPERLINK("http://www.ortoagrigarden.com/","www.ortoagrigarden.com")</f>
        <v>www.ortoagrigarden.com</v>
      </c>
    </row>
    <row r="1921" spans="1:6" ht="29.55" customHeight="1" x14ac:dyDescent="0.25">
      <c r="A1921" s="1" t="s">
        <v>7621</v>
      </c>
      <c r="B1921" s="7" t="s">
        <v>7622</v>
      </c>
      <c r="C1921" s="7" t="s">
        <v>7623</v>
      </c>
      <c r="D1921" s="7" t="s">
        <v>7624</v>
      </c>
      <c r="E1921" s="7" t="s">
        <v>7625</v>
      </c>
      <c r="F1921" s="7" t="str">
        <f>HYPERLINK("http://www.pietracavalla.com/","www.pietracavalla.com")</f>
        <v>www.pietracavalla.com</v>
      </c>
    </row>
    <row r="1922" spans="1:6" ht="29.55" customHeight="1" x14ac:dyDescent="0.25">
      <c r="A1922" s="6" t="s">
        <v>7627</v>
      </c>
      <c r="B1922" s="5" t="s">
        <v>7628</v>
      </c>
      <c r="C1922" s="5" t="s">
        <v>7588</v>
      </c>
      <c r="D1922" s="5" t="s">
        <v>7612</v>
      </c>
      <c r="E1922" s="5" t="s">
        <v>7585</v>
      </c>
      <c r="F1922" s="5" t="str">
        <f>HYPERLINK("http://terreno.eu/","terreno.eu")</f>
        <v>terreno.eu</v>
      </c>
    </row>
    <row r="1923" spans="1:6" ht="29.55" customHeight="1" x14ac:dyDescent="0.25">
      <c r="A1923" s="1" t="s">
        <v>7629</v>
      </c>
      <c r="B1923" s="7" t="s">
        <v>7630</v>
      </c>
      <c r="C1923" s="7" t="s">
        <v>7602</v>
      </c>
      <c r="D1923" s="7" t="s">
        <v>7631</v>
      </c>
      <c r="E1923" s="7" t="s">
        <v>7626</v>
      </c>
      <c r="F1923" s="7" t="str">
        <f>HYPERLINK("http://fooditaliae.com/","fooditaliae.com")</f>
        <v>fooditaliae.com</v>
      </c>
    </row>
    <row r="1924" spans="1:6" ht="29.55" customHeight="1" x14ac:dyDescent="0.25">
      <c r="A1924" s="6" t="s">
        <v>7632</v>
      </c>
      <c r="B1924" s="5" t="s">
        <v>7633</v>
      </c>
      <c r="C1924" s="5" t="s">
        <v>7583</v>
      </c>
      <c r="D1924" s="5" t="s">
        <v>7634</v>
      </c>
      <c r="E1924" s="5" t="s">
        <v>7617</v>
      </c>
      <c r="F1924" s="5" t="str">
        <f>HYPERLINK("http://www.agriverdesa.it/","www.agriverdesa.it")</f>
        <v>www.agriverdesa.it</v>
      </c>
    </row>
    <row r="1925" spans="1:6" ht="43.05" customHeight="1" x14ac:dyDescent="0.25">
      <c r="A1925" s="6" t="s">
        <v>7635</v>
      </c>
      <c r="B1925" s="5" t="s">
        <v>7636</v>
      </c>
      <c r="C1925" s="5" t="s">
        <v>7588</v>
      </c>
      <c r="D1925" s="5" t="s">
        <v>7624</v>
      </c>
      <c r="E1925" s="5" t="s">
        <v>7625</v>
      </c>
      <c r="F1925" s="5" t="str">
        <f>HYPERLINK("http://montecicogna.it/","montecicogna.it")</f>
        <v>montecicogna.it</v>
      </c>
    </row>
    <row r="1926" spans="1:6" ht="29.55" customHeight="1" x14ac:dyDescent="0.25">
      <c r="A1926" s="6" t="s">
        <v>7637</v>
      </c>
      <c r="B1926" s="5" t="s">
        <v>7638</v>
      </c>
      <c r="C1926" s="5" t="s">
        <v>7639</v>
      </c>
      <c r="D1926" s="5" t="s">
        <v>7640</v>
      </c>
      <c r="E1926" s="5" t="s">
        <v>7641</v>
      </c>
      <c r="F1926" s="5" t="str">
        <f>HYPERLINK("http://www.boscoalbano.com/","www.boscoalbano.com")</f>
        <v>www.boscoalbano.com</v>
      </c>
    </row>
    <row r="1927" spans="1:6" ht="29.55" customHeight="1" x14ac:dyDescent="0.25">
      <c r="A1927" s="6" t="s">
        <v>7647</v>
      </c>
      <c r="B1927" s="5" t="s">
        <v>7648</v>
      </c>
      <c r="C1927" s="5" t="s">
        <v>7639</v>
      </c>
      <c r="D1927" s="5" t="s">
        <v>7649</v>
      </c>
      <c r="E1927" s="5" t="s">
        <v>7644</v>
      </c>
      <c r="F1927" s="5" t="str">
        <f>HYPERLINK("http://www.masterfruit.it/","www.masterfruit.it")</f>
        <v>www.masterfruit.it</v>
      </c>
    </row>
    <row r="1928" spans="1:6" ht="29.55" customHeight="1" x14ac:dyDescent="0.25">
      <c r="A1928" s="1" t="s">
        <v>7650</v>
      </c>
      <c r="B1928" s="7" t="s">
        <v>7651</v>
      </c>
      <c r="C1928" s="7" t="s">
        <v>7642</v>
      </c>
      <c r="D1928" s="7" t="s">
        <v>7652</v>
      </c>
      <c r="E1928" s="7" t="s">
        <v>7646</v>
      </c>
      <c r="F1928" s="7" t="str">
        <f>HYPERLINK("http://www.saporedisardegna.it/","www.saporedisardegna.it")</f>
        <v>www.saporedisardegna.it</v>
      </c>
    </row>
    <row r="1929" spans="1:6" ht="29.55" customHeight="1" x14ac:dyDescent="0.25">
      <c r="A1929" s="6" t="s">
        <v>7653</v>
      </c>
      <c r="B1929" s="5" t="s">
        <v>7654</v>
      </c>
      <c r="C1929" s="5" t="s">
        <v>7655</v>
      </c>
      <c r="D1929" s="5" t="s">
        <v>7656</v>
      </c>
      <c r="E1929" s="5" t="s">
        <v>7657</v>
      </c>
      <c r="F1929" s="5" t="str">
        <f>HYPERLINK("http://shop.poderevaldorcia.com/","shop.poderevaldorcia.com")</f>
        <v>shop.poderevaldorcia.com</v>
      </c>
    </row>
    <row r="1930" spans="1:6" ht="29.55" customHeight="1" x14ac:dyDescent="0.25">
      <c r="A1930" s="1" t="s">
        <v>7660</v>
      </c>
      <c r="B1930" s="7" t="s">
        <v>7661</v>
      </c>
      <c r="C1930" s="7" t="s">
        <v>7662</v>
      </c>
      <c r="D1930" s="7" t="s">
        <v>7663</v>
      </c>
      <c r="E1930" s="7" t="s">
        <v>7664</v>
      </c>
      <c r="F1930" s="7" t="str">
        <f>HYPERLINK("http://vivaioeffezeta.com/","vivaioeffezeta.com")</f>
        <v>vivaioeffezeta.com</v>
      </c>
    </row>
    <row r="1931" spans="1:6" ht="29.55" customHeight="1" x14ac:dyDescent="0.25">
      <c r="A1931" s="6" t="s">
        <v>7665</v>
      </c>
      <c r="B1931" s="5" t="s">
        <v>7666</v>
      </c>
      <c r="C1931" s="5" t="s">
        <v>7642</v>
      </c>
      <c r="D1931" s="5" t="s">
        <v>7649</v>
      </c>
      <c r="E1931" s="5" t="s">
        <v>7644</v>
      </c>
      <c r="F1931" s="5" t="str">
        <f>HYPERLINK("http://www.agrilarosasrl.it/","www.agrilarosasrl.it")</f>
        <v>www.agrilarosasrl.it</v>
      </c>
    </row>
    <row r="1932" spans="1:6" ht="16.95" customHeight="1" x14ac:dyDescent="0.25">
      <c r="A1932" s="1" t="s">
        <v>7667</v>
      </c>
      <c r="B1932" s="7" t="s">
        <v>7668</v>
      </c>
      <c r="C1932" s="7" t="s">
        <v>7645</v>
      </c>
      <c r="D1932" s="7" t="s">
        <v>7669</v>
      </c>
      <c r="E1932" s="7" t="s">
        <v>7670</v>
      </c>
      <c r="F1932" s="7" t="str">
        <f>HYPERLINK("http://granda.srl/","granda.srl")</f>
        <v>granda.srl</v>
      </c>
    </row>
    <row r="1933" spans="1:6" ht="29.55" customHeight="1" x14ac:dyDescent="0.25">
      <c r="A1933" s="6" t="s">
        <v>7671</v>
      </c>
      <c r="B1933" s="5" t="s">
        <v>7672</v>
      </c>
      <c r="C1933" s="5" t="s">
        <v>7639</v>
      </c>
      <c r="D1933" s="5" t="s">
        <v>7673</v>
      </c>
      <c r="E1933" s="5" t="s">
        <v>7674</v>
      </c>
      <c r="F1933" s="5" t="str">
        <f>HYPERLINK("http://www.vignadogarina.com/","http://www.vignadogarina.com")</f>
        <v>http://www.vignadogarina.com</v>
      </c>
    </row>
    <row r="1934" spans="1:6" ht="29.55" customHeight="1" x14ac:dyDescent="0.25">
      <c r="A1934" s="1" t="s">
        <v>7675</v>
      </c>
      <c r="B1934" s="7" t="s">
        <v>7676</v>
      </c>
      <c r="C1934" s="7" t="s">
        <v>7677</v>
      </c>
      <c r="D1934" s="7" t="s">
        <v>7678</v>
      </c>
      <c r="E1934" s="7" t="s">
        <v>7678</v>
      </c>
      <c r="F1934" s="7" t="str">
        <f>HYPERLINK("http://www.panizzicourmayeur.com/","www.panizzicourmayeur.com")</f>
        <v>www.panizzicourmayeur.com</v>
      </c>
    </row>
    <row r="1935" spans="1:6" ht="43.05" customHeight="1" x14ac:dyDescent="0.25">
      <c r="A1935" s="6" t="s">
        <v>7679</v>
      </c>
      <c r="B1935" s="5" t="s">
        <v>7680</v>
      </c>
      <c r="C1935" s="5" t="s">
        <v>7681</v>
      </c>
      <c r="D1935" s="5" t="s">
        <v>7682</v>
      </c>
      <c r="E1935" s="5" t="s">
        <v>7657</v>
      </c>
      <c r="F1935" s="5" t="str">
        <f>HYPERLINK("http://www.spoolivi.com/","www.spoolivi.com")</f>
        <v>www.spoolivi.com</v>
      </c>
    </row>
    <row r="1936" spans="1:6" ht="29.55" customHeight="1" x14ac:dyDescent="0.25">
      <c r="A1936" s="1" t="s">
        <v>7683</v>
      </c>
      <c r="B1936" s="7" t="s">
        <v>7684</v>
      </c>
      <c r="C1936" s="7" t="s">
        <v>7639</v>
      </c>
      <c r="D1936" s="7" t="s">
        <v>7663</v>
      </c>
      <c r="E1936" s="7" t="s">
        <v>7664</v>
      </c>
      <c r="F1936" s="7" t="str">
        <f>HYPERLINK("http://www.tenimentidalessandro.it/","www.tenimentidalessandro.it")</f>
        <v>www.tenimentidalessandro.it</v>
      </c>
    </row>
    <row r="1937" spans="1:6" ht="16.95" customHeight="1" x14ac:dyDescent="0.25">
      <c r="A1937" s="6" t="s">
        <v>7685</v>
      </c>
      <c r="B1937" s="5" t="s">
        <v>7686</v>
      </c>
      <c r="C1937" s="5" t="s">
        <v>7655</v>
      </c>
      <c r="D1937" s="5" t="s">
        <v>7658</v>
      </c>
      <c r="E1937" s="5" t="s">
        <v>7659</v>
      </c>
      <c r="F1937" s="5" t="str">
        <f>HYPERLINK("http://store.pianogrillo.it/","store.pianogrillo.it")</f>
        <v>store.pianogrillo.it</v>
      </c>
    </row>
    <row r="1938" spans="1:6" ht="29.55" customHeight="1" x14ac:dyDescent="0.25">
      <c r="A1938" s="6" t="s">
        <v>7688</v>
      </c>
      <c r="B1938" s="5" t="s">
        <v>7689</v>
      </c>
      <c r="C1938" s="5" t="s">
        <v>7642</v>
      </c>
      <c r="D1938" s="5" t="s">
        <v>7643</v>
      </c>
      <c r="E1938" s="5" t="s">
        <v>7644</v>
      </c>
      <c r="F1938" s="5" t="str">
        <f>HYPERLINK("http://www.postafaugno.com/","www.postafaugno.com")</f>
        <v>www.postafaugno.com</v>
      </c>
    </row>
    <row r="1939" spans="1:6" ht="29.55" customHeight="1" x14ac:dyDescent="0.25">
      <c r="A1939" s="1" t="s">
        <v>7690</v>
      </c>
      <c r="B1939" s="7" t="s">
        <v>7691</v>
      </c>
      <c r="C1939" s="7" t="s">
        <v>7681</v>
      </c>
      <c r="D1939" s="7" t="s">
        <v>7692</v>
      </c>
      <c r="E1939" s="7" t="s">
        <v>7693</v>
      </c>
      <c r="F1939" s="7" t="str">
        <f>HYPERLINK("http://www.laserrafiorita.it/","www.laserrafiorita.it")</f>
        <v>www.laserrafiorita.it</v>
      </c>
    </row>
    <row r="1940" spans="1:6" ht="29.55" customHeight="1" x14ac:dyDescent="0.25">
      <c r="A1940" s="6" t="s">
        <v>7694</v>
      </c>
      <c r="B1940" s="5" t="s">
        <v>7695</v>
      </c>
      <c r="C1940" s="5" t="s">
        <v>7687</v>
      </c>
      <c r="D1940" s="5" t="s">
        <v>7696</v>
      </c>
      <c r="E1940" s="5" t="s">
        <v>7674</v>
      </c>
      <c r="F1940" s="5" t="str">
        <f>HYPERLINK("http://www.tenutavillabellini.com/","www.tenutavillabellini.com")</f>
        <v>www.tenutavillabellini.com</v>
      </c>
    </row>
    <row r="1941" spans="1:6" ht="29.55" customHeight="1" x14ac:dyDescent="0.25">
      <c r="A1941" s="6" t="s">
        <v>7698</v>
      </c>
      <c r="B1941" s="5" t="s">
        <v>7699</v>
      </c>
      <c r="C1941" s="5" t="s">
        <v>7700</v>
      </c>
      <c r="D1941" s="5" t="s">
        <v>7701</v>
      </c>
      <c r="E1941" s="5" t="s">
        <v>7697</v>
      </c>
      <c r="F1941" s="5" t="str">
        <f>HYPERLINK("http://1701franciacorta.com/","1701franciacorta.com")</f>
        <v>1701franciacorta.com</v>
      </c>
    </row>
    <row r="1942" spans="1:6" ht="94.2" customHeight="1" x14ac:dyDescent="0.25">
      <c r="A1942" s="1" t="s">
        <v>7703</v>
      </c>
      <c r="B1942" s="7" t="s">
        <v>7704</v>
      </c>
      <c r="C1942" s="7" t="s">
        <v>7705</v>
      </c>
      <c r="D1942" s="7" t="s">
        <v>7706</v>
      </c>
      <c r="E1942" s="7" t="s">
        <v>7707</v>
      </c>
      <c r="F1942" s="7" t="str">
        <f>HYPERLINK("http://www.tenutamusone.com/","www.tenutamusone.com")</f>
        <v>www.tenutamusone.com</v>
      </c>
    </row>
    <row r="1943" spans="1:6" ht="29.55" customHeight="1" x14ac:dyDescent="0.25">
      <c r="A1943" s="6" t="s">
        <v>7708</v>
      </c>
      <c r="B1943" s="5" t="s">
        <v>7709</v>
      </c>
      <c r="C1943" s="5" t="s">
        <v>7710</v>
      </c>
      <c r="D1943" s="5" t="s">
        <v>7711</v>
      </c>
      <c r="E1943" s="5" t="s">
        <v>7712</v>
      </c>
      <c r="F1943" s="5" t="str">
        <f>HYPERLINK("http://www.anteoagricola.it/","www.anteoagricola.it")</f>
        <v>www.anteoagricola.it</v>
      </c>
    </row>
    <row r="1944" spans="1:6" ht="29.55" customHeight="1" x14ac:dyDescent="0.25">
      <c r="A1944" s="6" t="s">
        <v>7714</v>
      </c>
      <c r="B1944" s="5" t="s">
        <v>7715</v>
      </c>
      <c r="C1944" s="5" t="s">
        <v>7700</v>
      </c>
      <c r="D1944" s="5" t="s">
        <v>7716</v>
      </c>
      <c r="E1944" s="5" t="s">
        <v>7702</v>
      </c>
      <c r="F1944" s="5" t="str">
        <f>HYPERLINK("http://www.bassiviniaziendaagricola.com/","www.bassiviniaziendaagricola.com")</f>
        <v>www.bassiviniaziendaagricola.com</v>
      </c>
    </row>
    <row r="1945" spans="1:6" ht="29.55" customHeight="1" x14ac:dyDescent="0.25">
      <c r="A1945" s="1" t="s">
        <v>7718</v>
      </c>
      <c r="B1945" s="7" t="s">
        <v>7719</v>
      </c>
      <c r="C1945" s="7" t="s">
        <v>7713</v>
      </c>
      <c r="D1945" s="7" t="s">
        <v>7720</v>
      </c>
      <c r="E1945" s="7" t="s">
        <v>7702</v>
      </c>
      <c r="F1945" s="7" t="str">
        <f>HYPERLINK("http://montoneemiliana.it/","montoneemiliana.it")</f>
        <v>montoneemiliana.it</v>
      </c>
    </row>
    <row r="1946" spans="1:6" ht="29.55" customHeight="1" x14ac:dyDescent="0.25">
      <c r="A1946" s="6" t="s">
        <v>7721</v>
      </c>
      <c r="B1946" s="5" t="s">
        <v>7722</v>
      </c>
      <c r="C1946" s="5" t="s">
        <v>7723</v>
      </c>
      <c r="D1946" s="5" t="s">
        <v>7724</v>
      </c>
      <c r="E1946" s="5" t="s">
        <v>7725</v>
      </c>
      <c r="F1946" s="5" t="str">
        <f>HYPERLINK("http://www.armaiolo.it/","www.armaiolo.it")</f>
        <v>www.armaiolo.it</v>
      </c>
    </row>
    <row r="1947" spans="1:6" ht="43.05" customHeight="1" x14ac:dyDescent="0.25">
      <c r="A1947" s="6" t="s">
        <v>7729</v>
      </c>
      <c r="B1947" s="5" t="s">
        <v>7730</v>
      </c>
      <c r="C1947" s="5" t="s">
        <v>7723</v>
      </c>
      <c r="D1947" s="5" t="s">
        <v>7731</v>
      </c>
      <c r="E1947" s="5" t="s">
        <v>7727</v>
      </c>
      <c r="F1947" s="5" t="str">
        <f>HYPERLINK("http://www.vivaitoffoli.com/","www.vivaitoffoli.com")</f>
        <v>www.vivaitoffoli.com</v>
      </c>
    </row>
    <row r="1948" spans="1:6" ht="16.95" customHeight="1" x14ac:dyDescent="0.25">
      <c r="A1948" s="1" t="s">
        <v>7732</v>
      </c>
      <c r="B1948" s="7" t="s">
        <v>7733</v>
      </c>
      <c r="C1948" s="7" t="s">
        <v>7728</v>
      </c>
      <c r="D1948" s="7" t="s">
        <v>7726</v>
      </c>
      <c r="E1948" s="7" t="s">
        <v>7717</v>
      </c>
      <c r="F1948" s="7" t="str">
        <f>HYPERLINK("http://danielacardillo.wixsite.com/","danielacardillo.wixsite.com")</f>
        <v>danielacardillo.wixsite.com</v>
      </c>
    </row>
    <row r="1949" spans="1:6" ht="55.65" customHeight="1" x14ac:dyDescent="0.25">
      <c r="A1949" s="6" t="s">
        <v>7734</v>
      </c>
      <c r="B1949" s="5" t="s">
        <v>7735</v>
      </c>
      <c r="C1949" s="5" t="s">
        <v>7700</v>
      </c>
      <c r="D1949" s="5" t="s">
        <v>7736</v>
      </c>
      <c r="E1949" s="5" t="s">
        <v>7737</v>
      </c>
      <c r="F1949" s="5" t="str">
        <f>HYPERLINK("http://www.calafata.it/","www.calafata.it")</f>
        <v>www.calafata.it</v>
      </c>
    </row>
    <row r="1950" spans="1:6" ht="29.55" customHeight="1" x14ac:dyDescent="0.25">
      <c r="A1950" s="6" t="s">
        <v>7738</v>
      </c>
      <c r="B1950" s="5" t="s">
        <v>7739</v>
      </c>
      <c r="C1950" s="5" t="s">
        <v>7740</v>
      </c>
      <c r="D1950" s="5" t="s">
        <v>7741</v>
      </c>
      <c r="E1950" s="5" t="s">
        <v>7737</v>
      </c>
      <c r="F1950" s="5" t="str">
        <f>HYPERLINK("http://www.htsverdesportivo.com/","www.htsverdesportivo.com")</f>
        <v>www.htsverdesportivo.com</v>
      </c>
    </row>
    <row r="1951" spans="1:6" ht="81.75" customHeight="1" x14ac:dyDescent="0.25">
      <c r="A1951" s="1" t="s">
        <v>7742</v>
      </c>
      <c r="B1951" s="7" t="s">
        <v>7743</v>
      </c>
      <c r="C1951" s="7" t="s">
        <v>7744</v>
      </c>
      <c r="D1951" s="7" t="s">
        <v>7745</v>
      </c>
      <c r="E1951" s="7" t="s">
        <v>7746</v>
      </c>
      <c r="F1951" s="7" t="str">
        <f>HYPERLINK("http://www.olividisanmartino.it/","www.olividisanmartino.it")</f>
        <v>www.olividisanmartino.it</v>
      </c>
    </row>
    <row r="1952" spans="1:6" ht="55.65" customHeight="1" x14ac:dyDescent="0.25">
      <c r="A1952" s="6" t="s">
        <v>7747</v>
      </c>
      <c r="B1952" s="5" t="s">
        <v>7748</v>
      </c>
      <c r="C1952" s="5" t="s">
        <v>7700</v>
      </c>
      <c r="D1952" s="5" t="s">
        <v>7749</v>
      </c>
      <c r="E1952" s="5" t="s">
        <v>7712</v>
      </c>
      <c r="F1952" s="5" t="str">
        <f>HYPERLINK("http://www.villasimone.it/","www.villasimone.it")</f>
        <v>www.villasimone.it</v>
      </c>
    </row>
    <row r="1953" spans="1:6" ht="81.75" customHeight="1" x14ac:dyDescent="0.25">
      <c r="A1953" s="6" t="s">
        <v>7754</v>
      </c>
      <c r="B1953" s="5" t="s">
        <v>7755</v>
      </c>
      <c r="C1953" s="5" t="s">
        <v>7756</v>
      </c>
      <c r="D1953" s="5" t="s">
        <v>7757</v>
      </c>
      <c r="E1953" s="5" t="s">
        <v>7758</v>
      </c>
      <c r="F1953" s="5" t="str">
        <f>HYPERLINK("http://www.fatarella.it/","www.fatarella.it")</f>
        <v>www.fatarella.it</v>
      </c>
    </row>
    <row r="1954" spans="1:6" ht="29.55" customHeight="1" x14ac:dyDescent="0.25">
      <c r="A1954" s="1" t="s">
        <v>7759</v>
      </c>
      <c r="B1954" s="7" t="s">
        <v>7760</v>
      </c>
      <c r="C1954" s="7" t="s">
        <v>7752</v>
      </c>
      <c r="D1954" s="7" t="s">
        <v>7761</v>
      </c>
      <c r="E1954" s="7" t="s">
        <v>7762</v>
      </c>
      <c r="F1954" s="7" t="str">
        <f>HYPERLINK("http://www.vinisanvalentino.com/","www.vinisanvalentino.com")</f>
        <v>www.vinisanvalentino.com</v>
      </c>
    </row>
    <row r="1955" spans="1:6" ht="16.95" customHeight="1" x14ac:dyDescent="0.25">
      <c r="A1955" s="6" t="s">
        <v>7763</v>
      </c>
      <c r="B1955" s="5" t="s">
        <v>7764</v>
      </c>
      <c r="C1955" s="5" t="s">
        <v>7765</v>
      </c>
      <c r="D1955" s="5" t="s">
        <v>7766</v>
      </c>
      <c r="E1955" s="5" t="s">
        <v>7767</v>
      </c>
      <c r="F1955" s="5" t="str">
        <f>HYPERLINK("http://www.vivaitrevisan.it/","www.vivaitrevisan.it")</f>
        <v>www.vivaitrevisan.it</v>
      </c>
    </row>
    <row r="1956" spans="1:6" ht="29.55" customHeight="1" x14ac:dyDescent="0.25">
      <c r="A1956" s="1" t="s">
        <v>7768</v>
      </c>
      <c r="B1956" s="7" t="s">
        <v>7769</v>
      </c>
      <c r="C1956" s="7" t="s">
        <v>7770</v>
      </c>
      <c r="D1956" s="7" t="s">
        <v>7771</v>
      </c>
      <c r="E1956" s="7" t="s">
        <v>7758</v>
      </c>
      <c r="F1956" s="7" t="str">
        <f>HYPERLINK("http://www.montestigliano.com/","www.montestigliano.com")</f>
        <v>www.montestigliano.com</v>
      </c>
    </row>
    <row r="1957" spans="1:6" ht="29.55" customHeight="1" x14ac:dyDescent="0.25">
      <c r="A1957" s="6" t="s">
        <v>7772</v>
      </c>
      <c r="B1957" s="5" t="s">
        <v>7773</v>
      </c>
      <c r="C1957" s="5" t="s">
        <v>7752</v>
      </c>
      <c r="D1957" s="5" t="s">
        <v>7774</v>
      </c>
      <c r="E1957" s="5" t="s">
        <v>7758</v>
      </c>
      <c r="F1957" s="5" t="str">
        <f>HYPERLINK("http://www.lefontiasangiorgio.it/","www.lefontiasangiorgio.it")</f>
        <v>www.lefontiasangiorgio.it</v>
      </c>
    </row>
    <row r="1958" spans="1:6" ht="43.05" customHeight="1" x14ac:dyDescent="0.25">
      <c r="A1958" s="1" t="s">
        <v>7775</v>
      </c>
      <c r="B1958" s="7" t="s">
        <v>7776</v>
      </c>
      <c r="C1958" s="7" t="s">
        <v>7777</v>
      </c>
      <c r="D1958" s="7" t="s">
        <v>7778</v>
      </c>
      <c r="E1958" s="7" t="s">
        <v>7753</v>
      </c>
      <c r="F1958" s="7" t="str">
        <f>HYPERLINK("http://www.lagunafiorita.it/","www.lagunafiorita.it")</f>
        <v>www.lagunafiorita.it</v>
      </c>
    </row>
    <row r="1959" spans="1:6" ht="29.55" customHeight="1" x14ac:dyDescent="0.25">
      <c r="A1959" s="6" t="s">
        <v>7779</v>
      </c>
      <c r="B1959" s="5" t="s">
        <v>7780</v>
      </c>
      <c r="C1959" s="5" t="s">
        <v>7752</v>
      </c>
      <c r="D1959" s="5" t="s">
        <v>7774</v>
      </c>
      <c r="E1959" s="5" t="s">
        <v>7758</v>
      </c>
      <c r="F1959" s="5" t="str">
        <f>HYPERLINK("http://www.villamontepaldi.it/","http://www.villamontepaldi.it")</f>
        <v>http://www.villamontepaldi.it</v>
      </c>
    </row>
    <row r="1960" spans="1:6" ht="43.05" customHeight="1" x14ac:dyDescent="0.25">
      <c r="A1960" s="1" t="s">
        <v>7782</v>
      </c>
      <c r="B1960" s="7" t="s">
        <v>7783</v>
      </c>
      <c r="C1960" s="7" t="s">
        <v>7781</v>
      </c>
      <c r="D1960" s="7" t="s">
        <v>7784</v>
      </c>
      <c r="E1960" s="7" t="s">
        <v>7785</v>
      </c>
      <c r="F1960" s="7" t="str">
        <f>HYPERLINK("http://ortolanda.com/","ortolanda.com")</f>
        <v>ortolanda.com</v>
      </c>
    </row>
    <row r="1961" spans="1:6" ht="29.55" customHeight="1" x14ac:dyDescent="0.25">
      <c r="A1961" s="6" t="s">
        <v>7786</v>
      </c>
      <c r="B1961" s="5" t="s">
        <v>7787</v>
      </c>
      <c r="C1961" s="5" t="s">
        <v>7752</v>
      </c>
      <c r="D1961" s="5" t="s">
        <v>7774</v>
      </c>
      <c r="E1961" s="5" t="s">
        <v>7758</v>
      </c>
      <c r="F1961" s="5" t="str">
        <f>HYPERLINK("http://lamadonninabolgheri.it/","lamadonninabolgheri.it")</f>
        <v>lamadonninabolgheri.it</v>
      </c>
    </row>
    <row r="1962" spans="1:6" ht="29.55" customHeight="1" x14ac:dyDescent="0.25">
      <c r="A1962" s="6" t="s">
        <v>7788</v>
      </c>
      <c r="B1962" s="5" t="s">
        <v>7789</v>
      </c>
      <c r="C1962" s="5" t="s">
        <v>7752</v>
      </c>
      <c r="D1962" s="5" t="s">
        <v>7790</v>
      </c>
      <c r="E1962" s="5" t="s">
        <v>7791</v>
      </c>
      <c r="F1962" s="5" t="str">
        <f>HYPERLINK("http://www.tenutadicastellaro.it/","www.tenutadicastellaro.it")</f>
        <v>www.tenutadicastellaro.it</v>
      </c>
    </row>
    <row r="1963" spans="1:6" ht="43.05" customHeight="1" x14ac:dyDescent="0.25">
      <c r="A1963" s="1" t="s">
        <v>7792</v>
      </c>
      <c r="B1963" s="7" t="s">
        <v>7793</v>
      </c>
      <c r="C1963" s="7" t="s">
        <v>7794</v>
      </c>
      <c r="D1963" s="7" t="s">
        <v>7771</v>
      </c>
      <c r="E1963" s="7" t="s">
        <v>7758</v>
      </c>
      <c r="F1963" s="7" t="str">
        <f>HYPERLINK("http://www.biondisanti.it/","www.biondisanti.it")</f>
        <v>www.biondisanti.it</v>
      </c>
    </row>
    <row r="1964" spans="1:6" ht="29.55" customHeight="1" x14ac:dyDescent="0.25">
      <c r="A1964" s="6" t="s">
        <v>7795</v>
      </c>
      <c r="B1964" s="5" t="s">
        <v>7796</v>
      </c>
      <c r="C1964" s="5" t="s">
        <v>7750</v>
      </c>
      <c r="D1964" s="5" t="s">
        <v>7797</v>
      </c>
      <c r="E1964" s="5" t="s">
        <v>7791</v>
      </c>
      <c r="F1964" s="5" t="str">
        <f>HYPERLINK("http://shop.consorziokore.it/","shop.consorziokore.it")</f>
        <v>shop.consorziokore.it</v>
      </c>
    </row>
    <row r="1965" spans="1:6" ht="29.55" customHeight="1" x14ac:dyDescent="0.25">
      <c r="A1965" s="6" t="s">
        <v>7798</v>
      </c>
      <c r="B1965" s="5" t="s">
        <v>7799</v>
      </c>
      <c r="C1965" s="5" t="s">
        <v>7750</v>
      </c>
      <c r="D1965" s="5" t="s">
        <v>7800</v>
      </c>
      <c r="E1965" s="5" t="s">
        <v>7801</v>
      </c>
      <c r="F1965" s="5" t="str">
        <f>HYPERLINK("http://www.umbriatopwines.it/","www.umbriatopwines.it")</f>
        <v>www.umbriatopwines.it</v>
      </c>
    </row>
    <row r="1966" spans="1:6" ht="29.55" customHeight="1" x14ac:dyDescent="0.25">
      <c r="A1966" s="1" t="s">
        <v>7802</v>
      </c>
      <c r="B1966" s="7" t="s">
        <v>7803</v>
      </c>
      <c r="C1966" s="7" t="s">
        <v>7804</v>
      </c>
      <c r="D1966" s="7" t="s">
        <v>7805</v>
      </c>
      <c r="E1966" s="7" t="s">
        <v>7806</v>
      </c>
      <c r="F1966" s="7" t="str">
        <f>HYPERLINK("http://www.sab.it/","www.sab.it")</f>
        <v>www.sab.it</v>
      </c>
    </row>
    <row r="1967" spans="1:6" ht="29.55" customHeight="1" x14ac:dyDescent="0.25">
      <c r="A1967" s="1" t="s">
        <v>7807</v>
      </c>
      <c r="B1967" s="7" t="s">
        <v>7808</v>
      </c>
      <c r="C1967" s="7" t="s">
        <v>7751</v>
      </c>
      <c r="D1967" s="7" t="s">
        <v>7809</v>
      </c>
      <c r="E1967" s="7" t="s">
        <v>7806</v>
      </c>
      <c r="F1967" s="7" t="str">
        <f>HYPERLINK("http://giacomelligiardini.it/","giacomelligiardini.it")</f>
        <v>giacomelligiardini.it</v>
      </c>
    </row>
    <row r="1968" spans="1:6" ht="43.05" customHeight="1" x14ac:dyDescent="0.25">
      <c r="A1968" s="6" t="s">
        <v>7812</v>
      </c>
      <c r="B1968" s="5" t="s">
        <v>7813</v>
      </c>
      <c r="C1968" s="5" t="s">
        <v>7814</v>
      </c>
      <c r="D1968" s="5" t="s">
        <v>7815</v>
      </c>
      <c r="E1968" s="5" t="s">
        <v>7816</v>
      </c>
      <c r="F1968" s="5" t="str">
        <f>HYPERLINK("http://www.masseriacuturi.it/","www.masseriacuturi.it")</f>
        <v>www.masseriacuturi.it</v>
      </c>
    </row>
    <row r="1969" spans="1:6" ht="43.05" customHeight="1" x14ac:dyDescent="0.25">
      <c r="A1969" s="1" t="s">
        <v>7820</v>
      </c>
      <c r="B1969" s="7" t="s">
        <v>7821</v>
      </c>
      <c r="C1969" s="7" t="s">
        <v>7822</v>
      </c>
      <c r="D1969" s="7" t="s">
        <v>7815</v>
      </c>
      <c r="E1969" s="7" t="s">
        <v>7816</v>
      </c>
      <c r="F1969" s="7" t="str">
        <f>HYPERLINK("http://www.isib.cnr.it/","www.isib.cnr.it")</f>
        <v>www.isib.cnr.it</v>
      </c>
    </row>
    <row r="1970" spans="1:6" ht="29.55" customHeight="1" x14ac:dyDescent="0.25">
      <c r="A1970" s="6" t="s">
        <v>7829</v>
      </c>
      <c r="B1970" s="5" t="s">
        <v>7830</v>
      </c>
      <c r="C1970" s="5" t="s">
        <v>7831</v>
      </c>
      <c r="D1970" s="5" t="s">
        <v>7825</v>
      </c>
      <c r="E1970" s="5" t="s">
        <v>7826</v>
      </c>
      <c r="F1970" s="5" t="str">
        <f>HYPERLINK("http://uccellinalandscape.com/","uccellinalandscape.com")</f>
        <v>uccellinalandscape.com</v>
      </c>
    </row>
    <row r="1971" spans="1:6" ht="29.55" customHeight="1" x14ac:dyDescent="0.25">
      <c r="A1971" s="1" t="s">
        <v>7832</v>
      </c>
      <c r="B1971" s="7" t="s">
        <v>7833</v>
      </c>
      <c r="C1971" s="7" t="s">
        <v>7817</v>
      </c>
      <c r="D1971" s="7" t="s">
        <v>7810</v>
      </c>
      <c r="E1971" s="7" t="s">
        <v>7811</v>
      </c>
      <c r="F1971" s="7" t="str">
        <f>HYPERLINK("http://tokitasementi.it/","tokitasementi.it")</f>
        <v>tokitasementi.it</v>
      </c>
    </row>
    <row r="1972" spans="1:6" ht="16.95" customHeight="1" x14ac:dyDescent="0.25">
      <c r="A1972" s="6" t="s">
        <v>7834</v>
      </c>
      <c r="B1972" s="5" t="s">
        <v>7835</v>
      </c>
      <c r="C1972" s="5" t="s">
        <v>7836</v>
      </c>
      <c r="D1972" s="5" t="s">
        <v>7823</v>
      </c>
      <c r="E1972" s="5" t="s">
        <v>7824</v>
      </c>
      <c r="F1972" s="5" t="str">
        <f>HYPERLINK("http://www.gbgenetics.it/","www.gbgenetics.it")</f>
        <v>www.gbgenetics.it</v>
      </c>
    </row>
    <row r="1973" spans="1:6" ht="29.55" customHeight="1" x14ac:dyDescent="0.25">
      <c r="A1973" s="1" t="s">
        <v>7837</v>
      </c>
      <c r="B1973" s="7" t="s">
        <v>7838</v>
      </c>
      <c r="C1973" s="7" t="s">
        <v>7839</v>
      </c>
      <c r="D1973" s="7" t="s">
        <v>7840</v>
      </c>
      <c r="E1973" s="7" t="s">
        <v>7818</v>
      </c>
      <c r="F1973" s="7" t="str">
        <f>HYPERLINK("http://www.ercolanoflora.it/","www.ercolanoflora.it")</f>
        <v>www.ercolanoflora.it</v>
      </c>
    </row>
    <row r="1974" spans="1:6" ht="106.65" customHeight="1" x14ac:dyDescent="0.25">
      <c r="A1974" s="6" t="s">
        <v>7842</v>
      </c>
      <c r="B1974" s="5" t="s">
        <v>7843</v>
      </c>
      <c r="C1974" s="5" t="s">
        <v>7841</v>
      </c>
      <c r="D1974" s="5" t="s">
        <v>7844</v>
      </c>
      <c r="E1974" s="5" t="s">
        <v>7845</v>
      </c>
      <c r="F1974" s="5" t="str">
        <f>HYPERLINK("http://benedettiegrigi.it/","benedettiegrigi.it")</f>
        <v>benedettiegrigi.it</v>
      </c>
    </row>
    <row r="1975" spans="1:6" ht="29.55" customHeight="1" x14ac:dyDescent="0.25">
      <c r="A1975" s="1" t="s">
        <v>7846</v>
      </c>
      <c r="B1975" s="7" t="s">
        <v>7847</v>
      </c>
      <c r="C1975" s="7" t="s">
        <v>7814</v>
      </c>
      <c r="D1975" s="7" t="s">
        <v>7848</v>
      </c>
      <c r="E1975" s="7" t="s">
        <v>7828</v>
      </c>
      <c r="F1975" s="7" t="str">
        <f>HYPERLINK("http://www.cia.it/dove-siamo/sedi/22321/","www.cia.it/dove-siamo/sedi/22321/")</f>
        <v>www.cia.it/dove-siamo/sedi/22321/</v>
      </c>
    </row>
    <row r="1976" spans="1:6" ht="81.75" customHeight="1" x14ac:dyDescent="0.25">
      <c r="A1976" s="1" t="s">
        <v>7849</v>
      </c>
      <c r="B1976" s="7" t="s">
        <v>7850</v>
      </c>
      <c r="C1976" s="7" t="s">
        <v>7841</v>
      </c>
      <c r="D1976" s="7" t="s">
        <v>7827</v>
      </c>
      <c r="E1976" s="7" t="s">
        <v>7828</v>
      </c>
      <c r="F1976" s="7" t="str">
        <f>HYPERLINK("http://www.viniandreassi.it/","www.viniandreassi.it")</f>
        <v>www.viniandreassi.it</v>
      </c>
    </row>
    <row r="1977" spans="1:6" ht="29.55" customHeight="1" x14ac:dyDescent="0.25">
      <c r="A1977" s="6" t="s">
        <v>7851</v>
      </c>
      <c r="B1977" s="5" t="s">
        <v>7852</v>
      </c>
      <c r="C1977" s="5" t="s">
        <v>7841</v>
      </c>
      <c r="D1977" s="5" t="s">
        <v>7853</v>
      </c>
      <c r="E1977" s="5" t="s">
        <v>7819</v>
      </c>
      <c r="F1977" s="5" t="str">
        <f>HYPERLINK("http://www.anticotratturo.it/","www.anticotratturo.it")</f>
        <v>www.anticotratturo.it</v>
      </c>
    </row>
    <row r="1978" spans="1:6" ht="43.05" customHeight="1" x14ac:dyDescent="0.25">
      <c r="A1978" s="1" t="s">
        <v>7854</v>
      </c>
      <c r="B1978" s="7" t="s">
        <v>7855</v>
      </c>
      <c r="C1978" s="7" t="s">
        <v>7856</v>
      </c>
      <c r="D1978" s="7" t="s">
        <v>7857</v>
      </c>
      <c r="E1978" s="7" t="s">
        <v>7858</v>
      </c>
      <c r="F1978" s="7" t="str">
        <f>HYPERLINK("http://www.masseriacardillo.it/","www.masseriacardillo.it")</f>
        <v>www.masseriacardillo.it</v>
      </c>
    </row>
    <row r="1979" spans="1:6" ht="29.55" customHeight="1" x14ac:dyDescent="0.25">
      <c r="A1979" s="1" t="s">
        <v>7861</v>
      </c>
      <c r="B1979" s="7" t="s">
        <v>7862</v>
      </c>
      <c r="C1979" s="7" t="s">
        <v>7856</v>
      </c>
      <c r="D1979" s="7" t="s">
        <v>7863</v>
      </c>
      <c r="E1979" s="7" t="s">
        <v>7864</v>
      </c>
      <c r="F1979" s="7" t="str">
        <f>HYPERLINK("http://www.al-cantara.it/","www.al-cantara.it")</f>
        <v>www.al-cantara.it</v>
      </c>
    </row>
    <row r="1980" spans="1:6" ht="94.2" customHeight="1" x14ac:dyDescent="0.25">
      <c r="A1980" s="1" t="s">
        <v>7865</v>
      </c>
      <c r="B1980" s="7" t="s">
        <v>7866</v>
      </c>
      <c r="C1980" s="7" t="s">
        <v>7867</v>
      </c>
      <c r="D1980" s="7" t="s">
        <v>7868</v>
      </c>
      <c r="E1980" s="7" t="s">
        <v>7869</v>
      </c>
      <c r="F1980" s="7" t="str">
        <f>HYPERLINK("http://lefracce.oltrepoacasatua.it/","lefracce.oltrepoacasatua.it")</f>
        <v>lefracce.oltrepoacasatua.it</v>
      </c>
    </row>
    <row r="1981" spans="1:6" ht="68.099999999999994" customHeight="1" x14ac:dyDescent="0.25">
      <c r="A1981" s="6" t="s">
        <v>7870</v>
      </c>
      <c r="B1981" s="5" t="s">
        <v>7871</v>
      </c>
      <c r="C1981" s="5" t="s">
        <v>7867</v>
      </c>
      <c r="D1981" s="5" t="s">
        <v>7872</v>
      </c>
      <c r="E1981" s="5" t="s">
        <v>7860</v>
      </c>
      <c r="F1981" s="5" t="str">
        <f>HYPERLINK("http://www.tenutamonteti.it/","www.tenutamonteti.it")</f>
        <v>www.tenutamonteti.it</v>
      </c>
    </row>
    <row r="1982" spans="1:6" ht="29.55" customHeight="1" x14ac:dyDescent="0.25">
      <c r="A1982" s="1" t="s">
        <v>7873</v>
      </c>
      <c r="B1982" s="7" t="s">
        <v>7874</v>
      </c>
      <c r="C1982" s="7" t="s">
        <v>7875</v>
      </c>
      <c r="D1982" s="7" t="s">
        <v>7876</v>
      </c>
      <c r="E1982" s="7" t="s">
        <v>7877</v>
      </c>
      <c r="F1982" s="7" t="str">
        <f>HYPERLINK("http://www.verdeambientecoop.it/","www.verdeambientecoop.it")</f>
        <v>www.verdeambientecoop.it</v>
      </c>
    </row>
    <row r="1983" spans="1:6" ht="16.95" customHeight="1" x14ac:dyDescent="0.25">
      <c r="A1983" s="1" t="s">
        <v>7882</v>
      </c>
      <c r="B1983" s="7" t="s">
        <v>7883</v>
      </c>
      <c r="C1983" s="7" t="s">
        <v>7884</v>
      </c>
      <c r="D1983" s="7" t="s">
        <v>7885</v>
      </c>
      <c r="E1983" s="7" t="s">
        <v>7881</v>
      </c>
      <c r="F1983" s="7" t="str">
        <f>HYPERLINK("http://www.vitaliscavi.it/","www.vitaliscavi.it")</f>
        <v>www.vitaliscavi.it</v>
      </c>
    </row>
    <row r="1984" spans="1:6" ht="29.55" customHeight="1" x14ac:dyDescent="0.25">
      <c r="A1984" s="6" t="s">
        <v>7886</v>
      </c>
      <c r="B1984" s="5" t="s">
        <v>7887</v>
      </c>
      <c r="C1984" s="5" t="s">
        <v>7867</v>
      </c>
      <c r="D1984" s="5" t="s">
        <v>7888</v>
      </c>
      <c r="E1984" s="5" t="s">
        <v>7889</v>
      </c>
      <c r="F1984" s="5" t="str">
        <f>HYPERLINK("http://www.cantinailsaporedellaluna.it/","www.cantinailsaporedellaluna.it")</f>
        <v>www.cantinailsaporedellaluna.it</v>
      </c>
    </row>
    <row r="1985" spans="1:6" ht="29.55" customHeight="1" x14ac:dyDescent="0.25">
      <c r="A1985" s="1" t="s">
        <v>7890</v>
      </c>
      <c r="B1985" s="7" t="s">
        <v>7891</v>
      </c>
      <c r="C1985" s="7" t="s">
        <v>7867</v>
      </c>
      <c r="D1985" s="7" t="s">
        <v>7892</v>
      </c>
      <c r="E1985" s="7" t="s">
        <v>7893</v>
      </c>
      <c r="F1985" s="7" t="str">
        <f>HYPERLINK("http://www.cortinaemandorli.it/","www.cortinaemandorli.it")</f>
        <v>www.cortinaemandorli.it</v>
      </c>
    </row>
    <row r="1986" spans="1:6" ht="29.55" customHeight="1" x14ac:dyDescent="0.25">
      <c r="A1986" s="1" t="s">
        <v>7894</v>
      </c>
      <c r="B1986" s="7" t="s">
        <v>7895</v>
      </c>
      <c r="C1986" s="7" t="s">
        <v>7867</v>
      </c>
      <c r="D1986" s="7" t="s">
        <v>7896</v>
      </c>
      <c r="E1986" s="7" t="s">
        <v>7893</v>
      </c>
      <c r="F1986" s="7" t="str">
        <f>HYPERLINK("http://arillointerrabianca.com/","arillointerrabianca.com")</f>
        <v>arillointerrabianca.com</v>
      </c>
    </row>
    <row r="1987" spans="1:6" ht="29.55" customHeight="1" x14ac:dyDescent="0.25">
      <c r="A1987" s="6" t="s">
        <v>7897</v>
      </c>
      <c r="B1987" s="5" t="s">
        <v>7898</v>
      </c>
      <c r="C1987" s="5" t="s">
        <v>7867</v>
      </c>
      <c r="D1987" s="5" t="s">
        <v>7880</v>
      </c>
      <c r="E1987" s="5" t="s">
        <v>7881</v>
      </c>
      <c r="F1987" s="5" t="str">
        <f>HYPERLINK("http://www.masseriasanpolo.com/","www.masseriasanpolo.com")</f>
        <v>www.masseriasanpolo.com</v>
      </c>
    </row>
    <row r="1988" spans="1:6" ht="29.55" customHeight="1" x14ac:dyDescent="0.25">
      <c r="A1988" s="1" t="s">
        <v>7899</v>
      </c>
      <c r="B1988" s="7" t="s">
        <v>7900</v>
      </c>
      <c r="C1988" s="7" t="s">
        <v>7901</v>
      </c>
      <c r="D1988" s="7" t="s">
        <v>7902</v>
      </c>
      <c r="E1988" s="7" t="s">
        <v>7869</v>
      </c>
      <c r="F1988" s="7" t="str">
        <f>HYPERLINK("http://www.engie.it/","www.engie.it")</f>
        <v>www.engie.it</v>
      </c>
    </row>
    <row r="1989" spans="1:6" ht="16.95" customHeight="1" x14ac:dyDescent="0.25">
      <c r="A1989" s="1" t="s">
        <v>7903</v>
      </c>
      <c r="B1989" s="7" t="s">
        <v>7904</v>
      </c>
      <c r="C1989" s="7" t="s">
        <v>7875</v>
      </c>
      <c r="D1989" s="7" t="s">
        <v>7905</v>
      </c>
      <c r="E1989" s="7" t="s">
        <v>7864</v>
      </c>
      <c r="F1989" s="7" t="str">
        <f>HYPERLINK("http://www.mcgardeningrossopiante.com/","www.mcgardeningrossopiante.com")</f>
        <v>www.mcgardeningrossopiante.com</v>
      </c>
    </row>
    <row r="1990" spans="1:6" ht="29.55" customHeight="1" x14ac:dyDescent="0.25">
      <c r="A1990" s="6" t="s">
        <v>7906</v>
      </c>
      <c r="B1990" s="5" t="s">
        <v>7907</v>
      </c>
      <c r="C1990" s="5" t="s">
        <v>7908</v>
      </c>
      <c r="D1990" s="5" t="s">
        <v>7905</v>
      </c>
      <c r="E1990" s="5" t="s">
        <v>7864</v>
      </c>
      <c r="F1990" s="5" t="str">
        <f>HYPERLINK("http://www.aromilospeziale.it/","www.aromilospeziale.it")</f>
        <v>www.aromilospeziale.it</v>
      </c>
    </row>
    <row r="1991" spans="1:6" ht="43.05" customHeight="1" x14ac:dyDescent="0.25">
      <c r="A1991" s="6" t="s">
        <v>7909</v>
      </c>
      <c r="B1991" s="5" t="s">
        <v>7910</v>
      </c>
      <c r="C1991" s="5" t="s">
        <v>7911</v>
      </c>
      <c r="D1991" s="5" t="s">
        <v>7863</v>
      </c>
      <c r="E1991" s="5" t="s">
        <v>7864</v>
      </c>
      <c r="F1991" s="5" t="str">
        <f>HYPERLINK("http://serafica.it/","serafica.it")</f>
        <v>serafica.it</v>
      </c>
    </row>
    <row r="1992" spans="1:6" ht="29.55" customHeight="1" x14ac:dyDescent="0.25">
      <c r="A1992" s="1" t="s">
        <v>7912</v>
      </c>
      <c r="B1992" s="7" t="s">
        <v>7913</v>
      </c>
      <c r="C1992" s="7" t="s">
        <v>7914</v>
      </c>
      <c r="D1992" s="7" t="s">
        <v>7915</v>
      </c>
      <c r="E1992" s="7" t="s">
        <v>7916</v>
      </c>
      <c r="F1992" s="7" t="str">
        <f>HYPERLINK("http://antichisaporifarm.it/","antichisaporifarm.it")</f>
        <v>antichisaporifarm.it</v>
      </c>
    </row>
    <row r="1993" spans="1:6" ht="29.55" customHeight="1" x14ac:dyDescent="0.25">
      <c r="A1993" s="1" t="s">
        <v>7917</v>
      </c>
      <c r="B1993" s="7" t="s">
        <v>7918</v>
      </c>
      <c r="C1993" s="7" t="s">
        <v>7919</v>
      </c>
      <c r="D1993" s="7" t="s">
        <v>7859</v>
      </c>
      <c r="E1993" s="7" t="s">
        <v>7860</v>
      </c>
      <c r="F1993" s="7" t="str">
        <f>HYPERLINK("http://www.pietrapinta.com/","www.pietrapinta.com")</f>
        <v>www.pietrapinta.com</v>
      </c>
    </row>
    <row r="1994" spans="1:6" ht="29.55" customHeight="1" x14ac:dyDescent="0.25">
      <c r="A1994" s="6" t="s">
        <v>7920</v>
      </c>
      <c r="B1994" s="5" t="s">
        <v>7921</v>
      </c>
      <c r="C1994" s="5" t="s">
        <v>7879</v>
      </c>
      <c r="D1994" s="5" t="s">
        <v>7922</v>
      </c>
      <c r="E1994" s="5" t="s">
        <v>7923</v>
      </c>
      <c r="F1994" s="5" t="str">
        <f>HYPERLINK("http://www.cortedellabbadessa.it/","www.cortedellabbadessa.it")</f>
        <v>www.cortedellabbadessa.it</v>
      </c>
    </row>
    <row r="1995" spans="1:6" ht="29.55" customHeight="1" x14ac:dyDescent="0.25">
      <c r="A1995" s="1" t="s">
        <v>7924</v>
      </c>
      <c r="B1995" s="7" t="s">
        <v>7925</v>
      </c>
      <c r="C1995" s="7" t="s">
        <v>7879</v>
      </c>
      <c r="D1995" s="7" t="s">
        <v>7892</v>
      </c>
      <c r="E1995" s="7" t="s">
        <v>7893</v>
      </c>
      <c r="F1995" s="7" t="str">
        <f>HYPERLINK("http://www.belmontevacanze.com/","www.belmontevacanze.com")</f>
        <v>www.belmontevacanze.com</v>
      </c>
    </row>
    <row r="1996" spans="1:6" ht="29.55" customHeight="1" x14ac:dyDescent="0.25">
      <c r="A1996" s="1" t="s">
        <v>7926</v>
      </c>
      <c r="B1996" s="7" t="s">
        <v>7927</v>
      </c>
      <c r="C1996" s="7" t="s">
        <v>7928</v>
      </c>
      <c r="D1996" s="7" t="s">
        <v>7929</v>
      </c>
      <c r="E1996" s="7" t="s">
        <v>7878</v>
      </c>
      <c r="F1996" s="7" t="str">
        <f>HYPERLINK("http://relais.pampaexcellence.it/","relais.pampaexcellence.it")</f>
        <v>relais.pampaexcellence.it</v>
      </c>
    </row>
    <row r="1997" spans="1:6" ht="43.05" customHeight="1" x14ac:dyDescent="0.25">
      <c r="A1997" s="6" t="s">
        <v>7930</v>
      </c>
      <c r="B1997" s="5" t="s">
        <v>7931</v>
      </c>
      <c r="C1997" s="5" t="s">
        <v>7875</v>
      </c>
      <c r="D1997" s="5" t="s">
        <v>7932</v>
      </c>
      <c r="E1997" s="5" t="s">
        <v>7869</v>
      </c>
      <c r="F1997" s="5" t="str">
        <f>HYPERLINK("http://vivaipirovano.eu/","vivaipirovano.eu")</f>
        <v>vivaipirovano.eu</v>
      </c>
    </row>
    <row r="1998" spans="1:6" ht="29.55" customHeight="1" x14ac:dyDescent="0.25">
      <c r="A1998" s="1" t="s">
        <v>7933</v>
      </c>
      <c r="B1998" s="7" t="s">
        <v>7934</v>
      </c>
      <c r="C1998" s="7" t="s">
        <v>7935</v>
      </c>
      <c r="D1998" s="7" t="s">
        <v>7936</v>
      </c>
      <c r="E1998" s="7" t="s">
        <v>7937</v>
      </c>
      <c r="F1998" s="7" t="str">
        <f>HYPERLINK("http://boccafosca.it/","boccafosca.it")</f>
        <v>boccafosca.it</v>
      </c>
    </row>
    <row r="1999" spans="1:6" ht="43.05" customHeight="1" x14ac:dyDescent="0.25">
      <c r="A1999" s="6" t="s">
        <v>7938</v>
      </c>
      <c r="B1999" s="5" t="s">
        <v>7939</v>
      </c>
      <c r="C1999" s="5" t="s">
        <v>7940</v>
      </c>
      <c r="D1999" s="5" t="s">
        <v>7941</v>
      </c>
      <c r="E1999" s="5" t="s">
        <v>7942</v>
      </c>
      <c r="F1999" s="5" t="str">
        <f>HYPERLINK("http://www.oleificiogaribaldina.it/","www.oleificiogaribaldina.it")</f>
        <v>www.oleificiogaribaldina.it</v>
      </c>
    </row>
    <row r="2000" spans="1:6" ht="29.55" customHeight="1" x14ac:dyDescent="0.25">
      <c r="A2000" s="6" t="s">
        <v>7945</v>
      </c>
      <c r="B2000" s="5" t="s">
        <v>7946</v>
      </c>
      <c r="C2000" s="5" t="s">
        <v>7947</v>
      </c>
      <c r="D2000" s="5" t="s">
        <v>7948</v>
      </c>
      <c r="E2000" s="5" t="s">
        <v>7949</v>
      </c>
      <c r="F2000" s="5" t="str">
        <f>HYPERLINK("http://www.villasandapartmentsinitaly.com/","www.villasandapartmentsinitaly.com")</f>
        <v>www.villasandapartmentsinitaly.com</v>
      </c>
    </row>
    <row r="2001" spans="1:6" ht="55.65" customHeight="1" x14ac:dyDescent="0.25">
      <c r="A2001" s="1" t="s">
        <v>7950</v>
      </c>
      <c r="B2001" s="7" t="s">
        <v>7951</v>
      </c>
      <c r="C2001" s="7" t="s">
        <v>7952</v>
      </c>
      <c r="D2001" s="7" t="s">
        <v>7953</v>
      </c>
      <c r="E2001" s="7" t="s">
        <v>7954</v>
      </c>
      <c r="F2001" s="7" t="str">
        <f>HYPERLINK("http://www.sozoo.it/","www.sozoo.it")</f>
        <v>www.sozoo.it</v>
      </c>
    </row>
    <row r="2002" spans="1:6" ht="29.55" customHeight="1" x14ac:dyDescent="0.25">
      <c r="A2002" s="6" t="s">
        <v>7955</v>
      </c>
      <c r="B2002" s="5" t="s">
        <v>7956</v>
      </c>
      <c r="C2002" s="5" t="s">
        <v>7935</v>
      </c>
      <c r="D2002" s="5" t="s">
        <v>7957</v>
      </c>
      <c r="E2002" s="5" t="s">
        <v>7958</v>
      </c>
      <c r="F2002" s="5" t="str">
        <f>HYPERLINK("http://www.gruppobagioni.com/?azienda=agrienergy&amp;form_chiave=81","www.gruppobagioni.com?azienda=agrienergy&amp;form_chiave=81")</f>
        <v>www.gruppobagioni.com?azienda=agrienergy&amp;form_chiave=81</v>
      </c>
    </row>
    <row r="2003" spans="1:6" ht="29.55" customHeight="1" x14ac:dyDescent="0.25">
      <c r="A2003" s="1" t="s">
        <v>7959</v>
      </c>
      <c r="B2003" s="7" t="s">
        <v>7960</v>
      </c>
      <c r="C2003" s="7" t="s">
        <v>7961</v>
      </c>
      <c r="D2003" s="7" t="s">
        <v>7962</v>
      </c>
      <c r="E2003" s="7" t="s">
        <v>7963</v>
      </c>
      <c r="F2003" s="7" t="str">
        <f>HYPERLINK("http://www.lalocandaparadiso.com/","www.lalocandaparadiso.com")</f>
        <v>www.lalocandaparadiso.com</v>
      </c>
    </row>
    <row r="2004" spans="1:6" ht="43.05" customHeight="1" x14ac:dyDescent="0.25">
      <c r="A2004" s="6" t="s">
        <v>7964</v>
      </c>
      <c r="B2004" s="5" t="s">
        <v>7965</v>
      </c>
      <c r="C2004" s="5" t="s">
        <v>7947</v>
      </c>
      <c r="D2004" s="5" t="s">
        <v>7944</v>
      </c>
      <c r="E2004" s="5" t="s">
        <v>7942</v>
      </c>
      <c r="F2004" s="5" t="str">
        <f>HYPERLINK("http://www.cantinabacco.it/","www.cantinabacco.it")</f>
        <v>www.cantinabacco.it</v>
      </c>
    </row>
    <row r="2005" spans="1:6" ht="29.55" customHeight="1" x14ac:dyDescent="0.25">
      <c r="A2005" s="1" t="s">
        <v>7966</v>
      </c>
      <c r="B2005" s="7" t="s">
        <v>7967</v>
      </c>
      <c r="C2005" s="7" t="s">
        <v>7968</v>
      </c>
      <c r="D2005" s="7" t="s">
        <v>7969</v>
      </c>
      <c r="E2005" s="7" t="s">
        <v>7954</v>
      </c>
      <c r="F2005" s="7" t="str">
        <f>HYPERLINK("http://ilcaseificiodiunavolta.it/","ilcaseificiodiunavolta.it")</f>
        <v>ilcaseificiodiunavolta.it</v>
      </c>
    </row>
    <row r="2006" spans="1:6" ht="29.55" customHeight="1" x14ac:dyDescent="0.25">
      <c r="A2006" s="1" t="s">
        <v>7971</v>
      </c>
      <c r="B2006" s="7" t="s">
        <v>7972</v>
      </c>
      <c r="C2006" s="7" t="s">
        <v>7943</v>
      </c>
      <c r="D2006" s="7" t="s">
        <v>7973</v>
      </c>
      <c r="E2006" s="7" t="s">
        <v>7954</v>
      </c>
      <c r="F2006" s="7" t="str">
        <f>HYPERLINK("http://www.piscineairone.it/","www.piscineairone.it")</f>
        <v>www.piscineairone.it</v>
      </c>
    </row>
    <row r="2007" spans="1:6" ht="29.55" customHeight="1" x14ac:dyDescent="0.25">
      <c r="A2007" s="1" t="s">
        <v>7974</v>
      </c>
      <c r="B2007" s="7" t="s">
        <v>7975</v>
      </c>
      <c r="C2007" s="7" t="s">
        <v>7947</v>
      </c>
      <c r="D2007" s="7" t="s">
        <v>7953</v>
      </c>
      <c r="E2007" s="7" t="s">
        <v>7954</v>
      </c>
      <c r="F2007" s="7" t="str">
        <f>HYPERLINK("http://www.travaglino.com/","www.travaglino.com")</f>
        <v>www.travaglino.com</v>
      </c>
    </row>
    <row r="2008" spans="1:6" ht="16.95" customHeight="1" x14ac:dyDescent="0.25">
      <c r="A2008" s="6" t="s">
        <v>7977</v>
      </c>
      <c r="B2008" s="5" t="s">
        <v>7978</v>
      </c>
      <c r="C2008" s="5" t="s">
        <v>7979</v>
      </c>
      <c r="D2008" s="5" t="s">
        <v>7976</v>
      </c>
      <c r="E2008" s="5" t="s">
        <v>7954</v>
      </c>
      <c r="F2008" s="5" t="str">
        <f>HYPERLINK("http://www.gghuntingservices.it/","www.gghuntingservices.it")</f>
        <v>www.gghuntingservices.it</v>
      </c>
    </row>
    <row r="2009" spans="1:6" ht="16.95" customHeight="1" x14ac:dyDescent="0.25">
      <c r="A2009" s="1" t="s">
        <v>7980</v>
      </c>
      <c r="B2009" s="7" t="s">
        <v>7981</v>
      </c>
      <c r="C2009" s="7" t="s">
        <v>7982</v>
      </c>
      <c r="D2009" s="7" t="s">
        <v>7983</v>
      </c>
      <c r="E2009" s="7" t="s">
        <v>7984</v>
      </c>
      <c r="F2009" s="7" t="str">
        <f>HYPERLINK("http://www.agricolafratellizuccala.it/","www.agricolafratellizuccala.it")</f>
        <v>www.agricolafratellizuccala.it</v>
      </c>
    </row>
    <row r="2010" spans="1:6" ht="43.05" customHeight="1" x14ac:dyDescent="0.25">
      <c r="A2010" s="6" t="s">
        <v>7985</v>
      </c>
      <c r="B2010" s="5" t="s">
        <v>7986</v>
      </c>
      <c r="C2010" s="5" t="s">
        <v>7947</v>
      </c>
      <c r="D2010" s="5" t="s">
        <v>7944</v>
      </c>
      <c r="E2010" s="5" t="s">
        <v>7942</v>
      </c>
      <c r="F2010" s="5" t="str">
        <f>HYPERLINK("http://www.resortlameridiana.it/","www.resortlameridiana.it")</f>
        <v>www.resortlameridiana.it</v>
      </c>
    </row>
    <row r="2011" spans="1:6" ht="29.55" customHeight="1" x14ac:dyDescent="0.25">
      <c r="A2011" s="1" t="s">
        <v>7987</v>
      </c>
      <c r="B2011" s="7" t="s">
        <v>7988</v>
      </c>
      <c r="C2011" s="7" t="s">
        <v>7947</v>
      </c>
      <c r="D2011" s="7" t="s">
        <v>7989</v>
      </c>
      <c r="E2011" s="7" t="s">
        <v>7970</v>
      </c>
      <c r="F2011" s="7" t="str">
        <f>HYPERLINK("http://www.anticaquercia.it/","www.anticaquercia.it")</f>
        <v>www.anticaquercia.it</v>
      </c>
    </row>
    <row r="2012" spans="1:6" ht="16.95" customHeight="1" x14ac:dyDescent="0.25">
      <c r="A2012" s="6" t="s">
        <v>7990</v>
      </c>
      <c r="B2012" s="5" t="s">
        <v>7991</v>
      </c>
      <c r="C2012" s="5" t="s">
        <v>7961</v>
      </c>
      <c r="D2012" s="5" t="s">
        <v>7944</v>
      </c>
      <c r="E2012" s="5" t="s">
        <v>7942</v>
      </c>
      <c r="F2012" s="5" t="str">
        <f>HYPERLINK("http://www.agrinsieme.com/","http://www.agrinsieme.com")</f>
        <v>http://www.agrinsieme.com</v>
      </c>
    </row>
    <row r="2013" spans="1:6" ht="29.55" customHeight="1" x14ac:dyDescent="0.25">
      <c r="A2013" s="6" t="s">
        <v>7992</v>
      </c>
      <c r="B2013" s="5" t="s">
        <v>7993</v>
      </c>
      <c r="C2013" s="5" t="s">
        <v>7947</v>
      </c>
      <c r="D2013" s="5" t="s">
        <v>7948</v>
      </c>
      <c r="E2013" s="5" t="s">
        <v>7949</v>
      </c>
      <c r="F2013" s="5" t="str">
        <f>HYPERLINK("http://www.tenutabuontempo.com/","www.tenutabuontempo.com")</f>
        <v>www.tenutabuontempo.com</v>
      </c>
    </row>
    <row r="2014" spans="1:6" ht="29.55" customHeight="1" x14ac:dyDescent="0.25">
      <c r="A2014" s="6" t="s">
        <v>7994</v>
      </c>
      <c r="B2014" s="5" t="s">
        <v>7995</v>
      </c>
      <c r="C2014" s="5" t="s">
        <v>7943</v>
      </c>
      <c r="D2014" s="5" t="s">
        <v>7996</v>
      </c>
      <c r="E2014" s="5" t="s">
        <v>7997</v>
      </c>
      <c r="F2014" s="5" t="str">
        <f>HYPERLINK("http://www.agriocchio.it/","www.agriocchio.it")</f>
        <v>www.agriocchio.it</v>
      </c>
    </row>
    <row r="2015" spans="1:6" ht="16.95" customHeight="1" x14ac:dyDescent="0.25">
      <c r="A2015" s="1" t="s">
        <v>7998</v>
      </c>
      <c r="B2015" s="7" t="s">
        <v>7999</v>
      </c>
      <c r="C2015" s="7" t="s">
        <v>7935</v>
      </c>
      <c r="D2015" s="7" t="s">
        <v>8000</v>
      </c>
      <c r="E2015" s="7" t="s">
        <v>8001</v>
      </c>
      <c r="F2015" s="7" t="str">
        <f>HYPERLINK("http://www.croattosrl.it/","www.croattosrl.it")</f>
        <v>www.croattosrl.it</v>
      </c>
    </row>
    <row r="2016" spans="1:6" ht="16.95" customHeight="1" x14ac:dyDescent="0.25">
      <c r="A2016" s="6" t="s">
        <v>8007</v>
      </c>
      <c r="B2016" s="5" t="s">
        <v>8008</v>
      </c>
      <c r="C2016" s="5" t="s">
        <v>8009</v>
      </c>
      <c r="D2016" s="5" t="s">
        <v>8010</v>
      </c>
      <c r="E2016" s="5" t="s">
        <v>8011</v>
      </c>
      <c r="F2016" s="5" t="str">
        <f>HYPERLINK("http://www.giardinimoretti.it/","www.giardinimoretti.it")</f>
        <v>www.giardinimoretti.it</v>
      </c>
    </row>
    <row r="2017" spans="1:6" ht="29.55" customHeight="1" x14ac:dyDescent="0.25">
      <c r="A2017" s="1" t="s">
        <v>8015</v>
      </c>
      <c r="B2017" s="7" t="s">
        <v>8016</v>
      </c>
      <c r="C2017" s="7" t="s">
        <v>8004</v>
      </c>
      <c r="D2017" s="7" t="s">
        <v>8005</v>
      </c>
      <c r="E2017" s="7" t="s">
        <v>8006</v>
      </c>
      <c r="F2017" s="7" t="str">
        <f>HYPERLINK("http://www.eurofrutticolasud.com/","www.eurofrutticolasud.com")</f>
        <v>www.eurofrutticolasud.com</v>
      </c>
    </row>
    <row r="2018" spans="1:6" ht="43.05" customHeight="1" x14ac:dyDescent="0.25">
      <c r="A2018" s="1" t="s">
        <v>8017</v>
      </c>
      <c r="B2018" s="7" t="s">
        <v>8018</v>
      </c>
      <c r="C2018" s="7" t="s">
        <v>8014</v>
      </c>
      <c r="D2018" s="7" t="s">
        <v>8019</v>
      </c>
      <c r="E2018" s="7" t="s">
        <v>8013</v>
      </c>
      <c r="F2018" s="7" t="str">
        <f>HYPERLINK("http://mossi1558.com/","mossi1558.com")</f>
        <v>mossi1558.com</v>
      </c>
    </row>
    <row r="2019" spans="1:6" ht="29.55" customHeight="1" x14ac:dyDescent="0.25">
      <c r="A2019" s="1" t="s">
        <v>8020</v>
      </c>
      <c r="B2019" s="7" t="s">
        <v>8021</v>
      </c>
      <c r="C2019" s="7" t="s">
        <v>8022</v>
      </c>
      <c r="D2019" s="7" t="s">
        <v>8023</v>
      </c>
      <c r="E2019" s="7" t="s">
        <v>8024</v>
      </c>
      <c r="F2019" s="7" t="str">
        <f>HYPERLINK("http://www.agrilischeto.com/","www.agrilischeto.com")</f>
        <v>www.agrilischeto.com</v>
      </c>
    </row>
    <row r="2020" spans="1:6" ht="132.75" customHeight="1" x14ac:dyDescent="0.25">
      <c r="A2020" s="6" t="s">
        <v>8026</v>
      </c>
      <c r="B2020" s="5" t="s">
        <v>8027</v>
      </c>
      <c r="C2020" s="5" t="s">
        <v>8014</v>
      </c>
      <c r="D2020" s="5" t="s">
        <v>8012</v>
      </c>
      <c r="E2020" s="5" t="s">
        <v>8013</v>
      </c>
      <c r="F2020" s="5" t="str">
        <f>HYPERLINK("http://mansalto.com/","mansalto.com")</f>
        <v>mansalto.com</v>
      </c>
    </row>
    <row r="2021" spans="1:6" ht="43.05" customHeight="1" x14ac:dyDescent="0.25">
      <c r="A2021" s="6" t="s">
        <v>8028</v>
      </c>
      <c r="B2021" s="5" t="s">
        <v>8029</v>
      </c>
      <c r="C2021" s="5" t="s">
        <v>8003</v>
      </c>
      <c r="D2021" s="5" t="s">
        <v>8030</v>
      </c>
      <c r="E2021" s="5" t="s">
        <v>8002</v>
      </c>
      <c r="F2021" s="5" t="str">
        <f>HYPERLINK("http://frescheterrediscrivia.com/","frescheterrediscrivia.com")</f>
        <v>frescheterrediscrivia.com</v>
      </c>
    </row>
    <row r="2022" spans="1:6" ht="29.55" customHeight="1" x14ac:dyDescent="0.25">
      <c r="A2022" s="6" t="s">
        <v>8031</v>
      </c>
      <c r="B2022" s="5" t="s">
        <v>8032</v>
      </c>
      <c r="C2022" s="5" t="s">
        <v>8033</v>
      </c>
      <c r="D2022" s="5" t="s">
        <v>8034</v>
      </c>
      <c r="E2022" s="5" t="s">
        <v>8035</v>
      </c>
      <c r="F2022" s="5" t="str">
        <f>HYPERLINK("http://www.reverde.it/","www.reverde.it")</f>
        <v>www.reverde.it</v>
      </c>
    </row>
    <row r="2023" spans="1:6" ht="29.55" customHeight="1" x14ac:dyDescent="0.25">
      <c r="A2023" s="6" t="s">
        <v>8036</v>
      </c>
      <c r="B2023" s="5" t="s">
        <v>8037</v>
      </c>
      <c r="C2023" s="5" t="s">
        <v>8038</v>
      </c>
      <c r="D2023" s="5" t="s">
        <v>8039</v>
      </c>
      <c r="E2023" s="5" t="s">
        <v>8002</v>
      </c>
      <c r="F2023" s="5" t="str">
        <f>HYPERLINK("http://www.allevamentoilgrifone.it/","www.allevamentoilgrifone.it")</f>
        <v>www.allevamentoilgrifone.it</v>
      </c>
    </row>
    <row r="2024" spans="1:6" ht="43.05" customHeight="1" x14ac:dyDescent="0.25">
      <c r="A2024" s="6" t="s">
        <v>8040</v>
      </c>
      <c r="B2024" s="5" t="s">
        <v>8041</v>
      </c>
      <c r="C2024" s="5" t="s">
        <v>8014</v>
      </c>
      <c r="D2024" s="5" t="s">
        <v>8042</v>
      </c>
      <c r="E2024" s="5" t="s">
        <v>8025</v>
      </c>
      <c r="F2024" s="5" t="str">
        <f>HYPERLINK("http://fidorawines.com/","fidorawines.com")</f>
        <v>fidorawines.com</v>
      </c>
    </row>
    <row r="2025" spans="1:6" ht="55.65" customHeight="1" x14ac:dyDescent="0.25">
      <c r="A2025" s="6" t="s">
        <v>8043</v>
      </c>
      <c r="B2025" s="5" t="s">
        <v>8044</v>
      </c>
      <c r="C2025" s="5" t="s">
        <v>8045</v>
      </c>
      <c r="D2025" s="5" t="s">
        <v>8046</v>
      </c>
      <c r="E2025" s="5" t="s">
        <v>8035</v>
      </c>
      <c r="F2025" s="5" t="str">
        <f>HYPERLINK("http://farromonterosso.it/","farromonterosso.it")</f>
        <v>farromonterosso.it</v>
      </c>
    </row>
    <row r="2026" spans="1:6" ht="55.65" customHeight="1" x14ac:dyDescent="0.25">
      <c r="A2026" s="1" t="s">
        <v>8049</v>
      </c>
      <c r="B2026" s="7" t="s">
        <v>8050</v>
      </c>
      <c r="C2026" s="7" t="s">
        <v>8051</v>
      </c>
      <c r="D2026" s="7" t="s">
        <v>8052</v>
      </c>
      <c r="E2026" s="7" t="s">
        <v>8053</v>
      </c>
      <c r="F2026" s="7" t="str">
        <f>HYPERLINK("http://www.castelloditornano.it/","www.castelloditornano.it")</f>
        <v>www.castelloditornano.it</v>
      </c>
    </row>
    <row r="2027" spans="1:6" ht="29.55" customHeight="1" x14ac:dyDescent="0.25">
      <c r="A2027" s="6" t="s">
        <v>8054</v>
      </c>
      <c r="B2027" s="5" t="s">
        <v>8055</v>
      </c>
      <c r="C2027" s="5" t="s">
        <v>8051</v>
      </c>
      <c r="D2027" s="5" t="s">
        <v>8056</v>
      </c>
      <c r="E2027" s="5" t="s">
        <v>8057</v>
      </c>
      <c r="F2027" s="5" t="str">
        <f>HYPERLINK("http://www.masserianelsole.eu/","www.masserianelsole.eu")</f>
        <v>www.masserianelsole.eu</v>
      </c>
    </row>
    <row r="2028" spans="1:6" ht="29.55" customHeight="1" x14ac:dyDescent="0.25">
      <c r="A2028" s="1" t="s">
        <v>8058</v>
      </c>
      <c r="B2028" s="7" t="s">
        <v>8059</v>
      </c>
      <c r="C2028" s="7" t="s">
        <v>8060</v>
      </c>
      <c r="D2028" s="7" t="s">
        <v>8061</v>
      </c>
      <c r="E2028" s="7" t="s">
        <v>8062</v>
      </c>
      <c r="F2028" s="7" t="str">
        <f>HYPERLINK("http://www.sinlabor.it/","www.sinlabor.it")</f>
        <v>www.sinlabor.it</v>
      </c>
    </row>
    <row r="2029" spans="1:6" ht="29.55" customHeight="1" x14ac:dyDescent="0.25">
      <c r="A2029" s="1" t="s">
        <v>8065</v>
      </c>
      <c r="B2029" s="7" t="s">
        <v>8066</v>
      </c>
      <c r="C2029" s="7" t="s">
        <v>8067</v>
      </c>
      <c r="D2029" s="7" t="s">
        <v>8068</v>
      </c>
      <c r="E2029" s="7" t="s">
        <v>8069</v>
      </c>
      <c r="F2029" s="7" t="str">
        <f>HYPERLINK("http://cascina-gaggioli.it-lombardy.com/","cascina-gaggioli.it-lombardy.com")</f>
        <v>cascina-gaggioli.it-lombardy.com</v>
      </c>
    </row>
    <row r="2030" spans="1:6" ht="29.55" customHeight="1" x14ac:dyDescent="0.25">
      <c r="A2030" s="1" t="s">
        <v>8071</v>
      </c>
      <c r="B2030" s="7" t="s">
        <v>8072</v>
      </c>
      <c r="C2030" s="7" t="s">
        <v>8073</v>
      </c>
      <c r="D2030" s="7" t="s">
        <v>8052</v>
      </c>
      <c r="E2030" s="7" t="s">
        <v>8053</v>
      </c>
      <c r="F2030" s="7" t="str">
        <f>HYPERLINK("http://www.decimo.it/","www.decimo.it")</f>
        <v>www.decimo.it</v>
      </c>
    </row>
    <row r="2031" spans="1:6" ht="29.55" customHeight="1" x14ac:dyDescent="0.25">
      <c r="A2031" s="6" t="s">
        <v>8074</v>
      </c>
      <c r="B2031" s="5" t="s">
        <v>8075</v>
      </c>
      <c r="C2031" s="5" t="s">
        <v>8047</v>
      </c>
      <c r="D2031" s="5" t="s">
        <v>8076</v>
      </c>
      <c r="E2031" s="5" t="s">
        <v>8077</v>
      </c>
      <c r="F2031" s="5" t="str">
        <f>HYPERLINK("http://www.agriturismoiacchelliarmando.it/","www.agriturismoiacchelliarmando.it")</f>
        <v>www.agriturismoiacchelliarmando.it</v>
      </c>
    </row>
    <row r="2032" spans="1:6" ht="29.55" customHeight="1" x14ac:dyDescent="0.25">
      <c r="A2032" s="1" t="s">
        <v>8078</v>
      </c>
      <c r="B2032" s="7" t="s">
        <v>8079</v>
      </c>
      <c r="C2032" s="7" t="s">
        <v>8080</v>
      </c>
      <c r="D2032" s="7" t="s">
        <v>8081</v>
      </c>
      <c r="E2032" s="7" t="s">
        <v>8082</v>
      </c>
      <c r="F2032" s="7" t="str">
        <f>HYPERLINK("http://www.ilborgodelriso.it/","www.ilborgodelriso.it")</f>
        <v>www.ilborgodelriso.it</v>
      </c>
    </row>
    <row r="2033" spans="1:6" ht="29.55" customHeight="1" x14ac:dyDescent="0.25">
      <c r="A2033" s="1" t="s">
        <v>8083</v>
      </c>
      <c r="B2033" s="7" t="s">
        <v>8084</v>
      </c>
      <c r="C2033" s="7" t="s">
        <v>8051</v>
      </c>
      <c r="D2033" s="7" t="s">
        <v>8085</v>
      </c>
      <c r="E2033" s="7" t="s">
        <v>8069</v>
      </c>
      <c r="F2033" s="7" t="str">
        <f>HYPERLINK("http://www.biondelli.com/","www.biondelli.com")</f>
        <v>www.biondelli.com</v>
      </c>
    </row>
    <row r="2034" spans="1:6" ht="29.55" customHeight="1" x14ac:dyDescent="0.25">
      <c r="A2034" s="6" t="s">
        <v>8086</v>
      </c>
      <c r="B2034" s="5" t="s">
        <v>8087</v>
      </c>
      <c r="C2034" s="5" t="s">
        <v>8073</v>
      </c>
      <c r="D2034" s="5" t="s">
        <v>8063</v>
      </c>
      <c r="E2034" s="5" t="s">
        <v>8064</v>
      </c>
      <c r="F2034" s="5" t="str">
        <f>HYPERLINK("http://www.marinacolonna.it/","www.marinacolonna.it")</f>
        <v>www.marinacolonna.it</v>
      </c>
    </row>
    <row r="2035" spans="1:6" ht="81.75" customHeight="1" x14ac:dyDescent="0.25">
      <c r="A2035" s="6" t="s">
        <v>8089</v>
      </c>
      <c r="B2035" s="5" t="s">
        <v>8090</v>
      </c>
      <c r="C2035" s="5" t="s">
        <v>8051</v>
      </c>
      <c r="D2035" s="5" t="s">
        <v>8052</v>
      </c>
      <c r="E2035" s="5" t="s">
        <v>8053</v>
      </c>
      <c r="F2035" s="5" t="str">
        <f>HYPERLINK("http://aiolawines.com/","aiolawines.com")</f>
        <v>aiolawines.com</v>
      </c>
    </row>
    <row r="2036" spans="1:6" ht="29.55" customHeight="1" x14ac:dyDescent="0.25">
      <c r="A2036" s="1" t="s">
        <v>8091</v>
      </c>
      <c r="B2036" s="7" t="s">
        <v>8092</v>
      </c>
      <c r="C2036" s="7" t="s">
        <v>8048</v>
      </c>
      <c r="D2036" s="7" t="s">
        <v>8093</v>
      </c>
      <c r="E2036" s="7" t="s">
        <v>8070</v>
      </c>
      <c r="F2036" s="7" t="str">
        <f>HYPERLINK("http://www.saporibio.it/","www.saporibio.it")</f>
        <v>www.saporibio.it</v>
      </c>
    </row>
    <row r="2037" spans="1:6" ht="29.55" customHeight="1" x14ac:dyDescent="0.25">
      <c r="A2037" s="6" t="s">
        <v>8094</v>
      </c>
      <c r="B2037" s="5" t="s">
        <v>8095</v>
      </c>
      <c r="C2037" s="5" t="s">
        <v>8051</v>
      </c>
      <c r="D2037" s="5" t="s">
        <v>8096</v>
      </c>
      <c r="E2037" s="5" t="s">
        <v>8097</v>
      </c>
      <c r="F2037" s="5" t="str">
        <f>HYPERLINK("http://www.dariocoos.it/","www.dariocoos.it")</f>
        <v>www.dariocoos.it</v>
      </c>
    </row>
    <row r="2038" spans="1:6" ht="29.55" customHeight="1" x14ac:dyDescent="0.25">
      <c r="A2038" s="6" t="s">
        <v>8098</v>
      </c>
      <c r="B2038" s="5" t="s">
        <v>8099</v>
      </c>
      <c r="C2038" s="5" t="s">
        <v>8051</v>
      </c>
      <c r="D2038" s="5" t="s">
        <v>8100</v>
      </c>
      <c r="E2038" s="5" t="s">
        <v>8053</v>
      </c>
      <c r="F2038" s="5" t="str">
        <f>HYPERLINK("http://www.fattoriacalappiano.com/","www.fattoriacalappiano.com")</f>
        <v>www.fattoriacalappiano.com</v>
      </c>
    </row>
    <row r="2039" spans="1:6" ht="55.65" customHeight="1" x14ac:dyDescent="0.25">
      <c r="A2039" s="1" t="s">
        <v>8101</v>
      </c>
      <c r="B2039" s="7" t="s">
        <v>8102</v>
      </c>
      <c r="C2039" s="7" t="s">
        <v>8103</v>
      </c>
      <c r="D2039" s="7" t="s">
        <v>8076</v>
      </c>
      <c r="E2039" s="7" t="s">
        <v>8077</v>
      </c>
      <c r="F2039" s="7" t="str">
        <f>HYPERLINK("http://www.agricolansa.com/","www.agricolansa.com")</f>
        <v>www.agricolansa.com</v>
      </c>
    </row>
    <row r="2040" spans="1:6" ht="55.65" customHeight="1" x14ac:dyDescent="0.25">
      <c r="A2040" s="1" t="s">
        <v>8104</v>
      </c>
      <c r="B2040" s="7" t="s">
        <v>8105</v>
      </c>
      <c r="C2040" s="7" t="s">
        <v>8051</v>
      </c>
      <c r="D2040" s="7" t="s">
        <v>8052</v>
      </c>
      <c r="E2040" s="7" t="s">
        <v>8053</v>
      </c>
      <c r="F2040" s="7" t="str">
        <f>HYPERLINK("http://carpinetafontalpino.it/","carpinetafontalpino.it")</f>
        <v>carpinetafontalpino.it</v>
      </c>
    </row>
    <row r="2041" spans="1:6" ht="29.55" customHeight="1" x14ac:dyDescent="0.25">
      <c r="A2041" s="6" t="s">
        <v>8106</v>
      </c>
      <c r="B2041" s="5" t="s">
        <v>8107</v>
      </c>
      <c r="C2041" s="5" t="s">
        <v>8051</v>
      </c>
      <c r="D2041" s="5" t="s">
        <v>8052</v>
      </c>
      <c r="E2041" s="5" t="s">
        <v>8053</v>
      </c>
      <c r="F2041" s="5" t="str">
        <f>HYPERLINK("http://casaledellosparviero.com/","casaledellosparviero.com")</f>
        <v>casaledellosparviero.com</v>
      </c>
    </row>
    <row r="2042" spans="1:6" ht="43.05" customHeight="1" x14ac:dyDescent="0.25">
      <c r="A2042" s="1" t="s">
        <v>8108</v>
      </c>
      <c r="B2042" s="7" t="s">
        <v>8109</v>
      </c>
      <c r="C2042" s="7" t="s">
        <v>8103</v>
      </c>
      <c r="D2042" s="7" t="s">
        <v>8110</v>
      </c>
      <c r="E2042" s="7" t="s">
        <v>8070</v>
      </c>
      <c r="F2042" s="7" t="str">
        <f>HYPERLINK("http://www.lagocciadoro.it/","www.lagocciadoro.it")</f>
        <v>www.lagocciadoro.it</v>
      </c>
    </row>
    <row r="2043" spans="1:6" ht="29.55" customHeight="1" x14ac:dyDescent="0.25">
      <c r="A2043" s="6" t="s">
        <v>8111</v>
      </c>
      <c r="B2043" s="5" t="s">
        <v>8112</v>
      </c>
      <c r="C2043" s="5" t="s">
        <v>8088</v>
      </c>
      <c r="D2043" s="5" t="s">
        <v>8068</v>
      </c>
      <c r="E2043" s="5" t="s">
        <v>8069</v>
      </c>
      <c r="F2043" s="5" t="str">
        <f>HYPERLINK("http://www.agriturismoagrimania.it/","www.agriturismoagrimania.it")</f>
        <v>www.agriturismoagrimania.it</v>
      </c>
    </row>
    <row r="2044" spans="1:6" ht="43.05" customHeight="1" x14ac:dyDescent="0.25">
      <c r="A2044" s="6" t="s">
        <v>8116</v>
      </c>
      <c r="B2044" s="5" t="s">
        <v>8117</v>
      </c>
      <c r="C2044" s="5" t="s">
        <v>8118</v>
      </c>
      <c r="D2044" s="5" t="s">
        <v>8119</v>
      </c>
      <c r="E2044" s="5" t="s">
        <v>8120</v>
      </c>
      <c r="F2044" s="5" t="str">
        <f>HYPERLINK("http://www.masseriasantoscalone.it/","www.masseriasantoscalone.it")</f>
        <v>www.masseriasantoscalone.it</v>
      </c>
    </row>
    <row r="2045" spans="1:6" ht="29.55" customHeight="1" x14ac:dyDescent="0.25">
      <c r="A2045" s="1" t="s">
        <v>8123</v>
      </c>
      <c r="B2045" s="7" t="s">
        <v>8124</v>
      </c>
      <c r="C2045" s="7" t="s">
        <v>8125</v>
      </c>
      <c r="D2045" s="7" t="s">
        <v>8126</v>
      </c>
      <c r="E2045" s="7" t="s">
        <v>8127</v>
      </c>
      <c r="F2045" s="7" t="str">
        <f>HYPERLINK("http://www.aziendarossi.com/","www.aziendarossi.com")</f>
        <v>www.aziendarossi.com</v>
      </c>
    </row>
    <row r="2046" spans="1:6" ht="29.55" customHeight="1" x14ac:dyDescent="0.25">
      <c r="A2046" s="6" t="s">
        <v>8128</v>
      </c>
      <c r="B2046" s="5" t="s">
        <v>8129</v>
      </c>
      <c r="C2046" s="5" t="s">
        <v>8130</v>
      </c>
      <c r="D2046" s="5" t="s">
        <v>8121</v>
      </c>
      <c r="E2046" s="5" t="s">
        <v>8122</v>
      </c>
      <c r="F2046" s="5" t="str">
        <f>HYPERLINK("http://progettomeristema.it/","progettomeristema.it")</f>
        <v>progettomeristema.it</v>
      </c>
    </row>
    <row r="2047" spans="1:6" ht="29.55" customHeight="1" x14ac:dyDescent="0.25">
      <c r="A2047" s="6" t="s">
        <v>8131</v>
      </c>
      <c r="B2047" s="5" t="s">
        <v>8132</v>
      </c>
      <c r="C2047" s="5" t="s">
        <v>8130</v>
      </c>
      <c r="D2047" s="5" t="s">
        <v>8126</v>
      </c>
      <c r="E2047" s="5" t="s">
        <v>8127</v>
      </c>
      <c r="F2047" s="5" t="str">
        <f>HYPERLINK("http://www.agriturismovile.it/","www.agriturismovile.it")</f>
        <v>www.agriturismovile.it</v>
      </c>
    </row>
    <row r="2048" spans="1:6" ht="29.55" customHeight="1" x14ac:dyDescent="0.25">
      <c r="A2048" s="1" t="s">
        <v>8133</v>
      </c>
      <c r="B2048" s="7" t="s">
        <v>8134</v>
      </c>
      <c r="C2048" s="7" t="s">
        <v>8135</v>
      </c>
      <c r="D2048" s="7" t="s">
        <v>8113</v>
      </c>
      <c r="E2048" s="7" t="s">
        <v>8114</v>
      </c>
      <c r="F2048" s="7" t="str">
        <f>HYPERLINK("http://parma.coldiretti.it/","parma.coldiretti.it")</f>
        <v>parma.coldiretti.it</v>
      </c>
    </row>
    <row r="2049" spans="1:6" ht="29.55" customHeight="1" x14ac:dyDescent="0.25">
      <c r="A2049" s="1" t="s">
        <v>8136</v>
      </c>
      <c r="B2049" s="7" t="s">
        <v>8137</v>
      </c>
      <c r="C2049" s="7" t="s">
        <v>8138</v>
      </c>
      <c r="D2049" s="7" t="s">
        <v>8139</v>
      </c>
      <c r="E2049" s="7" t="s">
        <v>8115</v>
      </c>
      <c r="F2049" s="7" t="str">
        <f>HYPERLINK("http://www.trefontanepalagonia.it/","www.trefontanepalagonia.it")</f>
        <v>www.trefontanepalagonia.it</v>
      </c>
    </row>
    <row r="2050" spans="1:6" ht="43.05" customHeight="1" x14ac:dyDescent="0.25">
      <c r="A2050" s="6" t="s">
        <v>8140</v>
      </c>
      <c r="B2050" s="5" t="s">
        <v>8141</v>
      </c>
      <c r="C2050" s="5" t="s">
        <v>8142</v>
      </c>
      <c r="D2050" s="5" t="s">
        <v>8143</v>
      </c>
      <c r="E2050" s="5" t="s">
        <v>8144</v>
      </c>
      <c r="F2050" s="5" t="str">
        <f>HYPERLINK("http://www.tenutedifraternita.it/","www.tenutedifraternita.it")</f>
        <v>www.tenutedifraternita.it</v>
      </c>
    </row>
    <row r="2051" spans="1:6" ht="29.55" customHeight="1" x14ac:dyDescent="0.25">
      <c r="A2051" s="1" t="s">
        <v>8146</v>
      </c>
      <c r="B2051" s="7" t="s">
        <v>8147</v>
      </c>
      <c r="C2051" s="7" t="s">
        <v>8135</v>
      </c>
      <c r="D2051" s="7" t="s">
        <v>8148</v>
      </c>
      <c r="E2051" s="7" t="s">
        <v>8149</v>
      </c>
      <c r="F2051" s="7" t="str">
        <f>HYPERLINK("http://shop.valdicastro.it/","shop.valdicastro.it")</f>
        <v>shop.valdicastro.it</v>
      </c>
    </row>
    <row r="2052" spans="1:6" ht="29.55" customHeight="1" x14ac:dyDescent="0.25">
      <c r="A2052" s="6" t="s">
        <v>8150</v>
      </c>
      <c r="B2052" s="5" t="s">
        <v>8151</v>
      </c>
      <c r="C2052" s="5" t="s">
        <v>8145</v>
      </c>
      <c r="D2052" s="5" t="s">
        <v>8152</v>
      </c>
      <c r="E2052" s="5" t="s">
        <v>8115</v>
      </c>
      <c r="F2052" s="5" t="str">
        <f>HYPERLINK("http://www.marabino.it/","www.marabino.it")</f>
        <v>www.marabino.it</v>
      </c>
    </row>
    <row r="2053" spans="1:6" ht="29.55" customHeight="1" x14ac:dyDescent="0.25">
      <c r="A2053" s="1" t="s">
        <v>8153</v>
      </c>
      <c r="B2053" s="7" t="s">
        <v>8154</v>
      </c>
      <c r="C2053" s="7" t="s">
        <v>8145</v>
      </c>
      <c r="D2053" s="7" t="s">
        <v>8155</v>
      </c>
      <c r="E2053" s="7" t="s">
        <v>8144</v>
      </c>
      <c r="F2053" s="7" t="str">
        <f>HYPERLINK("http://www.modanella.com/","www.modanella.com")</f>
        <v>www.modanella.com</v>
      </c>
    </row>
    <row r="2054" spans="1:6" ht="29.55" customHeight="1" x14ac:dyDescent="0.25">
      <c r="A2054" s="6" t="s">
        <v>8156</v>
      </c>
      <c r="B2054" s="5" t="s">
        <v>8157</v>
      </c>
      <c r="C2054" s="5" t="s">
        <v>8145</v>
      </c>
      <c r="D2054" s="5" t="s">
        <v>8158</v>
      </c>
      <c r="E2054" s="5" t="s">
        <v>8127</v>
      </c>
      <c r="F2054" s="5" t="str">
        <f>HYPERLINK("http://pileum.it/","pileum.it")</f>
        <v>pileum.it</v>
      </c>
    </row>
    <row r="2055" spans="1:6" ht="29.55" customHeight="1" x14ac:dyDescent="0.25">
      <c r="A2055" s="6" t="s">
        <v>8159</v>
      </c>
      <c r="B2055" s="5" t="s">
        <v>8160</v>
      </c>
      <c r="C2055" s="5" t="s">
        <v>8161</v>
      </c>
      <c r="D2055" s="5" t="s">
        <v>8139</v>
      </c>
      <c r="E2055" s="5" t="s">
        <v>8115</v>
      </c>
      <c r="F2055" s="5" t="str">
        <f>HYPERLINK("http://www.floramici.it/","www.floramici.it")</f>
        <v>www.floramici.it</v>
      </c>
    </row>
    <row r="2056" spans="1:6" ht="29.55" customHeight="1" x14ac:dyDescent="0.25">
      <c r="A2056" s="6" t="s">
        <v>8162</v>
      </c>
      <c r="B2056" s="5" t="s">
        <v>8163</v>
      </c>
      <c r="C2056" s="5" t="s">
        <v>8145</v>
      </c>
      <c r="D2056" s="5" t="s">
        <v>8164</v>
      </c>
      <c r="E2056" s="5" t="s">
        <v>8165</v>
      </c>
      <c r="F2056" s="5" t="str">
        <f>HYPERLINK("http://www.paolomonti.com/","www.paolomonti.com")</f>
        <v>www.paolomonti.com</v>
      </c>
    </row>
    <row r="2057" spans="1:6" ht="29.55" customHeight="1" x14ac:dyDescent="0.25">
      <c r="A2057" s="1" t="s">
        <v>8166</v>
      </c>
      <c r="B2057" s="7" t="s">
        <v>8167</v>
      </c>
      <c r="C2057" s="7" t="s">
        <v>8145</v>
      </c>
      <c r="D2057" s="7" t="s">
        <v>8168</v>
      </c>
      <c r="E2057" s="7" t="s">
        <v>8144</v>
      </c>
      <c r="F2057" s="7" t="str">
        <f>HYPERLINK("http://www.agriturismolaborriana.it/","www.agriturismolaborriana.it")</f>
        <v>www.agriturismolaborriana.it</v>
      </c>
    </row>
    <row r="2058" spans="1:6" ht="43.05" customHeight="1" x14ac:dyDescent="0.25">
      <c r="A2058" s="6" t="s">
        <v>8169</v>
      </c>
      <c r="B2058" s="5" t="s">
        <v>8170</v>
      </c>
      <c r="C2058" s="5" t="s">
        <v>8171</v>
      </c>
      <c r="D2058" s="5" t="s">
        <v>8172</v>
      </c>
      <c r="E2058" s="5" t="s">
        <v>8173</v>
      </c>
      <c r="F2058" s="5" t="str">
        <f>HYPERLINK("http://villamodestina.web.mtncompany.it/","villamodestina.web.mtncompany.it")</f>
        <v>villamodestina.web.mtncompany.it</v>
      </c>
    </row>
    <row r="2059" spans="1:6" ht="145.19999999999999" customHeight="1" x14ac:dyDescent="0.25">
      <c r="A2059" s="1" t="s">
        <v>8174</v>
      </c>
      <c r="B2059" s="7" t="s">
        <v>8175</v>
      </c>
      <c r="C2059" s="7" t="s">
        <v>8176</v>
      </c>
      <c r="D2059" s="7" t="s">
        <v>8177</v>
      </c>
      <c r="E2059" s="7" t="s">
        <v>8178</v>
      </c>
      <c r="F2059" s="7" t="str">
        <f>HYPERLINK("http://lampato.com/","lampato.com")</f>
        <v>lampato.com</v>
      </c>
    </row>
    <row r="2060" spans="1:6" ht="29.55" customHeight="1" x14ac:dyDescent="0.25">
      <c r="A2060" s="1" t="s">
        <v>8181</v>
      </c>
      <c r="B2060" s="7" t="s">
        <v>8182</v>
      </c>
      <c r="C2060" s="7" t="s">
        <v>8183</v>
      </c>
      <c r="D2060" s="7" t="s">
        <v>8177</v>
      </c>
      <c r="E2060" s="7" t="s">
        <v>8178</v>
      </c>
      <c r="F2060" s="7" t="str">
        <f>HYPERLINK("http://www.abruzzoleum.it/","www.abruzzoleum.it")</f>
        <v>www.abruzzoleum.it</v>
      </c>
    </row>
    <row r="2061" spans="1:6" ht="16.95" customHeight="1" x14ac:dyDescent="0.25">
      <c r="A2061" s="6" t="s">
        <v>8184</v>
      </c>
      <c r="B2061" s="5" t="s">
        <v>8185</v>
      </c>
      <c r="C2061" s="5" t="s">
        <v>8179</v>
      </c>
      <c r="D2061" s="5" t="s">
        <v>8186</v>
      </c>
      <c r="E2061" s="5" t="s">
        <v>8187</v>
      </c>
      <c r="F2061" s="5" t="str">
        <f>HYPERLINK("http://www.supernaturalsrl.it/","www.supernaturalsrl.it")</f>
        <v>www.supernaturalsrl.it</v>
      </c>
    </row>
    <row r="2062" spans="1:6" ht="29.55" customHeight="1" x14ac:dyDescent="0.25">
      <c r="A2062" s="6" t="s">
        <v>8188</v>
      </c>
      <c r="B2062" s="5" t="s">
        <v>8189</v>
      </c>
      <c r="C2062" s="5" t="s">
        <v>8190</v>
      </c>
      <c r="D2062" s="5" t="s">
        <v>8191</v>
      </c>
      <c r="E2062" s="5" t="s">
        <v>8180</v>
      </c>
      <c r="F2062" s="5" t="str">
        <f>HYPERLINK("http://www.montemolafunghisicilia.it/","www.montemolafunghisicilia.it")</f>
        <v>www.montemolafunghisicilia.it</v>
      </c>
    </row>
    <row r="2063" spans="1:6" ht="29.55" customHeight="1" x14ac:dyDescent="0.25">
      <c r="A2063" s="6" t="s">
        <v>8192</v>
      </c>
      <c r="B2063" s="5" t="s">
        <v>8193</v>
      </c>
      <c r="C2063" s="5" t="s">
        <v>8176</v>
      </c>
      <c r="D2063" s="5" t="s">
        <v>8172</v>
      </c>
      <c r="E2063" s="5" t="s">
        <v>8173</v>
      </c>
      <c r="F2063" s="5" t="str">
        <f>HYPERLINK("http://www.viticoltorideconciliis.it/","www.viticoltorideconciliis.it")</f>
        <v>www.viticoltorideconciliis.it</v>
      </c>
    </row>
    <row r="2064" spans="1:6" ht="29.55" customHeight="1" x14ac:dyDescent="0.25">
      <c r="A2064" s="1" t="s">
        <v>8194</v>
      </c>
      <c r="B2064" s="7" t="s">
        <v>8195</v>
      </c>
      <c r="C2064" s="7" t="s">
        <v>8196</v>
      </c>
      <c r="D2064" s="7" t="s">
        <v>8197</v>
      </c>
      <c r="E2064" s="7" t="s">
        <v>8198</v>
      </c>
      <c r="F2064" s="7" t="str">
        <f>HYPERLINK("http://www.italfruttasrl.com/","www.italfruttasrl.com")</f>
        <v>www.italfruttasrl.com</v>
      </c>
    </row>
    <row r="2065" spans="1:6" ht="29.55" customHeight="1" x14ac:dyDescent="0.25">
      <c r="A2065" s="6" t="s">
        <v>8199</v>
      </c>
      <c r="B2065" s="5" t="s">
        <v>8200</v>
      </c>
      <c r="C2065" s="5" t="s">
        <v>8176</v>
      </c>
      <c r="D2065" s="5" t="s">
        <v>8186</v>
      </c>
      <c r="E2065" s="5" t="s">
        <v>8187</v>
      </c>
      <c r="F2065" s="5" t="str">
        <f>HYPERLINK("http://frantoiogriseta.com/","frantoiogriseta.com")</f>
        <v>frantoiogriseta.com</v>
      </c>
    </row>
    <row r="2066" spans="1:6" ht="68.099999999999994" customHeight="1" x14ac:dyDescent="0.25">
      <c r="A2066" s="1" t="s">
        <v>8208</v>
      </c>
      <c r="B2066" s="7" t="s">
        <v>8209</v>
      </c>
      <c r="C2066" s="7" t="s">
        <v>8210</v>
      </c>
      <c r="D2066" s="7" t="s">
        <v>8211</v>
      </c>
      <c r="E2066" s="7" t="s">
        <v>8212</v>
      </c>
      <c r="F2066" s="7" t="str">
        <f>HYPERLINK("http://www.fattoriacaserosse.it/","www.fattoriacaserosse.it")</f>
        <v>www.fattoriacaserosse.it</v>
      </c>
    </row>
    <row r="2067" spans="1:6" ht="29.55" customHeight="1" x14ac:dyDescent="0.25">
      <c r="A2067" s="6" t="s">
        <v>8213</v>
      </c>
      <c r="B2067" s="5" t="s">
        <v>8214</v>
      </c>
      <c r="C2067" s="5" t="s">
        <v>8179</v>
      </c>
      <c r="D2067" s="5" t="s">
        <v>8205</v>
      </c>
      <c r="E2067" s="5" t="s">
        <v>8204</v>
      </c>
      <c r="F2067" s="5" t="str">
        <f>HYPERLINK("http://agrifaamcoop.it/","agrifaamcoop.it")</f>
        <v>agrifaamcoop.it</v>
      </c>
    </row>
    <row r="2068" spans="1:6" ht="29.55" customHeight="1" x14ac:dyDescent="0.25">
      <c r="A2068" s="1" t="s">
        <v>8215</v>
      </c>
      <c r="B2068" s="7" t="s">
        <v>8216</v>
      </c>
      <c r="C2068" s="7" t="s">
        <v>8203</v>
      </c>
      <c r="D2068" s="7" t="s">
        <v>8206</v>
      </c>
      <c r="E2068" s="7" t="s">
        <v>8207</v>
      </c>
      <c r="F2068" s="7" t="str">
        <f>HYPERLINK("http://www.tenutacesarina.com/","www.tenutacesarina.com")</f>
        <v>www.tenutacesarina.com</v>
      </c>
    </row>
    <row r="2069" spans="1:6" ht="29.55" customHeight="1" x14ac:dyDescent="0.25">
      <c r="A2069" s="6" t="s">
        <v>8217</v>
      </c>
      <c r="B2069" s="5" t="s">
        <v>8218</v>
      </c>
      <c r="C2069" s="5" t="s">
        <v>8201</v>
      </c>
      <c r="D2069" s="5" t="s">
        <v>8219</v>
      </c>
      <c r="E2069" s="5" t="s">
        <v>8173</v>
      </c>
      <c r="F2069" s="5" t="str">
        <f>HYPERLINK("http://www.fattoriegarofalo.it/","www.fattoriegarofalo.it")</f>
        <v>www.fattoriegarofalo.it</v>
      </c>
    </row>
    <row r="2070" spans="1:6" ht="16.95" customHeight="1" x14ac:dyDescent="0.25">
      <c r="A2070" s="1" t="s">
        <v>8220</v>
      </c>
      <c r="B2070" s="7" t="s">
        <v>8221</v>
      </c>
      <c r="C2070" s="7" t="s">
        <v>8222</v>
      </c>
      <c r="D2070" s="7" t="s">
        <v>8223</v>
      </c>
      <c r="E2070" s="7" t="s">
        <v>8180</v>
      </c>
      <c r="F2070" s="7" t="str">
        <f>HYPERLINK("http://www.agrisementisrl.it/","www.agrisementisrl.it")</f>
        <v>www.agrisementisrl.it</v>
      </c>
    </row>
    <row r="2071" spans="1:6" ht="43.05" customHeight="1" x14ac:dyDescent="0.25">
      <c r="A2071" s="6" t="s">
        <v>8224</v>
      </c>
      <c r="B2071" s="5" t="s">
        <v>8225</v>
      </c>
      <c r="C2071" s="5" t="s">
        <v>8202</v>
      </c>
      <c r="D2071" s="5" t="s">
        <v>8191</v>
      </c>
      <c r="E2071" s="5" t="s">
        <v>8180</v>
      </c>
      <c r="F2071" s="5" t="str">
        <f>HYPERLINK("http://www.liberaterra.it/","http://www.liberaterra.it")</f>
        <v>http://www.liberaterra.it</v>
      </c>
    </row>
    <row r="2072" spans="1:6" ht="43.05" customHeight="1" x14ac:dyDescent="0.25">
      <c r="A2072" s="1" t="s">
        <v>8226</v>
      </c>
      <c r="B2072" s="7" t="s">
        <v>8227</v>
      </c>
      <c r="C2072" s="7" t="s">
        <v>8228</v>
      </c>
      <c r="D2072" s="7" t="s">
        <v>8229</v>
      </c>
      <c r="E2072" s="7" t="s">
        <v>8230</v>
      </c>
      <c r="F2072" s="7" t="str">
        <f>HYPERLINK("http://www.olioarcuri.it/","www.olioarcuri.it")</f>
        <v>www.olioarcuri.it</v>
      </c>
    </row>
    <row r="2073" spans="1:6" ht="55.65" customHeight="1" x14ac:dyDescent="0.25">
      <c r="A2073" s="1" t="s">
        <v>8234</v>
      </c>
      <c r="B2073" s="7" t="s">
        <v>8235</v>
      </c>
      <c r="C2073" s="7" t="s">
        <v>8231</v>
      </c>
      <c r="D2073" s="7" t="s">
        <v>8236</v>
      </c>
      <c r="E2073" s="7" t="s">
        <v>8237</v>
      </c>
      <c r="F2073" s="7" t="str">
        <f>HYPERLINK("http://vinieoliodipulsano.it/","vinieoliodipulsano.it")</f>
        <v>vinieoliodipulsano.it</v>
      </c>
    </row>
    <row r="2074" spans="1:6" ht="29.55" customHeight="1" x14ac:dyDescent="0.25">
      <c r="A2074" s="1" t="s">
        <v>8240</v>
      </c>
      <c r="B2074" s="7" t="s">
        <v>8241</v>
      </c>
      <c r="C2074" s="7" t="s">
        <v>8238</v>
      </c>
      <c r="D2074" s="7" t="s">
        <v>8242</v>
      </c>
      <c r="E2074" s="7" t="s">
        <v>8243</v>
      </c>
      <c r="F2074" s="7" t="str">
        <f>HYPERLINK("http://www.pelagattifratelli.it/","www.pelagattifratelli.it")</f>
        <v>www.pelagattifratelli.it</v>
      </c>
    </row>
    <row r="2075" spans="1:6" ht="29.55" customHeight="1" x14ac:dyDescent="0.25">
      <c r="A2075" s="1" t="s">
        <v>8244</v>
      </c>
      <c r="B2075" s="7" t="s">
        <v>8245</v>
      </c>
      <c r="C2075" s="7" t="s">
        <v>8238</v>
      </c>
      <c r="D2075" s="7" t="s">
        <v>8246</v>
      </c>
      <c r="E2075" s="7" t="s">
        <v>8233</v>
      </c>
      <c r="F2075" s="7" t="str">
        <f>HYPERLINK("http://www.corilu.it/","www.corilu.it")</f>
        <v>www.corilu.it</v>
      </c>
    </row>
    <row r="2076" spans="1:6" ht="16.95" customHeight="1" x14ac:dyDescent="0.25">
      <c r="A2076" s="6" t="s">
        <v>8247</v>
      </c>
      <c r="B2076" s="5" t="s">
        <v>8248</v>
      </c>
      <c r="C2076" s="5" t="s">
        <v>8249</v>
      </c>
      <c r="D2076" s="5" t="s">
        <v>8250</v>
      </c>
      <c r="E2076" s="5" t="s">
        <v>8251</v>
      </c>
      <c r="F2076" s="5" t="str">
        <f>HYPERLINK("http://www.lispida.com/","www.lispida.com")</f>
        <v>www.lispida.com</v>
      </c>
    </row>
    <row r="2077" spans="1:6" ht="29.55" customHeight="1" x14ac:dyDescent="0.25">
      <c r="A2077" s="6" t="s">
        <v>8256</v>
      </c>
      <c r="B2077" s="5" t="s">
        <v>8257</v>
      </c>
      <c r="C2077" s="5" t="s">
        <v>8258</v>
      </c>
      <c r="D2077" s="5" t="s">
        <v>8253</v>
      </c>
      <c r="E2077" s="5" t="s">
        <v>8251</v>
      </c>
      <c r="F2077" s="5" t="str">
        <f>HYPERLINK("http://www.ortovi.it/","www.ortovi.it")</f>
        <v>www.ortovi.it</v>
      </c>
    </row>
    <row r="2078" spans="1:6" ht="16.95" customHeight="1" x14ac:dyDescent="0.25">
      <c r="A2078" s="1" t="s">
        <v>8259</v>
      </c>
      <c r="B2078" s="7" t="s">
        <v>8260</v>
      </c>
      <c r="C2078" s="7" t="s">
        <v>8238</v>
      </c>
      <c r="D2078" s="7" t="s">
        <v>8261</v>
      </c>
      <c r="E2078" s="7" t="s">
        <v>8232</v>
      </c>
      <c r="F2078" s="7" t="str">
        <f>HYPERLINK("http://www.amadaterra.it/","www.amadaterra.it")</f>
        <v>www.amadaterra.it</v>
      </c>
    </row>
    <row r="2079" spans="1:6" ht="81.75" customHeight="1" x14ac:dyDescent="0.25">
      <c r="A2079" s="6" t="s">
        <v>8262</v>
      </c>
      <c r="B2079" s="5" t="s">
        <v>8263</v>
      </c>
      <c r="C2079" s="5" t="s">
        <v>8264</v>
      </c>
      <c r="D2079" s="5" t="s">
        <v>8265</v>
      </c>
      <c r="E2079" s="5" t="s">
        <v>8255</v>
      </c>
      <c r="F2079" s="5" t="str">
        <f>HYPERLINK("http://www.orneta.it/","www.orneta.it")</f>
        <v>www.orneta.it</v>
      </c>
    </row>
    <row r="2080" spans="1:6" ht="16.95" customHeight="1" x14ac:dyDescent="0.25">
      <c r="A2080" s="1" t="s">
        <v>8266</v>
      </c>
      <c r="B2080" s="7" t="s">
        <v>8267</v>
      </c>
      <c r="C2080" s="7" t="s">
        <v>8231</v>
      </c>
      <c r="D2080" s="7" t="s">
        <v>8268</v>
      </c>
      <c r="E2080" s="7" t="s">
        <v>8269</v>
      </c>
      <c r="F2080" s="7" t="str">
        <f>HYPERLINK("http://www.toblar.it/","www.toblar.it")</f>
        <v>www.toblar.it</v>
      </c>
    </row>
    <row r="2081" spans="1:6" ht="29.55" customHeight="1" x14ac:dyDescent="0.25">
      <c r="A2081" s="1" t="s">
        <v>8270</v>
      </c>
      <c r="B2081" s="7" t="s">
        <v>8271</v>
      </c>
      <c r="C2081" s="7" t="s">
        <v>8231</v>
      </c>
      <c r="D2081" s="7" t="s">
        <v>8239</v>
      </c>
      <c r="E2081" s="7" t="s">
        <v>8232</v>
      </c>
      <c r="F2081" s="7" t="str">
        <f>HYPERLINK("http://www.podernuovoapalazzone.com/","www.podernuovoapalazzone.com")</f>
        <v>www.podernuovoapalazzone.com</v>
      </c>
    </row>
    <row r="2082" spans="1:6" ht="29.55" customHeight="1" x14ac:dyDescent="0.25">
      <c r="A2082" s="1" t="s">
        <v>8272</v>
      </c>
      <c r="B2082" s="7" t="s">
        <v>8273</v>
      </c>
      <c r="C2082" s="7" t="s">
        <v>8252</v>
      </c>
      <c r="D2082" s="7" t="s">
        <v>8254</v>
      </c>
      <c r="E2082" s="7" t="s">
        <v>8255</v>
      </c>
      <c r="F2082" s="7" t="str">
        <f>HYPERLINK("http://www.gruppomignano.it/","www.gruppomignano.it")</f>
        <v>www.gruppomignano.it</v>
      </c>
    </row>
    <row r="2083" spans="1:6" ht="55.65" customHeight="1" x14ac:dyDescent="0.25">
      <c r="A2083" s="6" t="s">
        <v>8276</v>
      </c>
      <c r="B2083" s="5" t="s">
        <v>8277</v>
      </c>
      <c r="C2083" s="5" t="s">
        <v>8278</v>
      </c>
      <c r="D2083" s="5" t="s">
        <v>8279</v>
      </c>
      <c r="E2083" s="5" t="s">
        <v>8280</v>
      </c>
      <c r="F2083" s="5" t="str">
        <f>HYPERLINK("http://www.aromadomus.it/","www.aromadomus.it")</f>
        <v>www.aromadomus.it</v>
      </c>
    </row>
    <row r="2084" spans="1:6" ht="29.55" customHeight="1" x14ac:dyDescent="0.25">
      <c r="A2084" s="1" t="s">
        <v>8285</v>
      </c>
      <c r="B2084" s="7" t="s">
        <v>8286</v>
      </c>
      <c r="C2084" s="7" t="s">
        <v>8287</v>
      </c>
      <c r="D2084" s="7" t="s">
        <v>8288</v>
      </c>
      <c r="E2084" s="7" t="s">
        <v>8283</v>
      </c>
      <c r="F2084" s="7" t="str">
        <f>HYPERLINK("http://www.mammagiovanna.it/","www.mammagiovanna.it")</f>
        <v>www.mammagiovanna.it</v>
      </c>
    </row>
    <row r="2085" spans="1:6" ht="29.55" customHeight="1" x14ac:dyDescent="0.25">
      <c r="A2085" s="6" t="s">
        <v>8291</v>
      </c>
      <c r="B2085" s="5" t="s">
        <v>8292</v>
      </c>
      <c r="C2085" s="5" t="s">
        <v>8281</v>
      </c>
      <c r="D2085" s="5" t="s">
        <v>8289</v>
      </c>
      <c r="E2085" s="5" t="s">
        <v>8290</v>
      </c>
      <c r="F2085" s="5" t="str">
        <f>HYPERLINK("http://www.tenuta-mazzolino.it/","www.tenuta-mazzolino.it")</f>
        <v>www.tenuta-mazzolino.it</v>
      </c>
    </row>
    <row r="2086" spans="1:6" ht="43.05" customHeight="1" x14ac:dyDescent="0.25">
      <c r="A2086" s="1" t="s">
        <v>8293</v>
      </c>
      <c r="B2086" s="7" t="s">
        <v>8294</v>
      </c>
      <c r="C2086" s="7" t="s">
        <v>8295</v>
      </c>
      <c r="D2086" s="7" t="s">
        <v>8296</v>
      </c>
      <c r="E2086" s="7" t="s">
        <v>8290</v>
      </c>
      <c r="F2086" s="7" t="str">
        <f>HYPERLINK("http://www.vivaiocecchini.it/","www.vivaiocecchini.it")</f>
        <v>www.vivaiocecchini.it</v>
      </c>
    </row>
    <row r="2087" spans="1:6" ht="29.55" customHeight="1" x14ac:dyDescent="0.25">
      <c r="A2087" s="6" t="s">
        <v>8297</v>
      </c>
      <c r="B2087" s="5" t="s">
        <v>8298</v>
      </c>
      <c r="C2087" s="5" t="s">
        <v>8299</v>
      </c>
      <c r="D2087" s="5" t="s">
        <v>8300</v>
      </c>
      <c r="E2087" s="5" t="s">
        <v>8284</v>
      </c>
      <c r="F2087" s="5" t="str">
        <f>HYPERLINK("http://principecorsini.com/","principecorsini.com")</f>
        <v>principecorsini.com</v>
      </c>
    </row>
    <row r="2088" spans="1:6" ht="29.55" customHeight="1" x14ac:dyDescent="0.25">
      <c r="A2088" s="1" t="s">
        <v>8301</v>
      </c>
      <c r="B2088" s="7" t="s">
        <v>8302</v>
      </c>
      <c r="C2088" s="7" t="s">
        <v>8274</v>
      </c>
      <c r="D2088" s="7" t="s">
        <v>8303</v>
      </c>
      <c r="E2088" s="7" t="s">
        <v>8304</v>
      </c>
      <c r="F2088" s="7" t="str">
        <f>HYPERLINK("http://en.ai-due-leoni.it/","en.ai-due-leoni.it")</f>
        <v>en.ai-due-leoni.it</v>
      </c>
    </row>
    <row r="2089" spans="1:6" ht="43.05" customHeight="1" x14ac:dyDescent="0.25">
      <c r="A2089" s="6" t="s">
        <v>8305</v>
      </c>
      <c r="B2089" s="5" t="s">
        <v>8306</v>
      </c>
      <c r="C2089" s="5" t="s">
        <v>8281</v>
      </c>
      <c r="D2089" s="5" t="s">
        <v>8307</v>
      </c>
      <c r="E2089" s="5" t="s">
        <v>8290</v>
      </c>
      <c r="F2089" s="5" t="str">
        <f>HYPERLINK("http://www.cascinadonguanella.it/","www.cascinadonguanella.it")</f>
        <v>www.cascinadonguanella.it</v>
      </c>
    </row>
    <row r="2090" spans="1:6" ht="29.55" customHeight="1" x14ac:dyDescent="0.25">
      <c r="A2090" s="1" t="s">
        <v>8308</v>
      </c>
      <c r="B2090" s="7" t="s">
        <v>8309</v>
      </c>
      <c r="C2090" s="7" t="s">
        <v>8310</v>
      </c>
      <c r="D2090" s="7" t="s">
        <v>8311</v>
      </c>
      <c r="E2090" s="7" t="s">
        <v>8312</v>
      </c>
      <c r="F2090" s="7" t="str">
        <f>HYPERLINK("http://www.ortidelcasalito.it/","www.ortidelcasalito.it")</f>
        <v>www.ortidelcasalito.it</v>
      </c>
    </row>
    <row r="2091" spans="1:6" ht="55.65" customHeight="1" x14ac:dyDescent="0.25">
      <c r="A2091" s="6" t="s">
        <v>8313</v>
      </c>
      <c r="B2091" s="5" t="s">
        <v>8314</v>
      </c>
      <c r="C2091" s="5" t="s">
        <v>8299</v>
      </c>
      <c r="D2091" s="5" t="s">
        <v>8315</v>
      </c>
      <c r="E2091" s="5" t="s">
        <v>8316</v>
      </c>
      <c r="F2091" s="5" t="str">
        <f>HYPERLINK("http://www.bottegasolidalecarcare.it/","www.bottegasolidalecarcare.it")</f>
        <v>www.bottegasolidalecarcare.it</v>
      </c>
    </row>
    <row r="2092" spans="1:6" ht="29.55" customHeight="1" x14ac:dyDescent="0.25">
      <c r="A2092" s="6" t="s">
        <v>8317</v>
      </c>
      <c r="B2092" s="5" t="s">
        <v>8318</v>
      </c>
      <c r="C2092" s="5" t="s">
        <v>8287</v>
      </c>
      <c r="D2092" s="5" t="s">
        <v>8319</v>
      </c>
      <c r="E2092" s="5" t="s">
        <v>8275</v>
      </c>
      <c r="F2092" s="5" t="str">
        <f>HYPERLINK("http://www.tizzano.it/","www.tizzano.it")</f>
        <v>www.tizzano.it</v>
      </c>
    </row>
    <row r="2093" spans="1:6" ht="29.55" customHeight="1" x14ac:dyDescent="0.25">
      <c r="A2093" s="1" t="s">
        <v>8320</v>
      </c>
      <c r="B2093" s="7" t="s">
        <v>8321</v>
      </c>
      <c r="C2093" s="7" t="s">
        <v>8299</v>
      </c>
      <c r="D2093" s="7" t="s">
        <v>8322</v>
      </c>
      <c r="E2093" s="7" t="s">
        <v>8282</v>
      </c>
      <c r="F2093" s="7" t="str">
        <f>HYPERLINK("http://www.aziendagricolaconte.it/","www.aziendagricolaconte.it")</f>
        <v>www.aziendagricolaconte.it</v>
      </c>
    </row>
    <row r="2094" spans="1:6" ht="68.099999999999994" customHeight="1" x14ac:dyDescent="0.25">
      <c r="A2094" s="6" t="s">
        <v>8323</v>
      </c>
      <c r="B2094" s="5" t="s">
        <v>8324</v>
      </c>
      <c r="C2094" s="5" t="s">
        <v>8281</v>
      </c>
      <c r="D2094" s="5" t="s">
        <v>8325</v>
      </c>
      <c r="E2094" s="5" t="s">
        <v>8284</v>
      </c>
      <c r="F2094" s="5" t="str">
        <f>HYPERLINK("http://www.fattorialatorre.it/","www.fattorialatorre.it")</f>
        <v>www.fattorialatorre.it</v>
      </c>
    </row>
    <row r="2095" spans="1:6" ht="29.55" customHeight="1" x14ac:dyDescent="0.25">
      <c r="A2095" s="1" t="s">
        <v>8328</v>
      </c>
      <c r="B2095" s="7" t="s">
        <v>8329</v>
      </c>
      <c r="C2095" s="7" t="s">
        <v>8330</v>
      </c>
      <c r="D2095" s="7" t="s">
        <v>8331</v>
      </c>
      <c r="E2095" s="7" t="s">
        <v>8332</v>
      </c>
      <c r="F2095" s="7" t="str">
        <f>HYPERLINK("http://www.senatorevini.com/","www.senatorevini.com")</f>
        <v>www.senatorevini.com</v>
      </c>
    </row>
    <row r="2096" spans="1:6" ht="29.55" customHeight="1" x14ac:dyDescent="0.25">
      <c r="A2096" s="6" t="s">
        <v>8334</v>
      </c>
      <c r="B2096" s="5" t="s">
        <v>8335</v>
      </c>
      <c r="C2096" s="5" t="s">
        <v>8336</v>
      </c>
      <c r="D2096" s="5" t="s">
        <v>8337</v>
      </c>
      <c r="E2096" s="5" t="s">
        <v>8338</v>
      </c>
      <c r="F2096" s="5" t="str">
        <f>HYPERLINK("http://www.masseriamirogalloshop.it/","www.masseriamirogalloshop.it")</f>
        <v>www.masseriamirogalloshop.it</v>
      </c>
    </row>
    <row r="2097" spans="1:6" ht="29.55" customHeight="1" x14ac:dyDescent="0.25">
      <c r="A2097" s="1" t="s">
        <v>8340</v>
      </c>
      <c r="B2097" s="7" t="s">
        <v>8341</v>
      </c>
      <c r="C2097" s="7" t="s">
        <v>8342</v>
      </c>
      <c r="D2097" s="7" t="s">
        <v>8343</v>
      </c>
      <c r="E2097" s="7" t="s">
        <v>8332</v>
      </c>
      <c r="F2097" s="7" t="str">
        <f>HYPERLINK("http://www.naturapiu.net/","www.naturapiu.net")</f>
        <v>www.naturapiu.net</v>
      </c>
    </row>
    <row r="2098" spans="1:6" ht="29.55" customHeight="1" x14ac:dyDescent="0.25">
      <c r="A2098" s="6" t="s">
        <v>8345</v>
      </c>
      <c r="B2098" s="5" t="s">
        <v>8346</v>
      </c>
      <c r="C2098" s="5" t="s">
        <v>8336</v>
      </c>
      <c r="D2098" s="5" t="s">
        <v>8347</v>
      </c>
      <c r="E2098" s="5" t="s">
        <v>8348</v>
      </c>
      <c r="F2098" s="5" t="str">
        <f>HYPERLINK("http://www.tenutacivrana.it/","www.tenutacivrana.it")</f>
        <v>www.tenutacivrana.it</v>
      </c>
    </row>
    <row r="2099" spans="1:6" ht="43.05" customHeight="1" x14ac:dyDescent="0.25">
      <c r="A2099" s="1" t="s">
        <v>8349</v>
      </c>
      <c r="B2099" s="7" t="s">
        <v>8350</v>
      </c>
      <c r="C2099" s="7" t="s">
        <v>8330</v>
      </c>
      <c r="D2099" s="7" t="s">
        <v>8351</v>
      </c>
      <c r="E2099" s="7" t="s">
        <v>8352</v>
      </c>
      <c r="F2099" s="7" t="str">
        <f>HYPERLINK("http://tenuta-casenuove.com/","tenuta-casenuove.com")</f>
        <v>tenuta-casenuove.com</v>
      </c>
    </row>
    <row r="2100" spans="1:6" ht="16.95" customHeight="1" x14ac:dyDescent="0.25">
      <c r="A2100" s="1" t="s">
        <v>8353</v>
      </c>
      <c r="B2100" s="7" t="s">
        <v>8354</v>
      </c>
      <c r="C2100" s="7" t="s">
        <v>8333</v>
      </c>
      <c r="D2100" s="7" t="s">
        <v>8355</v>
      </c>
      <c r="E2100" s="7" t="s">
        <v>8339</v>
      </c>
      <c r="F2100" s="7" t="str">
        <f>HYPERLINK("http://www.facebook.com/guardigligroup/","www.facebook.com/guardigligroup/")</f>
        <v>www.facebook.com/guardigligroup/</v>
      </c>
    </row>
    <row r="2101" spans="1:6" ht="29.55" customHeight="1" x14ac:dyDescent="0.25">
      <c r="A2101" s="6" t="s">
        <v>8356</v>
      </c>
      <c r="B2101" s="5" t="s">
        <v>8357</v>
      </c>
      <c r="C2101" s="5" t="s">
        <v>8326</v>
      </c>
      <c r="D2101" s="5" t="s">
        <v>8358</v>
      </c>
      <c r="E2101" s="5" t="s">
        <v>8339</v>
      </c>
      <c r="F2101" s="5" t="str">
        <f>HYPERLINK("http://www.serdelta.it/","www.serdelta.it")</f>
        <v>www.serdelta.it</v>
      </c>
    </row>
    <row r="2102" spans="1:6" ht="29.55" customHeight="1" x14ac:dyDescent="0.25">
      <c r="A2102" s="6" t="s">
        <v>8359</v>
      </c>
      <c r="B2102" s="5" t="s">
        <v>8360</v>
      </c>
      <c r="C2102" s="5" t="s">
        <v>8361</v>
      </c>
      <c r="D2102" s="5" t="s">
        <v>8362</v>
      </c>
      <c r="E2102" s="5" t="s">
        <v>8344</v>
      </c>
      <c r="F2102" s="5" t="str">
        <f>HYPERLINK("http://www.cortese1960.it/","www.cortese1960.it")</f>
        <v>www.cortese1960.it</v>
      </c>
    </row>
    <row r="2103" spans="1:6" ht="16.95" customHeight="1" x14ac:dyDescent="0.25">
      <c r="A2103" s="1" t="s">
        <v>8363</v>
      </c>
      <c r="B2103" s="7" t="s">
        <v>8364</v>
      </c>
      <c r="C2103" s="7" t="s">
        <v>8333</v>
      </c>
      <c r="D2103" s="7" t="s">
        <v>8365</v>
      </c>
      <c r="E2103" s="7" t="s">
        <v>8327</v>
      </c>
      <c r="F2103" s="7" t="str">
        <f>HYPERLINK("http://www.impresasolesrl.it/","www.impresasolesrl.it")</f>
        <v>www.impresasolesrl.it</v>
      </c>
    </row>
    <row r="2104" spans="1:6" ht="43.05" customHeight="1" x14ac:dyDescent="0.25">
      <c r="A2104" s="6" t="s">
        <v>8366</v>
      </c>
      <c r="B2104" s="5" t="s">
        <v>8367</v>
      </c>
      <c r="C2104" s="5" t="s">
        <v>8326</v>
      </c>
      <c r="D2104" s="5" t="s">
        <v>8368</v>
      </c>
      <c r="E2104" s="5" t="s">
        <v>8339</v>
      </c>
      <c r="F2104" s="5" t="str">
        <f>HYPERLINK("http://www.stuard.it/","www.stuard.it")</f>
        <v>www.stuard.it</v>
      </c>
    </row>
    <row r="2105" spans="1:6" ht="16.95" customHeight="1" x14ac:dyDescent="0.25">
      <c r="A2105" s="1" t="s">
        <v>8369</v>
      </c>
      <c r="B2105" s="7" t="s">
        <v>8370</v>
      </c>
      <c r="C2105" s="7" t="s">
        <v>8371</v>
      </c>
      <c r="D2105" s="7" t="s">
        <v>8372</v>
      </c>
      <c r="E2105" s="7" t="s">
        <v>8373</v>
      </c>
      <c r="F2105" s="7" t="str">
        <f>HYPERLINK("http://www.vipgarden.it/","www.vipgarden.it")</f>
        <v>www.vipgarden.it</v>
      </c>
    </row>
    <row r="2106" spans="1:6" ht="29.55" customHeight="1" x14ac:dyDescent="0.25">
      <c r="A2106" s="6" t="s">
        <v>8380</v>
      </c>
      <c r="B2106" s="5" t="s">
        <v>8381</v>
      </c>
      <c r="C2106" s="5" t="s">
        <v>8382</v>
      </c>
      <c r="D2106" s="5" t="s">
        <v>8383</v>
      </c>
      <c r="E2106" s="5" t="s">
        <v>8384</v>
      </c>
      <c r="F2106" s="5" t="str">
        <f>HYPERLINK("http://www.gualdodelre.it/","www.gualdodelre.it")</f>
        <v>www.gualdodelre.it</v>
      </c>
    </row>
    <row r="2107" spans="1:6" ht="29.55" customHeight="1" x14ac:dyDescent="0.25">
      <c r="A2107" s="1" t="s">
        <v>8385</v>
      </c>
      <c r="B2107" s="7" t="s">
        <v>8386</v>
      </c>
      <c r="C2107" s="7" t="s">
        <v>8377</v>
      </c>
      <c r="D2107" s="7" t="s">
        <v>8387</v>
      </c>
      <c r="E2107" s="7" t="s">
        <v>8388</v>
      </c>
      <c r="F2107" s="7" t="str">
        <f>HYPERLINK("http://www.caseificiotraverso.it/","www.caseificiotraverso.it")</f>
        <v>www.caseificiotraverso.it</v>
      </c>
    </row>
    <row r="2108" spans="1:6" ht="29.55" customHeight="1" x14ac:dyDescent="0.25">
      <c r="A2108" s="6" t="s">
        <v>8389</v>
      </c>
      <c r="B2108" s="5" t="s">
        <v>8390</v>
      </c>
      <c r="C2108" s="5" t="s">
        <v>8391</v>
      </c>
      <c r="D2108" s="5" t="s">
        <v>8379</v>
      </c>
      <c r="E2108" s="5" t="s">
        <v>8376</v>
      </c>
      <c r="F2108" s="5" t="str">
        <f>HYPERLINK("http://www.naturissimasrl.it/","www.naturissimasrl.it")</f>
        <v>www.naturissimasrl.it</v>
      </c>
    </row>
    <row r="2109" spans="1:6" ht="55.65" customHeight="1" x14ac:dyDescent="0.25">
      <c r="A2109" s="1" t="s">
        <v>8392</v>
      </c>
      <c r="B2109" s="7" t="s">
        <v>8393</v>
      </c>
      <c r="C2109" s="7" t="s">
        <v>8394</v>
      </c>
      <c r="D2109" s="7" t="s">
        <v>8395</v>
      </c>
      <c r="E2109" s="7" t="s">
        <v>8396</v>
      </c>
      <c r="F2109" s="7" t="str">
        <f>HYPERLINK("http://www.copros.it/","www.copros.it")</f>
        <v>www.copros.it</v>
      </c>
    </row>
    <row r="2110" spans="1:6" ht="55.65" customHeight="1" x14ac:dyDescent="0.25">
      <c r="A2110" s="1" t="s">
        <v>8398</v>
      </c>
      <c r="B2110" s="7" t="s">
        <v>8399</v>
      </c>
      <c r="C2110" s="7" t="s">
        <v>8374</v>
      </c>
      <c r="D2110" s="7" t="s">
        <v>8400</v>
      </c>
      <c r="E2110" s="7" t="s">
        <v>8397</v>
      </c>
      <c r="F2110" s="7" t="str">
        <f>HYPERLINK("http://www.caremadoc.it/","www.caremadoc.it")</f>
        <v>www.caremadoc.it</v>
      </c>
    </row>
    <row r="2111" spans="1:6" ht="29.55" customHeight="1" x14ac:dyDescent="0.25">
      <c r="A2111" s="6" t="s">
        <v>8401</v>
      </c>
      <c r="B2111" s="5" t="s">
        <v>8402</v>
      </c>
      <c r="C2111" s="5" t="s">
        <v>8403</v>
      </c>
      <c r="D2111" s="5" t="s">
        <v>8404</v>
      </c>
      <c r="E2111" s="5" t="s">
        <v>8405</v>
      </c>
      <c r="F2111" s="5" t="str">
        <f>HYPERLINK("http://www.altamurabioagri.com/","www.altamurabioagri.com")</f>
        <v>www.altamurabioagri.com</v>
      </c>
    </row>
    <row r="2112" spans="1:6" ht="29.55" customHeight="1" x14ac:dyDescent="0.25">
      <c r="A2112" s="1" t="s">
        <v>8406</v>
      </c>
      <c r="B2112" s="7" t="s">
        <v>8407</v>
      </c>
      <c r="C2112" s="7" t="s">
        <v>8408</v>
      </c>
      <c r="D2112" s="7" t="s">
        <v>8372</v>
      </c>
      <c r="E2112" s="7" t="s">
        <v>8373</v>
      </c>
      <c r="F2112" s="7" t="str">
        <f>HYPERLINK("http://gardenlaserra.com/","gardenlaserra.com")</f>
        <v>gardenlaserra.com</v>
      </c>
    </row>
    <row r="2113" spans="1:6" ht="29.55" customHeight="1" x14ac:dyDescent="0.25">
      <c r="A2113" s="1" t="s">
        <v>8409</v>
      </c>
      <c r="B2113" s="7" t="s">
        <v>8410</v>
      </c>
      <c r="C2113" s="7" t="s">
        <v>8411</v>
      </c>
      <c r="D2113" s="7" t="s">
        <v>8412</v>
      </c>
      <c r="E2113" s="7" t="s">
        <v>8375</v>
      </c>
      <c r="F2113" s="7" t="str">
        <f>HYPERLINK("http://www.ortosi.it/","www.ortosi.it")</f>
        <v>www.ortosi.it</v>
      </c>
    </row>
    <row r="2114" spans="1:6" ht="29.55" customHeight="1" x14ac:dyDescent="0.25">
      <c r="A2114" s="6" t="s">
        <v>8413</v>
      </c>
      <c r="B2114" s="5" t="s">
        <v>8414</v>
      </c>
      <c r="C2114" s="5" t="s">
        <v>8382</v>
      </c>
      <c r="D2114" s="5" t="s">
        <v>8415</v>
      </c>
      <c r="E2114" s="5" t="s">
        <v>8384</v>
      </c>
      <c r="F2114" s="5" t="str">
        <f>HYPERLINK("http://www.sanfabianocalcinaia.it/","www.sanfabianocalcinaia.it")</f>
        <v>www.sanfabianocalcinaia.it</v>
      </c>
    </row>
    <row r="2115" spans="1:6" ht="29.55" customHeight="1" x14ac:dyDescent="0.25">
      <c r="A2115" s="6" t="s">
        <v>8416</v>
      </c>
      <c r="B2115" s="5" t="s">
        <v>8417</v>
      </c>
      <c r="C2115" s="5" t="s">
        <v>8382</v>
      </c>
      <c r="D2115" s="5" t="s">
        <v>8418</v>
      </c>
      <c r="E2115" s="5" t="s">
        <v>8405</v>
      </c>
      <c r="F2115" s="5" t="str">
        <f>HYPERLINK("http://club.casteldisalve.com/","club.casteldisalve.com")</f>
        <v>club.casteldisalve.com</v>
      </c>
    </row>
    <row r="2116" spans="1:6" ht="55.65" customHeight="1" x14ac:dyDescent="0.25">
      <c r="A2116" s="1" t="s">
        <v>8420</v>
      </c>
      <c r="B2116" s="7" t="s">
        <v>8421</v>
      </c>
      <c r="C2116" s="7" t="s">
        <v>8422</v>
      </c>
      <c r="D2116" s="7" t="s">
        <v>8404</v>
      </c>
      <c r="E2116" s="7" t="s">
        <v>8405</v>
      </c>
      <c r="F2116" s="7" t="str">
        <f>HYPERLINK("http://masseriapostadimezzo.it/","masseriapostadimezzo.it")</f>
        <v>masseriapostadimezzo.it</v>
      </c>
    </row>
    <row r="2117" spans="1:6" ht="29.55" customHeight="1" x14ac:dyDescent="0.25">
      <c r="A2117" s="1" t="s">
        <v>8423</v>
      </c>
      <c r="B2117" s="7" t="s">
        <v>8424</v>
      </c>
      <c r="C2117" s="7" t="s">
        <v>8425</v>
      </c>
      <c r="D2117" s="7" t="s">
        <v>8379</v>
      </c>
      <c r="E2117" s="7" t="s">
        <v>8376</v>
      </c>
      <c r="F2117" s="7" t="str">
        <f>HYPERLINK("http://www.labersaglierashop.it/","www.labersaglierashop.it")</f>
        <v>www.labersaglierashop.it</v>
      </c>
    </row>
    <row r="2118" spans="1:6" ht="16.95" customHeight="1" x14ac:dyDescent="0.25">
      <c r="A2118" s="6" t="s">
        <v>8426</v>
      </c>
      <c r="B2118" s="5" t="s">
        <v>8427</v>
      </c>
      <c r="C2118" s="5" t="s">
        <v>8419</v>
      </c>
      <c r="D2118" s="5" t="s">
        <v>8428</v>
      </c>
      <c r="E2118" s="5" t="s">
        <v>8378</v>
      </c>
      <c r="F2118" s="5" t="str">
        <f>HYPERLINK("http://www.motorscavi.it/","www.motorscavi.it")</f>
        <v>www.motorscavi.it</v>
      </c>
    </row>
    <row r="2119" spans="1:6" ht="29.55" customHeight="1" x14ac:dyDescent="0.25">
      <c r="A2119" s="6" t="s">
        <v>8429</v>
      </c>
      <c r="B2119" s="5" t="s">
        <v>8430</v>
      </c>
      <c r="C2119" s="5" t="s">
        <v>8431</v>
      </c>
      <c r="D2119" s="5" t="s">
        <v>8432</v>
      </c>
      <c r="E2119" s="5" t="s">
        <v>8384</v>
      </c>
      <c r="F2119" s="5" t="str">
        <f>HYPERLINK("http://www.riservo.it/","www.riservo.it")</f>
        <v>www.riservo.it</v>
      </c>
    </row>
    <row r="2120" spans="1:6" ht="16.95" customHeight="1" x14ac:dyDescent="0.25">
      <c r="A2120" s="6" t="s">
        <v>8434</v>
      </c>
      <c r="B2120" s="5" t="s">
        <v>8435</v>
      </c>
      <c r="C2120" s="5" t="s">
        <v>8436</v>
      </c>
      <c r="D2120" s="5" t="s">
        <v>8437</v>
      </c>
      <c r="E2120" s="5" t="s">
        <v>8438</v>
      </c>
      <c r="F2120" s="5" t="str">
        <f>HYPERLINK("http://spinafruit.it/","spinafruit.it")</f>
        <v>spinafruit.it</v>
      </c>
    </row>
    <row r="2121" spans="1:6" ht="29.55" customHeight="1" x14ac:dyDescent="0.25">
      <c r="A2121" s="6" t="s">
        <v>8440</v>
      </c>
      <c r="B2121" s="5" t="s">
        <v>8441</v>
      </c>
      <c r="C2121" s="5" t="s">
        <v>8442</v>
      </c>
      <c r="D2121" s="5" t="s">
        <v>8443</v>
      </c>
      <c r="E2121" s="5" t="s">
        <v>8444</v>
      </c>
      <c r="F2121" s="5" t="str">
        <f>HYPERLINK("http://www.aspdistribuzione.com/","www.aspdistribuzione.com")</f>
        <v>www.aspdistribuzione.com</v>
      </c>
    </row>
    <row r="2122" spans="1:6" ht="16.95" customHeight="1" x14ac:dyDescent="0.25">
      <c r="A2122" s="6" t="s">
        <v>8447</v>
      </c>
      <c r="B2122" s="5" t="s">
        <v>8448</v>
      </c>
      <c r="C2122" s="5" t="s">
        <v>8449</v>
      </c>
      <c r="D2122" s="5" t="s">
        <v>8450</v>
      </c>
      <c r="E2122" s="5" t="s">
        <v>8439</v>
      </c>
      <c r="F2122" s="5" t="str">
        <f>HYPERLINK("http://www.verocatering.it/","www.verocatering.it")</f>
        <v>www.verocatering.it</v>
      </c>
    </row>
    <row r="2123" spans="1:6" ht="43.05" customHeight="1" x14ac:dyDescent="0.25">
      <c r="A2123" s="1" t="s">
        <v>8451</v>
      </c>
      <c r="B2123" s="7" t="s">
        <v>8452</v>
      </c>
      <c r="C2123" s="7" t="s">
        <v>8453</v>
      </c>
      <c r="D2123" s="7" t="s">
        <v>8454</v>
      </c>
      <c r="E2123" s="7" t="s">
        <v>8438</v>
      </c>
      <c r="F2123" s="7" t="str">
        <f>HYPERLINK("http://www.lacampiense.it/","www.lacampiense.it")</f>
        <v>www.lacampiense.it</v>
      </c>
    </row>
    <row r="2124" spans="1:6" ht="43.05" customHeight="1" x14ac:dyDescent="0.25">
      <c r="A2124" s="6" t="s">
        <v>8456</v>
      </c>
      <c r="B2124" s="5" t="s">
        <v>8457</v>
      </c>
      <c r="C2124" s="5" t="s">
        <v>8436</v>
      </c>
      <c r="D2124" s="5" t="s">
        <v>8458</v>
      </c>
      <c r="E2124" s="5" t="s">
        <v>8459</v>
      </c>
      <c r="F2124" s="5" t="str">
        <f>HYPERLINK("http://www.collicimini.it/","www.collicimini.it")</f>
        <v>www.collicimini.it</v>
      </c>
    </row>
    <row r="2125" spans="1:6" ht="29.55" customHeight="1" x14ac:dyDescent="0.25">
      <c r="A2125" s="1" t="s">
        <v>8460</v>
      </c>
      <c r="B2125" s="7" t="s">
        <v>8461</v>
      </c>
      <c r="C2125" s="7" t="s">
        <v>8462</v>
      </c>
      <c r="D2125" s="7" t="s">
        <v>8463</v>
      </c>
      <c r="E2125" s="7" t="s">
        <v>8464</v>
      </c>
      <c r="F2125" s="7" t="str">
        <f>HYPERLINK("http://www.casavittoriasanpolo.it/","www.casavittoriasanpolo.it")</f>
        <v>www.casavittoriasanpolo.it</v>
      </c>
    </row>
    <row r="2126" spans="1:6" ht="29.55" customHeight="1" x14ac:dyDescent="0.25">
      <c r="A2126" s="1" t="s">
        <v>8465</v>
      </c>
      <c r="B2126" s="7" t="s">
        <v>8466</v>
      </c>
      <c r="C2126" s="7" t="s">
        <v>8467</v>
      </c>
      <c r="D2126" s="7" t="s">
        <v>8468</v>
      </c>
      <c r="E2126" s="7" t="s">
        <v>8469</v>
      </c>
      <c r="F2126" s="7" t="str">
        <f>HYPERLINK("http://www.lamercurio.com/contatti","www.lamercurio.com/contatti")</f>
        <v>www.lamercurio.com/contatti</v>
      </c>
    </row>
    <row r="2127" spans="1:6" ht="29.55" customHeight="1" x14ac:dyDescent="0.25">
      <c r="A2127" s="6" t="s">
        <v>8470</v>
      </c>
      <c r="B2127" s="5" t="s">
        <v>8471</v>
      </c>
      <c r="C2127" s="5" t="s">
        <v>8472</v>
      </c>
      <c r="D2127" s="5" t="s">
        <v>8443</v>
      </c>
      <c r="E2127" s="5" t="s">
        <v>8444</v>
      </c>
      <c r="F2127" s="5" t="str">
        <f>HYPERLINK("http://terzeria.adunmetro.it/","terzeria.adunmetro.it")</f>
        <v>terzeria.adunmetro.it</v>
      </c>
    </row>
    <row r="2128" spans="1:6" ht="29.55" customHeight="1" x14ac:dyDescent="0.25">
      <c r="A2128" s="6" t="s">
        <v>8474</v>
      </c>
      <c r="B2128" s="5" t="s">
        <v>8475</v>
      </c>
      <c r="C2128" s="5" t="s">
        <v>8446</v>
      </c>
      <c r="D2128" s="5" t="s">
        <v>8476</v>
      </c>
      <c r="E2128" s="5" t="s">
        <v>8477</v>
      </c>
      <c r="F2128" s="5" t="str">
        <f>HYPERLINK("http://www.agriturismocannavota.com/","www.agriturismocannavota.com")</f>
        <v>www.agriturismocannavota.com</v>
      </c>
    </row>
    <row r="2129" spans="1:6" ht="16.95" customHeight="1" x14ac:dyDescent="0.25">
      <c r="A2129" s="1" t="s">
        <v>8478</v>
      </c>
      <c r="B2129" s="7" t="s">
        <v>8479</v>
      </c>
      <c r="C2129" s="7" t="s">
        <v>8449</v>
      </c>
      <c r="D2129" s="7" t="s">
        <v>8480</v>
      </c>
      <c r="E2129" s="7" t="s">
        <v>8445</v>
      </c>
      <c r="F2129" s="7" t="str">
        <f>HYPERLINK("http://www.tenutedelgheppio.com/","www.tenutedelgheppio.com")</f>
        <v>www.tenutedelgheppio.com</v>
      </c>
    </row>
    <row r="2130" spans="1:6" ht="29.55" customHeight="1" x14ac:dyDescent="0.25">
      <c r="A2130" s="6" t="s">
        <v>8481</v>
      </c>
      <c r="B2130" s="5" t="s">
        <v>8482</v>
      </c>
      <c r="C2130" s="5" t="s">
        <v>8483</v>
      </c>
      <c r="D2130" s="5" t="s">
        <v>8454</v>
      </c>
      <c r="E2130" s="5" t="s">
        <v>8438</v>
      </c>
      <c r="F2130" s="5" t="str">
        <f>HYPERLINK("http://www.masseriafulcignano.com/","www.masseriafulcignano.com")</f>
        <v>www.masseriafulcignano.com</v>
      </c>
    </row>
    <row r="2131" spans="1:6" ht="43.05" customHeight="1" x14ac:dyDescent="0.25">
      <c r="A2131" s="1" t="s">
        <v>8484</v>
      </c>
      <c r="B2131" s="7" t="s">
        <v>8485</v>
      </c>
      <c r="C2131" s="7" t="s">
        <v>8433</v>
      </c>
      <c r="D2131" s="7" t="s">
        <v>8486</v>
      </c>
      <c r="E2131" s="7" t="s">
        <v>8473</v>
      </c>
      <c r="F2131" s="7" t="str">
        <f>HYPERLINK("http://www.tenuteolbios.com/","www.tenuteolbios.com")</f>
        <v>www.tenuteolbios.com</v>
      </c>
    </row>
    <row r="2132" spans="1:6" ht="29.55" customHeight="1" x14ac:dyDescent="0.25">
      <c r="A2132" s="6" t="s">
        <v>8487</v>
      </c>
      <c r="B2132" s="5" t="s">
        <v>8488</v>
      </c>
      <c r="C2132" s="5" t="s">
        <v>8455</v>
      </c>
      <c r="D2132" s="5" t="s">
        <v>8450</v>
      </c>
      <c r="E2132" s="5" t="s">
        <v>8439</v>
      </c>
      <c r="F2132" s="5" t="str">
        <f>HYPERLINK("http://www.villamontybanks.it/","www.villamontybanks.it")</f>
        <v>www.villamontybanks.it</v>
      </c>
    </row>
    <row r="2133" spans="1:6" ht="29.55" customHeight="1" x14ac:dyDescent="0.25">
      <c r="A2133" s="1" t="s">
        <v>8489</v>
      </c>
      <c r="B2133" s="7" t="s">
        <v>8490</v>
      </c>
      <c r="C2133" s="7" t="s">
        <v>8491</v>
      </c>
      <c r="D2133" s="7" t="s">
        <v>8492</v>
      </c>
      <c r="E2133" s="7" t="s">
        <v>8493</v>
      </c>
      <c r="F2133" s="7" t="str">
        <f>HYPERLINK("http://www.villagrassina.it/","www.villagrassina.it")</f>
        <v>www.villagrassina.it</v>
      </c>
    </row>
    <row r="2134" spans="1:6" ht="29.55" customHeight="1" x14ac:dyDescent="0.25">
      <c r="A2134" s="6" t="s">
        <v>8494</v>
      </c>
      <c r="B2134" s="5" t="s">
        <v>8495</v>
      </c>
      <c r="C2134" s="5" t="s">
        <v>8496</v>
      </c>
      <c r="D2134" s="5" t="s">
        <v>8497</v>
      </c>
      <c r="E2134" s="5" t="s">
        <v>8498</v>
      </c>
      <c r="F2134" s="5" t="str">
        <f>HYPERLINK("http://www.fratellipirovano.it/","www.fratellipirovano.it")</f>
        <v>www.fratellipirovano.it</v>
      </c>
    </row>
    <row r="2135" spans="1:6" ht="29.55" customHeight="1" x14ac:dyDescent="0.25">
      <c r="A2135" s="6" t="s">
        <v>8500</v>
      </c>
      <c r="B2135" s="5" t="s">
        <v>8501</v>
      </c>
      <c r="C2135" s="5" t="s">
        <v>8502</v>
      </c>
      <c r="D2135" s="5" t="s">
        <v>8503</v>
      </c>
      <c r="E2135" s="5" t="s">
        <v>8504</v>
      </c>
      <c r="F2135" s="5" t="str">
        <f>HYPERLINK("http://www.tenuta-santa-caterina.it/","www.tenuta-santa-caterina.it")</f>
        <v>www.tenuta-santa-caterina.it</v>
      </c>
    </row>
    <row r="2136" spans="1:6" ht="29.55" customHeight="1" x14ac:dyDescent="0.25">
      <c r="A2136" s="1" t="s">
        <v>8505</v>
      </c>
      <c r="B2136" s="7" t="s">
        <v>8506</v>
      </c>
      <c r="C2136" s="7" t="s">
        <v>8502</v>
      </c>
      <c r="D2136" s="7" t="s">
        <v>8507</v>
      </c>
      <c r="E2136" s="7" t="s">
        <v>8498</v>
      </c>
      <c r="F2136" s="7" t="str">
        <f>HYPERLINK("http://www.isimbarda.com/","www.isimbarda.com")</f>
        <v>www.isimbarda.com</v>
      </c>
    </row>
    <row r="2137" spans="1:6" ht="43.05" customHeight="1" x14ac:dyDescent="0.25">
      <c r="A2137" s="1" t="s">
        <v>8508</v>
      </c>
      <c r="B2137" s="7" t="s">
        <v>8509</v>
      </c>
      <c r="C2137" s="7" t="s">
        <v>8502</v>
      </c>
      <c r="D2137" s="7" t="s">
        <v>8510</v>
      </c>
      <c r="E2137" s="7" t="s">
        <v>8511</v>
      </c>
      <c r="F2137" s="7" t="str">
        <f>HYPERLINK("http://oliomerlato.com/","oliomerlato.com")</f>
        <v>oliomerlato.com</v>
      </c>
    </row>
    <row r="2138" spans="1:6" ht="43.05" customHeight="1" x14ac:dyDescent="0.25">
      <c r="A2138" s="6" t="s">
        <v>8512</v>
      </c>
      <c r="B2138" s="5" t="s">
        <v>8513</v>
      </c>
      <c r="C2138" s="5" t="s">
        <v>8514</v>
      </c>
      <c r="D2138" s="5" t="s">
        <v>8515</v>
      </c>
      <c r="E2138" s="5" t="s">
        <v>8516</v>
      </c>
      <c r="F2138" s="5" t="str">
        <f>HYPERLINK("http://genscamuria.it/","genscamuria.it")</f>
        <v>genscamuria.it</v>
      </c>
    </row>
    <row r="2139" spans="1:6" ht="29.55" customHeight="1" x14ac:dyDescent="0.25">
      <c r="A2139" s="1" t="s">
        <v>8517</v>
      </c>
      <c r="B2139" s="7" t="s">
        <v>8518</v>
      </c>
      <c r="C2139" s="7" t="s">
        <v>8499</v>
      </c>
      <c r="D2139" s="7" t="s">
        <v>8519</v>
      </c>
      <c r="E2139" s="7" t="s">
        <v>8520</v>
      </c>
      <c r="F2139" s="7" t="str">
        <f>HYPERLINK("http://hitinthebox.it/","hitinthebox.it")</f>
        <v>hitinthebox.it</v>
      </c>
    </row>
    <row r="2140" spans="1:6" ht="29.55" customHeight="1" x14ac:dyDescent="0.25">
      <c r="A2140" s="6" t="s">
        <v>8521</v>
      </c>
      <c r="B2140" s="5" t="s">
        <v>8522</v>
      </c>
      <c r="C2140" s="5" t="s">
        <v>8523</v>
      </c>
      <c r="D2140" s="5" t="s">
        <v>8492</v>
      </c>
      <c r="E2140" s="5" t="s">
        <v>8493</v>
      </c>
      <c r="F2140" s="5" t="str">
        <f>HYPERLINK("http://www.agriturismotrebbiolo.it/","www.agriturismotrebbiolo.it")</f>
        <v>www.agriturismotrebbiolo.it</v>
      </c>
    </row>
    <row r="2141" spans="1:6" ht="81.75" customHeight="1" x14ac:dyDescent="0.25">
      <c r="A2141" s="6" t="s">
        <v>8524</v>
      </c>
      <c r="B2141" s="5" t="s">
        <v>8525</v>
      </c>
      <c r="C2141" s="5" t="s">
        <v>8502</v>
      </c>
      <c r="D2141" s="5" t="s">
        <v>8492</v>
      </c>
      <c r="E2141" s="5" t="s">
        <v>8493</v>
      </c>
      <c r="F2141" s="5" t="str">
        <f>HYPERLINK("http://www.orsumella.it/","www.orsumella.it")</f>
        <v>www.orsumella.it</v>
      </c>
    </row>
    <row r="2142" spans="1:6" ht="43.05" customHeight="1" x14ac:dyDescent="0.25">
      <c r="A2142" s="6" t="s">
        <v>8526</v>
      </c>
      <c r="B2142" s="5" t="s">
        <v>8527</v>
      </c>
      <c r="C2142" s="5" t="s">
        <v>8523</v>
      </c>
      <c r="D2142" s="5" t="s">
        <v>8528</v>
      </c>
      <c r="E2142" s="5" t="s">
        <v>8529</v>
      </c>
      <c r="F2142" s="5" t="str">
        <f>HYPERLINK("http://www.corteinfiore.com/","www.corteinfiore.com")</f>
        <v>www.corteinfiore.com</v>
      </c>
    </row>
    <row r="2143" spans="1:6" ht="43.05" customHeight="1" x14ac:dyDescent="0.25">
      <c r="A2143" s="1" t="s">
        <v>8530</v>
      </c>
      <c r="B2143" s="7" t="s">
        <v>8531</v>
      </c>
      <c r="C2143" s="7" t="s">
        <v>8532</v>
      </c>
      <c r="D2143" s="7" t="s">
        <v>8533</v>
      </c>
      <c r="E2143" s="7" t="s">
        <v>8504</v>
      </c>
      <c r="F2143" s="7" t="str">
        <f>HYPERLINK("http://www.formazzaagricola.it/","www.formazzaagricola.it")</f>
        <v>www.formazzaagricola.it</v>
      </c>
    </row>
    <row r="2144" spans="1:6" ht="43.05" customHeight="1" x14ac:dyDescent="0.25">
      <c r="A2144" s="1" t="s">
        <v>8535</v>
      </c>
      <c r="B2144" s="7" t="s">
        <v>8536</v>
      </c>
      <c r="C2144" s="7" t="s">
        <v>8537</v>
      </c>
      <c r="D2144" s="7" t="s">
        <v>8538</v>
      </c>
      <c r="E2144" s="7" t="s">
        <v>8539</v>
      </c>
      <c r="F2144" s="7" t="str">
        <f>HYPERLINK("http://www.capenardo.it/","www.capenardo.it")</f>
        <v>www.capenardo.it</v>
      </c>
    </row>
    <row r="2145" spans="1:6" ht="29.55" customHeight="1" x14ac:dyDescent="0.25">
      <c r="A2145" s="1" t="s">
        <v>8540</v>
      </c>
      <c r="B2145" s="7" t="s">
        <v>8541</v>
      </c>
      <c r="C2145" s="7" t="s">
        <v>8534</v>
      </c>
      <c r="D2145" s="7" t="s">
        <v>8542</v>
      </c>
      <c r="E2145" s="7" t="s">
        <v>8529</v>
      </c>
      <c r="F2145" s="7" t="str">
        <f>HYPERLINK("http://www.nonnapitta.com/","www.nonnapitta.com")</f>
        <v>www.nonnapitta.com</v>
      </c>
    </row>
    <row r="2146" spans="1:6" ht="29.55" customHeight="1" x14ac:dyDescent="0.25">
      <c r="A2146" s="1" t="s">
        <v>8543</v>
      </c>
      <c r="B2146" s="7" t="s">
        <v>8544</v>
      </c>
      <c r="C2146" s="7" t="s">
        <v>8502</v>
      </c>
      <c r="D2146" s="7" t="s">
        <v>8545</v>
      </c>
      <c r="E2146" s="7" t="s">
        <v>8493</v>
      </c>
      <c r="F2146" s="7" t="str">
        <f>HYPERLINK("http://www.montepepe.com/","www.montepepe.com")</f>
        <v>www.montepepe.com</v>
      </c>
    </row>
    <row r="2147" spans="1:6" ht="29.55" customHeight="1" x14ac:dyDescent="0.25">
      <c r="A2147" s="6" t="s">
        <v>8546</v>
      </c>
      <c r="B2147" s="5" t="s">
        <v>8547</v>
      </c>
      <c r="C2147" s="5" t="s">
        <v>8548</v>
      </c>
      <c r="D2147" s="5" t="s">
        <v>8549</v>
      </c>
      <c r="E2147" s="5" t="s">
        <v>8549</v>
      </c>
      <c r="F2147" s="5" t="str">
        <f>HYPERLINK("http://www.agriturismosustaipoderevalbella.it/","www.agriturismosustaipoderevalbella.it")</f>
        <v>www.agriturismosustaipoderevalbella.it</v>
      </c>
    </row>
    <row r="2148" spans="1:6" ht="29.55" customHeight="1" x14ac:dyDescent="0.25">
      <c r="A2148" s="1" t="s">
        <v>8550</v>
      </c>
      <c r="B2148" s="7" t="s">
        <v>8551</v>
      </c>
      <c r="C2148" s="7" t="s">
        <v>8552</v>
      </c>
      <c r="D2148" s="7" t="s">
        <v>8553</v>
      </c>
      <c r="E2148" s="7" t="s">
        <v>8554</v>
      </c>
      <c r="F2148" s="7" t="str">
        <f>HYPERLINK("http://www.pratoarotoli.it/","www.pratoarotoli.it")</f>
        <v>www.pratoarotoli.it</v>
      </c>
    </row>
    <row r="2149" spans="1:6" ht="43.05" customHeight="1" x14ac:dyDescent="0.25">
      <c r="A2149" s="1" t="s">
        <v>8556</v>
      </c>
      <c r="B2149" s="7" t="s">
        <v>8557</v>
      </c>
      <c r="C2149" s="7" t="s">
        <v>8558</v>
      </c>
      <c r="D2149" s="7" t="s">
        <v>8559</v>
      </c>
      <c r="E2149" s="7" t="s">
        <v>8560</v>
      </c>
      <c r="F2149" s="7" t="str">
        <f>HYPERLINK("http://montefiliwines.com/","montefiliwines.com")</f>
        <v>montefiliwines.com</v>
      </c>
    </row>
    <row r="2150" spans="1:6" ht="29.55" customHeight="1" x14ac:dyDescent="0.25">
      <c r="A2150" s="6" t="s">
        <v>8564</v>
      </c>
      <c r="B2150" s="5" t="s">
        <v>8565</v>
      </c>
      <c r="C2150" s="5" t="s">
        <v>8558</v>
      </c>
      <c r="D2150" s="5" t="s">
        <v>8566</v>
      </c>
      <c r="E2150" s="5" t="s">
        <v>8562</v>
      </c>
      <c r="F2150" s="5" t="str">
        <f>HYPERLINK("http://www.danticheterre.it/","www.danticheterre.it")</f>
        <v>www.danticheterre.it</v>
      </c>
    </row>
    <row r="2151" spans="1:6" ht="29.55" customHeight="1" x14ac:dyDescent="0.25">
      <c r="A2151" s="1" t="s">
        <v>8567</v>
      </c>
      <c r="B2151" s="7" t="s">
        <v>8568</v>
      </c>
      <c r="C2151" s="7" t="s">
        <v>8569</v>
      </c>
      <c r="D2151" s="7" t="s">
        <v>8570</v>
      </c>
      <c r="E2151" s="7" t="s">
        <v>8571</v>
      </c>
      <c r="F2151" s="7" t="str">
        <f>HYPERLINK("http://1.demowid.it/","1.demowid.it")</f>
        <v>1.demowid.it</v>
      </c>
    </row>
    <row r="2152" spans="1:6" ht="29.55" customHeight="1" x14ac:dyDescent="0.25">
      <c r="A2152" s="6" t="s">
        <v>8574</v>
      </c>
      <c r="B2152" s="5" t="s">
        <v>8575</v>
      </c>
      <c r="C2152" s="5" t="s">
        <v>8576</v>
      </c>
      <c r="D2152" s="5" t="s">
        <v>8577</v>
      </c>
      <c r="E2152" s="5" t="s">
        <v>8555</v>
      </c>
      <c r="F2152" s="5" t="str">
        <f>HYPERLINK("http://www.tenutetozzi.it/","www.tenutetozzi.it")</f>
        <v>www.tenutetozzi.it</v>
      </c>
    </row>
    <row r="2153" spans="1:6" ht="29.55" customHeight="1" x14ac:dyDescent="0.25">
      <c r="A2153" s="1" t="s">
        <v>8580</v>
      </c>
      <c r="B2153" s="7" t="s">
        <v>8581</v>
      </c>
      <c r="C2153" s="7" t="s">
        <v>8582</v>
      </c>
      <c r="D2153" s="7" t="s">
        <v>8572</v>
      </c>
      <c r="E2153" s="7" t="s">
        <v>8573</v>
      </c>
      <c r="F2153" s="7" t="str">
        <f>HYPERLINK("http://mannioil.com/","mannioil.com")</f>
        <v>mannioil.com</v>
      </c>
    </row>
    <row r="2154" spans="1:6" ht="16.95" customHeight="1" x14ac:dyDescent="0.25">
      <c r="A2154" s="1" t="s">
        <v>8583</v>
      </c>
      <c r="B2154" s="7" t="s">
        <v>8584</v>
      </c>
      <c r="C2154" s="7" t="s">
        <v>8561</v>
      </c>
      <c r="D2154" s="7" t="s">
        <v>8585</v>
      </c>
      <c r="E2154" s="7" t="s">
        <v>8563</v>
      </c>
      <c r="F2154" s="7" t="str">
        <f>HYPERLINK("http://www.fertool.it/","www.fertool.it")</f>
        <v>www.fertool.it</v>
      </c>
    </row>
    <row r="2155" spans="1:6" ht="29.55" customHeight="1" x14ac:dyDescent="0.25">
      <c r="A2155" s="6" t="s">
        <v>8586</v>
      </c>
      <c r="B2155" s="5" t="s">
        <v>8587</v>
      </c>
      <c r="C2155" s="5" t="s">
        <v>8552</v>
      </c>
      <c r="D2155" s="5" t="s">
        <v>8553</v>
      </c>
      <c r="E2155" s="5" t="s">
        <v>8554</v>
      </c>
      <c r="F2155" s="5" t="str">
        <f>HYPERLINK("http://www.vivaifortunato.it/","www.vivaifortunato.it")</f>
        <v>www.vivaifortunato.it</v>
      </c>
    </row>
    <row r="2156" spans="1:6" ht="29.55" customHeight="1" x14ac:dyDescent="0.25">
      <c r="A2156" s="1" t="s">
        <v>8588</v>
      </c>
      <c r="B2156" s="7" t="s">
        <v>8589</v>
      </c>
      <c r="C2156" s="7" t="s">
        <v>8558</v>
      </c>
      <c r="D2156" s="7" t="s">
        <v>8578</v>
      </c>
      <c r="E2156" s="7" t="s">
        <v>8579</v>
      </c>
      <c r="F2156" s="7" t="str">
        <f>HYPERLINK("http://www.camilucci.it/","www.camilucci.it")</f>
        <v>www.camilucci.it</v>
      </c>
    </row>
    <row r="2157" spans="1:6" ht="43.05" customHeight="1" x14ac:dyDescent="0.25">
      <c r="A2157" s="1" t="s">
        <v>8590</v>
      </c>
      <c r="B2157" s="7" t="s">
        <v>8591</v>
      </c>
      <c r="C2157" s="7" t="s">
        <v>8592</v>
      </c>
      <c r="D2157" s="7" t="s">
        <v>8593</v>
      </c>
      <c r="E2157" s="7" t="s">
        <v>8594</v>
      </c>
      <c r="F2157" s="7" t="str">
        <f>HYPERLINK("http://agenti.natura-nuova.com/","agenti.natura-nuova.com")</f>
        <v>agenti.natura-nuova.com</v>
      </c>
    </row>
    <row r="2158" spans="1:6" ht="29.55" customHeight="1" x14ac:dyDescent="0.25">
      <c r="A2158" s="6" t="s">
        <v>8597</v>
      </c>
      <c r="B2158" s="5" t="s">
        <v>8598</v>
      </c>
      <c r="C2158" s="5" t="s">
        <v>8599</v>
      </c>
      <c r="D2158" s="5" t="s">
        <v>8600</v>
      </c>
      <c r="E2158" s="5" t="s">
        <v>8595</v>
      </c>
      <c r="F2158" s="5" t="str">
        <f>HYPERLINK("http://www.agriturismoaltovenda.it/","www.agriturismoaltovenda.it")</f>
        <v>www.agriturismoaltovenda.it</v>
      </c>
    </row>
    <row r="2159" spans="1:6" ht="43.05" customHeight="1" x14ac:dyDescent="0.25">
      <c r="A2159" s="1" t="s">
        <v>8601</v>
      </c>
      <c r="B2159" s="7" t="s">
        <v>8602</v>
      </c>
      <c r="C2159" s="7" t="s">
        <v>8603</v>
      </c>
      <c r="D2159" s="7" t="s">
        <v>8604</v>
      </c>
      <c r="E2159" s="7" t="s">
        <v>8596</v>
      </c>
      <c r="F2159" s="7" t="str">
        <f>HYPERLINK("http://www.torresanta.it/","www.torresanta.it")</f>
        <v>www.torresanta.it</v>
      </c>
    </row>
    <row r="2160" spans="1:6" ht="29.55" customHeight="1" x14ac:dyDescent="0.25">
      <c r="A2160" s="6" t="s">
        <v>8605</v>
      </c>
      <c r="B2160" s="5" t="s">
        <v>8606</v>
      </c>
      <c r="C2160" s="5" t="s">
        <v>8603</v>
      </c>
      <c r="D2160" s="5" t="s">
        <v>8607</v>
      </c>
      <c r="E2160" s="5" t="s">
        <v>8608</v>
      </c>
      <c r="F2160" s="5" t="str">
        <f>HYPERLINK("http://www.donnefittipaldi.it/","www.donnefittipaldi.it")</f>
        <v>www.donnefittipaldi.it</v>
      </c>
    </row>
    <row r="2161" spans="1:6" ht="29.55" customHeight="1" x14ac:dyDescent="0.25">
      <c r="A2161" s="6" t="s">
        <v>8609</v>
      </c>
      <c r="B2161" s="5" t="s">
        <v>8610</v>
      </c>
      <c r="C2161" s="5" t="s">
        <v>8611</v>
      </c>
      <c r="D2161" s="5" t="s">
        <v>8612</v>
      </c>
      <c r="E2161" s="5" t="s">
        <v>8596</v>
      </c>
      <c r="F2161" s="5" t="str">
        <f>HYPERLINK("http://calemone.it/","calemone.it")</f>
        <v>calemone.it</v>
      </c>
    </row>
    <row r="2162" spans="1:6" ht="29.55" customHeight="1" x14ac:dyDescent="0.25">
      <c r="A2162" s="6" t="s">
        <v>8613</v>
      </c>
      <c r="B2162" s="5" t="s">
        <v>8614</v>
      </c>
      <c r="C2162" s="5" t="s">
        <v>8615</v>
      </c>
      <c r="D2162" s="5" t="s">
        <v>8616</v>
      </c>
      <c r="E2162" s="5" t="s">
        <v>8617</v>
      </c>
      <c r="F2162" s="5" t="str">
        <f>HYPERLINK("http://novara.confagricoltura.it/","novara.confagricoltura.it")</f>
        <v>novara.confagricoltura.it</v>
      </c>
    </row>
    <row r="2163" spans="1:6" ht="55.65" customHeight="1" x14ac:dyDescent="0.25">
      <c r="A2163" s="6" t="s">
        <v>8618</v>
      </c>
      <c r="B2163" s="5" t="s">
        <v>8619</v>
      </c>
      <c r="C2163" s="5" t="s">
        <v>8615</v>
      </c>
      <c r="D2163" s="5" t="s">
        <v>8620</v>
      </c>
      <c r="E2163" s="5" t="s">
        <v>8621</v>
      </c>
      <c r="F2163" s="5" t="str">
        <f>HYPERLINK("http://www.coopagricoltorilevanto.it/","www.coopagricoltorilevanto.it")</f>
        <v>www.coopagricoltorilevanto.it</v>
      </c>
    </row>
    <row r="2164" spans="1:6" ht="29.55" customHeight="1" x14ac:dyDescent="0.25">
      <c r="A2164" s="6" t="s">
        <v>8622</v>
      </c>
      <c r="B2164" s="5" t="s">
        <v>8623</v>
      </c>
      <c r="C2164" s="5" t="s">
        <v>8624</v>
      </c>
      <c r="D2164" s="5" t="s">
        <v>8625</v>
      </c>
      <c r="E2164" s="5" t="s">
        <v>8626</v>
      </c>
      <c r="F2164" s="5" t="str">
        <f>HYPERLINK("http://www.arielcoop.it/","http://www.arielcoop.it")</f>
        <v>http://www.arielcoop.it</v>
      </c>
    </row>
    <row r="2165" spans="1:6" ht="29.55" customHeight="1" x14ac:dyDescent="0.25">
      <c r="A2165" s="1" t="s">
        <v>8627</v>
      </c>
      <c r="B2165" s="7" t="s">
        <v>8628</v>
      </c>
      <c r="C2165" s="7" t="s">
        <v>8629</v>
      </c>
      <c r="D2165" s="7" t="s">
        <v>8630</v>
      </c>
      <c r="E2165" s="7" t="s">
        <v>8631</v>
      </c>
      <c r="F2165" s="7" t="str">
        <f>HYPERLINK("http://www.masseriafornara.it/","www.masseriafornara.it")</f>
        <v>www.masseriafornara.it</v>
      </c>
    </row>
    <row r="2166" spans="1:6" ht="29.55" customHeight="1" x14ac:dyDescent="0.25">
      <c r="A2166" s="6" t="s">
        <v>8634</v>
      </c>
      <c r="B2166" s="5" t="s">
        <v>8635</v>
      </c>
      <c r="C2166" s="5" t="s">
        <v>8632</v>
      </c>
      <c r="D2166" s="5" t="s">
        <v>8636</v>
      </c>
      <c r="E2166" s="5" t="s">
        <v>8633</v>
      </c>
      <c r="F2166" s="5" t="str">
        <f>HYPERLINK("http://www.lejardinpotager.it/","www.lejardinpotager.it")</f>
        <v>www.lejardinpotager.it</v>
      </c>
    </row>
    <row r="2167" spans="1:6" ht="29.55" customHeight="1" x14ac:dyDescent="0.25">
      <c r="A2167" s="1" t="s">
        <v>8638</v>
      </c>
      <c r="B2167" s="7" t="s">
        <v>8639</v>
      </c>
      <c r="C2167" s="7" t="s">
        <v>8640</v>
      </c>
      <c r="D2167" s="7" t="s">
        <v>8641</v>
      </c>
      <c r="E2167" s="7" t="s">
        <v>8637</v>
      </c>
      <c r="F2167" s="7" t="str">
        <f>HYPERLINK("http://www.terrarigogliosa.it/","www.terrarigogliosa.it")</f>
        <v>www.terrarigogliosa.it</v>
      </c>
    </row>
    <row r="2168" spans="1:6" ht="16.95" customHeight="1" x14ac:dyDescent="0.25">
      <c r="A2168" s="6" t="s">
        <v>8642</v>
      </c>
      <c r="B2168" s="5" t="s">
        <v>8643</v>
      </c>
      <c r="C2168" s="5" t="s">
        <v>8644</v>
      </c>
      <c r="D2168" s="5" t="s">
        <v>8645</v>
      </c>
      <c r="E2168" s="5" t="s">
        <v>8646</v>
      </c>
      <c r="F2168" s="5" t="str">
        <f>HYPERLINK("http://www.vallovin.it/","www.vallovin.it")</f>
        <v>www.vallovin.it</v>
      </c>
    </row>
    <row r="2169" spans="1:6" ht="29.55" customHeight="1" x14ac:dyDescent="0.25">
      <c r="A2169" s="1" t="s">
        <v>8647</v>
      </c>
      <c r="B2169" s="7" t="s">
        <v>8648</v>
      </c>
      <c r="C2169" s="7" t="s">
        <v>8649</v>
      </c>
      <c r="D2169" s="7" t="s">
        <v>8650</v>
      </c>
      <c r="E2169" s="7" t="s">
        <v>8651</v>
      </c>
      <c r="F2169" s="7" t="str">
        <f>HYPERLINK("http://feudispada.it/","feudispada.it")</f>
        <v>feudispada.it</v>
      </c>
    </row>
    <row r="2170" spans="1:6" ht="43.05" customHeight="1" x14ac:dyDescent="0.25">
      <c r="A2170" s="6" t="s">
        <v>8652</v>
      </c>
      <c r="B2170" s="5" t="s">
        <v>8653</v>
      </c>
      <c r="C2170" s="5" t="s">
        <v>8654</v>
      </c>
      <c r="D2170" s="5" t="s">
        <v>8655</v>
      </c>
      <c r="E2170" s="5" t="s">
        <v>8656</v>
      </c>
      <c r="F2170" s="5" t="str">
        <f>HYPERLINK("http://cantinaleonardi.it/","cantinaleonardi.it")</f>
        <v>cantinaleonardi.it</v>
      </c>
    </row>
    <row r="2171" spans="1:6" ht="29.55" customHeight="1" x14ac:dyDescent="0.25">
      <c r="A2171" s="6" t="s">
        <v>8658</v>
      </c>
      <c r="B2171" s="5" t="s">
        <v>8659</v>
      </c>
      <c r="C2171" s="5" t="s">
        <v>8660</v>
      </c>
      <c r="D2171" s="5" t="s">
        <v>8655</v>
      </c>
      <c r="E2171" s="5" t="s">
        <v>8656</v>
      </c>
      <c r="F2171" s="5" t="str">
        <f>HYPERLINK("http://www.zannonigarden.it/","www.zannonigarden.it")</f>
        <v>www.zannonigarden.it</v>
      </c>
    </row>
    <row r="2172" spans="1:6" ht="43.05" customHeight="1" x14ac:dyDescent="0.25">
      <c r="A2172" s="6" t="s">
        <v>8662</v>
      </c>
      <c r="B2172" s="5" t="s">
        <v>8663</v>
      </c>
      <c r="C2172" s="5" t="s">
        <v>8654</v>
      </c>
      <c r="D2172" s="5" t="s">
        <v>8664</v>
      </c>
      <c r="E2172" s="5" t="s">
        <v>8665</v>
      </c>
      <c r="F2172" s="5" t="str">
        <f>HYPERLINK("http://www.casanuovadellecerbaie.it/","www.casanuovadellecerbaie.it")</f>
        <v>www.casanuovadellecerbaie.it</v>
      </c>
    </row>
    <row r="2173" spans="1:6" ht="16.95" customHeight="1" x14ac:dyDescent="0.25">
      <c r="A2173" s="1" t="s">
        <v>8666</v>
      </c>
      <c r="B2173" s="7" t="s">
        <v>8667</v>
      </c>
      <c r="C2173" s="7" t="s">
        <v>8661</v>
      </c>
      <c r="D2173" s="7" t="s">
        <v>8668</v>
      </c>
      <c r="E2173" s="7" t="s">
        <v>8669</v>
      </c>
      <c r="F2173" s="7" t="str">
        <f>HYPERLINK("http://italianfarmfood.com/","italianfarmfood.com")</f>
        <v>italianfarmfood.com</v>
      </c>
    </row>
    <row r="2174" spans="1:6" ht="68.099999999999994" customHeight="1" x14ac:dyDescent="0.25">
      <c r="A2174" s="1" t="s">
        <v>8674</v>
      </c>
      <c r="B2174" s="7" t="s">
        <v>8675</v>
      </c>
      <c r="C2174" s="7" t="s">
        <v>8654</v>
      </c>
      <c r="D2174" s="7" t="s">
        <v>8676</v>
      </c>
      <c r="E2174" s="7" t="s">
        <v>8665</v>
      </c>
      <c r="F2174" s="7" t="str">
        <f>HYPERLINK("http://shop.renzomarinai.it/","shop.renzomarinai.it")</f>
        <v>shop.renzomarinai.it</v>
      </c>
    </row>
    <row r="2175" spans="1:6" ht="29.55" customHeight="1" x14ac:dyDescent="0.25">
      <c r="A2175" s="6" t="s">
        <v>8677</v>
      </c>
      <c r="B2175" s="5" t="s">
        <v>8678</v>
      </c>
      <c r="C2175" s="5" t="s">
        <v>8679</v>
      </c>
      <c r="D2175" s="5" t="s">
        <v>8671</v>
      </c>
      <c r="E2175" s="5" t="s">
        <v>8646</v>
      </c>
      <c r="F2175" s="5" t="str">
        <f>HYPERLINK("http://www.ilciliegiodelletnaricevimenti.it/","www.ilciliegiodelletnaricevimenti.it")</f>
        <v>www.ilciliegiodelletnaricevimenti.it</v>
      </c>
    </row>
    <row r="2176" spans="1:6" ht="43.05" customHeight="1" x14ac:dyDescent="0.25">
      <c r="A2176" s="1" t="s">
        <v>8680</v>
      </c>
      <c r="B2176" s="7" t="s">
        <v>8681</v>
      </c>
      <c r="C2176" s="7" t="s">
        <v>8661</v>
      </c>
      <c r="D2176" s="7" t="s">
        <v>8682</v>
      </c>
      <c r="E2176" s="7" t="s">
        <v>8651</v>
      </c>
      <c r="F2176" s="7" t="str">
        <f>HYPERLINK("http://www.ortiumbri.com/","www.ortiumbri.com")</f>
        <v>www.ortiumbri.com</v>
      </c>
    </row>
    <row r="2177" spans="1:6" ht="29.55" customHeight="1" x14ac:dyDescent="0.25">
      <c r="A2177" s="1" t="s">
        <v>8683</v>
      </c>
      <c r="B2177" s="7" t="s">
        <v>8684</v>
      </c>
      <c r="C2177" s="7" t="s">
        <v>8654</v>
      </c>
      <c r="D2177" s="7" t="s">
        <v>8685</v>
      </c>
      <c r="E2177" s="7" t="s">
        <v>8686</v>
      </c>
      <c r="F2177" s="7" t="str">
        <f>HYPERLINK("http://www.tenutamararelais.it/","www.tenutamararelais.it")</f>
        <v>www.tenutamararelais.it</v>
      </c>
    </row>
    <row r="2178" spans="1:6" ht="16.95" customHeight="1" x14ac:dyDescent="0.25">
      <c r="A2178" s="1" t="s">
        <v>8687</v>
      </c>
      <c r="B2178" s="7" t="s">
        <v>8688</v>
      </c>
      <c r="C2178" s="7" t="s">
        <v>8649</v>
      </c>
      <c r="D2178" s="7" t="s">
        <v>8672</v>
      </c>
      <c r="E2178" s="7" t="s">
        <v>8673</v>
      </c>
      <c r="F2178" s="7" t="str">
        <f>HYPERLINK("http://www.masserialacornula.com/","www.masserialacornula.com")</f>
        <v>www.masserialacornula.com</v>
      </c>
    </row>
    <row r="2179" spans="1:6" ht="43.05" customHeight="1" x14ac:dyDescent="0.25">
      <c r="A2179" s="6" t="s">
        <v>8690</v>
      </c>
      <c r="B2179" s="5" t="s">
        <v>8691</v>
      </c>
      <c r="C2179" s="5" t="s">
        <v>8670</v>
      </c>
      <c r="D2179" s="5" t="s">
        <v>8692</v>
      </c>
      <c r="E2179" s="5" t="s">
        <v>8665</v>
      </c>
      <c r="F2179" s="5" t="str">
        <f>HYPERLINK("http://www.vivairiuniti.it/","www.vivairiuniti.it")</f>
        <v>www.vivairiuniti.it</v>
      </c>
    </row>
    <row r="2180" spans="1:6" ht="29.55" customHeight="1" x14ac:dyDescent="0.25">
      <c r="A2180" s="1" t="s">
        <v>8693</v>
      </c>
      <c r="B2180" s="7" t="s">
        <v>8694</v>
      </c>
      <c r="C2180" s="7" t="s">
        <v>8657</v>
      </c>
      <c r="D2180" s="7" t="s">
        <v>8695</v>
      </c>
      <c r="E2180" s="7" t="s">
        <v>8689</v>
      </c>
      <c r="F2180" s="7" t="str">
        <f>HYPERLINK("http://solesapori.it/","solesapori.it")</f>
        <v>solesapori.it</v>
      </c>
    </row>
    <row r="2181" spans="1:6" ht="29.55" customHeight="1" x14ac:dyDescent="0.25">
      <c r="A2181" s="6" t="s">
        <v>8699</v>
      </c>
      <c r="B2181" s="5" t="s">
        <v>8700</v>
      </c>
      <c r="C2181" s="5" t="s">
        <v>8701</v>
      </c>
      <c r="D2181" s="5" t="s">
        <v>8702</v>
      </c>
      <c r="E2181" s="5" t="s">
        <v>8703</v>
      </c>
      <c r="F2181" s="5" t="str">
        <f>HYPERLINK("http://www.mancinigiuseppe.com/","www.mancinigiuseppe.com")</f>
        <v>www.mancinigiuseppe.com</v>
      </c>
    </row>
    <row r="2182" spans="1:6" ht="29.55" customHeight="1" x14ac:dyDescent="0.25">
      <c r="A2182" s="1" t="s">
        <v>8707</v>
      </c>
      <c r="B2182" s="7" t="s">
        <v>8708</v>
      </c>
      <c r="C2182" s="7" t="s">
        <v>8696</v>
      </c>
      <c r="D2182" s="7" t="s">
        <v>8709</v>
      </c>
      <c r="E2182" s="7" t="s">
        <v>8710</v>
      </c>
      <c r="F2182" s="7" t="str">
        <f>HYPERLINK("http://www.agricolasabatino.com/","www.agricolasabatino.com")</f>
        <v>www.agricolasabatino.com</v>
      </c>
    </row>
    <row r="2183" spans="1:6" ht="43.05" customHeight="1" x14ac:dyDescent="0.25">
      <c r="A2183" s="6" t="s">
        <v>8711</v>
      </c>
      <c r="B2183" s="5" t="s">
        <v>8712</v>
      </c>
      <c r="C2183" s="5" t="s">
        <v>8713</v>
      </c>
      <c r="D2183" s="5" t="s">
        <v>8714</v>
      </c>
      <c r="E2183" s="5" t="s">
        <v>8715</v>
      </c>
      <c r="F2183" s="5" t="str">
        <f>HYPERLINK("http://ilmarrugio.com/","ilmarrugio.com")</f>
        <v>ilmarrugio.com</v>
      </c>
    </row>
    <row r="2184" spans="1:6" ht="29.55" customHeight="1" x14ac:dyDescent="0.25">
      <c r="A2184" s="1" t="s">
        <v>8716</v>
      </c>
      <c r="B2184" s="7" t="s">
        <v>8717</v>
      </c>
      <c r="C2184" s="7" t="s">
        <v>8718</v>
      </c>
      <c r="D2184" s="7" t="s">
        <v>8719</v>
      </c>
      <c r="E2184" s="7" t="s">
        <v>8720</v>
      </c>
      <c r="F2184" s="7" t="str">
        <f>HYPERLINK("http://lecorne.it/","lecorne.it")</f>
        <v>lecorne.it</v>
      </c>
    </row>
    <row r="2185" spans="1:6" ht="120.3" customHeight="1" x14ac:dyDescent="0.25">
      <c r="A2185" s="6" t="s">
        <v>8721</v>
      </c>
      <c r="B2185" s="5" t="s">
        <v>8722</v>
      </c>
      <c r="C2185" s="5" t="s">
        <v>8718</v>
      </c>
      <c r="D2185" s="5" t="s">
        <v>8723</v>
      </c>
      <c r="E2185" s="5" t="s">
        <v>8720</v>
      </c>
      <c r="F2185" s="5" t="str">
        <f>HYPERLINK("http://www.lionellomarchesi.com/","www.lionellomarchesi.com")</f>
        <v>www.lionellomarchesi.com</v>
      </c>
    </row>
    <row r="2186" spans="1:6" ht="29.55" customHeight="1" x14ac:dyDescent="0.25">
      <c r="A2186" s="1" t="s">
        <v>8724</v>
      </c>
      <c r="B2186" s="7" t="s">
        <v>8725</v>
      </c>
      <c r="C2186" s="7" t="s">
        <v>8726</v>
      </c>
      <c r="D2186" s="7" t="s">
        <v>8727</v>
      </c>
      <c r="E2186" s="7" t="s">
        <v>8715</v>
      </c>
      <c r="F2186" s="7" t="str">
        <f>HYPERLINK("http://www.fingerlimeitalia.com/","www.fingerlimeitalia.com")</f>
        <v>www.fingerlimeitalia.com</v>
      </c>
    </row>
    <row r="2187" spans="1:6" ht="43.05" customHeight="1" x14ac:dyDescent="0.25">
      <c r="A2187" s="1" t="s">
        <v>8729</v>
      </c>
      <c r="B2187" s="7" t="s">
        <v>8730</v>
      </c>
      <c r="C2187" s="7" t="s">
        <v>8731</v>
      </c>
      <c r="D2187" s="7" t="s">
        <v>8732</v>
      </c>
      <c r="E2187" s="7" t="s">
        <v>8733</v>
      </c>
      <c r="F2187" s="7" t="str">
        <f>HYPERLINK("http://www.divito.eu/","www.divito.eu")</f>
        <v>www.divito.eu</v>
      </c>
    </row>
    <row r="2188" spans="1:6" ht="29.55" customHeight="1" x14ac:dyDescent="0.25">
      <c r="A2188" s="1" t="s">
        <v>8735</v>
      </c>
      <c r="B2188" s="7" t="s">
        <v>8736</v>
      </c>
      <c r="C2188" s="7" t="s">
        <v>8737</v>
      </c>
      <c r="D2188" s="7" t="s">
        <v>8738</v>
      </c>
      <c r="E2188" s="7" t="s">
        <v>8703</v>
      </c>
      <c r="F2188" s="7" t="str">
        <f>HYPERLINK("http://www.ortogourmet.com/","www.ortogourmet.com")</f>
        <v>www.ortogourmet.com</v>
      </c>
    </row>
    <row r="2189" spans="1:6" ht="29.55" customHeight="1" x14ac:dyDescent="0.25">
      <c r="A2189" s="1" t="s">
        <v>8739</v>
      </c>
      <c r="B2189" s="7" t="s">
        <v>8740</v>
      </c>
      <c r="C2189" s="7" t="s">
        <v>8728</v>
      </c>
      <c r="D2189" s="7" t="s">
        <v>8709</v>
      </c>
      <c r="E2189" s="7" t="s">
        <v>8710</v>
      </c>
      <c r="F2189" s="7" t="str">
        <f>HYPERLINK("http://www.caseificiopaese.it/","www.caseificiopaese.it")</f>
        <v>www.caseificiopaese.it</v>
      </c>
    </row>
    <row r="2190" spans="1:6" ht="43.05" customHeight="1" x14ac:dyDescent="0.25">
      <c r="A2190" s="6" t="s">
        <v>8741</v>
      </c>
      <c r="B2190" s="5" t="s">
        <v>8742</v>
      </c>
      <c r="C2190" s="5" t="s">
        <v>8743</v>
      </c>
      <c r="D2190" s="5" t="s">
        <v>8744</v>
      </c>
      <c r="E2190" s="5" t="s">
        <v>8715</v>
      </c>
      <c r="F2190" s="5" t="str">
        <f>HYPERLINK("http://www.borgosantambrogio.com/","www.borgosantambrogio.com")</f>
        <v>www.borgosantambrogio.com</v>
      </c>
    </row>
    <row r="2191" spans="1:6" ht="29.55" customHeight="1" x14ac:dyDescent="0.25">
      <c r="A2191" s="6" t="s">
        <v>8746</v>
      </c>
      <c r="B2191" s="5" t="s">
        <v>8747</v>
      </c>
      <c r="C2191" s="5" t="s">
        <v>8701</v>
      </c>
      <c r="D2191" s="5" t="s">
        <v>8719</v>
      </c>
      <c r="E2191" s="5" t="s">
        <v>8720</v>
      </c>
      <c r="F2191" s="5" t="str">
        <f>HYPERLINK("http://www.bgagroenergia.it/","www.bgagroenergia.it")</f>
        <v>www.bgagroenergia.it</v>
      </c>
    </row>
    <row r="2192" spans="1:6" ht="16.95" customHeight="1" x14ac:dyDescent="0.25">
      <c r="A2192" s="1" t="s">
        <v>8748</v>
      </c>
      <c r="B2192" s="7" t="s">
        <v>8749</v>
      </c>
      <c r="C2192" s="7" t="s">
        <v>8704</v>
      </c>
      <c r="D2192" s="7" t="s">
        <v>8750</v>
      </c>
      <c r="E2192" s="7" t="s">
        <v>8751</v>
      </c>
      <c r="F2192" s="7" t="str">
        <f>HYPERLINK("http://www.finatosrl.it/","www.finatosrl.it")</f>
        <v>www.finatosrl.it</v>
      </c>
    </row>
    <row r="2193" spans="1:6" ht="29.55" customHeight="1" x14ac:dyDescent="0.25">
      <c r="A2193" s="1" t="s">
        <v>8752</v>
      </c>
      <c r="B2193" s="7" t="s">
        <v>8753</v>
      </c>
      <c r="C2193" s="7" t="s">
        <v>8754</v>
      </c>
      <c r="D2193" s="7" t="s">
        <v>8755</v>
      </c>
      <c r="E2193" s="7" t="s">
        <v>8734</v>
      </c>
      <c r="F2193" s="7" t="str">
        <f>HYPERLINK("http://www.tenagrisocietaagricolasrl.com/","www.tenagrisocietaagricolasrl.com")</f>
        <v>www.tenagrisocietaagricolasrl.com</v>
      </c>
    </row>
    <row r="2194" spans="1:6" ht="29.55" customHeight="1" x14ac:dyDescent="0.25">
      <c r="A2194" s="1" t="s">
        <v>8756</v>
      </c>
      <c r="B2194" s="7" t="s">
        <v>8757</v>
      </c>
      <c r="C2194" s="7" t="s">
        <v>8743</v>
      </c>
      <c r="D2194" s="7" t="s">
        <v>8705</v>
      </c>
      <c r="E2194" s="7" t="s">
        <v>8706</v>
      </c>
      <c r="F2194" s="7" t="str">
        <f>HYPERLINK("http://www.aziendaagricolalosipaolo.it/","http://www.aziendaagricolalosipaolo.it")</f>
        <v>http://www.aziendaagricolalosipaolo.it</v>
      </c>
    </row>
    <row r="2195" spans="1:6" ht="29.55" customHeight="1" x14ac:dyDescent="0.25">
      <c r="A2195" s="6" t="s">
        <v>8758</v>
      </c>
      <c r="B2195" s="5" t="s">
        <v>8759</v>
      </c>
      <c r="C2195" s="5" t="s">
        <v>8718</v>
      </c>
      <c r="D2195" s="5" t="s">
        <v>8760</v>
      </c>
      <c r="E2195" s="5" t="s">
        <v>8761</v>
      </c>
      <c r="F2195" s="5" t="str">
        <f>HYPERLINK("http://relaislatorre.vudoo.shop/","relaislatorre.vudoo.shop")</f>
        <v>relaislatorre.vudoo.shop</v>
      </c>
    </row>
    <row r="2196" spans="1:6" ht="43.05" customHeight="1" x14ac:dyDescent="0.25">
      <c r="A2196" s="1" t="s">
        <v>8762</v>
      </c>
      <c r="B2196" s="7" t="s">
        <v>8763</v>
      </c>
      <c r="C2196" s="7" t="s">
        <v>8731</v>
      </c>
      <c r="D2196" s="7" t="s">
        <v>8745</v>
      </c>
      <c r="E2196" s="7" t="s">
        <v>8706</v>
      </c>
      <c r="F2196" s="7" t="str">
        <f>HYPERLINK("http://www.agliodelnonno.it/","www.agliodelnonno.it")</f>
        <v>www.agliodelnonno.it</v>
      </c>
    </row>
    <row r="2197" spans="1:6" ht="29.55" customHeight="1" x14ac:dyDescent="0.25">
      <c r="A2197" s="6" t="s">
        <v>8764</v>
      </c>
      <c r="B2197" s="5" t="s">
        <v>8765</v>
      </c>
      <c r="C2197" s="5" t="s">
        <v>8718</v>
      </c>
      <c r="D2197" s="5" t="s">
        <v>8697</v>
      </c>
      <c r="E2197" s="5" t="s">
        <v>8698</v>
      </c>
      <c r="F2197" s="5" t="str">
        <f>HYPERLINK("http://fedegraziani.it/","fedegraziani.it")</f>
        <v>fedegraziani.it</v>
      </c>
    </row>
    <row r="2198" spans="1:6" ht="55.65" customHeight="1" x14ac:dyDescent="0.25">
      <c r="A2198" s="6" t="s">
        <v>8766</v>
      </c>
      <c r="B2198" s="5" t="s">
        <v>8767</v>
      </c>
      <c r="C2198" s="5" t="s">
        <v>8768</v>
      </c>
      <c r="D2198" s="5" t="s">
        <v>8769</v>
      </c>
      <c r="E2198" s="5" t="s">
        <v>8770</v>
      </c>
      <c r="F2198" s="5" t="str">
        <f>HYPERLINK("http://laportadeiparchi.com/","laportadeiparchi.com")</f>
        <v>laportadeiparchi.com</v>
      </c>
    </row>
    <row r="2199" spans="1:6" ht="29.55" customHeight="1" x14ac:dyDescent="0.25">
      <c r="A2199" s="6" t="s">
        <v>8772</v>
      </c>
      <c r="B2199" s="5" t="s">
        <v>8773</v>
      </c>
      <c r="C2199" s="5" t="s">
        <v>8771</v>
      </c>
      <c r="D2199" s="5" t="s">
        <v>8774</v>
      </c>
      <c r="E2199" s="5" t="s">
        <v>8775</v>
      </c>
      <c r="F2199" s="5" t="str">
        <f>HYPERLINK("http://canus.it/","canus.it")</f>
        <v>canus.it</v>
      </c>
    </row>
    <row r="2200" spans="1:6" ht="29.55" customHeight="1" x14ac:dyDescent="0.25">
      <c r="A2200" s="6" t="s">
        <v>8777</v>
      </c>
      <c r="B2200" s="5" t="s">
        <v>8778</v>
      </c>
      <c r="C2200" s="5" t="s">
        <v>8779</v>
      </c>
      <c r="D2200" s="5" t="s">
        <v>8780</v>
      </c>
      <c r="E2200" s="5" t="s">
        <v>8781</v>
      </c>
      <c r="F2200" s="5" t="str">
        <f>HYPERLINK("http://www.growershop.it/","www.growershop.it")</f>
        <v>www.growershop.it</v>
      </c>
    </row>
    <row r="2201" spans="1:6" ht="16.95" customHeight="1" x14ac:dyDescent="0.25">
      <c r="A2201" s="6" t="s">
        <v>8782</v>
      </c>
      <c r="B2201" s="5" t="s">
        <v>8783</v>
      </c>
      <c r="C2201" s="5" t="s">
        <v>8768</v>
      </c>
      <c r="D2201" s="5" t="s">
        <v>8784</v>
      </c>
      <c r="E2201" s="5" t="s">
        <v>8785</v>
      </c>
      <c r="F2201" s="5" t="str">
        <f>HYPERLINK("http://experiencevillage.it/","experiencevillage.it")</f>
        <v>experiencevillage.it</v>
      </c>
    </row>
    <row r="2202" spans="1:6" ht="29.55" customHeight="1" x14ac:dyDescent="0.25">
      <c r="A2202" s="6" t="s">
        <v>8788</v>
      </c>
      <c r="B2202" s="5" t="s">
        <v>8789</v>
      </c>
      <c r="C2202" s="5" t="s">
        <v>8790</v>
      </c>
      <c r="D2202" s="5" t="s">
        <v>8791</v>
      </c>
      <c r="E2202" s="5" t="s">
        <v>8781</v>
      </c>
      <c r="F2202" s="5" t="str">
        <f>HYPERLINK("http://terramadresoccoop.com/","terramadresoccoop.com")</f>
        <v>terramadresoccoop.com</v>
      </c>
    </row>
    <row r="2203" spans="1:6" ht="29.55" customHeight="1" x14ac:dyDescent="0.25">
      <c r="A2203" s="1" t="s">
        <v>8793</v>
      </c>
      <c r="B2203" s="7" t="s">
        <v>8794</v>
      </c>
      <c r="C2203" s="7" t="s">
        <v>8771</v>
      </c>
      <c r="D2203" s="7" t="s">
        <v>8795</v>
      </c>
      <c r="E2203" s="7" t="s">
        <v>8796</v>
      </c>
      <c r="F2203" s="7" t="str">
        <f>HYPERLINK("http://www.torracciadipresura.com/","www.torracciadipresura.com")</f>
        <v>www.torracciadipresura.com</v>
      </c>
    </row>
    <row r="2204" spans="1:6" ht="43.05" customHeight="1" x14ac:dyDescent="0.25">
      <c r="A2204" s="6" t="s">
        <v>8797</v>
      </c>
      <c r="B2204" s="5" t="s">
        <v>8798</v>
      </c>
      <c r="C2204" s="5" t="s">
        <v>8786</v>
      </c>
      <c r="D2204" s="5" t="s">
        <v>8799</v>
      </c>
      <c r="E2204" s="5" t="s">
        <v>8776</v>
      </c>
      <c r="F2204" s="5" t="str">
        <f>HYPERLINK("http://www.auotoscout24.itwww.subito.it/","www.auotoscout24.itwww.subito.it")</f>
        <v>www.auotoscout24.itwww.subito.it</v>
      </c>
    </row>
    <row r="2205" spans="1:6" ht="43.05" customHeight="1" x14ac:dyDescent="0.25">
      <c r="A2205" s="1" t="s">
        <v>8800</v>
      </c>
      <c r="B2205" s="7" t="s">
        <v>8801</v>
      </c>
      <c r="C2205" s="7" t="s">
        <v>8771</v>
      </c>
      <c r="D2205" s="7" t="s">
        <v>8802</v>
      </c>
      <c r="E2205" s="7" t="s">
        <v>8787</v>
      </c>
      <c r="F2205" s="7" t="str">
        <f>HYPERLINK("http://www.vinisangiovanni.it/","www.vinisangiovanni.it")</f>
        <v>www.vinisangiovanni.it</v>
      </c>
    </row>
    <row r="2206" spans="1:6" ht="43.05" customHeight="1" x14ac:dyDescent="0.25">
      <c r="A2206" s="6" t="s">
        <v>8803</v>
      </c>
      <c r="B2206" s="5" t="s">
        <v>8804</v>
      </c>
      <c r="C2206" s="5" t="s">
        <v>8805</v>
      </c>
      <c r="D2206" s="5" t="s">
        <v>8806</v>
      </c>
      <c r="E2206" s="5" t="s">
        <v>8785</v>
      </c>
      <c r="F2206" s="5" t="str">
        <f>HYPERLINK("http://www.olivicoltori.com/","www.olivicoltori.com")</f>
        <v>www.olivicoltori.com</v>
      </c>
    </row>
    <row r="2207" spans="1:6" ht="16.95" customHeight="1" x14ac:dyDescent="0.25">
      <c r="A2207" s="1" t="s">
        <v>8807</v>
      </c>
      <c r="B2207" s="7" t="s">
        <v>8808</v>
      </c>
      <c r="C2207" s="7" t="s">
        <v>8809</v>
      </c>
      <c r="D2207" s="7" t="s">
        <v>8810</v>
      </c>
      <c r="E2207" s="7" t="s">
        <v>8785</v>
      </c>
      <c r="F2207" s="7" t="str">
        <f>HYPERLINK("http://www.vivailatinafiorita.it/","www.vivailatinafiorita.it")</f>
        <v>www.vivailatinafiorita.it</v>
      </c>
    </row>
    <row r="2208" spans="1:6" ht="29.55" customHeight="1" x14ac:dyDescent="0.25">
      <c r="A2208" s="6" t="s">
        <v>8811</v>
      </c>
      <c r="B2208" s="5" t="s">
        <v>8812</v>
      </c>
      <c r="C2208" s="5" t="s">
        <v>8805</v>
      </c>
      <c r="D2208" s="5" t="s">
        <v>8813</v>
      </c>
      <c r="E2208" s="5" t="s">
        <v>8796</v>
      </c>
      <c r="F2208" s="5" t="str">
        <f>HYPERLINK("http://www.poggiopiglia.com/","www.poggiopiglia.com")</f>
        <v>www.poggiopiglia.com</v>
      </c>
    </row>
    <row r="2209" spans="1:6" ht="43.05" customHeight="1" x14ac:dyDescent="0.25">
      <c r="A2209" s="1" t="s">
        <v>8814</v>
      </c>
      <c r="B2209" s="7" t="s">
        <v>8815</v>
      </c>
      <c r="C2209" s="7" t="s">
        <v>8779</v>
      </c>
      <c r="D2209" s="7" t="s">
        <v>8810</v>
      </c>
      <c r="E2209" s="7" t="s">
        <v>8785</v>
      </c>
      <c r="F2209" s="7" t="str">
        <f>HYPERLINK("http://www.mandatori.it/","www.mandatori.it")</f>
        <v>www.mandatori.it</v>
      </c>
    </row>
    <row r="2210" spans="1:6" ht="29.55" customHeight="1" x14ac:dyDescent="0.25">
      <c r="A2210" s="6" t="s">
        <v>8816</v>
      </c>
      <c r="B2210" s="5" t="s">
        <v>8817</v>
      </c>
      <c r="C2210" s="5" t="s">
        <v>8790</v>
      </c>
      <c r="D2210" s="5" t="s">
        <v>8818</v>
      </c>
      <c r="E2210" s="5" t="s">
        <v>8819</v>
      </c>
      <c r="F2210" s="5" t="str">
        <f>HYPERLINK("http://www.gentilegroupitalia.it/","www.gentilegroupitalia.it")</f>
        <v>www.gentilegroupitalia.it</v>
      </c>
    </row>
    <row r="2211" spans="1:6" ht="29.55" customHeight="1" x14ac:dyDescent="0.25">
      <c r="A2211" s="6" t="s">
        <v>8820</v>
      </c>
      <c r="B2211" s="5" t="s">
        <v>8821</v>
      </c>
      <c r="C2211" s="5" t="s">
        <v>8771</v>
      </c>
      <c r="D2211" s="5" t="s">
        <v>8822</v>
      </c>
      <c r="E2211" s="5" t="s">
        <v>8792</v>
      </c>
      <c r="F2211" s="5" t="str">
        <f>HYPERLINK("http://salesportal.lamesma.it/","salesportal.lamesma.it")</f>
        <v>salesportal.lamesma.it</v>
      </c>
    </row>
    <row r="2212" spans="1:6" ht="43.05" customHeight="1" x14ac:dyDescent="0.25">
      <c r="A2212" s="1" t="s">
        <v>8823</v>
      </c>
      <c r="B2212" s="7" t="s">
        <v>8824</v>
      </c>
      <c r="C2212" s="7" t="s">
        <v>8825</v>
      </c>
      <c r="D2212" s="7" t="s">
        <v>8826</v>
      </c>
      <c r="E2212" s="7" t="s">
        <v>8827</v>
      </c>
      <c r="F2212" s="7" t="str">
        <f>HYPERLINK("http://www.villabarberino.it/","www.villabarberino.it")</f>
        <v>www.villabarberino.it</v>
      </c>
    </row>
    <row r="2213" spans="1:6" ht="29.55" customHeight="1" x14ac:dyDescent="0.25">
      <c r="A2213" s="1" t="s">
        <v>8828</v>
      </c>
      <c r="B2213" s="7" t="s">
        <v>8829</v>
      </c>
      <c r="C2213" s="7" t="s">
        <v>8830</v>
      </c>
      <c r="D2213" s="7" t="s">
        <v>8831</v>
      </c>
      <c r="E2213" s="7" t="s">
        <v>8832</v>
      </c>
      <c r="F2213" s="7" t="str">
        <f>HYPERLINK("http://www.agrisolcorbino.it/","www.agrisolcorbino.it")</f>
        <v>www.agrisolcorbino.it</v>
      </c>
    </row>
    <row r="2214" spans="1:6" ht="29.55" customHeight="1" x14ac:dyDescent="0.25">
      <c r="A2214" s="6" t="s">
        <v>8833</v>
      </c>
      <c r="B2214" s="5" t="s">
        <v>8834</v>
      </c>
      <c r="C2214" s="5" t="s">
        <v>8835</v>
      </c>
      <c r="D2214" s="5" t="s">
        <v>8836</v>
      </c>
      <c r="E2214" s="5" t="s">
        <v>8837</v>
      </c>
      <c r="F2214" s="5" t="str">
        <f>HYPERLINK("http://oasikadir.it/","oasikadir.it")</f>
        <v>oasikadir.it</v>
      </c>
    </row>
    <row r="2215" spans="1:6" ht="29.55" customHeight="1" x14ac:dyDescent="0.25">
      <c r="A2215" s="1" t="s">
        <v>8838</v>
      </c>
      <c r="B2215" s="7" t="s">
        <v>8839</v>
      </c>
      <c r="C2215" s="7" t="s">
        <v>8840</v>
      </c>
      <c r="D2215" s="7" t="s">
        <v>8841</v>
      </c>
      <c r="E2215" s="7" t="s">
        <v>8842</v>
      </c>
      <c r="F2215" s="7" t="str">
        <f>HYPERLINK("http://www.avicolatf.it/","www.avicolatf.it")</f>
        <v>www.avicolatf.it</v>
      </c>
    </row>
    <row r="2216" spans="1:6" ht="29.55" customHeight="1" x14ac:dyDescent="0.25">
      <c r="A2216" s="1" t="s">
        <v>8846</v>
      </c>
      <c r="B2216" s="7" t="s">
        <v>8847</v>
      </c>
      <c r="C2216" s="7" t="s">
        <v>8830</v>
      </c>
      <c r="D2216" s="7" t="s">
        <v>8831</v>
      </c>
      <c r="E2216" s="7" t="s">
        <v>8832</v>
      </c>
      <c r="F2216" s="7" t="str">
        <f>HYPERLINK("http://www.fratantonio.eu/","www.fratantonio.eu")</f>
        <v>www.fratantonio.eu</v>
      </c>
    </row>
    <row r="2217" spans="1:6" ht="29.55" customHeight="1" x14ac:dyDescent="0.25">
      <c r="A2217" s="6" t="s">
        <v>8848</v>
      </c>
      <c r="B2217" s="5" t="s">
        <v>8849</v>
      </c>
      <c r="C2217" s="5" t="s">
        <v>8850</v>
      </c>
      <c r="D2217" s="5" t="s">
        <v>8851</v>
      </c>
      <c r="E2217" s="5" t="s">
        <v>8827</v>
      </c>
      <c r="F2217" s="5" t="str">
        <f>HYPERLINK("http://pinino.eu/","pinino.eu")</f>
        <v>pinino.eu</v>
      </c>
    </row>
    <row r="2218" spans="1:6" ht="29.55" customHeight="1" x14ac:dyDescent="0.25">
      <c r="A2218" s="1" t="s">
        <v>8852</v>
      </c>
      <c r="B2218" s="7" t="s">
        <v>8853</v>
      </c>
      <c r="C2218" s="7" t="s">
        <v>8844</v>
      </c>
      <c r="D2218" s="7" t="s">
        <v>8854</v>
      </c>
      <c r="E2218" s="7" t="s">
        <v>8837</v>
      </c>
      <c r="F2218" s="7" t="str">
        <f>HYPERLINK("http://www.unagri.com/","www.unagri.com")</f>
        <v>www.unagri.com</v>
      </c>
    </row>
    <row r="2219" spans="1:6" ht="29.55" customHeight="1" x14ac:dyDescent="0.25">
      <c r="A2219" s="6" t="s">
        <v>8855</v>
      </c>
      <c r="B2219" s="5" t="s">
        <v>8856</v>
      </c>
      <c r="C2219" s="5" t="s">
        <v>8857</v>
      </c>
      <c r="D2219" s="5" t="s">
        <v>8858</v>
      </c>
      <c r="E2219" s="5" t="s">
        <v>8845</v>
      </c>
      <c r="F2219" s="5" t="str">
        <f>HYPERLINK("http://www.aguaresort.it/","www.aguaresort.it/")</f>
        <v>www.aguaresort.it/</v>
      </c>
    </row>
    <row r="2220" spans="1:6" ht="29.55" customHeight="1" x14ac:dyDescent="0.25">
      <c r="A2220" s="6" t="s">
        <v>8860</v>
      </c>
      <c r="B2220" s="5" t="s">
        <v>8861</v>
      </c>
      <c r="C2220" s="5" t="s">
        <v>8862</v>
      </c>
      <c r="D2220" s="5" t="s">
        <v>8863</v>
      </c>
      <c r="E2220" s="5" t="s">
        <v>8864</v>
      </c>
      <c r="F2220" s="5" t="str">
        <f>HYPERLINK("http://www.giardinoincittapd.com/","www.giardinoincittapd.com")</f>
        <v>www.giardinoincittapd.com</v>
      </c>
    </row>
    <row r="2221" spans="1:6" ht="16.95" customHeight="1" x14ac:dyDescent="0.25">
      <c r="A2221" s="6" t="s">
        <v>8865</v>
      </c>
      <c r="B2221" s="5" t="s">
        <v>8866</v>
      </c>
      <c r="C2221" s="5" t="s">
        <v>8830</v>
      </c>
      <c r="D2221" s="5" t="s">
        <v>8867</v>
      </c>
      <c r="E2221" s="5" t="s">
        <v>8868</v>
      </c>
      <c r="F2221" s="5" t="str">
        <f>HYPERLINK("http://www.ceschinimaurosrl.it/","www.ceschinimaurosrl.it")</f>
        <v>www.ceschinimaurosrl.it</v>
      </c>
    </row>
    <row r="2222" spans="1:6" ht="29.55" customHeight="1" x14ac:dyDescent="0.25">
      <c r="A2222" s="1" t="s">
        <v>8869</v>
      </c>
      <c r="B2222" s="7" t="s">
        <v>8870</v>
      </c>
      <c r="C2222" s="7" t="s">
        <v>8859</v>
      </c>
      <c r="D2222" s="7" t="s">
        <v>8871</v>
      </c>
      <c r="E2222" s="7" t="s">
        <v>8843</v>
      </c>
      <c r="F2222" s="7" t="str">
        <f>HYPERLINK("http://en.agriturismozanzara.it/","en.agriturismozanzara.it")</f>
        <v>en.agriturismozanzara.it</v>
      </c>
    </row>
    <row r="2223" spans="1:6" ht="16.95" customHeight="1" x14ac:dyDescent="0.25">
      <c r="A2223" s="6" t="s">
        <v>8876</v>
      </c>
      <c r="B2223" s="5" t="s">
        <v>8877</v>
      </c>
      <c r="C2223" s="5" t="s">
        <v>8878</v>
      </c>
      <c r="D2223" s="5" t="s">
        <v>8879</v>
      </c>
      <c r="E2223" s="5" t="s">
        <v>8880</v>
      </c>
      <c r="F2223" s="5" t="str">
        <f>HYPERLINK("http://www.vino.toscani.com/","www.vino.toscani.com")</f>
        <v>www.vino.toscani.com</v>
      </c>
    </row>
    <row r="2224" spans="1:6" ht="29.55" customHeight="1" x14ac:dyDescent="0.25">
      <c r="A2224" s="1" t="s">
        <v>8882</v>
      </c>
      <c r="B2224" s="7" t="s">
        <v>8883</v>
      </c>
      <c r="C2224" s="7" t="s">
        <v>8884</v>
      </c>
      <c r="D2224" s="7" t="s">
        <v>8885</v>
      </c>
      <c r="E2224" s="7" t="s">
        <v>8886</v>
      </c>
      <c r="F2224" s="7" t="str">
        <f>HYPERLINK("http://www.zagogasparini.com/","www.zagogasparini.com")</f>
        <v>www.zagogasparini.com</v>
      </c>
    </row>
    <row r="2225" spans="1:6" ht="29.55" customHeight="1" x14ac:dyDescent="0.25">
      <c r="A2225" s="6" t="s">
        <v>8887</v>
      </c>
      <c r="B2225" s="5" t="s">
        <v>8888</v>
      </c>
      <c r="C2225" s="5" t="s">
        <v>8889</v>
      </c>
      <c r="D2225" s="5" t="s">
        <v>8873</v>
      </c>
      <c r="E2225" s="5" t="s">
        <v>8874</v>
      </c>
      <c r="F2225" s="5" t="str">
        <f>HYPERLINK("http://www.treterre.it/","www.treterre.it")</f>
        <v>www.treterre.it</v>
      </c>
    </row>
    <row r="2226" spans="1:6" ht="29.55" customHeight="1" x14ac:dyDescent="0.25">
      <c r="A2226" s="1" t="s">
        <v>8890</v>
      </c>
      <c r="B2226" s="7" t="s">
        <v>8891</v>
      </c>
      <c r="C2226" s="7" t="s">
        <v>8884</v>
      </c>
      <c r="D2226" s="7" t="s">
        <v>8879</v>
      </c>
      <c r="E2226" s="7" t="s">
        <v>8880</v>
      </c>
      <c r="F2226" s="7" t="str">
        <f>HYPERLINK("http://www.bulichella.it/","www.bulichella.it")</f>
        <v>www.bulichella.it</v>
      </c>
    </row>
    <row r="2227" spans="1:6" ht="29.55" customHeight="1" x14ac:dyDescent="0.25">
      <c r="A2227" s="1" t="s">
        <v>8892</v>
      </c>
      <c r="B2227" s="7" t="s">
        <v>8893</v>
      </c>
      <c r="C2227" s="7" t="s">
        <v>8872</v>
      </c>
      <c r="D2227" s="7" t="s">
        <v>8894</v>
      </c>
      <c r="E2227" s="7" t="s">
        <v>8881</v>
      </c>
      <c r="F2227" s="7" t="str">
        <f>HYPERLINK("http://www.divanosrl.it/","www.divanosrl.it")</f>
        <v>www.divanosrl.it</v>
      </c>
    </row>
    <row r="2228" spans="1:6" ht="29.55" customHeight="1" x14ac:dyDescent="0.25">
      <c r="A2228" s="6" t="s">
        <v>8895</v>
      </c>
      <c r="B2228" s="5" t="s">
        <v>8896</v>
      </c>
      <c r="C2228" s="5" t="s">
        <v>8875</v>
      </c>
      <c r="D2228" s="5" t="s">
        <v>8897</v>
      </c>
      <c r="E2228" s="5" t="s">
        <v>8881</v>
      </c>
      <c r="F2228" s="5" t="str">
        <f>HYPERLINK("http://www.caseificio-fattoriadellalento.com/","www.caseificio-fattoriadellalento.com")</f>
        <v>www.caseificio-fattoriadellalento.com</v>
      </c>
    </row>
    <row r="2229" spans="1:6" ht="29.55" customHeight="1" x14ac:dyDescent="0.25">
      <c r="A2229" s="6" t="s">
        <v>8898</v>
      </c>
      <c r="B2229" s="5" t="s">
        <v>8899</v>
      </c>
      <c r="C2229" s="5" t="s">
        <v>8884</v>
      </c>
      <c r="D2229" s="5" t="s">
        <v>8900</v>
      </c>
      <c r="E2229" s="5" t="s">
        <v>8880</v>
      </c>
      <c r="F2229" s="5" t="str">
        <f>HYPERLINK("http://www.montemaggio.com/","www.montemaggio.com")</f>
        <v>www.montemaggio.com</v>
      </c>
    </row>
    <row r="2230" spans="1:6" ht="55.65" customHeight="1" x14ac:dyDescent="0.25">
      <c r="A2230" s="6" t="s">
        <v>8901</v>
      </c>
      <c r="B2230" s="5" t="s">
        <v>8902</v>
      </c>
      <c r="C2230" s="5" t="s">
        <v>8903</v>
      </c>
      <c r="D2230" s="5" t="s">
        <v>8904</v>
      </c>
      <c r="E2230" s="5" t="s">
        <v>8905</v>
      </c>
      <c r="F2230" s="5" t="str">
        <f>HYPERLINK("http://www.villapalmentiello.it/","www.villapalmentiello.it")</f>
        <v>www.villapalmentiello.it</v>
      </c>
    </row>
    <row r="2231" spans="1:6" ht="29.55" customHeight="1" x14ac:dyDescent="0.25">
      <c r="A2231" s="6" t="s">
        <v>8908</v>
      </c>
      <c r="B2231" s="5" t="s">
        <v>8909</v>
      </c>
      <c r="C2231" s="5" t="s">
        <v>8910</v>
      </c>
      <c r="D2231" s="5" t="s">
        <v>8911</v>
      </c>
      <c r="E2231" s="5" t="s">
        <v>8912</v>
      </c>
      <c r="F2231" s="5" t="str">
        <f>HYPERLINK("http://chiantirelais.it/","chiantirelais.it")</f>
        <v>chiantirelais.it</v>
      </c>
    </row>
    <row r="2232" spans="1:6" ht="29.55" customHeight="1" x14ac:dyDescent="0.25">
      <c r="A2232" s="1" t="s">
        <v>8913</v>
      </c>
      <c r="B2232" s="7" t="s">
        <v>8914</v>
      </c>
      <c r="C2232" s="7" t="s">
        <v>8915</v>
      </c>
      <c r="D2232" s="7" t="s">
        <v>8916</v>
      </c>
      <c r="E2232" s="7" t="s">
        <v>8917</v>
      </c>
      <c r="F2232" s="7" t="str">
        <f>HYPERLINK("http://www.mgvivai.it/","www.mgvivai.it")</f>
        <v>www.mgvivai.it</v>
      </c>
    </row>
    <row r="2233" spans="1:6" ht="43.05" customHeight="1" x14ac:dyDescent="0.25">
      <c r="A2233" s="6" t="s">
        <v>8918</v>
      </c>
      <c r="B2233" s="5" t="s">
        <v>8919</v>
      </c>
      <c r="C2233" s="5" t="s">
        <v>8906</v>
      </c>
      <c r="D2233" s="5" t="s">
        <v>8920</v>
      </c>
      <c r="E2233" s="5" t="s">
        <v>8907</v>
      </c>
      <c r="F2233" s="5" t="str">
        <f>HYPERLINK("http://www.tenutadanesimatera.it/","www.tenutadanesimatera.it")</f>
        <v>www.tenutadanesimatera.it</v>
      </c>
    </row>
    <row r="2234" spans="1:6" ht="29.55" customHeight="1" x14ac:dyDescent="0.25">
      <c r="A2234" s="1" t="s">
        <v>8921</v>
      </c>
      <c r="B2234" s="7" t="s">
        <v>8922</v>
      </c>
      <c r="C2234" s="7" t="s">
        <v>8923</v>
      </c>
      <c r="D2234" s="7" t="s">
        <v>8924</v>
      </c>
      <c r="E2234" s="7" t="s">
        <v>8925</v>
      </c>
      <c r="F2234" s="7" t="str">
        <f>HYPERLINK("http://www.castellodibuttrio.it/","www.castellodibuttrio.it")</f>
        <v>www.castellodibuttrio.it</v>
      </c>
    </row>
    <row r="2235" spans="1:6" ht="29.55" customHeight="1" x14ac:dyDescent="0.25">
      <c r="A2235" s="6" t="s">
        <v>8926</v>
      </c>
      <c r="B2235" s="5" t="s">
        <v>8927</v>
      </c>
      <c r="C2235" s="5" t="s">
        <v>8928</v>
      </c>
      <c r="D2235" s="5" t="s">
        <v>8911</v>
      </c>
      <c r="E2235" s="5" t="s">
        <v>8912</v>
      </c>
      <c r="F2235" s="5" t="str">
        <f>HYPERLINK("http://www.tenutalacampana.it/","www.tenutalacampana.it")</f>
        <v>www.tenutalacampana.it</v>
      </c>
    </row>
    <row r="2236" spans="1:6" ht="29.55" customHeight="1" x14ac:dyDescent="0.25">
      <c r="A2236" s="1" t="s">
        <v>8929</v>
      </c>
      <c r="B2236" s="7" t="s">
        <v>8930</v>
      </c>
      <c r="C2236" s="7" t="s">
        <v>8923</v>
      </c>
      <c r="D2236" s="7" t="s">
        <v>8931</v>
      </c>
      <c r="E2236" s="7" t="s">
        <v>8912</v>
      </c>
      <c r="F2236" s="7" t="str">
        <f>HYPERLINK("http://www.delloscompiglio.org/","www.delloscompiglio.org")</f>
        <v>www.delloscompiglio.org</v>
      </c>
    </row>
    <row r="2237" spans="1:6" ht="29.55" customHeight="1" x14ac:dyDescent="0.25">
      <c r="A2237" s="6" t="s">
        <v>8932</v>
      </c>
      <c r="B2237" s="5" t="s">
        <v>8933</v>
      </c>
      <c r="C2237" s="5" t="s">
        <v>8934</v>
      </c>
      <c r="D2237" s="5" t="s">
        <v>8935</v>
      </c>
      <c r="E2237" s="5" t="s">
        <v>8912</v>
      </c>
      <c r="F2237" s="5" t="str">
        <f>HYPERLINK("http://www.valdastra.it/","www.valdastra.it")</f>
        <v>www.valdastra.it</v>
      </c>
    </row>
    <row r="2238" spans="1:6" ht="16.95" customHeight="1" x14ac:dyDescent="0.25">
      <c r="A2238" s="1" t="s">
        <v>8936</v>
      </c>
      <c r="B2238" s="7" t="s">
        <v>8937</v>
      </c>
      <c r="C2238" s="7" t="s">
        <v>8934</v>
      </c>
      <c r="D2238" s="7" t="s">
        <v>8911</v>
      </c>
      <c r="E2238" s="7" t="s">
        <v>8912</v>
      </c>
      <c r="F2238" s="7" t="str">
        <f>HYPERLINK("http://www.villailpoggiolino.com/","www.villailpoggiolino.com")</f>
        <v>www.villailpoggiolino.com</v>
      </c>
    </row>
    <row r="2239" spans="1:6" ht="29.55" customHeight="1" x14ac:dyDescent="0.25">
      <c r="A2239" s="1" t="s">
        <v>8938</v>
      </c>
      <c r="B2239" s="7" t="s">
        <v>8939</v>
      </c>
      <c r="C2239" s="7" t="s">
        <v>8910</v>
      </c>
      <c r="D2239" s="7" t="s">
        <v>8940</v>
      </c>
      <c r="E2239" s="7" t="s">
        <v>8917</v>
      </c>
      <c r="F2239" s="7" t="str">
        <f>HYPERLINK("http://www.corteallaflora.com/","www.corteallaflora.com")</f>
        <v>www.corteallaflora.com</v>
      </c>
    </row>
    <row r="2240" spans="1:6" ht="29.55" customHeight="1" x14ac:dyDescent="0.25">
      <c r="A2240" s="6" t="s">
        <v>8941</v>
      </c>
      <c r="B2240" s="5" t="s">
        <v>8942</v>
      </c>
      <c r="C2240" s="5" t="s">
        <v>8943</v>
      </c>
      <c r="D2240" s="5" t="s">
        <v>8916</v>
      </c>
      <c r="E2240" s="5" t="s">
        <v>8917</v>
      </c>
      <c r="F2240" s="5" t="str">
        <f>HYPERLINK("http://diemhibiscus.it/","diemhibiscus.it")</f>
        <v>diemhibiscus.it</v>
      </c>
    </row>
    <row r="2241" spans="1:6" ht="29.55" customHeight="1" x14ac:dyDescent="0.25">
      <c r="A2241" s="6" t="s">
        <v>8944</v>
      </c>
      <c r="B2241" s="5" t="s">
        <v>8945</v>
      </c>
      <c r="C2241" s="5" t="s">
        <v>8923</v>
      </c>
      <c r="D2241" s="5" t="s">
        <v>8911</v>
      </c>
      <c r="E2241" s="5" t="s">
        <v>8912</v>
      </c>
      <c r="F2241" s="5" t="str">
        <f>HYPERLINK("http://www.lebuche.com/","www.lebuche.com")</f>
        <v>www.lebuche.com</v>
      </c>
    </row>
    <row r="2242" spans="1:6" ht="29.55" customHeight="1" x14ac:dyDescent="0.25">
      <c r="A2242" s="1" t="s">
        <v>8946</v>
      </c>
      <c r="B2242" s="7" t="s">
        <v>8947</v>
      </c>
      <c r="C2242" s="7" t="s">
        <v>8923</v>
      </c>
      <c r="D2242" s="7" t="s">
        <v>8935</v>
      </c>
      <c r="E2242" s="7" t="s">
        <v>8912</v>
      </c>
      <c r="F2242" s="7" t="str">
        <f>HYPERLINK("http://www.quercialpoggio.com/","www.quercialpoggio.com")</f>
        <v>www.quercialpoggio.com</v>
      </c>
    </row>
    <row r="2243" spans="1:6" ht="29.55" customHeight="1" x14ac:dyDescent="0.25">
      <c r="A2243" s="1" t="s">
        <v>8948</v>
      </c>
      <c r="B2243" s="7" t="s">
        <v>8949</v>
      </c>
      <c r="C2243" s="7" t="s">
        <v>8950</v>
      </c>
      <c r="D2243" s="7" t="s">
        <v>8951</v>
      </c>
      <c r="E2243" s="7" t="s">
        <v>8952</v>
      </c>
      <c r="F2243" s="7" t="str">
        <f>HYPERLINK("http://www.viniterenzi.com/","www.viniterenzi.com")</f>
        <v>www.viniterenzi.com</v>
      </c>
    </row>
    <row r="2244" spans="1:6" ht="68.099999999999994" customHeight="1" x14ac:dyDescent="0.25">
      <c r="A2244" s="6" t="s">
        <v>8955</v>
      </c>
      <c r="B2244" s="5" t="s">
        <v>8956</v>
      </c>
      <c r="C2244" s="5" t="s">
        <v>8957</v>
      </c>
      <c r="D2244" s="5" t="s">
        <v>8958</v>
      </c>
      <c r="E2244" s="5" t="s">
        <v>8959</v>
      </c>
      <c r="F2244" s="5" t="str">
        <f>HYPERLINK("http://agrivar.com/","agrivar.com")</f>
        <v>agrivar.com</v>
      </c>
    </row>
    <row r="2245" spans="1:6" ht="43.05" customHeight="1" x14ac:dyDescent="0.25">
      <c r="A2245" s="1" t="s">
        <v>8960</v>
      </c>
      <c r="B2245" s="7" t="s">
        <v>8961</v>
      </c>
      <c r="C2245" s="7" t="s">
        <v>8957</v>
      </c>
      <c r="D2245" s="7" t="s">
        <v>8962</v>
      </c>
      <c r="E2245" s="7" t="s">
        <v>8963</v>
      </c>
      <c r="F2245" s="7" t="str">
        <f>HYPERLINK("http://tenutamasonemannu.it/","tenutamasonemannu.it")</f>
        <v>tenutamasonemannu.it</v>
      </c>
    </row>
    <row r="2246" spans="1:6" ht="43.05" customHeight="1" x14ac:dyDescent="0.25">
      <c r="A2246" s="6" t="s">
        <v>8964</v>
      </c>
      <c r="B2246" s="5" t="s">
        <v>8965</v>
      </c>
      <c r="C2246" s="5" t="s">
        <v>8957</v>
      </c>
      <c r="D2246" s="5" t="s">
        <v>8966</v>
      </c>
      <c r="E2246" s="5" t="s">
        <v>8967</v>
      </c>
      <c r="F2246" s="5" t="str">
        <f>HYPERLINK("http://www.unioneagricola.it/","www.unioneagricola.it")</f>
        <v>www.unioneagricola.it</v>
      </c>
    </row>
    <row r="2247" spans="1:6" ht="29.55" customHeight="1" x14ac:dyDescent="0.25">
      <c r="A2247" s="6" t="s">
        <v>8969</v>
      </c>
      <c r="B2247" s="5" t="s">
        <v>8970</v>
      </c>
      <c r="C2247" s="5" t="s">
        <v>8968</v>
      </c>
      <c r="D2247" s="5" t="s">
        <v>8971</v>
      </c>
      <c r="E2247" s="5" t="s">
        <v>8954</v>
      </c>
      <c r="F2247" s="5" t="str">
        <f>HYPERLINK("http://www.agrifoodbio.it/","www.agrifoodbio.it")</f>
        <v>www.agrifoodbio.it</v>
      </c>
    </row>
    <row r="2248" spans="1:6" ht="43.05" customHeight="1" x14ac:dyDescent="0.25">
      <c r="A2248" s="1" t="s">
        <v>8972</v>
      </c>
      <c r="B2248" s="7" t="s">
        <v>8973</v>
      </c>
      <c r="C2248" s="7" t="s">
        <v>8957</v>
      </c>
      <c r="D2248" s="7" t="s">
        <v>8974</v>
      </c>
      <c r="E2248" s="7" t="s">
        <v>8975</v>
      </c>
      <c r="F2248" s="7" t="str">
        <f>HYPERLINK("http://www.villaatolli.it/","www.villaatolli.it")</f>
        <v>www.villaatolli.it</v>
      </c>
    </row>
    <row r="2249" spans="1:6" ht="43.05" customHeight="1" x14ac:dyDescent="0.25">
      <c r="A2249" s="6" t="s">
        <v>8976</v>
      </c>
      <c r="B2249" s="5" t="s">
        <v>8977</v>
      </c>
      <c r="C2249" s="5" t="s">
        <v>8978</v>
      </c>
      <c r="D2249" s="5" t="s">
        <v>8979</v>
      </c>
      <c r="E2249" s="5" t="s">
        <v>8980</v>
      </c>
      <c r="F2249" s="5" t="str">
        <f>HYPERLINK("http://www.nutfruititalia.it/","www.nutfruititalia.it")</f>
        <v>www.nutfruititalia.it</v>
      </c>
    </row>
    <row r="2250" spans="1:6" ht="16.95" customHeight="1" x14ac:dyDescent="0.25">
      <c r="A2250" s="6" t="s">
        <v>8981</v>
      </c>
      <c r="B2250" s="5" t="s">
        <v>8982</v>
      </c>
      <c r="C2250" s="5" t="s">
        <v>8957</v>
      </c>
      <c r="D2250" s="5" t="s">
        <v>8971</v>
      </c>
      <c r="E2250" s="5" t="s">
        <v>8954</v>
      </c>
      <c r="F2250" s="5" t="str">
        <f>HYPERLINK("http://www.duca.it/","www.duca.it")</f>
        <v>www.duca.it</v>
      </c>
    </row>
    <row r="2251" spans="1:6" ht="29.55" customHeight="1" x14ac:dyDescent="0.25">
      <c r="A2251" s="1" t="s">
        <v>8983</v>
      </c>
      <c r="B2251" s="7" t="s">
        <v>8984</v>
      </c>
      <c r="C2251" s="7" t="s">
        <v>8957</v>
      </c>
      <c r="D2251" s="7" t="s">
        <v>8985</v>
      </c>
      <c r="E2251" s="7" t="s">
        <v>8975</v>
      </c>
      <c r="F2251" s="7" t="str">
        <f>HYPERLINK("http://poderemontale.it/","poderemontale.it")</f>
        <v>poderemontale.it</v>
      </c>
    </row>
    <row r="2252" spans="1:6" ht="29.55" customHeight="1" x14ac:dyDescent="0.25">
      <c r="A2252" s="6" t="s">
        <v>8986</v>
      </c>
      <c r="B2252" s="5" t="s">
        <v>8987</v>
      </c>
      <c r="C2252" s="5" t="s">
        <v>8988</v>
      </c>
      <c r="D2252" s="5" t="s">
        <v>8989</v>
      </c>
      <c r="E2252" s="5" t="s">
        <v>8975</v>
      </c>
      <c r="F2252" s="5" t="str">
        <f>HYPERLINK("http://www.agriturismoprincipatoditoscana.it/frantoio-e-cantina/","www.agriturismoprincipatoditoscana.it/frantoio-e-cantina/")</f>
        <v>www.agriturismoprincipatoditoscana.it/frantoio-e-cantina/</v>
      </c>
    </row>
    <row r="2253" spans="1:6" ht="29.55" customHeight="1" x14ac:dyDescent="0.25">
      <c r="A2253" s="1" t="s">
        <v>8990</v>
      </c>
      <c r="B2253" s="7" t="s">
        <v>8991</v>
      </c>
      <c r="C2253" s="7" t="s">
        <v>8992</v>
      </c>
      <c r="D2253" s="7" t="s">
        <v>8993</v>
      </c>
      <c r="E2253" s="7" t="s">
        <v>8994</v>
      </c>
      <c r="F2253" s="7" t="str">
        <f>HYPERLINK("http://www.farmafitagt.it/","www.farmafitagt.it")</f>
        <v>www.farmafitagt.it</v>
      </c>
    </row>
    <row r="2254" spans="1:6" ht="29.55" customHeight="1" x14ac:dyDescent="0.25">
      <c r="A2254" s="6" t="s">
        <v>8995</v>
      </c>
      <c r="B2254" s="5" t="s">
        <v>8996</v>
      </c>
      <c r="C2254" s="5" t="s">
        <v>8997</v>
      </c>
      <c r="D2254" s="5" t="s">
        <v>8966</v>
      </c>
      <c r="E2254" s="5" t="s">
        <v>8967</v>
      </c>
      <c r="F2254" s="5" t="str">
        <f>HYPERLINK("http://nuovacontadina.it/","nuovacontadina.it")</f>
        <v>nuovacontadina.it</v>
      </c>
    </row>
    <row r="2255" spans="1:6" ht="29.55" customHeight="1" x14ac:dyDescent="0.25">
      <c r="A2255" s="1" t="s">
        <v>8998</v>
      </c>
      <c r="B2255" s="7" t="s">
        <v>8999</v>
      </c>
      <c r="C2255" s="7" t="s">
        <v>8992</v>
      </c>
      <c r="D2255" s="7" t="s">
        <v>8953</v>
      </c>
      <c r="E2255" s="7" t="s">
        <v>8954</v>
      </c>
      <c r="F2255" s="7" t="str">
        <f>HYPERLINK("http://www.erbediterramia.com/","www.erbediterramia.com")</f>
        <v>www.erbediterramia.com</v>
      </c>
    </row>
    <row r="2256" spans="1:6" ht="43.05" customHeight="1" x14ac:dyDescent="0.25">
      <c r="A2256" s="6" t="s">
        <v>9006</v>
      </c>
      <c r="B2256" s="5" t="s">
        <v>9007</v>
      </c>
      <c r="C2256" s="5" t="s">
        <v>9008</v>
      </c>
      <c r="D2256" s="5" t="s">
        <v>9009</v>
      </c>
      <c r="E2256" s="5" t="s">
        <v>9001</v>
      </c>
      <c r="F2256" s="5" t="str">
        <f>HYPERLINK("http://www.tenutadicorbara.it/","www.tenutadicorbara.it")</f>
        <v>www.tenutadicorbara.it</v>
      </c>
    </row>
    <row r="2257" spans="1:6" ht="16.95" customHeight="1" x14ac:dyDescent="0.25">
      <c r="A2257" s="1" t="s">
        <v>9010</v>
      </c>
      <c r="B2257" s="7" t="s">
        <v>9011</v>
      </c>
      <c r="C2257" s="7" t="s">
        <v>9012</v>
      </c>
      <c r="D2257" s="7" t="s">
        <v>9013</v>
      </c>
      <c r="E2257" s="7" t="s">
        <v>9005</v>
      </c>
      <c r="F2257" s="7" t="str">
        <f>HYPERLINK("http://www.edilbi-srl.it/","www.edilbi-srl.it")</f>
        <v>www.edilbi-srl.it</v>
      </c>
    </row>
    <row r="2258" spans="1:6" ht="29.55" customHeight="1" x14ac:dyDescent="0.25">
      <c r="A2258" s="6" t="s">
        <v>9014</v>
      </c>
      <c r="B2258" s="5" t="s">
        <v>9015</v>
      </c>
      <c r="C2258" s="5" t="s">
        <v>9002</v>
      </c>
      <c r="D2258" s="5" t="s">
        <v>9016</v>
      </c>
      <c r="E2258" s="5" t="s">
        <v>9017</v>
      </c>
      <c r="F2258" s="5" t="str">
        <f>HYPERLINK("http://www.spannocchia.com/","www.spannocchia.com")</f>
        <v>www.spannocchia.com</v>
      </c>
    </row>
    <row r="2259" spans="1:6" ht="29.55" customHeight="1" x14ac:dyDescent="0.25">
      <c r="A2259" s="1" t="s">
        <v>9018</v>
      </c>
      <c r="B2259" s="7" t="s">
        <v>9019</v>
      </c>
      <c r="C2259" s="7" t="s">
        <v>9020</v>
      </c>
      <c r="D2259" s="7" t="s">
        <v>9021</v>
      </c>
      <c r="E2259" s="7" t="s">
        <v>9022</v>
      </c>
      <c r="F2259" s="7" t="str">
        <f>HYPERLINK("http://www.torresipiante.it/","www.torresipiante.it")</f>
        <v>www.torresipiante.it</v>
      </c>
    </row>
    <row r="2260" spans="1:6" ht="43.05" customHeight="1" x14ac:dyDescent="0.25">
      <c r="A2260" s="6" t="s">
        <v>9023</v>
      </c>
      <c r="B2260" s="5" t="s">
        <v>9024</v>
      </c>
      <c r="C2260" s="5" t="s">
        <v>9002</v>
      </c>
      <c r="D2260" s="5" t="s">
        <v>9025</v>
      </c>
      <c r="E2260" s="5" t="s">
        <v>9017</v>
      </c>
      <c r="F2260" s="5" t="str">
        <f>HYPERLINK("http://www.casteani.it/","www.casteani.it")</f>
        <v>www.casteani.it</v>
      </c>
    </row>
    <row r="2261" spans="1:6" ht="29.55" customHeight="1" x14ac:dyDescent="0.25">
      <c r="A2261" s="6" t="s">
        <v>9026</v>
      </c>
      <c r="B2261" s="5" t="s">
        <v>9027</v>
      </c>
      <c r="C2261" s="5" t="s">
        <v>9004</v>
      </c>
      <c r="D2261" s="5" t="s">
        <v>9028</v>
      </c>
      <c r="E2261" s="5" t="s">
        <v>9029</v>
      </c>
      <c r="F2261" s="5" t="str">
        <f>HYPERLINK("http://agricolapellerei.it/","agricolapellerei.it")</f>
        <v>agricolapellerei.it</v>
      </c>
    </row>
    <row r="2262" spans="1:6" ht="29.55" customHeight="1" x14ac:dyDescent="0.25">
      <c r="A2262" s="1" t="s">
        <v>9030</v>
      </c>
      <c r="B2262" s="7" t="s">
        <v>9031</v>
      </c>
      <c r="C2262" s="7" t="s">
        <v>9032</v>
      </c>
      <c r="D2262" s="7" t="s">
        <v>9009</v>
      </c>
      <c r="E2262" s="7" t="s">
        <v>9001</v>
      </c>
      <c r="F2262" s="7" t="str">
        <f>HYPERLINK("http://www.villacavalletti.it/","www.villacavalletti.it")</f>
        <v>www.villacavalletti.it</v>
      </c>
    </row>
    <row r="2263" spans="1:6" ht="29.55" customHeight="1" x14ac:dyDescent="0.25">
      <c r="A2263" s="1" t="s">
        <v>9034</v>
      </c>
      <c r="B2263" s="7" t="s">
        <v>9035</v>
      </c>
      <c r="C2263" s="7" t="s">
        <v>9004</v>
      </c>
      <c r="D2263" s="7" t="s">
        <v>9025</v>
      </c>
      <c r="E2263" s="7" t="s">
        <v>9017</v>
      </c>
      <c r="F2263" s="7" t="str">
        <f>HYPERLINK("http://www.cornacchino.it/","www.cornacchino.it")</f>
        <v>www.cornacchino.it</v>
      </c>
    </row>
    <row r="2264" spans="1:6" ht="29.55" customHeight="1" x14ac:dyDescent="0.25">
      <c r="A2264" s="1" t="s">
        <v>9036</v>
      </c>
      <c r="B2264" s="7" t="s">
        <v>9037</v>
      </c>
      <c r="C2264" s="7" t="s">
        <v>9038</v>
      </c>
      <c r="D2264" s="7" t="s">
        <v>9039</v>
      </c>
      <c r="E2264" s="7" t="s">
        <v>9029</v>
      </c>
      <c r="F2264" s="7" t="str">
        <f>HYPERLINK("http://www.casaserra.it/","www.casaserra.it")</f>
        <v>www.casaserra.it</v>
      </c>
    </row>
    <row r="2265" spans="1:6" ht="29.55" customHeight="1" x14ac:dyDescent="0.25">
      <c r="A2265" s="1" t="s">
        <v>9041</v>
      </c>
      <c r="B2265" s="7" t="s">
        <v>9042</v>
      </c>
      <c r="C2265" s="7" t="s">
        <v>9012</v>
      </c>
      <c r="D2265" s="7" t="s">
        <v>9043</v>
      </c>
      <c r="E2265" s="7" t="s">
        <v>9044</v>
      </c>
      <c r="F2265" s="7" t="str">
        <f>HYPERLINK("http://www.venetamais.it/","www.venetamais.it")</f>
        <v>www.venetamais.it</v>
      </c>
    </row>
    <row r="2266" spans="1:6" ht="43.05" customHeight="1" x14ac:dyDescent="0.25">
      <c r="A2266" s="1" t="s">
        <v>9045</v>
      </c>
      <c r="B2266" s="7" t="s">
        <v>9046</v>
      </c>
      <c r="C2266" s="7" t="s">
        <v>9002</v>
      </c>
      <c r="D2266" s="7" t="s">
        <v>9040</v>
      </c>
      <c r="E2266" s="7" t="s">
        <v>9017</v>
      </c>
      <c r="F2266" s="7" t="str">
        <f>HYPERLINK("http://www.brogionimaurizio.it/","www.brogionimaurizio.it")</f>
        <v>www.brogionimaurizio.it</v>
      </c>
    </row>
    <row r="2267" spans="1:6" ht="29.55" customHeight="1" x14ac:dyDescent="0.25">
      <c r="A2267" s="6" t="s">
        <v>9047</v>
      </c>
      <c r="B2267" s="5" t="s">
        <v>9048</v>
      </c>
      <c r="C2267" s="5" t="s">
        <v>9000</v>
      </c>
      <c r="D2267" s="5" t="s">
        <v>9049</v>
      </c>
      <c r="E2267" s="5" t="s">
        <v>9033</v>
      </c>
      <c r="F2267" s="5" t="str">
        <f>HYPERLINK("http://www.masseriabaroninuovi.it/","www.masseriabaroninuovi.it")</f>
        <v>www.masseriabaroninuovi.it</v>
      </c>
    </row>
    <row r="2268" spans="1:6" ht="16.95" customHeight="1" x14ac:dyDescent="0.25">
      <c r="A2268" s="1" t="s">
        <v>9050</v>
      </c>
      <c r="B2268" s="7" t="s">
        <v>9051</v>
      </c>
      <c r="C2268" s="7" t="s">
        <v>9012</v>
      </c>
      <c r="D2268" s="7" t="s">
        <v>9043</v>
      </c>
      <c r="E2268" s="7" t="s">
        <v>9044</v>
      </c>
      <c r="F2268" s="7" t="str">
        <f>HYPERLINK("http://www.b-green.biz/","www.b-green.biz")</f>
        <v>www.b-green.biz</v>
      </c>
    </row>
    <row r="2269" spans="1:6" ht="29.55" customHeight="1" x14ac:dyDescent="0.25">
      <c r="A2269" s="6" t="s">
        <v>9052</v>
      </c>
      <c r="B2269" s="5" t="s">
        <v>9053</v>
      </c>
      <c r="C2269" s="5" t="s">
        <v>9012</v>
      </c>
      <c r="D2269" s="5" t="s">
        <v>9054</v>
      </c>
      <c r="E2269" s="5" t="s">
        <v>9003</v>
      </c>
      <c r="F2269" s="5" t="str">
        <f>HYPERLINK("http://www.artedellavigna.com/","www.artedellavigna.com")</f>
        <v>www.artedellavigna.com</v>
      </c>
    </row>
    <row r="2270" spans="1:6" ht="29.55" customHeight="1" x14ac:dyDescent="0.25">
      <c r="A2270" s="1" t="s">
        <v>9055</v>
      </c>
      <c r="B2270" s="7" t="s">
        <v>9056</v>
      </c>
      <c r="C2270" s="7" t="s">
        <v>9002</v>
      </c>
      <c r="D2270" s="7" t="s">
        <v>9016</v>
      </c>
      <c r="E2270" s="7" t="s">
        <v>9017</v>
      </c>
      <c r="F2270" s="7" t="str">
        <f>HYPERLINK("http://www.cannetowinetasting.com/","www.cannetowinetasting.com")</f>
        <v>www.cannetowinetasting.com</v>
      </c>
    </row>
    <row r="2271" spans="1:6" ht="29.55" customHeight="1" x14ac:dyDescent="0.25">
      <c r="A2271" s="1" t="s">
        <v>9057</v>
      </c>
      <c r="B2271" s="7" t="s">
        <v>9058</v>
      </c>
      <c r="C2271" s="7" t="s">
        <v>9059</v>
      </c>
      <c r="D2271" s="7" t="s">
        <v>9060</v>
      </c>
      <c r="E2271" s="7" t="s">
        <v>9061</v>
      </c>
      <c r="F2271" s="7" t="str">
        <f>HYPERLINK("http://www.agriturismolacivetta.com/","www.agriturismolacivetta.com")</f>
        <v>www.agriturismolacivetta.com</v>
      </c>
    </row>
    <row r="2272" spans="1:6" ht="29.55" customHeight="1" x14ac:dyDescent="0.25">
      <c r="A2272" s="6" t="s">
        <v>9062</v>
      </c>
      <c r="B2272" s="5" t="s">
        <v>9063</v>
      </c>
      <c r="C2272" s="5" t="s">
        <v>9064</v>
      </c>
      <c r="D2272" s="5" t="s">
        <v>9065</v>
      </c>
      <c r="E2272" s="5" t="s">
        <v>9066</v>
      </c>
      <c r="F2272" s="5" t="str">
        <f>HYPERLINK("http://www.tenutadipaganico.it/","www.tenutadipaganico.it")</f>
        <v>www.tenutadipaganico.it</v>
      </c>
    </row>
    <row r="2273" spans="1:6" ht="29.55" customHeight="1" x14ac:dyDescent="0.25">
      <c r="A2273" s="1" t="s">
        <v>9067</v>
      </c>
      <c r="B2273" s="7" t="s">
        <v>9068</v>
      </c>
      <c r="C2273" s="7" t="s">
        <v>9069</v>
      </c>
      <c r="D2273" s="7" t="s">
        <v>9070</v>
      </c>
      <c r="E2273" s="7" t="s">
        <v>9071</v>
      </c>
      <c r="F2273" s="7" t="str">
        <f>HYPERLINK("http://www.vivaiopiccolifrutti.it/","www.vivaiopiccolifrutti.it")</f>
        <v>www.vivaiopiccolifrutti.it</v>
      </c>
    </row>
    <row r="2274" spans="1:6" ht="43.05" customHeight="1" x14ac:dyDescent="0.25">
      <c r="A2274" s="6" t="s">
        <v>9072</v>
      </c>
      <c r="B2274" s="5" t="s">
        <v>9073</v>
      </c>
      <c r="C2274" s="5" t="s">
        <v>9074</v>
      </c>
      <c r="D2274" s="5" t="s">
        <v>9075</v>
      </c>
      <c r="E2274" s="5" t="s">
        <v>9076</v>
      </c>
      <c r="F2274" s="5" t="str">
        <f>HYPERLINK("http://www.floricolturascotto.it/","www.floricolturascotto.it")</f>
        <v>www.floricolturascotto.it</v>
      </c>
    </row>
    <row r="2275" spans="1:6" ht="29.55" customHeight="1" x14ac:dyDescent="0.25">
      <c r="A2275" s="1" t="s">
        <v>9077</v>
      </c>
      <c r="B2275" s="7" t="s">
        <v>9078</v>
      </c>
      <c r="C2275" s="7" t="s">
        <v>9059</v>
      </c>
      <c r="D2275" s="7" t="s">
        <v>9079</v>
      </c>
      <c r="E2275" s="7" t="s">
        <v>9066</v>
      </c>
      <c r="F2275" s="7" t="str">
        <f>HYPERLINK("http://www.streda.it/","www.streda.it")</f>
        <v>www.streda.it</v>
      </c>
    </row>
    <row r="2276" spans="1:6" ht="43.05" customHeight="1" x14ac:dyDescent="0.25">
      <c r="A2276" s="6" t="s">
        <v>9080</v>
      </c>
      <c r="B2276" s="5" t="s">
        <v>9081</v>
      </c>
      <c r="C2276" s="5" t="s">
        <v>9082</v>
      </c>
      <c r="D2276" s="5" t="s">
        <v>9083</v>
      </c>
      <c r="E2276" s="5" t="s">
        <v>9084</v>
      </c>
      <c r="F2276" s="5" t="str">
        <f>HYPERLINK("http://www.oleificioauricarro.it/","www.oleificioauricarro.it")</f>
        <v>www.oleificioauricarro.it</v>
      </c>
    </row>
    <row r="2277" spans="1:6" ht="43.05" customHeight="1" x14ac:dyDescent="0.25">
      <c r="A2277" s="1" t="s">
        <v>9085</v>
      </c>
      <c r="B2277" s="7" t="s">
        <v>9086</v>
      </c>
      <c r="C2277" s="7" t="s">
        <v>9087</v>
      </c>
      <c r="D2277" s="7" t="s">
        <v>9088</v>
      </c>
      <c r="E2277" s="7" t="s">
        <v>9089</v>
      </c>
      <c r="F2277" s="7" t="str">
        <f>HYPERLINK("http://www.curanatura.mo.it/","www.curanatura.mo.it")</f>
        <v>www.curanatura.mo.it</v>
      </c>
    </row>
    <row r="2278" spans="1:6" ht="81.75" customHeight="1" x14ac:dyDescent="0.25">
      <c r="A2278" s="6" t="s">
        <v>9090</v>
      </c>
      <c r="B2278" s="5" t="s">
        <v>9091</v>
      </c>
      <c r="C2278" s="5" t="s">
        <v>9059</v>
      </c>
      <c r="D2278" s="5" t="s">
        <v>9092</v>
      </c>
      <c r="E2278" s="5" t="s">
        <v>9066</v>
      </c>
      <c r="F2278" s="5" t="str">
        <f>HYPERLINK("http://www.tenutasanjacopo.it/","www.tenutasanjacopo.it")</f>
        <v>www.tenutasanjacopo.it</v>
      </c>
    </row>
    <row r="2279" spans="1:6" ht="29.55" customHeight="1" x14ac:dyDescent="0.25">
      <c r="A2279" s="6" t="s">
        <v>9093</v>
      </c>
      <c r="B2279" s="5" t="s">
        <v>9094</v>
      </c>
      <c r="C2279" s="5" t="s">
        <v>9095</v>
      </c>
      <c r="D2279" s="5" t="s">
        <v>9070</v>
      </c>
      <c r="E2279" s="5" t="s">
        <v>9071</v>
      </c>
      <c r="F2279" s="5" t="str">
        <f>HYPERLINK("http://www.fratellimonteleone.it/","www.fratellimonteleone.it")</f>
        <v>www.fratellimonteleone.it</v>
      </c>
    </row>
    <row r="2280" spans="1:6" ht="29.55" customHeight="1" x14ac:dyDescent="0.25">
      <c r="A2280" s="1" t="s">
        <v>9096</v>
      </c>
      <c r="B2280" s="7" t="s">
        <v>9097</v>
      </c>
      <c r="C2280" s="7" t="s">
        <v>9098</v>
      </c>
      <c r="D2280" s="7" t="s">
        <v>9099</v>
      </c>
      <c r="E2280" s="7" t="s">
        <v>9061</v>
      </c>
      <c r="F2280" s="7" t="str">
        <f>HYPERLINK("http://www.cerrecchia.it/","www.cerrecchia.it")</f>
        <v>www.cerrecchia.it</v>
      </c>
    </row>
    <row r="2281" spans="1:6" ht="43.05" customHeight="1" x14ac:dyDescent="0.25">
      <c r="A2281" s="1" t="s">
        <v>9100</v>
      </c>
      <c r="B2281" s="7" t="s">
        <v>9101</v>
      </c>
      <c r="C2281" s="7" t="s">
        <v>9082</v>
      </c>
      <c r="D2281" s="7" t="s">
        <v>9102</v>
      </c>
      <c r="E2281" s="7" t="s">
        <v>9066</v>
      </c>
      <c r="F2281" s="7" t="str">
        <f>HYPERLINK("http://lepalaie.it/","lepalaie.it")</f>
        <v>lepalaie.it</v>
      </c>
    </row>
    <row r="2282" spans="1:6" ht="68.099999999999994" customHeight="1" x14ac:dyDescent="0.25">
      <c r="A2282" s="1" t="s">
        <v>9103</v>
      </c>
      <c r="B2282" s="7" t="s">
        <v>9104</v>
      </c>
      <c r="C2282" s="7" t="s">
        <v>9105</v>
      </c>
      <c r="D2282" s="7" t="s">
        <v>9106</v>
      </c>
      <c r="E2282" s="7" t="s">
        <v>9107</v>
      </c>
      <c r="F2282" s="7" t="str">
        <f>HYPERLINK("http://www.cooperativa-scaad.it/","www.cooperativa-scaad.it")</f>
        <v>www.cooperativa-scaad.it</v>
      </c>
    </row>
    <row r="2283" spans="1:6" ht="29.55" customHeight="1" x14ac:dyDescent="0.25">
      <c r="A2283" s="6" t="s">
        <v>9108</v>
      </c>
      <c r="B2283" s="5" t="s">
        <v>9109</v>
      </c>
      <c r="C2283" s="5" t="s">
        <v>9110</v>
      </c>
      <c r="D2283" s="5" t="s">
        <v>9111</v>
      </c>
      <c r="E2283" s="5" t="s">
        <v>9112</v>
      </c>
      <c r="F2283" s="5" t="str">
        <f>HYPERLINK("http://www.tartuficolturacasadei.it/","www.tartuficolturacasadei.it")</f>
        <v>www.tartuficolturacasadei.it</v>
      </c>
    </row>
    <row r="2284" spans="1:6" ht="29.55" customHeight="1" x14ac:dyDescent="0.25">
      <c r="A2284" s="1" t="s">
        <v>9113</v>
      </c>
      <c r="B2284" s="7" t="s">
        <v>9114</v>
      </c>
      <c r="C2284" s="7" t="s">
        <v>9115</v>
      </c>
      <c r="D2284" s="7" t="s">
        <v>9116</v>
      </c>
      <c r="E2284" s="7" t="s">
        <v>9112</v>
      </c>
      <c r="F2284" s="7" t="str">
        <f>HYPERLINK("http://www.poderepradarolo.com/","www.poderepradarolo.com")</f>
        <v>www.poderepradarolo.com</v>
      </c>
    </row>
    <row r="2285" spans="1:6" ht="29.55" customHeight="1" x14ac:dyDescent="0.25">
      <c r="A2285" s="6" t="s">
        <v>9117</v>
      </c>
      <c r="B2285" s="5" t="s">
        <v>9118</v>
      </c>
      <c r="C2285" s="5" t="s">
        <v>9115</v>
      </c>
      <c r="D2285" s="5" t="s">
        <v>9119</v>
      </c>
      <c r="E2285" s="5" t="s">
        <v>9120</v>
      </c>
      <c r="F2285" s="5" t="str">
        <f>HYPERLINK("http://www.paolalanzavecchia.it/","www.paolalanzavecchia.it")</f>
        <v>www.paolalanzavecchia.it</v>
      </c>
    </row>
    <row r="2286" spans="1:6" ht="43.05" customHeight="1" x14ac:dyDescent="0.25">
      <c r="A2286" s="6" t="s">
        <v>9123</v>
      </c>
      <c r="B2286" s="5" t="s">
        <v>9124</v>
      </c>
      <c r="C2286" s="5" t="s">
        <v>9110</v>
      </c>
      <c r="D2286" s="5" t="s">
        <v>9125</v>
      </c>
      <c r="E2286" s="5" t="s">
        <v>9126</v>
      </c>
      <c r="F2286" s="5" t="str">
        <f>HYPERLINK("http://www.vivaidellelba.it/","www.vivaidellelba.it")</f>
        <v>www.vivaidellelba.it</v>
      </c>
    </row>
    <row r="2287" spans="1:6" ht="43.05" customHeight="1" x14ac:dyDescent="0.25">
      <c r="A2287" s="1" t="s">
        <v>9127</v>
      </c>
      <c r="B2287" s="7" t="s">
        <v>9128</v>
      </c>
      <c r="C2287" s="7" t="s">
        <v>9129</v>
      </c>
      <c r="D2287" s="7" t="s">
        <v>9130</v>
      </c>
      <c r="E2287" s="7" t="s">
        <v>9122</v>
      </c>
      <c r="F2287" s="7" t="str">
        <f>HYPERLINK("http://www.caresa.it/","www.caresa.it")</f>
        <v>www.caresa.it</v>
      </c>
    </row>
    <row r="2288" spans="1:6" ht="43.05" customHeight="1" x14ac:dyDescent="0.25">
      <c r="A2288" s="6" t="s">
        <v>9135</v>
      </c>
      <c r="B2288" s="5" t="s">
        <v>9136</v>
      </c>
      <c r="C2288" s="5" t="s">
        <v>9137</v>
      </c>
      <c r="D2288" s="5" t="s">
        <v>9138</v>
      </c>
      <c r="E2288" s="5" t="s">
        <v>9133</v>
      </c>
      <c r="F2288" s="5" t="str">
        <f>HYPERLINK("http://www.agriturismoilcamminodifrancesco.it/","www.agriturismoilcamminodifrancesco.it")</f>
        <v>www.agriturismoilcamminodifrancesco.it</v>
      </c>
    </row>
    <row r="2289" spans="1:6" ht="29.55" customHeight="1" x14ac:dyDescent="0.25">
      <c r="A2289" s="6" t="s">
        <v>9140</v>
      </c>
      <c r="B2289" s="5" t="s">
        <v>9141</v>
      </c>
      <c r="C2289" s="5" t="s">
        <v>9142</v>
      </c>
      <c r="D2289" s="5" t="s">
        <v>9143</v>
      </c>
      <c r="E2289" s="5" t="s">
        <v>9132</v>
      </c>
      <c r="F2289" s="5" t="str">
        <f>HYPERLINK("http://www.samfruits.com/","www.samfruits.com")</f>
        <v>www.samfruits.com</v>
      </c>
    </row>
    <row r="2290" spans="1:6" ht="29.55" customHeight="1" x14ac:dyDescent="0.25">
      <c r="A2290" s="1" t="s">
        <v>9144</v>
      </c>
      <c r="B2290" s="7" t="s">
        <v>9145</v>
      </c>
      <c r="C2290" s="7" t="s">
        <v>9115</v>
      </c>
      <c r="D2290" s="7" t="s">
        <v>9146</v>
      </c>
      <c r="E2290" s="7" t="s">
        <v>9126</v>
      </c>
      <c r="F2290" s="7" t="str">
        <f>HYPERLINK("http://www.valdicava.it/","www.valdicava.it")</f>
        <v>www.valdicava.it</v>
      </c>
    </row>
    <row r="2291" spans="1:6" ht="29.55" customHeight="1" x14ac:dyDescent="0.25">
      <c r="A2291" s="1" t="s">
        <v>9147</v>
      </c>
      <c r="B2291" s="7" t="s">
        <v>9148</v>
      </c>
      <c r="C2291" s="7" t="s">
        <v>9149</v>
      </c>
      <c r="D2291" s="7" t="s">
        <v>9134</v>
      </c>
      <c r="E2291" s="7" t="s">
        <v>9131</v>
      </c>
      <c r="F2291" s="7" t="str">
        <f>HYPERLINK("http://www.agrideni.it/","www.agrideni.it")</f>
        <v>www.agrideni.it</v>
      </c>
    </row>
    <row r="2292" spans="1:6" ht="16.95" customHeight="1" x14ac:dyDescent="0.25">
      <c r="A2292" s="6" t="s">
        <v>9150</v>
      </c>
      <c r="B2292" s="5" t="s">
        <v>9151</v>
      </c>
      <c r="C2292" s="5" t="s">
        <v>9121</v>
      </c>
      <c r="D2292" s="5" t="s">
        <v>9152</v>
      </c>
      <c r="E2292" s="5" t="s">
        <v>9122</v>
      </c>
      <c r="F2292" s="5" t="str">
        <f>HYPERLINK("http://www.agrifurini.it/","www.agrifurini.it")</f>
        <v>www.agrifurini.it</v>
      </c>
    </row>
    <row r="2293" spans="1:6" ht="29.55" customHeight="1" x14ac:dyDescent="0.25">
      <c r="A2293" s="6" t="s">
        <v>9153</v>
      </c>
      <c r="B2293" s="5" t="s">
        <v>9154</v>
      </c>
      <c r="C2293" s="5" t="s">
        <v>9115</v>
      </c>
      <c r="D2293" s="5" t="s">
        <v>9155</v>
      </c>
      <c r="E2293" s="5" t="s">
        <v>9139</v>
      </c>
      <c r="F2293" s="5" t="str">
        <f>HYPERLINK("http://mustilli.com/","mustilli.com")</f>
        <v>mustilli.com</v>
      </c>
    </row>
    <row r="2294" spans="1:6" ht="29.55" customHeight="1" x14ac:dyDescent="0.25">
      <c r="A2294" s="1" t="s">
        <v>9156</v>
      </c>
      <c r="B2294" s="7" t="s">
        <v>9157</v>
      </c>
      <c r="C2294" s="7" t="s">
        <v>9158</v>
      </c>
      <c r="D2294" s="7" t="s">
        <v>9159</v>
      </c>
      <c r="E2294" s="7" t="s">
        <v>9160</v>
      </c>
      <c r="F2294" s="7" t="str">
        <f>HYPERLINK("http://www.ziliosrl.it/","www.ziliosrl.it")</f>
        <v>www.ziliosrl.it</v>
      </c>
    </row>
    <row r="2295" spans="1:6" ht="43.05" customHeight="1" x14ac:dyDescent="0.25">
      <c r="A2295" s="6" t="s">
        <v>9163</v>
      </c>
      <c r="B2295" s="5" t="s">
        <v>9164</v>
      </c>
      <c r="C2295" s="5" t="s">
        <v>9165</v>
      </c>
      <c r="D2295" s="5" t="s">
        <v>9166</v>
      </c>
      <c r="E2295" s="5" t="s">
        <v>9167</v>
      </c>
      <c r="F2295" s="5" t="str">
        <f>HYPERLINK("http://www.nailmavivai.it/","www.nailmavivai.it")</f>
        <v>www.nailmavivai.it</v>
      </c>
    </row>
    <row r="2296" spans="1:6" ht="29.55" customHeight="1" x14ac:dyDescent="0.25">
      <c r="A2296" s="6" t="s">
        <v>9168</v>
      </c>
      <c r="B2296" s="5" t="s">
        <v>9169</v>
      </c>
      <c r="C2296" s="5" t="s">
        <v>9170</v>
      </c>
      <c r="D2296" s="5" t="s">
        <v>9171</v>
      </c>
      <c r="E2296" s="5" t="s">
        <v>9172</v>
      </c>
      <c r="F2296" s="5" t="str">
        <f>HYPERLINK("http://terredifrutta.eu/","terredifrutta.eu")</f>
        <v>terredifrutta.eu</v>
      </c>
    </row>
    <row r="2297" spans="1:6" ht="43.05" customHeight="1" x14ac:dyDescent="0.25">
      <c r="A2297" s="6" t="s">
        <v>9174</v>
      </c>
      <c r="B2297" s="5" t="s">
        <v>9175</v>
      </c>
      <c r="C2297" s="5" t="s">
        <v>9176</v>
      </c>
      <c r="D2297" s="5" t="s">
        <v>9177</v>
      </c>
      <c r="E2297" s="5" t="s">
        <v>9178</v>
      </c>
      <c r="F2297" s="5" t="str">
        <f>HYPERLINK("http://www.sandonninowinery.it/","www.sandonninowinery.it")</f>
        <v>www.sandonninowinery.it</v>
      </c>
    </row>
    <row r="2298" spans="1:6" ht="43.05" customHeight="1" x14ac:dyDescent="0.25">
      <c r="A2298" s="6" t="s">
        <v>9180</v>
      </c>
      <c r="B2298" s="5" t="s">
        <v>9181</v>
      </c>
      <c r="C2298" s="5" t="s">
        <v>9182</v>
      </c>
      <c r="D2298" s="5" t="s">
        <v>9183</v>
      </c>
      <c r="E2298" s="5" t="s">
        <v>9184</v>
      </c>
      <c r="F2298" s="5" t="str">
        <f>HYPERLINK("http://www.alparadisodifrassina.it/","www.alparadisodifrassina.it")</f>
        <v>www.alparadisodifrassina.it</v>
      </c>
    </row>
    <row r="2299" spans="1:6" ht="43.05" customHeight="1" x14ac:dyDescent="0.25">
      <c r="A2299" s="6" t="s">
        <v>9186</v>
      </c>
      <c r="B2299" s="5" t="s">
        <v>9187</v>
      </c>
      <c r="C2299" s="5" t="s">
        <v>9170</v>
      </c>
      <c r="D2299" s="5" t="s">
        <v>9188</v>
      </c>
      <c r="E2299" s="5" t="s">
        <v>9178</v>
      </c>
      <c r="F2299" s="5" t="str">
        <f>HYPERLINK("http://www.unigrowers.it/","www.unigrowers.it")</f>
        <v>www.unigrowers.it</v>
      </c>
    </row>
    <row r="2300" spans="1:6" ht="55.65" customHeight="1" x14ac:dyDescent="0.25">
      <c r="A2300" s="1" t="s">
        <v>9189</v>
      </c>
      <c r="B2300" s="7" t="s">
        <v>9190</v>
      </c>
      <c r="C2300" s="7" t="s">
        <v>9191</v>
      </c>
      <c r="D2300" s="7" t="s">
        <v>9192</v>
      </c>
      <c r="E2300" s="7" t="s">
        <v>9193</v>
      </c>
      <c r="F2300" s="7" t="str">
        <f>HYPERLINK("http://www.contidibuscareto.com/","www.contidibuscareto.com")</f>
        <v>www.contidibuscareto.com</v>
      </c>
    </row>
    <row r="2301" spans="1:6" ht="29.55" customHeight="1" x14ac:dyDescent="0.25">
      <c r="A2301" s="6" t="s">
        <v>9194</v>
      </c>
      <c r="B2301" s="5" t="s">
        <v>9195</v>
      </c>
      <c r="C2301" s="5" t="s">
        <v>9185</v>
      </c>
      <c r="D2301" s="5" t="s">
        <v>9196</v>
      </c>
      <c r="E2301" s="5" t="s">
        <v>9184</v>
      </c>
      <c r="F2301" s="5" t="str">
        <f>HYPERLINK("http://www.sacra.it/","http://www.sacra.it")</f>
        <v>http://www.sacra.it</v>
      </c>
    </row>
    <row r="2302" spans="1:6" ht="29.55" customHeight="1" x14ac:dyDescent="0.25">
      <c r="A2302" s="1" t="s">
        <v>9197</v>
      </c>
      <c r="B2302" s="7" t="s">
        <v>9198</v>
      </c>
      <c r="C2302" s="7" t="s">
        <v>9179</v>
      </c>
      <c r="D2302" s="7" t="s">
        <v>9199</v>
      </c>
      <c r="E2302" s="7" t="s">
        <v>9199</v>
      </c>
      <c r="F2302" s="7" t="str">
        <f>HYPERLINK("http://www.donnasvini.it/","www.donnasvini.it")</f>
        <v>www.donnasvini.it</v>
      </c>
    </row>
    <row r="2303" spans="1:6" ht="68.099999999999994" customHeight="1" x14ac:dyDescent="0.25">
      <c r="A2303" s="6" t="s">
        <v>9200</v>
      </c>
      <c r="B2303" s="5" t="s">
        <v>9201</v>
      </c>
      <c r="C2303" s="5" t="s">
        <v>9182</v>
      </c>
      <c r="D2303" s="5" t="s">
        <v>9202</v>
      </c>
      <c r="E2303" s="5" t="s">
        <v>9203</v>
      </c>
      <c r="F2303" s="5" t="str">
        <f>HYPERLINK("http://www.tenutedamiano.it/","www.tenutedamiano.it")</f>
        <v>www.tenutedamiano.it</v>
      </c>
    </row>
    <row r="2304" spans="1:6" ht="29.55" customHeight="1" x14ac:dyDescent="0.25">
      <c r="A2304" s="6" t="s">
        <v>9204</v>
      </c>
      <c r="B2304" s="5" t="s">
        <v>9205</v>
      </c>
      <c r="C2304" s="5" t="s">
        <v>9206</v>
      </c>
      <c r="D2304" s="5" t="s">
        <v>9207</v>
      </c>
      <c r="E2304" s="5" t="s">
        <v>9184</v>
      </c>
      <c r="F2304" s="5" t="str">
        <f>HYPERLINK("http://www.lafattoriaditirrenia.it/","www.lafattoriaditirrenia.it")</f>
        <v>www.lafattoriaditirrenia.it</v>
      </c>
    </row>
    <row r="2305" spans="1:6" ht="29.55" customHeight="1" x14ac:dyDescent="0.25">
      <c r="A2305" s="1" t="s">
        <v>9208</v>
      </c>
      <c r="B2305" s="7" t="s">
        <v>9209</v>
      </c>
      <c r="C2305" s="7" t="s">
        <v>9182</v>
      </c>
      <c r="D2305" s="7" t="s">
        <v>9210</v>
      </c>
      <c r="E2305" s="7" t="s">
        <v>9173</v>
      </c>
      <c r="F2305" s="7" t="str">
        <f>HYPERLINK("http://www.tenutabruno.com/","www.tenutabruno.com")</f>
        <v>www.tenutabruno.com</v>
      </c>
    </row>
    <row r="2306" spans="1:6" ht="29.55" customHeight="1" x14ac:dyDescent="0.25">
      <c r="A2306" s="6" t="s">
        <v>9211</v>
      </c>
      <c r="B2306" s="5" t="s">
        <v>9212</v>
      </c>
      <c r="C2306" s="5" t="s">
        <v>9170</v>
      </c>
      <c r="D2306" s="5" t="s">
        <v>9161</v>
      </c>
      <c r="E2306" s="5" t="s">
        <v>9162</v>
      </c>
      <c r="F2306" s="5" t="str">
        <f>HYPERLINK("http://brunettifruit.it/","brunettifruit.it")</f>
        <v>brunettifruit.it</v>
      </c>
    </row>
    <row r="2307" spans="1:6" ht="29.55" customHeight="1" x14ac:dyDescent="0.25">
      <c r="A2307" s="6" t="s">
        <v>9213</v>
      </c>
      <c r="B2307" s="5" t="s">
        <v>9214</v>
      </c>
      <c r="C2307" s="5" t="s">
        <v>9179</v>
      </c>
      <c r="D2307" s="5" t="s">
        <v>9202</v>
      </c>
      <c r="E2307" s="5" t="s">
        <v>9203</v>
      </c>
      <c r="F2307" s="5" t="str">
        <f>HYPERLINK("http://www.terraterracoop.com/","www.terraterracoop.com")</f>
        <v>www.terraterracoop.com</v>
      </c>
    </row>
    <row r="2308" spans="1:6" ht="29.55" customHeight="1" x14ac:dyDescent="0.25">
      <c r="A2308" s="1" t="s">
        <v>9215</v>
      </c>
      <c r="B2308" s="7" t="s">
        <v>9216</v>
      </c>
      <c r="C2308" s="7" t="s">
        <v>9182</v>
      </c>
      <c r="D2308" s="7" t="s">
        <v>9217</v>
      </c>
      <c r="E2308" s="7" t="s">
        <v>9184</v>
      </c>
      <c r="F2308" s="7" t="str">
        <f>HYPERLINK("http://www.brancatelli-toscana.it/","www.brancatelli-toscana.it")</f>
        <v>www.brancatelli-toscana.it</v>
      </c>
    </row>
    <row r="2309" spans="1:6" ht="16.95" customHeight="1" x14ac:dyDescent="0.25">
      <c r="A2309" s="1" t="s">
        <v>9218</v>
      </c>
      <c r="B2309" s="7" t="s">
        <v>9219</v>
      </c>
      <c r="C2309" s="7" t="s">
        <v>9220</v>
      </c>
      <c r="D2309" s="7" t="s">
        <v>9221</v>
      </c>
      <c r="E2309" s="7" t="s">
        <v>9222</v>
      </c>
      <c r="F2309" s="7" t="str">
        <f>HYPERLINK("http://www.montegusto.it/","www.montegusto.it")</f>
        <v>www.montegusto.it</v>
      </c>
    </row>
    <row r="2310" spans="1:6" ht="55.65" customHeight="1" x14ac:dyDescent="0.25">
      <c r="A2310" s="6" t="s">
        <v>9223</v>
      </c>
      <c r="B2310" s="5" t="s">
        <v>9224</v>
      </c>
      <c r="C2310" s="5" t="s">
        <v>9225</v>
      </c>
      <c r="D2310" s="5" t="s">
        <v>9226</v>
      </c>
      <c r="E2310" s="5" t="s">
        <v>9227</v>
      </c>
      <c r="F2310" s="5" t="str">
        <f>HYPERLINK("http://fattoriadidoccia.it/","fattoriadidoccia.it")</f>
        <v>fattoriadidoccia.it</v>
      </c>
    </row>
    <row r="2311" spans="1:6" ht="29.55" customHeight="1" x14ac:dyDescent="0.25">
      <c r="A2311" s="6" t="s">
        <v>9228</v>
      </c>
      <c r="B2311" s="5" t="s">
        <v>9229</v>
      </c>
      <c r="C2311" s="5" t="s">
        <v>9225</v>
      </c>
      <c r="D2311" s="5" t="s">
        <v>9226</v>
      </c>
      <c r="E2311" s="5" t="s">
        <v>9227</v>
      </c>
      <c r="F2311" s="5" t="str">
        <f>HYPERLINK("http://www.fattoriapagnana.it/","www.fattoriapagnana.it")</f>
        <v>www.fattoriapagnana.it</v>
      </c>
    </row>
    <row r="2312" spans="1:6" ht="29.55" customHeight="1" x14ac:dyDescent="0.25">
      <c r="A2312" s="1" t="s">
        <v>9230</v>
      </c>
      <c r="B2312" s="7" t="s">
        <v>9231</v>
      </c>
      <c r="C2312" s="7" t="s">
        <v>9232</v>
      </c>
      <c r="D2312" s="7" t="s">
        <v>9233</v>
      </c>
      <c r="E2312" s="7" t="s">
        <v>9234</v>
      </c>
      <c r="F2312" s="7" t="str">
        <f>HYPERLINK("http://www.cbdmarkets.it/","www.cbdmarkets.it")</f>
        <v>www.cbdmarkets.it</v>
      </c>
    </row>
    <row r="2313" spans="1:6" ht="29.55" customHeight="1" x14ac:dyDescent="0.25">
      <c r="A2313" s="6" t="s">
        <v>9235</v>
      </c>
      <c r="B2313" s="5" t="s">
        <v>9236</v>
      </c>
      <c r="C2313" s="5" t="s">
        <v>9237</v>
      </c>
      <c r="D2313" s="5" t="s">
        <v>9238</v>
      </c>
      <c r="E2313" s="5" t="s">
        <v>9239</v>
      </c>
      <c r="F2313" s="5" t="str">
        <f>HYPERLINK("http://www.borgodelcaratowedding.com/","www.borgodelcaratowedding.com")</f>
        <v>www.borgodelcaratowedding.com</v>
      </c>
    </row>
    <row r="2314" spans="1:6" ht="68.099999999999994" customHeight="1" x14ac:dyDescent="0.25">
      <c r="A2314" s="1" t="s">
        <v>9240</v>
      </c>
      <c r="B2314" s="7" t="s">
        <v>9241</v>
      </c>
      <c r="C2314" s="7" t="s">
        <v>9242</v>
      </c>
      <c r="D2314" s="7" t="s">
        <v>9243</v>
      </c>
      <c r="E2314" s="7" t="s">
        <v>9234</v>
      </c>
      <c r="F2314" s="7" t="str">
        <f>HYPERLINK("http://www.vivalb.it/","www.vivalb.it")</f>
        <v>www.vivalb.it</v>
      </c>
    </row>
    <row r="2315" spans="1:6" ht="43.05" customHeight="1" x14ac:dyDescent="0.25">
      <c r="A2315" s="6" t="s">
        <v>9245</v>
      </c>
      <c r="B2315" s="5" t="s">
        <v>9246</v>
      </c>
      <c r="C2315" s="5" t="s">
        <v>9225</v>
      </c>
      <c r="D2315" s="5" t="s">
        <v>9247</v>
      </c>
      <c r="E2315" s="5" t="s">
        <v>9248</v>
      </c>
      <c r="F2315" s="5" t="str">
        <f>HYPERLINK("http://www.orlandicontucciponno.it/","www.orlandicontucciponno.it")</f>
        <v>www.orlandicontucciponno.it</v>
      </c>
    </row>
    <row r="2316" spans="1:6" ht="29.55" customHeight="1" x14ac:dyDescent="0.25">
      <c r="A2316" s="6" t="s">
        <v>9249</v>
      </c>
      <c r="B2316" s="5" t="s">
        <v>9250</v>
      </c>
      <c r="C2316" s="5" t="s">
        <v>9251</v>
      </c>
      <c r="D2316" s="5" t="s">
        <v>9252</v>
      </c>
      <c r="E2316" s="5" t="s">
        <v>9239</v>
      </c>
      <c r="F2316" s="5" t="str">
        <f>HYPERLINK("http://www.laperladelsud.it/","www.laperladelsud.it")</f>
        <v>www.laperladelsud.it</v>
      </c>
    </row>
    <row r="2317" spans="1:6" ht="43.05" customHeight="1" x14ac:dyDescent="0.25">
      <c r="A2317" s="1" t="s">
        <v>9253</v>
      </c>
      <c r="B2317" s="7" t="s">
        <v>9254</v>
      </c>
      <c r="C2317" s="7" t="s">
        <v>9255</v>
      </c>
      <c r="D2317" s="7" t="s">
        <v>9256</v>
      </c>
      <c r="E2317" s="7" t="s">
        <v>9257</v>
      </c>
      <c r="F2317" s="7" t="str">
        <f>HYPERLINK("http://www.borgodeicontidellatorre.it/","www.borgodeicontidellatorre.it")</f>
        <v>www.borgodeicontidellatorre.it</v>
      </c>
    </row>
    <row r="2318" spans="1:6" ht="29.55" customHeight="1" x14ac:dyDescent="0.25">
      <c r="A2318" s="6" t="s">
        <v>9258</v>
      </c>
      <c r="B2318" s="5" t="s">
        <v>9259</v>
      </c>
      <c r="C2318" s="5" t="s">
        <v>9260</v>
      </c>
      <c r="D2318" s="5" t="s">
        <v>9261</v>
      </c>
      <c r="E2318" s="5" t="s">
        <v>9262</v>
      </c>
      <c r="F2318" s="5" t="str">
        <f>HYPERLINK("http://www.dolomitiagrisolar.com/","www.dolomitiagrisolar.com")</f>
        <v>www.dolomitiagrisolar.com</v>
      </c>
    </row>
    <row r="2319" spans="1:6" ht="29.55" customHeight="1" x14ac:dyDescent="0.25">
      <c r="A2319" s="1" t="s">
        <v>9263</v>
      </c>
      <c r="B2319" s="7" t="s">
        <v>9264</v>
      </c>
      <c r="C2319" s="7" t="s">
        <v>9265</v>
      </c>
      <c r="D2319" s="7" t="s">
        <v>9266</v>
      </c>
      <c r="E2319" s="7" t="s">
        <v>9227</v>
      </c>
      <c r="F2319" s="7" t="str">
        <f>HYPERLINK("http://paoloparisi.it/","paoloparisi.it")</f>
        <v>paoloparisi.it</v>
      </c>
    </row>
    <row r="2320" spans="1:6" ht="16.95" customHeight="1" x14ac:dyDescent="0.25">
      <c r="A2320" s="1" t="s">
        <v>9267</v>
      </c>
      <c r="B2320" s="7" t="s">
        <v>9268</v>
      </c>
      <c r="C2320" s="7" t="s">
        <v>9225</v>
      </c>
      <c r="D2320" s="7" t="s">
        <v>9244</v>
      </c>
      <c r="E2320" s="7" t="s">
        <v>9222</v>
      </c>
      <c r="F2320" s="7" t="str">
        <f>HYPERLINK("http://www.sistemi-energetici.it/","www.sistemi-energetici.it")</f>
        <v>www.sistemi-energetici.it</v>
      </c>
    </row>
    <row r="2321" spans="1:6" ht="55.65" customHeight="1" x14ac:dyDescent="0.25">
      <c r="A2321" s="1" t="s">
        <v>9269</v>
      </c>
      <c r="B2321" s="7" t="s">
        <v>9270</v>
      </c>
      <c r="C2321" s="7" t="s">
        <v>9225</v>
      </c>
      <c r="D2321" s="7" t="s">
        <v>9271</v>
      </c>
      <c r="E2321" s="7" t="s">
        <v>9227</v>
      </c>
      <c r="F2321" s="7" t="str">
        <f>HYPERLINK("http://fattoriadifubbiano.it/","fattoriadifubbiano.it")</f>
        <v>fattoriadifubbiano.it</v>
      </c>
    </row>
    <row r="2322" spans="1:6" ht="29.55" customHeight="1" x14ac:dyDescent="0.25">
      <c r="A2322" s="6" t="s">
        <v>9272</v>
      </c>
      <c r="B2322" s="5" t="s">
        <v>9273</v>
      </c>
      <c r="C2322" s="5" t="s">
        <v>9225</v>
      </c>
      <c r="D2322" s="5" t="s">
        <v>9274</v>
      </c>
      <c r="E2322" s="5" t="s">
        <v>9227</v>
      </c>
      <c r="F2322" s="5" t="str">
        <f>HYPERLINK("http://www.trecciano.it/","www.trecciano.it")</f>
        <v>www.trecciano.it</v>
      </c>
    </row>
    <row r="2323" spans="1:6" ht="16.95" customHeight="1" x14ac:dyDescent="0.25">
      <c r="A2323" s="1" t="s">
        <v>9275</v>
      </c>
      <c r="B2323" s="7" t="s">
        <v>9276</v>
      </c>
      <c r="C2323" s="7" t="s">
        <v>9277</v>
      </c>
      <c r="D2323" s="7" t="s">
        <v>9244</v>
      </c>
      <c r="E2323" s="7" t="s">
        <v>9222</v>
      </c>
      <c r="F2323" s="7" t="str">
        <f>HYPERLINK("http://www.agrigelo.it/","www.agrigelo.it")</f>
        <v>www.agrigelo.it</v>
      </c>
    </row>
    <row r="2324" spans="1:6" ht="29.55" customHeight="1" x14ac:dyDescent="0.25">
      <c r="A2324" s="1" t="s">
        <v>9278</v>
      </c>
      <c r="B2324" s="7" t="s">
        <v>9279</v>
      </c>
      <c r="C2324" s="7" t="s">
        <v>9280</v>
      </c>
      <c r="D2324" s="7" t="s">
        <v>9281</v>
      </c>
      <c r="E2324" s="7" t="s">
        <v>9282</v>
      </c>
      <c r="F2324" s="7" t="str">
        <f>HYPERLINK("http://borgopallavicinimori.it/","borgopallavicinimori.it")</f>
        <v>borgopallavicinimori.it</v>
      </c>
    </row>
    <row r="2325" spans="1:6" ht="68.099999999999994" customHeight="1" x14ac:dyDescent="0.25">
      <c r="A2325" s="6" t="s">
        <v>9286</v>
      </c>
      <c r="B2325" s="5" t="s">
        <v>9287</v>
      </c>
      <c r="C2325" s="5" t="s">
        <v>9288</v>
      </c>
      <c r="D2325" s="5" t="s">
        <v>9289</v>
      </c>
      <c r="E2325" s="5" t="s">
        <v>9290</v>
      </c>
      <c r="F2325" s="5" t="str">
        <f>HYPERLINK("http://www.podericostantini.it/","www.podericostantini.it")</f>
        <v>www.podericostantini.it</v>
      </c>
    </row>
    <row r="2326" spans="1:6" ht="29.55" customHeight="1" x14ac:dyDescent="0.25">
      <c r="A2326" s="6" t="s">
        <v>9294</v>
      </c>
      <c r="B2326" s="5" t="s">
        <v>9295</v>
      </c>
      <c r="C2326" s="5" t="s">
        <v>9296</v>
      </c>
      <c r="D2326" s="5" t="s">
        <v>9297</v>
      </c>
      <c r="E2326" s="5" t="s">
        <v>9290</v>
      </c>
      <c r="F2326" s="5" t="str">
        <f>HYPERLINK("http://www.greenvalleysa.it/","www.greenvalleysa.it")</f>
        <v>www.greenvalleysa.it</v>
      </c>
    </row>
    <row r="2327" spans="1:6" ht="29.55" customHeight="1" x14ac:dyDescent="0.25">
      <c r="A2327" s="6" t="s">
        <v>9299</v>
      </c>
      <c r="B2327" s="5" t="s">
        <v>9300</v>
      </c>
      <c r="C2327" s="5" t="s">
        <v>9291</v>
      </c>
      <c r="D2327" s="5" t="s">
        <v>9301</v>
      </c>
      <c r="E2327" s="5" t="s">
        <v>9302</v>
      </c>
      <c r="F2327" s="5" t="str">
        <f>HYPERLINK("http://cacciagricoltura.it/","cacciagricoltura.it")</f>
        <v>cacciagricoltura.it</v>
      </c>
    </row>
    <row r="2328" spans="1:6" ht="29.55" customHeight="1" x14ac:dyDescent="0.25">
      <c r="A2328" s="1" t="s">
        <v>9303</v>
      </c>
      <c r="B2328" s="7" t="s">
        <v>9304</v>
      </c>
      <c r="C2328" s="7" t="s">
        <v>9305</v>
      </c>
      <c r="D2328" s="7" t="s">
        <v>9306</v>
      </c>
      <c r="E2328" s="7" t="s">
        <v>9307</v>
      </c>
      <c r="F2328" s="7" t="str">
        <f>HYPERLINK("http://shop.dieselfarm.com/","shop.dieselfarm.com")</f>
        <v>shop.dieselfarm.com</v>
      </c>
    </row>
    <row r="2329" spans="1:6" ht="43.05" customHeight="1" x14ac:dyDescent="0.25">
      <c r="A2329" s="1" t="s">
        <v>9308</v>
      </c>
      <c r="B2329" s="7" t="s">
        <v>9309</v>
      </c>
      <c r="C2329" s="7" t="s">
        <v>9310</v>
      </c>
      <c r="D2329" s="7" t="s">
        <v>9311</v>
      </c>
      <c r="E2329" s="7" t="s">
        <v>9292</v>
      </c>
      <c r="F2329" s="7" t="str">
        <f>HYPERLINK("http://www.agricoop.bologna.it/","www.agricoop.bologna.it")</f>
        <v>www.agricoop.bologna.it</v>
      </c>
    </row>
    <row r="2330" spans="1:6" ht="43.05" customHeight="1" x14ac:dyDescent="0.25">
      <c r="A2330" s="6" t="s">
        <v>9312</v>
      </c>
      <c r="B2330" s="5" t="s">
        <v>9313</v>
      </c>
      <c r="C2330" s="5" t="s">
        <v>9291</v>
      </c>
      <c r="D2330" s="5" t="s">
        <v>9284</v>
      </c>
      <c r="E2330" s="5" t="s">
        <v>9285</v>
      </c>
      <c r="F2330" s="5" t="str">
        <f>HYPERLINK("http://www.fattoriedelpellegrino.com/","www.fattoriedelpellegrino.com")</f>
        <v>www.fattoriedelpellegrino.com</v>
      </c>
    </row>
    <row r="2331" spans="1:6" ht="16.95" customHeight="1" x14ac:dyDescent="0.25">
      <c r="A2331" s="6" t="s">
        <v>9314</v>
      </c>
      <c r="B2331" s="5" t="s">
        <v>9315</v>
      </c>
      <c r="C2331" s="5" t="s">
        <v>9280</v>
      </c>
      <c r="D2331" s="5" t="s">
        <v>9316</v>
      </c>
      <c r="E2331" s="5" t="s">
        <v>9293</v>
      </c>
      <c r="F2331" s="5" t="str">
        <f>HYPERLINK("http://www.fiorisecchicaruso.com/","www.fiorisecchicaruso.com")</f>
        <v>www.fiorisecchicaruso.com</v>
      </c>
    </row>
    <row r="2332" spans="1:6" ht="29.55" customHeight="1" x14ac:dyDescent="0.25">
      <c r="A2332" s="6" t="s">
        <v>9318</v>
      </c>
      <c r="B2332" s="5" t="s">
        <v>9319</v>
      </c>
      <c r="C2332" s="5" t="s">
        <v>9320</v>
      </c>
      <c r="D2332" s="5" t="s">
        <v>9321</v>
      </c>
      <c r="E2332" s="5" t="s">
        <v>9298</v>
      </c>
      <c r="F2332" s="5" t="str">
        <f>HYPERLINK("http://www.torrecivette.it/","www.torrecivette.it")</f>
        <v>www.torrecivette.it</v>
      </c>
    </row>
    <row r="2333" spans="1:6" ht="43.05" customHeight="1" x14ac:dyDescent="0.25">
      <c r="A2333" s="1" t="s">
        <v>9322</v>
      </c>
      <c r="B2333" s="7" t="s">
        <v>9323</v>
      </c>
      <c r="C2333" s="7" t="s">
        <v>9288</v>
      </c>
      <c r="D2333" s="7" t="s">
        <v>9324</v>
      </c>
      <c r="E2333" s="7" t="s">
        <v>9302</v>
      </c>
      <c r="F2333" s="7" t="str">
        <f>HYPERLINK("http://www.cooperativagabbiano.it/","www.cooperativagabbiano.it")</f>
        <v>www.cooperativagabbiano.it</v>
      </c>
    </row>
    <row r="2334" spans="1:6" ht="43.05" customHeight="1" x14ac:dyDescent="0.25">
      <c r="A2334" s="6" t="s">
        <v>9325</v>
      </c>
      <c r="B2334" s="5" t="s">
        <v>9326</v>
      </c>
      <c r="C2334" s="5" t="s">
        <v>9283</v>
      </c>
      <c r="D2334" s="5" t="s">
        <v>9327</v>
      </c>
      <c r="E2334" s="5" t="s">
        <v>9317</v>
      </c>
      <c r="F2334" s="5" t="str">
        <f>HYPERLINK("http://www.lazagaracoop.it/","www.lazagaracoop.it")</f>
        <v>www.lazagaracoop.it</v>
      </c>
    </row>
    <row r="2335" spans="1:6" ht="16.95" customHeight="1" x14ac:dyDescent="0.25">
      <c r="A2335" s="1" t="s">
        <v>9328</v>
      </c>
      <c r="B2335" s="7" t="s">
        <v>9329</v>
      </c>
      <c r="C2335" s="7" t="s">
        <v>9330</v>
      </c>
      <c r="D2335" s="7" t="s">
        <v>9331</v>
      </c>
      <c r="E2335" s="7" t="s">
        <v>9332</v>
      </c>
      <c r="F2335" s="7" t="str">
        <f>HYPERLINK("http://shop.caseperrotta.it/","shop.caseperrotta.it")</f>
        <v>shop.caseperrotta.it</v>
      </c>
    </row>
    <row r="2336" spans="1:6" ht="29.55" customHeight="1" x14ac:dyDescent="0.25">
      <c r="A2336" s="6" t="s">
        <v>9333</v>
      </c>
      <c r="B2336" s="5" t="s">
        <v>9334</v>
      </c>
      <c r="C2336" s="5" t="s">
        <v>9335</v>
      </c>
      <c r="D2336" s="5" t="s">
        <v>9336</v>
      </c>
      <c r="E2336" s="5" t="s">
        <v>9337</v>
      </c>
      <c r="F2336" s="5" t="str">
        <f>HYPERLINK("http://www.castellodiuviglie.com/","www.castellodiuviglie.com")</f>
        <v>www.castellodiuviglie.com</v>
      </c>
    </row>
    <row r="2337" spans="1:6" ht="29.55" customHeight="1" x14ac:dyDescent="0.25">
      <c r="A2337" s="1" t="s">
        <v>9339</v>
      </c>
      <c r="B2337" s="7" t="s">
        <v>9340</v>
      </c>
      <c r="C2337" s="7" t="s">
        <v>9341</v>
      </c>
      <c r="D2337" s="7" t="s">
        <v>9342</v>
      </c>
      <c r="E2337" s="7" t="s">
        <v>9338</v>
      </c>
      <c r="F2337" s="7" t="str">
        <f>HYPERLINK("http://ovofast.it/","ovofast.it")</f>
        <v>ovofast.it</v>
      </c>
    </row>
    <row r="2338" spans="1:6" ht="55.65" customHeight="1" x14ac:dyDescent="0.25">
      <c r="A2338" s="1" t="s">
        <v>9346</v>
      </c>
      <c r="B2338" s="7" t="s">
        <v>9347</v>
      </c>
      <c r="C2338" s="7" t="s">
        <v>9348</v>
      </c>
      <c r="D2338" s="7" t="s">
        <v>9349</v>
      </c>
      <c r="E2338" s="7" t="s">
        <v>9350</v>
      </c>
      <c r="F2338" s="7" t="str">
        <f>HYPERLINK("http://www.conaproa.it/","www.conaproa.it")</f>
        <v>www.conaproa.it</v>
      </c>
    </row>
    <row r="2339" spans="1:6" ht="29.55" customHeight="1" x14ac:dyDescent="0.25">
      <c r="A2339" s="1" t="s">
        <v>9351</v>
      </c>
      <c r="B2339" s="7" t="s">
        <v>9352</v>
      </c>
      <c r="C2339" s="7" t="s">
        <v>9353</v>
      </c>
      <c r="D2339" s="7" t="s">
        <v>9354</v>
      </c>
      <c r="E2339" s="7" t="s">
        <v>9355</v>
      </c>
      <c r="F2339" s="7" t="str">
        <f>HYPERLINK("http://www.agriturismoibonsi.it/","www.agriturismoibonsi.it")</f>
        <v>www.agriturismoibonsi.it</v>
      </c>
    </row>
    <row r="2340" spans="1:6" ht="55.65" customHeight="1" x14ac:dyDescent="0.25">
      <c r="A2340" s="1" t="s">
        <v>9356</v>
      </c>
      <c r="B2340" s="7" t="s">
        <v>9357</v>
      </c>
      <c r="C2340" s="7" t="s">
        <v>9343</v>
      </c>
      <c r="D2340" s="7" t="s">
        <v>9358</v>
      </c>
      <c r="E2340" s="7" t="s">
        <v>9359</v>
      </c>
      <c r="F2340" s="7" t="str">
        <f>HYPERLINK("http://lovveed.it/azienda/","lovveed.it/azienda/")</f>
        <v>lovveed.it/azienda/</v>
      </c>
    </row>
    <row r="2341" spans="1:6" ht="81.75" customHeight="1" x14ac:dyDescent="0.25">
      <c r="A2341" s="1" t="s">
        <v>9360</v>
      </c>
      <c r="B2341" s="7" t="s">
        <v>9361</v>
      </c>
      <c r="C2341" s="7" t="s">
        <v>9362</v>
      </c>
      <c r="D2341" s="7" t="s">
        <v>9358</v>
      </c>
      <c r="E2341" s="7" t="s">
        <v>9359</v>
      </c>
      <c r="F2341" s="7" t="str">
        <f>HYPERLINK("http://www.abztenutaarpa.it/","www.abztenutaarpa.it")</f>
        <v>www.abztenutaarpa.it</v>
      </c>
    </row>
    <row r="2342" spans="1:6" ht="29.55" customHeight="1" x14ac:dyDescent="0.25">
      <c r="A2342" s="1" t="s">
        <v>9363</v>
      </c>
      <c r="B2342" s="7" t="s">
        <v>9364</v>
      </c>
      <c r="C2342" s="7" t="s">
        <v>9335</v>
      </c>
      <c r="D2342" s="7" t="s">
        <v>9365</v>
      </c>
      <c r="E2342" s="7" t="s">
        <v>9359</v>
      </c>
      <c r="F2342" s="7" t="str">
        <f>HYPERLINK("http://www.capoano.it/","www.capoano.it")</f>
        <v>www.capoano.it</v>
      </c>
    </row>
    <row r="2343" spans="1:6" ht="29.55" customHeight="1" x14ac:dyDescent="0.25">
      <c r="A2343" s="6" t="s">
        <v>9366</v>
      </c>
      <c r="B2343" s="5" t="s">
        <v>9367</v>
      </c>
      <c r="C2343" s="5" t="s">
        <v>9368</v>
      </c>
      <c r="D2343" s="5" t="s">
        <v>9369</v>
      </c>
      <c r="E2343" s="5" t="s">
        <v>9332</v>
      </c>
      <c r="F2343" s="5" t="str">
        <f>HYPERLINK("http://www.agrovivai.it/","www.agrovivai.it")</f>
        <v>www.agrovivai.it</v>
      </c>
    </row>
    <row r="2344" spans="1:6" ht="16.95" customHeight="1" x14ac:dyDescent="0.25">
      <c r="A2344" s="6" t="s">
        <v>9370</v>
      </c>
      <c r="B2344" s="5" t="s">
        <v>9371</v>
      </c>
      <c r="C2344" s="5" t="s">
        <v>9353</v>
      </c>
      <c r="D2344" s="5" t="s">
        <v>9369</v>
      </c>
      <c r="E2344" s="5" t="s">
        <v>9332</v>
      </c>
      <c r="F2344" s="5" t="str">
        <f>HYPERLINK("http://orodisicilia.net/","orodisicilia.net")</f>
        <v>orodisicilia.net</v>
      </c>
    </row>
    <row r="2345" spans="1:6" ht="43.05" customHeight="1" x14ac:dyDescent="0.25">
      <c r="A2345" s="6" t="s">
        <v>9372</v>
      </c>
      <c r="B2345" s="5" t="s">
        <v>9373</v>
      </c>
      <c r="C2345" s="5" t="s">
        <v>9353</v>
      </c>
      <c r="D2345" s="5" t="s">
        <v>9374</v>
      </c>
      <c r="E2345" s="5" t="s">
        <v>9375</v>
      </c>
      <c r="F2345" s="5" t="str">
        <f>HYPERLINK("http://www.borgodicarpiano.com/","www.borgodicarpiano.com")</f>
        <v>www.borgodicarpiano.com</v>
      </c>
    </row>
    <row r="2346" spans="1:6" ht="29.55" customHeight="1" x14ac:dyDescent="0.25">
      <c r="A2346" s="6" t="s">
        <v>9376</v>
      </c>
      <c r="B2346" s="5" t="s">
        <v>9377</v>
      </c>
      <c r="C2346" s="5" t="s">
        <v>9345</v>
      </c>
      <c r="D2346" s="5" t="s">
        <v>9378</v>
      </c>
      <c r="E2346" s="5" t="s">
        <v>9379</v>
      </c>
      <c r="F2346" s="5" t="str">
        <f>HYPERLINK("http://caseificiopaologiuseppe.it/","caseificiopaologiuseppe.it")</f>
        <v>caseificiopaologiuseppe.it</v>
      </c>
    </row>
    <row r="2347" spans="1:6" ht="29.55" customHeight="1" x14ac:dyDescent="0.25">
      <c r="A2347" s="1" t="s">
        <v>9380</v>
      </c>
      <c r="B2347" s="7" t="s">
        <v>9381</v>
      </c>
      <c r="C2347" s="7" t="s">
        <v>9335</v>
      </c>
      <c r="D2347" s="7" t="s">
        <v>9382</v>
      </c>
      <c r="E2347" s="7" t="s">
        <v>9344</v>
      </c>
      <c r="F2347" s="7" t="str">
        <f>HYPERLINK("http://www.lavalledellusignolo.it/","www.lavalledellusignolo.it")</f>
        <v>www.lavalledellusignolo.it</v>
      </c>
    </row>
    <row r="2348" spans="1:6" ht="16.95" customHeight="1" x14ac:dyDescent="0.25">
      <c r="A2348" s="6" t="s">
        <v>9384</v>
      </c>
      <c r="B2348" s="5" t="s">
        <v>9385</v>
      </c>
      <c r="C2348" s="5" t="s">
        <v>9383</v>
      </c>
      <c r="D2348" s="5" t="s">
        <v>9386</v>
      </c>
      <c r="E2348" s="5" t="s">
        <v>9387</v>
      </c>
      <c r="F2348" s="5" t="str">
        <f>HYPERLINK("http://www.agriturismocadellago.com/","www.agriturismocadellago.com")</f>
        <v>www.agriturismocadellago.com</v>
      </c>
    </row>
    <row r="2349" spans="1:6" ht="29.55" customHeight="1" x14ac:dyDescent="0.25">
      <c r="A2349" s="6" t="s">
        <v>9390</v>
      </c>
      <c r="B2349" s="5" t="s">
        <v>9391</v>
      </c>
      <c r="C2349" s="5" t="s">
        <v>9392</v>
      </c>
      <c r="D2349" s="5" t="s">
        <v>9393</v>
      </c>
      <c r="E2349" s="5" t="s">
        <v>9394</v>
      </c>
      <c r="F2349" s="5" t="str">
        <f>HYPERLINK("http://oliobova.it/","oliobova.it")</f>
        <v>oliobova.it</v>
      </c>
    </row>
    <row r="2350" spans="1:6" ht="68.099999999999994" customHeight="1" x14ac:dyDescent="0.25">
      <c r="A2350" s="1" t="s">
        <v>9397</v>
      </c>
      <c r="B2350" s="7" t="s">
        <v>9398</v>
      </c>
      <c r="C2350" s="7" t="s">
        <v>9399</v>
      </c>
      <c r="D2350" s="7" t="s">
        <v>9400</v>
      </c>
      <c r="E2350" s="7" t="s">
        <v>9401</v>
      </c>
      <c r="F2350" s="7" t="str">
        <f>HYPERLINK("http://castellosonnino.it/","castellosonnino.it")</f>
        <v>castellosonnino.it</v>
      </c>
    </row>
    <row r="2351" spans="1:6" ht="55.65" customHeight="1" x14ac:dyDescent="0.25">
      <c r="A2351" s="6" t="s">
        <v>9402</v>
      </c>
      <c r="B2351" s="5" t="s">
        <v>9403</v>
      </c>
      <c r="C2351" s="5" t="s">
        <v>9395</v>
      </c>
      <c r="D2351" s="5" t="s">
        <v>9404</v>
      </c>
      <c r="E2351" s="5" t="s">
        <v>9394</v>
      </c>
      <c r="F2351" s="5" t="str">
        <f>HYPERLINK("http://www.limore.it/","www.limore.it")</f>
        <v>www.limore.it</v>
      </c>
    </row>
    <row r="2352" spans="1:6" ht="29.55" customHeight="1" x14ac:dyDescent="0.25">
      <c r="A2352" s="1" t="s">
        <v>9405</v>
      </c>
      <c r="B2352" s="7" t="s">
        <v>9406</v>
      </c>
      <c r="C2352" s="7" t="s">
        <v>9399</v>
      </c>
      <c r="D2352" s="7" t="s">
        <v>9407</v>
      </c>
      <c r="E2352" s="7" t="s">
        <v>9408</v>
      </c>
      <c r="F2352" s="7" t="str">
        <f>HYPERLINK("http://www.tenutaterraviva.it/","www.tenutaterraviva.it")</f>
        <v>www.tenutaterraviva.it</v>
      </c>
    </row>
    <row r="2353" spans="1:6" ht="145.19999999999999" customHeight="1" x14ac:dyDescent="0.25">
      <c r="A2353" s="1" t="s">
        <v>9409</v>
      </c>
      <c r="B2353" s="7" t="s">
        <v>9410</v>
      </c>
      <c r="C2353" s="7" t="s">
        <v>9411</v>
      </c>
      <c r="D2353" s="7" t="s">
        <v>9412</v>
      </c>
      <c r="E2353" s="7" t="s">
        <v>9389</v>
      </c>
      <c r="F2353" s="7" t="str">
        <f>HYPERLINK("http://www.arpoemiliaromagna.it/","www.arpoemiliaromagna.it")</f>
        <v>www.arpoemiliaromagna.it</v>
      </c>
    </row>
    <row r="2354" spans="1:6" ht="29.55" customHeight="1" x14ac:dyDescent="0.25">
      <c r="A2354" s="6" t="s">
        <v>9413</v>
      </c>
      <c r="B2354" s="5" t="s">
        <v>9414</v>
      </c>
      <c r="C2354" s="5" t="s">
        <v>9415</v>
      </c>
      <c r="D2354" s="5" t="s">
        <v>9416</v>
      </c>
      <c r="E2354" s="5" t="s">
        <v>9417</v>
      </c>
      <c r="F2354" s="5" t="str">
        <f>HYPERLINK("http://www.enerfarm.it/","www.enerfarm.it")</f>
        <v>www.enerfarm.it</v>
      </c>
    </row>
    <row r="2355" spans="1:6" ht="29.55" customHeight="1" x14ac:dyDescent="0.25">
      <c r="A2355" s="1" t="s">
        <v>9418</v>
      </c>
      <c r="B2355" s="7" t="s">
        <v>9419</v>
      </c>
      <c r="C2355" s="7" t="s">
        <v>9388</v>
      </c>
      <c r="D2355" s="7" t="s">
        <v>9420</v>
      </c>
      <c r="E2355" s="7" t="s">
        <v>9396</v>
      </c>
      <c r="F2355" s="7" t="str">
        <f>HYPERLINK("http://www.lattesannio.it/","www.lattesannio.it")</f>
        <v>www.lattesannio.it</v>
      </c>
    </row>
    <row r="2356" spans="1:6" ht="29.55" customHeight="1" x14ac:dyDescent="0.25">
      <c r="A2356" s="1" t="s">
        <v>9421</v>
      </c>
      <c r="B2356" s="7" t="s">
        <v>9422</v>
      </c>
      <c r="C2356" s="7" t="s">
        <v>9423</v>
      </c>
      <c r="D2356" s="7" t="s">
        <v>9424</v>
      </c>
      <c r="E2356" s="7" t="s">
        <v>9425</v>
      </c>
      <c r="F2356" s="7" t="str">
        <f>HYPERLINK("http://www.centroequinoarcadia.it/","www.centroequinoarcadia.it")</f>
        <v>www.centroequinoarcadia.it</v>
      </c>
    </row>
    <row r="2357" spans="1:6" ht="43.05" customHeight="1" x14ac:dyDescent="0.25">
      <c r="A2357" s="6" t="s">
        <v>9426</v>
      </c>
      <c r="B2357" s="5" t="s">
        <v>9427</v>
      </c>
      <c r="C2357" s="5" t="s">
        <v>9428</v>
      </c>
      <c r="D2357" s="5" t="s">
        <v>9429</v>
      </c>
      <c r="E2357" s="5" t="s">
        <v>9430</v>
      </c>
      <c r="F2357" s="5" t="str">
        <f>HYPERLINK("http://www.vivaisticagentile.com/","www.vivaisticagentile.com")</f>
        <v>www.vivaisticagentile.com</v>
      </c>
    </row>
    <row r="2358" spans="1:6" ht="29.55" customHeight="1" x14ac:dyDescent="0.25">
      <c r="A2358" s="1" t="s">
        <v>9431</v>
      </c>
      <c r="B2358" s="7" t="s">
        <v>9432</v>
      </c>
      <c r="C2358" s="7" t="s">
        <v>9433</v>
      </c>
      <c r="D2358" s="7" t="s">
        <v>9434</v>
      </c>
      <c r="E2358" s="7" t="s">
        <v>9435</v>
      </c>
      <c r="F2358" s="7" t="str">
        <f>HYPERLINK("http://www.piacafiero.it/","www.piacafiero.it")</f>
        <v>www.piacafiero.it</v>
      </c>
    </row>
    <row r="2359" spans="1:6" ht="29.55" customHeight="1" x14ac:dyDescent="0.25">
      <c r="A2359" s="1" t="s">
        <v>9437</v>
      </c>
      <c r="B2359" s="7" t="s">
        <v>9438</v>
      </c>
      <c r="C2359" s="7" t="s">
        <v>9428</v>
      </c>
      <c r="D2359" s="7" t="s">
        <v>9429</v>
      </c>
      <c r="E2359" s="7" t="s">
        <v>9430</v>
      </c>
      <c r="F2359" s="7" t="str">
        <f>HYPERLINK("http://www.ilvivaio.com/","www.ilvivaio.com")</f>
        <v>www.ilvivaio.com</v>
      </c>
    </row>
    <row r="2360" spans="1:6" ht="43.05" customHeight="1" x14ac:dyDescent="0.25">
      <c r="A2360" s="6" t="s">
        <v>9442</v>
      </c>
      <c r="B2360" s="5" t="s">
        <v>9443</v>
      </c>
      <c r="C2360" s="5" t="s">
        <v>9444</v>
      </c>
      <c r="D2360" s="5" t="s">
        <v>9445</v>
      </c>
      <c r="E2360" s="5" t="s">
        <v>9445</v>
      </c>
      <c r="F2360" s="5" t="str">
        <f>HYPERLINK("http://www.apimed.com/","www.apimed.com")</f>
        <v>www.apimed.com</v>
      </c>
    </row>
    <row r="2361" spans="1:6" ht="29.55" customHeight="1" x14ac:dyDescent="0.25">
      <c r="A2361" s="6" t="s">
        <v>9451</v>
      </c>
      <c r="B2361" s="5" t="s">
        <v>9452</v>
      </c>
      <c r="C2361" s="5" t="s">
        <v>9448</v>
      </c>
      <c r="D2361" s="5" t="s">
        <v>9453</v>
      </c>
      <c r="E2361" s="5" t="s">
        <v>9450</v>
      </c>
      <c r="F2361" s="5" t="str">
        <f>HYPERLINK("http://www.albetum.it/","www.albetum.it")</f>
        <v>www.albetum.it</v>
      </c>
    </row>
    <row r="2362" spans="1:6" ht="29.55" customHeight="1" x14ac:dyDescent="0.25">
      <c r="A2362" s="6" t="s">
        <v>9454</v>
      </c>
      <c r="B2362" s="5" t="s">
        <v>9455</v>
      </c>
      <c r="C2362" s="5" t="s">
        <v>9456</v>
      </c>
      <c r="D2362" s="5" t="s">
        <v>9439</v>
      </c>
      <c r="E2362" s="5" t="s">
        <v>9440</v>
      </c>
      <c r="F2362" s="5" t="str">
        <f>HYPERLINK("http://www.agriturismolafilanda.com/","www.agriturismolafilanda.com")</f>
        <v>www.agriturismolafilanda.com</v>
      </c>
    </row>
    <row r="2363" spans="1:6" ht="29.55" customHeight="1" x14ac:dyDescent="0.25">
      <c r="A2363" s="1" t="s">
        <v>9459</v>
      </c>
      <c r="B2363" s="7" t="s">
        <v>9460</v>
      </c>
      <c r="C2363" s="7" t="s">
        <v>9441</v>
      </c>
      <c r="D2363" s="7" t="s">
        <v>9461</v>
      </c>
      <c r="E2363" s="7" t="s">
        <v>9462</v>
      </c>
      <c r="F2363" s="7" t="str">
        <f>HYPERLINK("http://www.tenutalenzini.it/","www.tenutalenzini.it")</f>
        <v>www.tenutalenzini.it</v>
      </c>
    </row>
    <row r="2364" spans="1:6" ht="43.05" customHeight="1" x14ac:dyDescent="0.25">
      <c r="A2364" s="6" t="s">
        <v>9463</v>
      </c>
      <c r="B2364" s="5" t="s">
        <v>9464</v>
      </c>
      <c r="C2364" s="5" t="s">
        <v>9436</v>
      </c>
      <c r="D2364" s="5" t="s">
        <v>9457</v>
      </c>
      <c r="E2364" s="5" t="s">
        <v>9458</v>
      </c>
      <c r="F2364" s="5" t="str">
        <f>HYPERLINK("http://fruvenh.it/","fruvenh.it")</f>
        <v>fruvenh.it</v>
      </c>
    </row>
    <row r="2365" spans="1:6" ht="29.55" customHeight="1" x14ac:dyDescent="0.25">
      <c r="A2365" s="1" t="s">
        <v>9465</v>
      </c>
      <c r="B2365" s="7" t="s">
        <v>9466</v>
      </c>
      <c r="C2365" s="7" t="s">
        <v>9448</v>
      </c>
      <c r="D2365" s="7" t="s">
        <v>9449</v>
      </c>
      <c r="E2365" s="7" t="s">
        <v>9450</v>
      </c>
      <c r="F2365" s="7" t="str">
        <f>HYPERLINK("http://www.vallerosa.it/","www.vallerosa.it")</f>
        <v>www.vallerosa.it</v>
      </c>
    </row>
    <row r="2366" spans="1:6" ht="29.55" customHeight="1" x14ac:dyDescent="0.25">
      <c r="A2366" s="1" t="s">
        <v>9467</v>
      </c>
      <c r="B2366" s="7" t="s">
        <v>9468</v>
      </c>
      <c r="C2366" s="7" t="s">
        <v>9436</v>
      </c>
      <c r="D2366" s="7" t="s">
        <v>9469</v>
      </c>
      <c r="E2366" s="7" t="s">
        <v>9430</v>
      </c>
      <c r="F2366" s="7" t="str">
        <f>HYPERLINK("http://www.oleificioagrosol.com/","www.oleificioagrosol.com")</f>
        <v>www.oleificioagrosol.com</v>
      </c>
    </row>
    <row r="2367" spans="1:6" ht="29.55" customHeight="1" x14ac:dyDescent="0.25">
      <c r="A2367" s="6" t="s">
        <v>9470</v>
      </c>
      <c r="B2367" s="5" t="s">
        <v>9471</v>
      </c>
      <c r="C2367" s="5" t="s">
        <v>9441</v>
      </c>
      <c r="D2367" s="5" t="s">
        <v>9472</v>
      </c>
      <c r="E2367" s="5" t="s">
        <v>9447</v>
      </c>
      <c r="F2367" s="5" t="str">
        <f>HYPERLINK("http://www.casinodicaccia.it/","www.casinodicaccia.it")</f>
        <v>www.casinodicaccia.it</v>
      </c>
    </row>
    <row r="2368" spans="1:6" ht="29.55" customHeight="1" x14ac:dyDescent="0.25">
      <c r="A2368" s="1" t="s">
        <v>9473</v>
      </c>
      <c r="B2368" s="7" t="s">
        <v>9474</v>
      </c>
      <c r="C2368" s="7" t="s">
        <v>9441</v>
      </c>
      <c r="D2368" s="7" t="s">
        <v>9446</v>
      </c>
      <c r="E2368" s="7" t="s">
        <v>9447</v>
      </c>
      <c r="F2368" s="7" t="str">
        <f>HYPERLINK("http://www.terredeilargoni.it/","www.terredeilargoni.it")</f>
        <v>www.terredeilargoni.it</v>
      </c>
    </row>
    <row r="2369" spans="1:6" ht="29.55" customHeight="1" x14ac:dyDescent="0.25">
      <c r="A2369" s="1" t="s">
        <v>9478</v>
      </c>
      <c r="B2369" s="7" t="s">
        <v>9479</v>
      </c>
      <c r="C2369" s="7" t="s">
        <v>9475</v>
      </c>
      <c r="D2369" s="7" t="s">
        <v>9480</v>
      </c>
      <c r="E2369" s="7" t="s">
        <v>9481</v>
      </c>
      <c r="F2369" s="7" t="str">
        <f>HYPERLINK("http://www.agricolacampotenese.it/","www.agricolacampotenese.it")</f>
        <v>www.agricolacampotenese.it</v>
      </c>
    </row>
    <row r="2370" spans="1:6" ht="29.55" customHeight="1" x14ac:dyDescent="0.25">
      <c r="A2370" s="1" t="s">
        <v>9487</v>
      </c>
      <c r="B2370" s="7" t="s">
        <v>9488</v>
      </c>
      <c r="C2370" s="7" t="s">
        <v>9484</v>
      </c>
      <c r="D2370" s="7" t="s">
        <v>9489</v>
      </c>
      <c r="E2370" s="7" t="s">
        <v>9490</v>
      </c>
      <c r="F2370" s="7" t="str">
        <f>HYPERLINK("http://www.vitalonga.it/","www.vitalonga.it")</f>
        <v>www.vitalonga.it</v>
      </c>
    </row>
    <row r="2371" spans="1:6" ht="43.05" customHeight="1" x14ac:dyDescent="0.25">
      <c r="A2371" s="6" t="s">
        <v>9491</v>
      </c>
      <c r="B2371" s="5" t="s">
        <v>9492</v>
      </c>
      <c r="C2371" s="5" t="s">
        <v>9493</v>
      </c>
      <c r="D2371" s="5" t="s">
        <v>9494</v>
      </c>
      <c r="E2371" s="5" t="s">
        <v>9495</v>
      </c>
      <c r="F2371" s="5" t="str">
        <f>HYPERLINK("http://www.contespagnolettizeuli.it/","www.contespagnolettizeuli.it")</f>
        <v>www.contespagnolettizeuli.it</v>
      </c>
    </row>
    <row r="2372" spans="1:6" ht="81.75" customHeight="1" x14ac:dyDescent="0.25">
      <c r="A2372" s="1" t="s">
        <v>9496</v>
      </c>
      <c r="B2372" s="7" t="s">
        <v>9497</v>
      </c>
      <c r="C2372" s="7" t="s">
        <v>9498</v>
      </c>
      <c r="D2372" s="7" t="s">
        <v>9499</v>
      </c>
      <c r="E2372" s="7" t="s">
        <v>9500</v>
      </c>
      <c r="F2372" s="7" t="str">
        <f>HYPERLINK("http://www.colognole.it/","www.colognole.it")</f>
        <v>www.colognole.it</v>
      </c>
    </row>
    <row r="2373" spans="1:6" ht="29.55" customHeight="1" x14ac:dyDescent="0.25">
      <c r="A2373" s="6" t="s">
        <v>9501</v>
      </c>
      <c r="B2373" s="5" t="s">
        <v>9502</v>
      </c>
      <c r="C2373" s="5" t="s">
        <v>9503</v>
      </c>
      <c r="D2373" s="5" t="s">
        <v>9504</v>
      </c>
      <c r="E2373" s="5" t="s">
        <v>9505</v>
      </c>
      <c r="F2373" s="5" t="str">
        <f>HYPERLINK("http://www.misita.it/","www.misita.it")</f>
        <v>www.misita.it</v>
      </c>
    </row>
    <row r="2374" spans="1:6" ht="16.95" customHeight="1" x14ac:dyDescent="0.25">
      <c r="A2374" s="1" t="s">
        <v>9508</v>
      </c>
      <c r="B2374" s="7" t="s">
        <v>9509</v>
      </c>
      <c r="C2374" s="7" t="s">
        <v>9506</v>
      </c>
      <c r="D2374" s="7" t="s">
        <v>9510</v>
      </c>
      <c r="E2374" s="7" t="s">
        <v>9507</v>
      </c>
      <c r="F2374" s="7" t="str">
        <f>HYPERLINK("http://omniafeedsrl.business.site/","omniafeedsrl.business.site")</f>
        <v>omniafeedsrl.business.site</v>
      </c>
    </row>
    <row r="2375" spans="1:6" ht="43.05" customHeight="1" x14ac:dyDescent="0.25">
      <c r="A2375" s="6" t="s">
        <v>9511</v>
      </c>
      <c r="B2375" s="5" t="s">
        <v>9512</v>
      </c>
      <c r="C2375" s="5" t="s">
        <v>9513</v>
      </c>
      <c r="D2375" s="5" t="s">
        <v>9514</v>
      </c>
      <c r="E2375" s="5" t="s">
        <v>9476</v>
      </c>
      <c r="F2375" s="5" t="str">
        <f>HYPERLINK("http://www.promozionecosomi.it/","www.promozionecosomi.it")</f>
        <v>www.promozionecosomi.it</v>
      </c>
    </row>
    <row r="2376" spans="1:6" ht="43.05" customHeight="1" x14ac:dyDescent="0.25">
      <c r="A2376" s="1" t="s">
        <v>9515</v>
      </c>
      <c r="B2376" s="7" t="s">
        <v>9516</v>
      </c>
      <c r="C2376" s="7" t="s">
        <v>9493</v>
      </c>
      <c r="D2376" s="7" t="s">
        <v>9517</v>
      </c>
      <c r="E2376" s="7" t="s">
        <v>9486</v>
      </c>
      <c r="F2376" s="7" t="str">
        <f>HYPERLINK("http://www.clublecannelle.com/","www.clublecannelle.com")</f>
        <v>www.clublecannelle.com</v>
      </c>
    </row>
    <row r="2377" spans="1:6" ht="29.55" customHeight="1" x14ac:dyDescent="0.25">
      <c r="A2377" s="6" t="s">
        <v>9518</v>
      </c>
      <c r="B2377" s="5" t="s">
        <v>9519</v>
      </c>
      <c r="C2377" s="5" t="s">
        <v>9484</v>
      </c>
      <c r="D2377" s="5" t="s">
        <v>9520</v>
      </c>
      <c r="E2377" s="5" t="s">
        <v>9483</v>
      </c>
      <c r="F2377" s="5" t="str">
        <f>HYPERLINK("http://www.tenutaippocrate.com/","www.tenutaippocrate.com")</f>
        <v>www.tenutaippocrate.com</v>
      </c>
    </row>
    <row r="2378" spans="1:6" ht="29.55" customHeight="1" x14ac:dyDescent="0.25">
      <c r="A2378" s="6" t="s">
        <v>9521</v>
      </c>
      <c r="B2378" s="5" t="s">
        <v>9522</v>
      </c>
      <c r="C2378" s="5" t="s">
        <v>9498</v>
      </c>
      <c r="D2378" s="5" t="s">
        <v>9523</v>
      </c>
      <c r="E2378" s="5" t="s">
        <v>9500</v>
      </c>
      <c r="F2378" s="5" t="str">
        <f>HYPERLINK("http://shop.argillae.eu/","shop.argillae.eu")</f>
        <v>shop.argillae.eu</v>
      </c>
    </row>
    <row r="2379" spans="1:6" ht="29.55" customHeight="1" x14ac:dyDescent="0.25">
      <c r="A2379" s="1" t="s">
        <v>9524</v>
      </c>
      <c r="B2379" s="7" t="s">
        <v>9525</v>
      </c>
      <c r="C2379" s="7" t="s">
        <v>9484</v>
      </c>
      <c r="D2379" s="7" t="s">
        <v>9485</v>
      </c>
      <c r="E2379" s="7" t="s">
        <v>9486</v>
      </c>
      <c r="F2379" s="7" t="str">
        <f>HYPERLINK("http://www.agrisodi.com/","www.agrisodi.com")</f>
        <v>www.agrisodi.com</v>
      </c>
    </row>
    <row r="2380" spans="1:6" ht="29.55" customHeight="1" x14ac:dyDescent="0.25">
      <c r="A2380" s="6" t="s">
        <v>9526</v>
      </c>
      <c r="B2380" s="5" t="s">
        <v>9527</v>
      </c>
      <c r="C2380" s="5" t="s">
        <v>9513</v>
      </c>
      <c r="D2380" s="5" t="s">
        <v>9482</v>
      </c>
      <c r="E2380" s="5" t="s">
        <v>9483</v>
      </c>
      <c r="F2380" s="5" t="str">
        <f>HYPERLINK("http://www.micopan.com/","www.micopan.com")</f>
        <v>www.micopan.com</v>
      </c>
    </row>
    <row r="2381" spans="1:6" ht="29.55" customHeight="1" x14ac:dyDescent="0.25">
      <c r="A2381" s="1" t="s">
        <v>9528</v>
      </c>
      <c r="B2381" s="7" t="s">
        <v>9529</v>
      </c>
      <c r="C2381" s="7" t="s">
        <v>9484</v>
      </c>
      <c r="D2381" s="7" t="s">
        <v>9530</v>
      </c>
      <c r="E2381" s="7" t="s">
        <v>9477</v>
      </c>
      <c r="F2381" s="7" t="str">
        <f>HYPERLINK("http://www.lambrusco.se/","www.lambrusco.se")</f>
        <v>www.lambrusco.se</v>
      </c>
    </row>
    <row r="2382" spans="1:6" ht="29.55" customHeight="1" x14ac:dyDescent="0.25">
      <c r="A2382" s="6" t="s">
        <v>9531</v>
      </c>
      <c r="B2382" s="5" t="s">
        <v>9532</v>
      </c>
      <c r="C2382" s="5" t="s">
        <v>9484</v>
      </c>
      <c r="D2382" s="5" t="s">
        <v>9533</v>
      </c>
      <c r="E2382" s="5" t="s">
        <v>9533</v>
      </c>
      <c r="F2382" s="5" t="str">
        <f>HYPERLINK("http://coenfer.com/","coenfer.com")</f>
        <v>coenfer.com</v>
      </c>
    </row>
    <row r="2383" spans="1:6" ht="29.55" customHeight="1" x14ac:dyDescent="0.25">
      <c r="A2383" s="6" t="s">
        <v>9538</v>
      </c>
      <c r="B2383" s="5" t="s">
        <v>9539</v>
      </c>
      <c r="C2383" s="5" t="s">
        <v>9534</v>
      </c>
      <c r="D2383" s="5" t="s">
        <v>9540</v>
      </c>
      <c r="E2383" s="5" t="s">
        <v>9535</v>
      </c>
      <c r="F2383" s="5" t="str">
        <f>HYPERLINK("http://www.florsicilia.com/","www.florsicilia.com")</f>
        <v>www.florsicilia.com</v>
      </c>
    </row>
    <row r="2384" spans="1:6" ht="29.55" customHeight="1" x14ac:dyDescent="0.25">
      <c r="A2384" s="1" t="s">
        <v>9542</v>
      </c>
      <c r="B2384" s="7" t="s">
        <v>9543</v>
      </c>
      <c r="C2384" s="7" t="s">
        <v>9544</v>
      </c>
      <c r="D2384" s="7" t="s">
        <v>9545</v>
      </c>
      <c r="E2384" s="7" t="s">
        <v>9546</v>
      </c>
      <c r="F2384" s="7" t="str">
        <f>HYPERLINK("http://casaalpiano.com/","casaalpiano.com")</f>
        <v>casaalpiano.com</v>
      </c>
    </row>
    <row r="2385" spans="1:6" ht="29.55" customHeight="1" x14ac:dyDescent="0.25">
      <c r="A2385" s="6" t="s">
        <v>9550</v>
      </c>
      <c r="B2385" s="5" t="s">
        <v>9551</v>
      </c>
      <c r="C2385" s="5" t="s">
        <v>9552</v>
      </c>
      <c r="D2385" s="5" t="s">
        <v>9553</v>
      </c>
      <c r="E2385" s="5" t="s">
        <v>9554</v>
      </c>
      <c r="F2385" s="5" t="str">
        <f>HYPERLINK("http://www.ipom.biz/","www.ipom.biz")</f>
        <v>www.ipom.biz</v>
      </c>
    </row>
    <row r="2386" spans="1:6" ht="29.55" customHeight="1" x14ac:dyDescent="0.25">
      <c r="A2386" s="6" t="s">
        <v>9555</v>
      </c>
      <c r="B2386" s="5" t="s">
        <v>9556</v>
      </c>
      <c r="C2386" s="5" t="s">
        <v>9544</v>
      </c>
      <c r="D2386" s="5" t="s">
        <v>9557</v>
      </c>
      <c r="E2386" s="5" t="s">
        <v>9537</v>
      </c>
      <c r="F2386" s="5" t="str">
        <f>HYPERLINK("http://www.rinascitaagricola.it/","www.rinascitaagricola.it")</f>
        <v>www.rinascitaagricola.it</v>
      </c>
    </row>
    <row r="2387" spans="1:6" ht="29.55" customHeight="1" x14ac:dyDescent="0.25">
      <c r="A2387" s="6" t="s">
        <v>9558</v>
      </c>
      <c r="B2387" s="5" t="s">
        <v>9559</v>
      </c>
      <c r="C2387" s="5" t="s">
        <v>9547</v>
      </c>
      <c r="D2387" s="5" t="s">
        <v>9548</v>
      </c>
      <c r="E2387" s="5" t="s">
        <v>9549</v>
      </c>
      <c r="F2387" s="5" t="str">
        <f>HYPERLINK("http://www.agriturismovalmontoneborgoimperiale.it/","www.agriturismovalmontoneborgoimperiale.it")</f>
        <v>www.agriturismovalmontoneborgoimperiale.it</v>
      </c>
    </row>
    <row r="2388" spans="1:6" ht="29.55" customHeight="1" x14ac:dyDescent="0.25">
      <c r="A2388" s="1" t="s">
        <v>9561</v>
      </c>
      <c r="B2388" s="7" t="s">
        <v>9562</v>
      </c>
      <c r="C2388" s="7" t="s">
        <v>9560</v>
      </c>
      <c r="D2388" s="7" t="s">
        <v>9563</v>
      </c>
      <c r="E2388" s="7" t="s">
        <v>9546</v>
      </c>
      <c r="F2388" s="7" t="str">
        <f>HYPERLINK("http://www.agricolafrancesconi.com/","www.agricolafrancesconi.com")</f>
        <v>www.agricolafrancesconi.com</v>
      </c>
    </row>
    <row r="2389" spans="1:6" ht="29.55" customHeight="1" x14ac:dyDescent="0.25">
      <c r="A2389" s="6" t="s">
        <v>9564</v>
      </c>
      <c r="B2389" s="5" t="s">
        <v>9565</v>
      </c>
      <c r="C2389" s="5" t="s">
        <v>9566</v>
      </c>
      <c r="D2389" s="5" t="s">
        <v>9567</v>
      </c>
      <c r="E2389" s="5" t="s">
        <v>9536</v>
      </c>
      <c r="F2389" s="5" t="str">
        <f>HYPERLINK("http://www.galardi.net/","www.galardi.net")</f>
        <v>www.galardi.net</v>
      </c>
    </row>
    <row r="2390" spans="1:6" ht="29.55" customHeight="1" x14ac:dyDescent="0.25">
      <c r="A2390" s="1" t="s">
        <v>9568</v>
      </c>
      <c r="B2390" s="7" t="s">
        <v>9569</v>
      </c>
      <c r="C2390" s="7" t="s">
        <v>9544</v>
      </c>
      <c r="D2390" s="7" t="s">
        <v>9570</v>
      </c>
      <c r="E2390" s="7" t="s">
        <v>9535</v>
      </c>
      <c r="F2390" s="7" t="str">
        <f>HYPERLINK("http://www.agrestis.eu/","www.agrestis.eu")</f>
        <v>www.agrestis.eu</v>
      </c>
    </row>
    <row r="2391" spans="1:6" ht="29.55" customHeight="1" x14ac:dyDescent="0.25">
      <c r="A2391" s="6" t="s">
        <v>9571</v>
      </c>
      <c r="B2391" s="5" t="s">
        <v>9572</v>
      </c>
      <c r="C2391" s="5" t="s">
        <v>9566</v>
      </c>
      <c r="D2391" s="5" t="s">
        <v>9573</v>
      </c>
      <c r="E2391" s="5" t="s">
        <v>9541</v>
      </c>
      <c r="F2391" s="5" t="str">
        <f>HYPERLINK("http://www.tenutacarobbio.com/","www.tenutacarobbio.com")</f>
        <v>www.tenutacarobbio.com</v>
      </c>
    </row>
    <row r="2392" spans="1:6" ht="29.55" customHeight="1" x14ac:dyDescent="0.25">
      <c r="A2392" s="6" t="s">
        <v>9574</v>
      </c>
      <c r="B2392" s="5" t="s">
        <v>9575</v>
      </c>
      <c r="C2392" s="5" t="s">
        <v>9576</v>
      </c>
      <c r="D2392" s="5" t="s">
        <v>9577</v>
      </c>
      <c r="E2392" s="5" t="s">
        <v>9578</v>
      </c>
      <c r="F2392" s="5" t="str">
        <f>HYPERLINK("http://agrisantagnese.it/","agrisantagnese.it")</f>
        <v>agrisantagnese.it</v>
      </c>
    </row>
    <row r="2393" spans="1:6" ht="29.55" customHeight="1" x14ac:dyDescent="0.25">
      <c r="A2393" s="1" t="s">
        <v>9581</v>
      </c>
      <c r="B2393" s="7" t="s">
        <v>9582</v>
      </c>
      <c r="C2393" s="7" t="s">
        <v>9583</v>
      </c>
      <c r="D2393" s="7" t="s">
        <v>9584</v>
      </c>
      <c r="E2393" s="7" t="s">
        <v>9585</v>
      </c>
      <c r="F2393" s="7" t="str">
        <f>HYPERLINK("http://www.aceri.it/","www.aceri.it")</f>
        <v>www.aceri.it</v>
      </c>
    </row>
    <row r="2394" spans="1:6" ht="43.05" customHeight="1" x14ac:dyDescent="0.25">
      <c r="A2394" s="1" t="s">
        <v>9588</v>
      </c>
      <c r="B2394" s="7" t="s">
        <v>9589</v>
      </c>
      <c r="C2394" s="7" t="s">
        <v>9576</v>
      </c>
      <c r="D2394" s="7" t="s">
        <v>9590</v>
      </c>
      <c r="E2394" s="7" t="s">
        <v>9591</v>
      </c>
      <c r="F2394" s="7" t="str">
        <f>HYPERLINK("http://www.casaricotta.it/","www.casaricotta.it")</f>
        <v>www.casaricotta.it</v>
      </c>
    </row>
    <row r="2395" spans="1:6" ht="29.55" customHeight="1" x14ac:dyDescent="0.25">
      <c r="A2395" s="1" t="s">
        <v>9593</v>
      </c>
      <c r="B2395" s="7" t="s">
        <v>9594</v>
      </c>
      <c r="C2395" s="7" t="s">
        <v>9595</v>
      </c>
      <c r="D2395" s="7" t="s">
        <v>9596</v>
      </c>
      <c r="E2395" s="7" t="s">
        <v>9585</v>
      </c>
      <c r="F2395" s="7" t="str">
        <f>HYPERLINK("http://www.frutteto.biz/","www.frutteto.biz")</f>
        <v>www.frutteto.biz</v>
      </c>
    </row>
    <row r="2396" spans="1:6" ht="29.55" customHeight="1" x14ac:dyDescent="0.25">
      <c r="A2396" s="1" t="s">
        <v>9597</v>
      </c>
      <c r="B2396" s="7" t="s">
        <v>9598</v>
      </c>
      <c r="C2396" s="7" t="s">
        <v>9576</v>
      </c>
      <c r="D2396" s="7" t="s">
        <v>9599</v>
      </c>
      <c r="E2396" s="7" t="s">
        <v>9600</v>
      </c>
      <c r="F2396" s="7" t="str">
        <f>HYPERLINK("http://www.fattoriadelteso.it/","www.fattoriadelteso.it")</f>
        <v>www.fattoriadelteso.it</v>
      </c>
    </row>
    <row r="2397" spans="1:6" ht="29.55" customHeight="1" x14ac:dyDescent="0.25">
      <c r="A2397" s="1" t="s">
        <v>9602</v>
      </c>
      <c r="B2397" s="7" t="s">
        <v>9603</v>
      </c>
      <c r="C2397" s="7" t="s">
        <v>9579</v>
      </c>
      <c r="D2397" s="7" t="s">
        <v>9604</v>
      </c>
      <c r="E2397" s="7" t="s">
        <v>9600</v>
      </c>
      <c r="F2397" s="7" t="str">
        <f>HYPERLINK("http://villadarteagriresort.it/","villadarteagriresort.it")</f>
        <v>villadarteagriresort.it</v>
      </c>
    </row>
    <row r="2398" spans="1:6" ht="55.65" customHeight="1" x14ac:dyDescent="0.25">
      <c r="A2398" s="6" t="s">
        <v>9605</v>
      </c>
      <c r="B2398" s="5" t="s">
        <v>9606</v>
      </c>
      <c r="C2398" s="5" t="s">
        <v>9607</v>
      </c>
      <c r="D2398" s="5" t="s">
        <v>9608</v>
      </c>
      <c r="E2398" s="5" t="s">
        <v>9609</v>
      </c>
      <c r="F2398" s="5" t="str">
        <f>HYPERLINK("http://vivaioromagarden.it/","vivaioromagarden.it")</f>
        <v>vivaioromagarden.it</v>
      </c>
    </row>
    <row r="2399" spans="1:6" ht="29.55" customHeight="1" x14ac:dyDescent="0.25">
      <c r="A2399" s="1" t="s">
        <v>9610</v>
      </c>
      <c r="B2399" s="7" t="s">
        <v>9611</v>
      </c>
      <c r="C2399" s="7" t="s">
        <v>9586</v>
      </c>
      <c r="D2399" s="7" t="s">
        <v>9612</v>
      </c>
      <c r="E2399" s="7" t="s">
        <v>9613</v>
      </c>
      <c r="F2399" s="7" t="str">
        <f>HYPERLINK("http://agripeppers.it/","agripeppers.it")</f>
        <v>agripeppers.it</v>
      </c>
    </row>
    <row r="2400" spans="1:6" ht="29.55" customHeight="1" x14ac:dyDescent="0.25">
      <c r="A2400" s="6" t="s">
        <v>9614</v>
      </c>
      <c r="B2400" s="5" t="s">
        <v>9615</v>
      </c>
      <c r="C2400" s="5" t="s">
        <v>9616</v>
      </c>
      <c r="D2400" s="5" t="s">
        <v>9601</v>
      </c>
      <c r="E2400" s="5" t="s">
        <v>9587</v>
      </c>
      <c r="F2400" s="5" t="str">
        <f>HYPERLINK("http://www.cgcostruzioni.eu/","www.cgcostruzioni.eu")</f>
        <v>www.cgcostruzioni.eu</v>
      </c>
    </row>
    <row r="2401" spans="1:6" ht="68.099999999999994" customHeight="1" x14ac:dyDescent="0.25">
      <c r="A2401" s="1" t="s">
        <v>9617</v>
      </c>
      <c r="B2401" s="7" t="s">
        <v>9618</v>
      </c>
      <c r="C2401" s="7" t="s">
        <v>9576</v>
      </c>
      <c r="D2401" s="7" t="s">
        <v>9619</v>
      </c>
      <c r="E2401" s="7" t="s">
        <v>9600</v>
      </c>
      <c r="F2401" s="7" t="str">
        <f>HYPERLINK("http://www.monteoliveto.it/","www.monteoliveto.it")</f>
        <v>www.monteoliveto.it</v>
      </c>
    </row>
    <row r="2402" spans="1:6" ht="55.65" customHeight="1" x14ac:dyDescent="0.25">
      <c r="A2402" s="1" t="s">
        <v>9620</v>
      </c>
      <c r="B2402" s="7" t="s">
        <v>9621</v>
      </c>
      <c r="C2402" s="7" t="s">
        <v>9622</v>
      </c>
      <c r="D2402" s="7" t="s">
        <v>9623</v>
      </c>
      <c r="E2402" s="7" t="s">
        <v>9580</v>
      </c>
      <c r="F2402" s="7" t="str">
        <f>HYPERLINK("http://apocc.it/","apocc.it")</f>
        <v>apocc.it</v>
      </c>
    </row>
    <row r="2403" spans="1:6" ht="29.55" customHeight="1" x14ac:dyDescent="0.25">
      <c r="A2403" s="1" t="s">
        <v>9624</v>
      </c>
      <c r="B2403" s="7" t="s">
        <v>9625</v>
      </c>
      <c r="C2403" s="7" t="s">
        <v>9607</v>
      </c>
      <c r="D2403" s="7" t="s">
        <v>9626</v>
      </c>
      <c r="E2403" s="7" t="s">
        <v>9592</v>
      </c>
      <c r="F2403" s="7" t="str">
        <f>HYPERLINK("http://florpaestum.com/","florpaestum.com")</f>
        <v>florpaestum.com</v>
      </c>
    </row>
    <row r="2404" spans="1:6" ht="43.05" customHeight="1" x14ac:dyDescent="0.25">
      <c r="A2404" s="1" t="s">
        <v>9627</v>
      </c>
      <c r="B2404" s="7" t="s">
        <v>9628</v>
      </c>
      <c r="C2404" s="7" t="s">
        <v>9629</v>
      </c>
      <c r="D2404" s="7" t="s">
        <v>9630</v>
      </c>
      <c r="E2404" s="7" t="s">
        <v>9600</v>
      </c>
      <c r="F2404" s="7" t="str">
        <f>HYPERLINK("http://www.fattoriaolmetto.it/","www.fattoriaolmetto.it")</f>
        <v>www.fattoriaolmetto.it</v>
      </c>
    </row>
    <row r="2405" spans="1:6" ht="43.05" customHeight="1" x14ac:dyDescent="0.25">
      <c r="A2405" s="6" t="s">
        <v>9631</v>
      </c>
      <c r="B2405" s="5" t="s">
        <v>9632</v>
      </c>
      <c r="C2405" s="5" t="s">
        <v>9629</v>
      </c>
      <c r="D2405" s="5" t="s">
        <v>9633</v>
      </c>
      <c r="E2405" s="5" t="s">
        <v>9634</v>
      </c>
      <c r="F2405" s="5" t="str">
        <f>HYPERLINK("http://igirasolidisantandrea.it/","igirasolidisantandrea.it")</f>
        <v>igirasolidisantandrea.it</v>
      </c>
    </row>
    <row r="2406" spans="1:6" ht="29.55" customHeight="1" x14ac:dyDescent="0.25">
      <c r="A2406" s="1" t="s">
        <v>9635</v>
      </c>
      <c r="B2406" s="7" t="s">
        <v>9636</v>
      </c>
      <c r="C2406" s="7" t="s">
        <v>9637</v>
      </c>
      <c r="D2406" s="7" t="s">
        <v>9638</v>
      </c>
      <c r="E2406" s="7" t="s">
        <v>9639</v>
      </c>
      <c r="F2406" s="7" t="str">
        <f>HYPERLINK("http://www.tenutatenaglia.it/","www.tenutatenaglia.it")</f>
        <v>www.tenutatenaglia.it</v>
      </c>
    </row>
    <row r="2407" spans="1:6" ht="29.55" customHeight="1" x14ac:dyDescent="0.25">
      <c r="A2407" s="6" t="s">
        <v>9644</v>
      </c>
      <c r="B2407" s="5" t="s">
        <v>9645</v>
      </c>
      <c r="C2407" s="5" t="s">
        <v>9646</v>
      </c>
      <c r="D2407" s="5" t="s">
        <v>9647</v>
      </c>
      <c r="E2407" s="5" t="s">
        <v>9648</v>
      </c>
      <c r="F2407" s="5" t="str">
        <f>HYPERLINK("http://www.facebook.com/copatrigolese","www.facebook.com/copatrigolese")</f>
        <v>www.facebook.com/copatrigolese</v>
      </c>
    </row>
    <row r="2408" spans="1:6" ht="43.05" customHeight="1" x14ac:dyDescent="0.25">
      <c r="A2408" s="1" t="s">
        <v>9649</v>
      </c>
      <c r="B2408" s="7" t="s">
        <v>9650</v>
      </c>
      <c r="C2408" s="7" t="s">
        <v>9651</v>
      </c>
      <c r="D2408" s="7" t="s">
        <v>9652</v>
      </c>
      <c r="E2408" s="7" t="s">
        <v>9653</v>
      </c>
      <c r="F2408" s="7" t="str">
        <f>HYPERLINK("http://www.gelatteriatalmassons.it/","www.gelatteriatalmassons.it")</f>
        <v>www.gelatteriatalmassons.it</v>
      </c>
    </row>
    <row r="2409" spans="1:6" ht="29.55" customHeight="1" x14ac:dyDescent="0.25">
      <c r="A2409" s="6" t="s">
        <v>9654</v>
      </c>
      <c r="B2409" s="5" t="s">
        <v>9655</v>
      </c>
      <c r="C2409" s="5" t="s">
        <v>9656</v>
      </c>
      <c r="D2409" s="5" t="s">
        <v>9642</v>
      </c>
      <c r="E2409" s="5" t="s">
        <v>9643</v>
      </c>
      <c r="F2409" s="5" t="str">
        <f>HYPERLINK("http://www.studiodaylight.it/","www.studiodaylight.it")</f>
        <v>www.studiodaylight.it</v>
      </c>
    </row>
    <row r="2410" spans="1:6" ht="29.55" customHeight="1" x14ac:dyDescent="0.25">
      <c r="A2410" s="1" t="s">
        <v>9657</v>
      </c>
      <c r="B2410" s="7" t="s">
        <v>9658</v>
      </c>
      <c r="C2410" s="7" t="s">
        <v>9659</v>
      </c>
      <c r="D2410" s="7" t="s">
        <v>9660</v>
      </c>
      <c r="E2410" s="7" t="s">
        <v>9648</v>
      </c>
      <c r="F2410" s="7" t="str">
        <f>HYPERLINK("http://www.aipol.bs.it/","www.aipol.bs.it")</f>
        <v>www.aipol.bs.it</v>
      </c>
    </row>
    <row r="2411" spans="1:6" ht="16.95" customHeight="1" x14ac:dyDescent="0.25">
      <c r="A2411" s="6" t="s">
        <v>9661</v>
      </c>
      <c r="B2411" s="5" t="s">
        <v>9662</v>
      </c>
      <c r="C2411" s="5" t="s">
        <v>9663</v>
      </c>
      <c r="D2411" s="5" t="s">
        <v>9664</v>
      </c>
      <c r="E2411" s="5" t="s">
        <v>9665</v>
      </c>
      <c r="F2411" s="5" t="str">
        <f>HYPERLINK("http://www.oliobirtolo.it/","www.oliobirtolo.it")</f>
        <v>www.oliobirtolo.it</v>
      </c>
    </row>
    <row r="2412" spans="1:6" ht="43.05" customHeight="1" x14ac:dyDescent="0.25">
      <c r="A2412" s="6" t="s">
        <v>9666</v>
      </c>
      <c r="B2412" s="5" t="s">
        <v>9667</v>
      </c>
      <c r="C2412" s="5" t="s">
        <v>9637</v>
      </c>
      <c r="D2412" s="5" t="s">
        <v>9668</v>
      </c>
      <c r="E2412" s="5" t="s">
        <v>9669</v>
      </c>
      <c r="F2412" s="5" t="str">
        <f>HYPERLINK("http://www.serenewine.com/","www.serenewine.com")</f>
        <v>www.serenewine.com</v>
      </c>
    </row>
    <row r="2413" spans="1:6" ht="29.55" customHeight="1" x14ac:dyDescent="0.25">
      <c r="A2413" s="1" t="s">
        <v>9670</v>
      </c>
      <c r="B2413" s="7" t="s">
        <v>9671</v>
      </c>
      <c r="C2413" s="7" t="s">
        <v>9637</v>
      </c>
      <c r="D2413" s="7" t="s">
        <v>9672</v>
      </c>
      <c r="E2413" s="7" t="s">
        <v>9665</v>
      </c>
      <c r="F2413" s="7" t="str">
        <f>HYPERLINK("http://www.scholasarmenti.it/","www.scholasarmenti.it")</f>
        <v>www.scholasarmenti.it</v>
      </c>
    </row>
    <row r="2414" spans="1:6" ht="43.05" customHeight="1" x14ac:dyDescent="0.25">
      <c r="A2414" s="1" t="s">
        <v>9673</v>
      </c>
      <c r="B2414" s="7" t="s">
        <v>9674</v>
      </c>
      <c r="C2414" s="7" t="s">
        <v>9640</v>
      </c>
      <c r="D2414" s="7" t="s">
        <v>9675</v>
      </c>
      <c r="E2414" s="7" t="s">
        <v>9641</v>
      </c>
      <c r="F2414" s="7" t="str">
        <f>HYPERLINK("http://www.podereriosto.it/","www.podereriosto.it")</f>
        <v>www.podereriosto.it</v>
      </c>
    </row>
    <row r="2415" spans="1:6" ht="29.55" customHeight="1" x14ac:dyDescent="0.25">
      <c r="A2415" s="1" t="s">
        <v>9676</v>
      </c>
      <c r="B2415" s="7" t="s">
        <v>9677</v>
      </c>
      <c r="C2415" s="7" t="s">
        <v>9678</v>
      </c>
      <c r="D2415" s="7" t="s">
        <v>9679</v>
      </c>
      <c r="E2415" s="7" t="s">
        <v>9680</v>
      </c>
      <c r="F2415" s="7" t="str">
        <f>HYPERLINK("http://www.uovacannizzaro.it/","www.uovacannizzaro.it")</f>
        <v>www.uovacannizzaro.it</v>
      </c>
    </row>
    <row r="2416" spans="1:6" ht="29.55" customHeight="1" x14ac:dyDescent="0.25">
      <c r="A2416" s="6" t="s">
        <v>9681</v>
      </c>
      <c r="B2416" s="5" t="s">
        <v>9682</v>
      </c>
      <c r="C2416" s="5" t="s">
        <v>9683</v>
      </c>
      <c r="D2416" s="5" t="s">
        <v>9684</v>
      </c>
      <c r="E2416" s="5" t="s">
        <v>9680</v>
      </c>
      <c r="F2416" s="5" t="str">
        <f>HYPERLINK("http://tenutasuvignano.it/","tenutasuvignano.it")</f>
        <v>tenutasuvignano.it</v>
      </c>
    </row>
    <row r="2417" spans="1:6" ht="43.05" customHeight="1" x14ac:dyDescent="0.25">
      <c r="A2417" s="1" t="s">
        <v>9685</v>
      </c>
      <c r="B2417" s="7" t="s">
        <v>9686</v>
      </c>
      <c r="C2417" s="7" t="s">
        <v>9687</v>
      </c>
      <c r="D2417" s="7" t="s">
        <v>9688</v>
      </c>
      <c r="E2417" s="7" t="s">
        <v>9689</v>
      </c>
      <c r="F2417" s="7" t="str">
        <f>HYPERLINK("http://www.frantoiogrevepesa.com/","www.frantoiogrevepesa.com")</f>
        <v>www.frantoiogrevepesa.com</v>
      </c>
    </row>
    <row r="2418" spans="1:6" ht="29.55" customHeight="1" x14ac:dyDescent="0.25">
      <c r="A2418" s="6" t="s">
        <v>9690</v>
      </c>
      <c r="B2418" s="5" t="s">
        <v>9691</v>
      </c>
      <c r="C2418" s="5" t="s">
        <v>9692</v>
      </c>
      <c r="D2418" s="5" t="s">
        <v>9693</v>
      </c>
      <c r="E2418" s="5" t="s">
        <v>9689</v>
      </c>
      <c r="F2418" s="5" t="str">
        <f>HYPERLINK("http://poggiomori.com/","poggiomori.com")</f>
        <v>poggiomori.com</v>
      </c>
    </row>
    <row r="2419" spans="1:6" ht="16.95" customHeight="1" x14ac:dyDescent="0.25">
      <c r="A2419" s="1" t="s">
        <v>9696</v>
      </c>
      <c r="B2419" s="7" t="s">
        <v>9697</v>
      </c>
      <c r="C2419" s="7" t="s">
        <v>9698</v>
      </c>
      <c r="D2419" s="7" t="s">
        <v>9699</v>
      </c>
      <c r="E2419" s="7" t="s">
        <v>9700</v>
      </c>
      <c r="F2419" s="7" t="str">
        <f>HYPERLINK("http://www.erbedijanas.com/","www.erbedijanas.com")</f>
        <v>www.erbedijanas.com</v>
      </c>
    </row>
    <row r="2420" spans="1:6" ht="16.95" customHeight="1" x14ac:dyDescent="0.25">
      <c r="A2420" s="6" t="s">
        <v>9702</v>
      </c>
      <c r="B2420" s="5" t="s">
        <v>9703</v>
      </c>
      <c r="C2420" s="5" t="s">
        <v>9704</v>
      </c>
      <c r="D2420" s="5" t="s">
        <v>9705</v>
      </c>
      <c r="E2420" s="5" t="s">
        <v>9706</v>
      </c>
      <c r="F2420" s="5" t="str">
        <f>HYPERLINK("http://www.salatinosrl.it/","www.salatinosrl.it")</f>
        <v>www.salatinosrl.it</v>
      </c>
    </row>
    <row r="2421" spans="1:6" ht="29.55" customHeight="1" x14ac:dyDescent="0.25">
      <c r="A2421" s="1" t="s">
        <v>9707</v>
      </c>
      <c r="B2421" s="7" t="s">
        <v>9708</v>
      </c>
      <c r="C2421" s="7" t="s">
        <v>9692</v>
      </c>
      <c r="D2421" s="7" t="s">
        <v>9709</v>
      </c>
      <c r="E2421" s="7" t="s">
        <v>9700</v>
      </c>
      <c r="F2421" s="7" t="str">
        <f>HYPERLINK("http://nuraghecrabioni.it/","nuraghecrabioni.it")</f>
        <v>nuraghecrabioni.it</v>
      </c>
    </row>
    <row r="2422" spans="1:6" ht="29.55" customHeight="1" x14ac:dyDescent="0.25">
      <c r="A2422" s="1" t="s">
        <v>9710</v>
      </c>
      <c r="B2422" s="7" t="s">
        <v>9711</v>
      </c>
      <c r="C2422" s="7" t="s">
        <v>9692</v>
      </c>
      <c r="D2422" s="7" t="s">
        <v>9712</v>
      </c>
      <c r="E2422" s="7" t="s">
        <v>9713</v>
      </c>
      <c r="F2422" s="7" t="str">
        <f>HYPERLINK("http://podereroverat.it/","podereroverat.it")</f>
        <v>podereroverat.it</v>
      </c>
    </row>
    <row r="2423" spans="1:6" ht="29.55" customHeight="1" x14ac:dyDescent="0.25">
      <c r="A2423" s="1" t="s">
        <v>9714</v>
      </c>
      <c r="B2423" s="7" t="s">
        <v>9715</v>
      </c>
      <c r="C2423" s="7" t="s">
        <v>9687</v>
      </c>
      <c r="D2423" s="7" t="s">
        <v>9716</v>
      </c>
      <c r="E2423" s="7" t="s">
        <v>9689</v>
      </c>
      <c r="F2423" s="7" t="str">
        <f>HYPERLINK("http://sassaalsole.it/","sassaalsole.it")</f>
        <v>sassaalsole.it</v>
      </c>
    </row>
    <row r="2424" spans="1:6" ht="29.55" customHeight="1" x14ac:dyDescent="0.25">
      <c r="A2424" s="1" t="s">
        <v>9717</v>
      </c>
      <c r="B2424" s="7" t="s">
        <v>9718</v>
      </c>
      <c r="C2424" s="7" t="s">
        <v>9694</v>
      </c>
      <c r="D2424" s="7" t="s">
        <v>9701</v>
      </c>
      <c r="E2424" s="7" t="s">
        <v>9695</v>
      </c>
      <c r="F2424" s="7" t="str">
        <f>HYPERLINK("http://biolanga.it/","biolanga.it")</f>
        <v>biolanga.it</v>
      </c>
    </row>
    <row r="2425" spans="1:6" ht="16.95" customHeight="1" x14ac:dyDescent="0.25">
      <c r="A2425" s="1" t="s">
        <v>9720</v>
      </c>
      <c r="B2425" s="7" t="s">
        <v>9721</v>
      </c>
      <c r="C2425" s="7" t="s">
        <v>9692</v>
      </c>
      <c r="D2425" s="7" t="s">
        <v>9722</v>
      </c>
      <c r="E2425" s="7" t="s">
        <v>9713</v>
      </c>
      <c r="F2425" s="7" t="str">
        <f>HYPERLINK("http://www.cantinalecarezze.it/","www.cantinalecarezze.it")</f>
        <v>www.cantinalecarezze.it</v>
      </c>
    </row>
    <row r="2426" spans="1:6" ht="43.05" customHeight="1" x14ac:dyDescent="0.25">
      <c r="A2426" s="6" t="s">
        <v>9723</v>
      </c>
      <c r="B2426" s="5" t="s">
        <v>9724</v>
      </c>
      <c r="C2426" s="5" t="s">
        <v>9683</v>
      </c>
      <c r="D2426" s="5" t="s">
        <v>9725</v>
      </c>
      <c r="E2426" s="5" t="s">
        <v>9719</v>
      </c>
      <c r="F2426" s="5" t="str">
        <f>HYPERLINK("http://mulinum.it/","mulinum.it")</f>
        <v>mulinum.it</v>
      </c>
    </row>
    <row r="2427" spans="1:6" ht="29.55" customHeight="1" x14ac:dyDescent="0.25">
      <c r="A2427" s="1" t="s">
        <v>9726</v>
      </c>
      <c r="B2427" s="7" t="s">
        <v>9727</v>
      </c>
      <c r="C2427" s="7" t="s">
        <v>9728</v>
      </c>
      <c r="D2427" s="7" t="s">
        <v>9729</v>
      </c>
      <c r="E2427" s="7" t="s">
        <v>9713</v>
      </c>
      <c r="F2427" s="7" t="str">
        <f>HYPERLINK("http://cooperativa-sociale-montericco-02581720287.quantofattura.com/","cooperativa-sociale-montericco-02581720287.quantofattura.com")</f>
        <v>cooperativa-sociale-montericco-02581720287.quantofattura.com</v>
      </c>
    </row>
    <row r="2428" spans="1:6" ht="16.95" customHeight="1" x14ac:dyDescent="0.25">
      <c r="A2428" s="1" t="s">
        <v>9730</v>
      </c>
      <c r="B2428" s="7" t="s">
        <v>9731</v>
      </c>
      <c r="C2428" s="7" t="s">
        <v>9692</v>
      </c>
      <c r="D2428" s="7" t="s">
        <v>9722</v>
      </c>
      <c r="E2428" s="7" t="s">
        <v>9713</v>
      </c>
      <c r="F2428" s="7" t="str">
        <f>HYPERLINK("http://www.tenutalaca.it/","www.tenutalaca.it")</f>
        <v>www.tenutalaca.it</v>
      </c>
    </row>
    <row r="2429" spans="1:6" ht="29.55" customHeight="1" x14ac:dyDescent="0.25">
      <c r="A2429" s="6" t="s">
        <v>9734</v>
      </c>
      <c r="B2429" s="5" t="s">
        <v>9735</v>
      </c>
      <c r="C2429" s="5" t="s">
        <v>9736</v>
      </c>
      <c r="D2429" s="5" t="s">
        <v>9737</v>
      </c>
      <c r="E2429" s="5" t="s">
        <v>9738</v>
      </c>
      <c r="F2429" s="5" t="str">
        <f>HYPERLINK("http://vivaifratellizichittella.it/","vivaifratellizichittella.it")</f>
        <v>vivaifratellizichittella.it</v>
      </c>
    </row>
    <row r="2430" spans="1:6" ht="29.55" customHeight="1" x14ac:dyDescent="0.25">
      <c r="A2430" s="6" t="s">
        <v>9742</v>
      </c>
      <c r="B2430" s="5" t="s">
        <v>9743</v>
      </c>
      <c r="C2430" s="5" t="s">
        <v>9739</v>
      </c>
      <c r="D2430" s="5" t="s">
        <v>9740</v>
      </c>
      <c r="E2430" s="5" t="s">
        <v>9741</v>
      </c>
      <c r="F2430" s="5" t="str">
        <f>HYPERLINK("http://www.marchesitorrigiani.it/","www.marchesitorrigiani.it")</f>
        <v>www.marchesitorrigiani.it</v>
      </c>
    </row>
    <row r="2431" spans="1:6" ht="29.55" customHeight="1" x14ac:dyDescent="0.25">
      <c r="A2431" s="6" t="s">
        <v>9744</v>
      </c>
      <c r="B2431" s="5" t="s">
        <v>9745</v>
      </c>
      <c r="C2431" s="5" t="s">
        <v>9746</v>
      </c>
      <c r="D2431" s="5" t="s">
        <v>9740</v>
      </c>
      <c r="E2431" s="5" t="s">
        <v>9741</v>
      </c>
      <c r="F2431" s="5" t="str">
        <f>HYPERLINK("http://www.ilpalazzone.com/","www.ilpalazzone.com")</f>
        <v>www.ilpalazzone.com</v>
      </c>
    </row>
    <row r="2432" spans="1:6" ht="43.05" customHeight="1" x14ac:dyDescent="0.25">
      <c r="A2432" s="6" t="s">
        <v>9747</v>
      </c>
      <c r="B2432" s="5" t="s">
        <v>9748</v>
      </c>
      <c r="C2432" s="5" t="s">
        <v>9749</v>
      </c>
      <c r="D2432" s="5" t="s">
        <v>9750</v>
      </c>
      <c r="E2432" s="5" t="s">
        <v>9751</v>
      </c>
      <c r="F2432" s="5" t="str">
        <f>HYPERLINK("http://www.ortobiobroggini.com/","www.ortobiobroggini.com")</f>
        <v>www.ortobiobroggini.com</v>
      </c>
    </row>
    <row r="2433" spans="1:6" ht="68.099999999999994" customHeight="1" x14ac:dyDescent="0.25">
      <c r="A2433" s="1" t="s">
        <v>9752</v>
      </c>
      <c r="B2433" s="7" t="s">
        <v>9753</v>
      </c>
      <c r="C2433" s="7" t="s">
        <v>9739</v>
      </c>
      <c r="D2433" s="7" t="s">
        <v>9754</v>
      </c>
      <c r="E2433" s="7" t="s">
        <v>9755</v>
      </c>
      <c r="F2433" s="7" t="str">
        <f>HYPERLINK("http://www.vinisettecollimoncalvo.com/","www.vinisettecollimoncalvo.com")</f>
        <v>www.vinisettecollimoncalvo.com</v>
      </c>
    </row>
    <row r="2434" spans="1:6" ht="16.95" customHeight="1" x14ac:dyDescent="0.25">
      <c r="A2434" s="1" t="s">
        <v>9759</v>
      </c>
      <c r="B2434" s="7" t="s">
        <v>9760</v>
      </c>
      <c r="C2434" s="7" t="s">
        <v>9758</v>
      </c>
      <c r="D2434" s="7" t="s">
        <v>9761</v>
      </c>
      <c r="E2434" s="7" t="s">
        <v>9762</v>
      </c>
      <c r="F2434" s="7" t="str">
        <f>HYPERLINK("http://www.vitalconserve.com/","http://www.vitalconserve.com")</f>
        <v>http://www.vitalconserve.com</v>
      </c>
    </row>
    <row r="2435" spans="1:6" ht="55.65" customHeight="1" x14ac:dyDescent="0.25">
      <c r="A2435" s="6" t="s">
        <v>9763</v>
      </c>
      <c r="B2435" s="5" t="s">
        <v>9764</v>
      </c>
      <c r="C2435" s="5" t="s">
        <v>9765</v>
      </c>
      <c r="D2435" s="5" t="s">
        <v>9766</v>
      </c>
      <c r="E2435" s="5" t="s">
        <v>9767</v>
      </c>
      <c r="F2435" s="5" t="str">
        <f>HYPERLINK("http://www.vitellonebianco.it/","www.vitellonebianco.it")</f>
        <v>www.vitellonebianco.it</v>
      </c>
    </row>
    <row r="2436" spans="1:6" ht="29.55" customHeight="1" x14ac:dyDescent="0.25">
      <c r="A2436" s="6" t="s">
        <v>9768</v>
      </c>
      <c r="B2436" s="5" t="s">
        <v>9769</v>
      </c>
      <c r="C2436" s="5" t="s">
        <v>9758</v>
      </c>
      <c r="D2436" s="5" t="s">
        <v>9770</v>
      </c>
      <c r="E2436" s="5" t="s">
        <v>9733</v>
      </c>
      <c r="F2436" s="5" t="str">
        <f>HYPERLINK("http://www.consorziosocialeromagnolo.it/cooperativa-agricola-sociale-riminese/","www.consorziosocialeromagnolo.it/cooperativa-agricola-sociale-riminese/")</f>
        <v>www.consorziosocialeromagnolo.it/cooperativa-agricola-sociale-riminese/</v>
      </c>
    </row>
    <row r="2437" spans="1:6" ht="29.55" customHeight="1" x14ac:dyDescent="0.25">
      <c r="A2437" s="6" t="s">
        <v>9771</v>
      </c>
      <c r="B2437" s="5" t="s">
        <v>9772</v>
      </c>
      <c r="C2437" s="5" t="s">
        <v>9773</v>
      </c>
      <c r="D2437" s="5" t="s">
        <v>9774</v>
      </c>
      <c r="E2437" s="5" t="s">
        <v>9755</v>
      </c>
      <c r="F2437" s="5" t="str">
        <f>HYPERLINK("http://www.paesaggivivai.it/","www.paesaggivivai.it")</f>
        <v>www.paesaggivivai.it</v>
      </c>
    </row>
    <row r="2438" spans="1:6" ht="16.95" customHeight="1" x14ac:dyDescent="0.25">
      <c r="A2438" s="6" t="s">
        <v>9776</v>
      </c>
      <c r="B2438" s="5" t="s">
        <v>9777</v>
      </c>
      <c r="C2438" s="5" t="s">
        <v>9732</v>
      </c>
      <c r="D2438" s="5" t="s">
        <v>9778</v>
      </c>
      <c r="E2438" s="5" t="s">
        <v>9757</v>
      </c>
      <c r="F2438" s="5" t="str">
        <f>HYPERLINK("http://m.facebook.com/tenutalincanto/?locale2=it_it","m.facebook.com/tenutalincanto/?locale2=it_it")</f>
        <v>m.facebook.com/tenutalincanto/?locale2=it_it</v>
      </c>
    </row>
    <row r="2439" spans="1:6" ht="29.55" customHeight="1" x14ac:dyDescent="0.25">
      <c r="A2439" s="1" t="s">
        <v>9779</v>
      </c>
      <c r="B2439" s="7" t="s">
        <v>9780</v>
      </c>
      <c r="C2439" s="7" t="s">
        <v>9781</v>
      </c>
      <c r="D2439" s="7" t="s">
        <v>9782</v>
      </c>
      <c r="E2439" s="7" t="s">
        <v>9741</v>
      </c>
      <c r="F2439" s="7" t="str">
        <f>HYPERLINK("http://tenutapianirossi.com/","tenutapianirossi.com")</f>
        <v>tenutapianirossi.com</v>
      </c>
    </row>
    <row r="2440" spans="1:6" ht="29.55" customHeight="1" x14ac:dyDescent="0.25">
      <c r="A2440" s="1" t="s">
        <v>9783</v>
      </c>
      <c r="B2440" s="7" t="s">
        <v>9784</v>
      </c>
      <c r="C2440" s="7" t="s">
        <v>9739</v>
      </c>
      <c r="D2440" s="7" t="s">
        <v>9775</v>
      </c>
      <c r="E2440" s="7" t="s">
        <v>9757</v>
      </c>
      <c r="F2440" s="7" t="str">
        <f>HYPERLINK("http://www.giuseppeapicella.it/","www.giuseppeapicella.it")</f>
        <v>www.giuseppeapicella.it</v>
      </c>
    </row>
    <row r="2441" spans="1:6" ht="29.55" customHeight="1" x14ac:dyDescent="0.25">
      <c r="A2441" s="6" t="s">
        <v>9785</v>
      </c>
      <c r="B2441" s="5" t="s">
        <v>9786</v>
      </c>
      <c r="C2441" s="5" t="s">
        <v>9756</v>
      </c>
      <c r="D2441" s="5" t="s">
        <v>9787</v>
      </c>
      <c r="E2441" s="5" t="s">
        <v>9738</v>
      </c>
      <c r="F2441" s="5" t="str">
        <f>HYPERLINK("http://www.terredamiano.com/","www.terredamiano.com")</f>
        <v>www.terredamiano.com</v>
      </c>
    </row>
    <row r="2442" spans="1:6" ht="29.55" customHeight="1" x14ac:dyDescent="0.25">
      <c r="A2442" s="1" t="s">
        <v>9788</v>
      </c>
      <c r="B2442" s="7" t="s">
        <v>9789</v>
      </c>
      <c r="C2442" s="7" t="s">
        <v>9790</v>
      </c>
      <c r="D2442" s="7" t="s">
        <v>9791</v>
      </c>
      <c r="E2442" s="7" t="s">
        <v>9792</v>
      </c>
      <c r="F2442" s="7" t="str">
        <f>HYPERLINK("http://www.birrificiosanpietro.it/","www.birrificiosanpietro.it")</f>
        <v>www.birrificiosanpietro.it</v>
      </c>
    </row>
    <row r="2443" spans="1:6" ht="55.65" customHeight="1" x14ac:dyDescent="0.25">
      <c r="A2443" s="6" t="s">
        <v>9793</v>
      </c>
      <c r="B2443" s="5" t="s">
        <v>9794</v>
      </c>
      <c r="C2443" s="5" t="s">
        <v>9795</v>
      </c>
      <c r="D2443" s="5" t="s">
        <v>9796</v>
      </c>
      <c r="E2443" s="5" t="s">
        <v>9797</v>
      </c>
      <c r="F2443" s="5" t="str">
        <f>HYPERLINK("http://pomosalentoviaospina48.business.site/","pomosalentoviaospina48.business.site/")</f>
        <v>pomosalentoviaospina48.business.site/</v>
      </c>
    </row>
    <row r="2444" spans="1:6" ht="29.55" customHeight="1" x14ac:dyDescent="0.25">
      <c r="A2444" s="6" t="s">
        <v>9798</v>
      </c>
      <c r="B2444" s="5" t="s">
        <v>9799</v>
      </c>
      <c r="C2444" s="5" t="s">
        <v>9795</v>
      </c>
      <c r="D2444" s="5" t="s">
        <v>9800</v>
      </c>
      <c r="E2444" s="5" t="s">
        <v>9801</v>
      </c>
      <c r="F2444" s="5" t="str">
        <f>HYPERLINK("http://www.iltrattore.it/","www.iltrattore.it")</f>
        <v>www.iltrattore.it</v>
      </c>
    </row>
    <row r="2445" spans="1:6" ht="43.05" customHeight="1" x14ac:dyDescent="0.25">
      <c r="A2445" s="6" t="s">
        <v>9804</v>
      </c>
      <c r="B2445" s="5" t="s">
        <v>9805</v>
      </c>
      <c r="C2445" s="5" t="s">
        <v>9790</v>
      </c>
      <c r="D2445" s="5" t="s">
        <v>9806</v>
      </c>
      <c r="E2445" s="5" t="s">
        <v>9807</v>
      </c>
      <c r="F2445" s="5" t="str">
        <f>HYPERLINK("http://savignola-paolina.tuscanyitalyhotels.com/","savignola-paolina.tuscanyitalyhotels.com")</f>
        <v>savignola-paolina.tuscanyitalyhotels.com</v>
      </c>
    </row>
    <row r="2446" spans="1:6" ht="29.55" customHeight="1" x14ac:dyDescent="0.25">
      <c r="A2446" s="6" t="s">
        <v>9809</v>
      </c>
      <c r="B2446" s="5" t="s">
        <v>9810</v>
      </c>
      <c r="C2446" s="5" t="s">
        <v>9790</v>
      </c>
      <c r="D2446" s="5" t="s">
        <v>9806</v>
      </c>
      <c r="E2446" s="5" t="s">
        <v>9807</v>
      </c>
      <c r="F2446" s="5" t="str">
        <f>HYPERLINK("http://fattoriavalacchi.it/","fattoriavalacchi.it")</f>
        <v>fattoriavalacchi.it</v>
      </c>
    </row>
    <row r="2447" spans="1:6" ht="43.05" customHeight="1" x14ac:dyDescent="0.25">
      <c r="A2447" s="6" t="s">
        <v>9811</v>
      </c>
      <c r="B2447" s="5" t="s">
        <v>9812</v>
      </c>
      <c r="C2447" s="5" t="s">
        <v>9802</v>
      </c>
      <c r="D2447" s="5" t="s">
        <v>9813</v>
      </c>
      <c r="E2447" s="5" t="s">
        <v>9814</v>
      </c>
      <c r="F2447" s="5" t="str">
        <f>HYPERLINK("http://www.lablavedimortean.com/","www.lablavedimortean.com")</f>
        <v>www.lablavedimortean.com</v>
      </c>
    </row>
    <row r="2448" spans="1:6" ht="55.65" customHeight="1" x14ac:dyDescent="0.25">
      <c r="A2448" s="6" t="s">
        <v>9816</v>
      </c>
      <c r="B2448" s="5" t="s">
        <v>9817</v>
      </c>
      <c r="C2448" s="5" t="s">
        <v>9790</v>
      </c>
      <c r="D2448" s="5" t="s">
        <v>9818</v>
      </c>
      <c r="E2448" s="5" t="s">
        <v>9819</v>
      </c>
      <c r="F2448" s="5" t="str">
        <f>HYPERLINK("http://www.residenzasanvito.it/","www.residenzasanvito.it")</f>
        <v>www.residenzasanvito.it</v>
      </c>
    </row>
    <row r="2449" spans="1:6" ht="29.55" customHeight="1" x14ac:dyDescent="0.25">
      <c r="A2449" s="1" t="s">
        <v>9820</v>
      </c>
      <c r="B2449" s="7" t="s">
        <v>9821</v>
      </c>
      <c r="C2449" s="7" t="s">
        <v>9790</v>
      </c>
      <c r="D2449" s="7" t="s">
        <v>9822</v>
      </c>
      <c r="E2449" s="7" t="s">
        <v>9823</v>
      </c>
      <c r="F2449" s="7" t="str">
        <f>HYPERLINK("http://www.maccarivini.it/vini/","www.maccarivini.it/vini/")</f>
        <v>www.maccarivini.it/vini/</v>
      </c>
    </row>
    <row r="2450" spans="1:6" ht="68.099999999999994" customHeight="1" x14ac:dyDescent="0.25">
      <c r="A2450" s="1" t="s">
        <v>9824</v>
      </c>
      <c r="B2450" s="7" t="s">
        <v>9825</v>
      </c>
      <c r="C2450" s="7" t="s">
        <v>9826</v>
      </c>
      <c r="D2450" s="7" t="s">
        <v>9827</v>
      </c>
      <c r="E2450" s="7" t="s">
        <v>9828</v>
      </c>
      <c r="F2450" s="7" t="str">
        <f>HYPERLINK("http://autosufficienza.it/","autosufficienza.it")</f>
        <v>autosufficienza.it</v>
      </c>
    </row>
    <row r="2451" spans="1:6" ht="29.55" customHeight="1" x14ac:dyDescent="0.25">
      <c r="A2451" s="1" t="s">
        <v>9832</v>
      </c>
      <c r="B2451" s="7" t="s">
        <v>9833</v>
      </c>
      <c r="C2451" s="7" t="s">
        <v>9815</v>
      </c>
      <c r="D2451" s="7" t="s">
        <v>9834</v>
      </c>
      <c r="E2451" s="7" t="s">
        <v>9803</v>
      </c>
      <c r="F2451" s="7" t="str">
        <f>HYPERLINK("http://www.pangeabiofarm.com/","www.pangeabiofarm.com")</f>
        <v>www.pangeabiofarm.com</v>
      </c>
    </row>
    <row r="2452" spans="1:6" ht="43.05" customHeight="1" x14ac:dyDescent="0.25">
      <c r="A2452" s="6" t="s">
        <v>9835</v>
      </c>
      <c r="B2452" s="5" t="s">
        <v>9836</v>
      </c>
      <c r="C2452" s="5" t="s">
        <v>9790</v>
      </c>
      <c r="D2452" s="5" t="s">
        <v>9837</v>
      </c>
      <c r="E2452" s="5" t="s">
        <v>9831</v>
      </c>
      <c r="F2452" s="5" t="str">
        <f>HYPERLINK("http://www.terredigiafar.it/","www.terredigiafar.it")</f>
        <v>www.terredigiafar.it</v>
      </c>
    </row>
    <row r="2453" spans="1:6" ht="29.55" customHeight="1" x14ac:dyDescent="0.25">
      <c r="A2453" s="1" t="s">
        <v>9838</v>
      </c>
      <c r="B2453" s="7" t="s">
        <v>9839</v>
      </c>
      <c r="C2453" s="7" t="s">
        <v>9790</v>
      </c>
      <c r="D2453" s="7" t="s">
        <v>9829</v>
      </c>
      <c r="E2453" s="7" t="s">
        <v>9830</v>
      </c>
      <c r="F2453" s="7" t="str">
        <f>HYPERLINK("http://www.terradiea.it/","www.terradiea.it")</f>
        <v>www.terradiea.it</v>
      </c>
    </row>
    <row r="2454" spans="1:6" ht="29.55" customHeight="1" x14ac:dyDescent="0.25">
      <c r="A2454" s="1" t="s">
        <v>9840</v>
      </c>
      <c r="B2454" s="7" t="s">
        <v>9841</v>
      </c>
      <c r="C2454" s="7" t="s">
        <v>9808</v>
      </c>
      <c r="D2454" s="7" t="s">
        <v>9842</v>
      </c>
      <c r="E2454" s="7" t="s">
        <v>9823</v>
      </c>
      <c r="F2454" s="7" t="str">
        <f>HYPERLINK("http://polisolesino.com/","polisolesino.com")</f>
        <v>polisolesino.com</v>
      </c>
    </row>
    <row r="2455" spans="1:6" ht="29.55" customHeight="1" x14ac:dyDescent="0.25">
      <c r="A2455" s="6" t="s">
        <v>9843</v>
      </c>
      <c r="B2455" s="5" t="s">
        <v>9844</v>
      </c>
      <c r="C2455" s="5" t="s">
        <v>9790</v>
      </c>
      <c r="D2455" s="5" t="s">
        <v>9845</v>
      </c>
      <c r="E2455" s="5" t="s">
        <v>9797</v>
      </c>
      <c r="F2455" s="5" t="str">
        <f>HYPERLINK("http://shop.giovanniaiello.it/","shop.giovanniaiello.it")</f>
        <v>shop.giovanniaiello.it</v>
      </c>
    </row>
    <row r="2456" spans="1:6" ht="29.55" customHeight="1" x14ac:dyDescent="0.25">
      <c r="A2456" s="6" t="s">
        <v>9846</v>
      </c>
      <c r="B2456" s="5" t="s">
        <v>9847</v>
      </c>
      <c r="C2456" s="5" t="s">
        <v>9848</v>
      </c>
      <c r="D2456" s="5" t="s">
        <v>9849</v>
      </c>
      <c r="E2456" s="5" t="s">
        <v>9803</v>
      </c>
      <c r="F2456" s="5" t="str">
        <f>HYPERLINK("http://www.casadelmulino.com/","www.casadelmulino.com")</f>
        <v>www.casadelmulino.com</v>
      </c>
    </row>
    <row r="2457" spans="1:6" ht="43.05" customHeight="1" x14ac:dyDescent="0.25">
      <c r="A2457" s="1" t="s">
        <v>9850</v>
      </c>
      <c r="B2457" s="7" t="s">
        <v>9851</v>
      </c>
      <c r="C2457" s="7" t="s">
        <v>9826</v>
      </c>
      <c r="D2457" s="7" t="s">
        <v>9852</v>
      </c>
      <c r="E2457" s="7" t="s">
        <v>9819</v>
      </c>
      <c r="F2457" s="7" t="str">
        <f>HYPERLINK("http://www.fratelliquaglia.it/","www.fratelliquaglia.it")</f>
        <v>www.fratelliquaglia.it</v>
      </c>
    </row>
    <row r="2458" spans="1:6" ht="29.55" customHeight="1" x14ac:dyDescent="0.25">
      <c r="A2458" s="6" t="s">
        <v>9853</v>
      </c>
      <c r="B2458" s="5" t="s">
        <v>9854</v>
      </c>
      <c r="C2458" s="5" t="s">
        <v>9790</v>
      </c>
      <c r="D2458" s="5" t="s">
        <v>9855</v>
      </c>
      <c r="E2458" s="5" t="s">
        <v>9797</v>
      </c>
      <c r="F2458" s="5" t="str">
        <f>HYPERLINK("http://www.diredadomini.it/","www.diredadomini.it")</f>
        <v>www.diredadomini.it</v>
      </c>
    </row>
    <row r="2459" spans="1:6" ht="29.55" customHeight="1" x14ac:dyDescent="0.25">
      <c r="A2459" s="6" t="s">
        <v>9857</v>
      </c>
      <c r="B2459" s="5" t="s">
        <v>9858</v>
      </c>
      <c r="C2459" s="5" t="s">
        <v>9859</v>
      </c>
      <c r="D2459" s="5" t="s">
        <v>9860</v>
      </c>
      <c r="E2459" s="5" t="s">
        <v>9861</v>
      </c>
      <c r="F2459" s="5" t="str">
        <f>HYPERLINK("http://www.panizzariwine.it/","www.panizzariwine.it")</f>
        <v>www.panizzariwine.it</v>
      </c>
    </row>
    <row r="2460" spans="1:6" ht="29.55" customHeight="1" x14ac:dyDescent="0.25">
      <c r="A2460" s="1" t="s">
        <v>9862</v>
      </c>
      <c r="B2460" s="7" t="s">
        <v>9863</v>
      </c>
      <c r="C2460" s="7" t="s">
        <v>9864</v>
      </c>
      <c r="D2460" s="7" t="s">
        <v>9865</v>
      </c>
      <c r="E2460" s="7" t="s">
        <v>9856</v>
      </c>
      <c r="F2460" s="7" t="str">
        <f>HYPERLINK("http://www.postabassi.it/","www.postabassi.it")</f>
        <v>www.postabassi.it</v>
      </c>
    </row>
    <row r="2461" spans="1:6" ht="43.05" customHeight="1" x14ac:dyDescent="0.25">
      <c r="A2461" s="6" t="s">
        <v>9866</v>
      </c>
      <c r="B2461" s="5" t="s">
        <v>9867</v>
      </c>
      <c r="C2461" s="5" t="s">
        <v>9868</v>
      </c>
      <c r="D2461" s="5" t="s">
        <v>9869</v>
      </c>
      <c r="E2461" s="5" t="s">
        <v>9861</v>
      </c>
      <c r="F2461" s="5" t="str">
        <f>HYPERLINK("http://www.latteriaturnaria.it/","www.latteriaturnaria.it")</f>
        <v>www.latteriaturnaria.it</v>
      </c>
    </row>
    <row r="2462" spans="1:6" ht="43.05" customHeight="1" x14ac:dyDescent="0.25">
      <c r="A2462" s="6" t="s">
        <v>9873</v>
      </c>
      <c r="B2462" s="5" t="s">
        <v>9874</v>
      </c>
      <c r="C2462" s="5" t="s">
        <v>9872</v>
      </c>
      <c r="D2462" s="5" t="s">
        <v>9875</v>
      </c>
      <c r="E2462" s="5" t="s">
        <v>9876</v>
      </c>
      <c r="F2462" s="5" t="str">
        <f>HYPERLINK("http://www.facebook.com/macelleriaconsorzio/?ref=pages_you_manage","www.facebook.com/macelleriaconsorzio/?ref=pages_you_manage")</f>
        <v>www.facebook.com/macelleriaconsorzio/?ref=pages_you_manage</v>
      </c>
    </row>
    <row r="2463" spans="1:6" ht="55.65" customHeight="1" x14ac:dyDescent="0.25">
      <c r="A2463" s="1" t="s">
        <v>9877</v>
      </c>
      <c r="B2463" s="7" t="s">
        <v>9878</v>
      </c>
      <c r="C2463" s="7" t="s">
        <v>9871</v>
      </c>
      <c r="D2463" s="7" t="s">
        <v>9879</v>
      </c>
      <c r="E2463" s="7" t="s">
        <v>9880</v>
      </c>
      <c r="F2463" s="7" t="str">
        <f>HYPERLINK("http://www.consorziozootecnicovi.it/","www.consorziozootecnicovi.it")</f>
        <v>www.consorziozootecnicovi.it</v>
      </c>
    </row>
    <row r="2464" spans="1:6" ht="16.95" customHeight="1" x14ac:dyDescent="0.25">
      <c r="A2464" s="1" t="s">
        <v>9881</v>
      </c>
      <c r="B2464" s="7" t="s">
        <v>9882</v>
      </c>
      <c r="C2464" s="7" t="s">
        <v>9883</v>
      </c>
      <c r="D2464" s="7" t="s">
        <v>9884</v>
      </c>
      <c r="E2464" s="7" t="s">
        <v>9885</v>
      </c>
      <c r="F2464" s="7" t="str">
        <f>HYPERLINK("http://www.sctecno.com/","www.sctecno.com")</f>
        <v>www.sctecno.com</v>
      </c>
    </row>
    <row r="2465" spans="1:6" ht="29.55" customHeight="1" x14ac:dyDescent="0.25">
      <c r="A2465" s="6" t="s">
        <v>9886</v>
      </c>
      <c r="B2465" s="5" t="s">
        <v>9887</v>
      </c>
      <c r="C2465" s="5" t="s">
        <v>9888</v>
      </c>
      <c r="D2465" s="5" t="s">
        <v>9889</v>
      </c>
      <c r="E2465" s="5" t="s">
        <v>9861</v>
      </c>
      <c r="F2465" s="5" t="str">
        <f>HYPERLINK("http://www.agrichiclaguardola.it/","www.agrichiclaguardola.it")</f>
        <v>www.agrichiclaguardola.it</v>
      </c>
    </row>
    <row r="2466" spans="1:6" ht="29.55" customHeight="1" x14ac:dyDescent="0.25">
      <c r="A2466" s="1" t="s">
        <v>9890</v>
      </c>
      <c r="B2466" s="7" t="s">
        <v>9891</v>
      </c>
      <c r="C2466" s="7" t="s">
        <v>9892</v>
      </c>
      <c r="D2466" s="7" t="s">
        <v>9893</v>
      </c>
      <c r="E2466" s="7" t="s">
        <v>9870</v>
      </c>
      <c r="F2466" s="7" t="str">
        <f>HYPERLINK("http://biohortoplant.it/","biohortoplant.it")</f>
        <v>biohortoplant.it</v>
      </c>
    </row>
    <row r="2467" spans="1:6" ht="29.55" customHeight="1" x14ac:dyDescent="0.25">
      <c r="A2467" s="1" t="s">
        <v>9894</v>
      </c>
      <c r="B2467" s="7" t="s">
        <v>9895</v>
      </c>
      <c r="C2467" s="7" t="s">
        <v>9896</v>
      </c>
      <c r="D2467" s="7" t="s">
        <v>9897</v>
      </c>
      <c r="E2467" s="7" t="s">
        <v>9898</v>
      </c>
      <c r="F2467" s="7" t="str">
        <f>HYPERLINK("http://www.boscorosso.it/","www.boscorosso.it")</f>
        <v>www.boscorosso.it</v>
      </c>
    </row>
    <row r="2468" spans="1:6" ht="29.55" customHeight="1" x14ac:dyDescent="0.25">
      <c r="A2468" s="6" t="s">
        <v>9899</v>
      </c>
      <c r="B2468" s="5" t="s">
        <v>9900</v>
      </c>
      <c r="C2468" s="5" t="s">
        <v>9901</v>
      </c>
      <c r="D2468" s="5" t="s">
        <v>9902</v>
      </c>
      <c r="E2468" s="5" t="s">
        <v>9903</v>
      </c>
      <c r="F2468" s="5" t="str">
        <f>HYPERLINK("http://www.amadori.it/","www.amadori.it")</f>
        <v>www.amadori.it</v>
      </c>
    </row>
    <row r="2469" spans="1:6" ht="68.099999999999994" customHeight="1" x14ac:dyDescent="0.25">
      <c r="A2469" s="1" t="s">
        <v>9904</v>
      </c>
      <c r="B2469" s="7" t="s">
        <v>9905</v>
      </c>
      <c r="C2469" s="7" t="s">
        <v>9871</v>
      </c>
      <c r="D2469" s="7" t="s">
        <v>9906</v>
      </c>
      <c r="E2469" s="7" t="s">
        <v>9907</v>
      </c>
      <c r="F2469" s="7" t="str">
        <f>HYPERLINK("http://www.coverpiante.com/","www.coverpiante.com")</f>
        <v>www.coverpiante.com</v>
      </c>
    </row>
    <row r="2470" spans="1:6" ht="29.55" customHeight="1" x14ac:dyDescent="0.25">
      <c r="A2470" s="1" t="s">
        <v>9908</v>
      </c>
      <c r="B2470" s="7" t="s">
        <v>9909</v>
      </c>
      <c r="C2470" s="7" t="s">
        <v>9910</v>
      </c>
      <c r="D2470" s="7" t="s">
        <v>9902</v>
      </c>
      <c r="E2470" s="7" t="s">
        <v>9903</v>
      </c>
      <c r="F2470" s="7" t="str">
        <f>HYPERLINK("http://www.gennaropigliacampo.com/","www.gennaropigliacampo.com")</f>
        <v>www.gennaropigliacampo.com</v>
      </c>
    </row>
    <row r="2471" spans="1:6" ht="29.55" customHeight="1" x14ac:dyDescent="0.25">
      <c r="A2471" s="1" t="s">
        <v>9911</v>
      </c>
      <c r="B2471" s="7" t="s">
        <v>9912</v>
      </c>
      <c r="C2471" s="7" t="s">
        <v>9871</v>
      </c>
      <c r="D2471" s="7" t="s">
        <v>9913</v>
      </c>
      <c r="E2471" s="7" t="s">
        <v>9880</v>
      </c>
      <c r="F2471" s="7" t="str">
        <f>HYPERLINK("http://www.centrolevallette.it/","www.centrolevallette.it")</f>
        <v>www.centrolevallette.it</v>
      </c>
    </row>
    <row r="2472" spans="1:6" ht="43.05" customHeight="1" x14ac:dyDescent="0.25">
      <c r="A2472" s="6" t="s">
        <v>9915</v>
      </c>
      <c r="B2472" s="5" t="s">
        <v>9916</v>
      </c>
      <c r="C2472" s="5" t="s">
        <v>9917</v>
      </c>
      <c r="D2472" s="5" t="s">
        <v>9918</v>
      </c>
      <c r="E2472" s="5" t="s">
        <v>9919</v>
      </c>
      <c r="F2472" s="5" t="str">
        <f>HYPERLINK("http://www.consorziodibonificasudpontino.it/","www.consorziodibonificasudpontino.it")</f>
        <v>www.consorziodibonificasudpontino.it</v>
      </c>
    </row>
    <row r="2473" spans="1:6" ht="29.55" customHeight="1" x14ac:dyDescent="0.25">
      <c r="A2473" s="6" t="s">
        <v>9922</v>
      </c>
      <c r="B2473" s="5" t="s">
        <v>9923</v>
      </c>
      <c r="C2473" s="5" t="s">
        <v>9924</v>
      </c>
      <c r="D2473" s="5" t="s">
        <v>9925</v>
      </c>
      <c r="E2473" s="5" t="s">
        <v>9926</v>
      </c>
      <c r="F2473" s="5" t="str">
        <f>HYPERLINK("http://www.truffleland.com/","www.truffleland.com")</f>
        <v>www.truffleland.com</v>
      </c>
    </row>
    <row r="2474" spans="1:6" ht="43.05" customHeight="1" x14ac:dyDescent="0.25">
      <c r="A2474" s="1" t="s">
        <v>9927</v>
      </c>
      <c r="B2474" s="7" t="s">
        <v>9928</v>
      </c>
      <c r="C2474" s="7" t="s">
        <v>9929</v>
      </c>
      <c r="D2474" s="7" t="s">
        <v>9930</v>
      </c>
      <c r="E2474" s="7" t="s">
        <v>9919</v>
      </c>
      <c r="F2474" s="7" t="str">
        <f>HYPERLINK("http://www.caseificiopontedilegno.it/","www.caseificiopontedilegno.it")</f>
        <v>www.caseificiopontedilegno.it</v>
      </c>
    </row>
    <row r="2475" spans="1:6" ht="29.55" customHeight="1" x14ac:dyDescent="0.25">
      <c r="A2475" s="6" t="s">
        <v>9931</v>
      </c>
      <c r="B2475" s="5" t="s">
        <v>9932</v>
      </c>
      <c r="C2475" s="5" t="s">
        <v>9933</v>
      </c>
      <c r="D2475" s="5" t="s">
        <v>9934</v>
      </c>
      <c r="E2475" s="5" t="s">
        <v>9919</v>
      </c>
      <c r="F2475" s="5" t="str">
        <f>HYPERLINK("http://www.casacoco.it/","www.casacoco.it")</f>
        <v>www.casacoco.it</v>
      </c>
    </row>
    <row r="2476" spans="1:6" ht="29.55" customHeight="1" x14ac:dyDescent="0.25">
      <c r="A2476" s="6" t="s">
        <v>9936</v>
      </c>
      <c r="B2476" s="5" t="s">
        <v>9937</v>
      </c>
      <c r="C2476" s="5" t="s">
        <v>9938</v>
      </c>
      <c r="D2476" s="5" t="s">
        <v>9939</v>
      </c>
      <c r="E2476" s="5" t="s">
        <v>9935</v>
      </c>
      <c r="F2476" s="5" t="str">
        <f>HYPERLINK("http://vivaibuemi.it/","vivaibuemi.it")</f>
        <v>vivaibuemi.it</v>
      </c>
    </row>
    <row r="2477" spans="1:6" ht="29.55" customHeight="1" x14ac:dyDescent="0.25">
      <c r="A2477" s="1" t="s">
        <v>9940</v>
      </c>
      <c r="B2477" s="7" t="s">
        <v>9941</v>
      </c>
      <c r="C2477" s="7" t="s">
        <v>9938</v>
      </c>
      <c r="D2477" s="7" t="s">
        <v>9942</v>
      </c>
      <c r="E2477" s="7" t="s">
        <v>9921</v>
      </c>
      <c r="F2477" s="7" t="str">
        <f>HYPERLINK("http://royalvivai.it/","royalvivai.it")</f>
        <v>royalvivai.it</v>
      </c>
    </row>
    <row r="2478" spans="1:6" ht="43.05" customHeight="1" x14ac:dyDescent="0.25">
      <c r="A2478" s="6" t="s">
        <v>9943</v>
      </c>
      <c r="B2478" s="5" t="s">
        <v>9944</v>
      </c>
      <c r="C2478" s="5" t="s">
        <v>9945</v>
      </c>
      <c r="D2478" s="5" t="s">
        <v>9946</v>
      </c>
      <c r="E2478" s="5" t="s">
        <v>9947</v>
      </c>
      <c r="F2478" s="5" t="str">
        <f>HYPERLINK("http://www.glispinoni.it/","www.glispinoni.it")</f>
        <v>www.glispinoni.it</v>
      </c>
    </row>
    <row r="2479" spans="1:6" ht="29.55" customHeight="1" x14ac:dyDescent="0.25">
      <c r="A2479" s="1" t="s">
        <v>9948</v>
      </c>
      <c r="B2479" s="7" t="s">
        <v>9949</v>
      </c>
      <c r="C2479" s="7" t="s">
        <v>9914</v>
      </c>
      <c r="D2479" s="7" t="s">
        <v>9950</v>
      </c>
      <c r="E2479" s="7" t="s">
        <v>9951</v>
      </c>
      <c r="F2479" s="7" t="str">
        <f>HYPERLINK("http://book.potentino.com/","book.potentino.com")</f>
        <v>book.potentino.com</v>
      </c>
    </row>
    <row r="2480" spans="1:6" ht="29.55" customHeight="1" x14ac:dyDescent="0.25">
      <c r="A2480" s="1" t="s">
        <v>9953</v>
      </c>
      <c r="B2480" s="7" t="s">
        <v>9954</v>
      </c>
      <c r="C2480" s="7" t="s">
        <v>9955</v>
      </c>
      <c r="D2480" s="7" t="s">
        <v>9956</v>
      </c>
      <c r="E2480" s="7" t="s">
        <v>9957</v>
      </c>
      <c r="F2480" s="7" t="str">
        <f>HYPERLINK("http://www.cooperativaisoladiborgonovo.it/","www.cooperativaisoladiborgonovo.it")</f>
        <v>www.cooperativaisoladiborgonovo.it</v>
      </c>
    </row>
    <row r="2481" spans="1:6" ht="29.55" customHeight="1" x14ac:dyDescent="0.25">
      <c r="A2481" s="6" t="s">
        <v>9958</v>
      </c>
      <c r="B2481" s="5" t="s">
        <v>9959</v>
      </c>
      <c r="C2481" s="5" t="s">
        <v>9920</v>
      </c>
      <c r="D2481" s="5" t="s">
        <v>9960</v>
      </c>
      <c r="E2481" s="5" t="s">
        <v>9961</v>
      </c>
      <c r="F2481" s="5" t="str">
        <f>HYPERLINK("http://www.coopmontesantacroce.it/","www.coopmontesantacroce.it")</f>
        <v>www.coopmontesantacroce.it</v>
      </c>
    </row>
    <row r="2482" spans="1:6" ht="29.55" customHeight="1" x14ac:dyDescent="0.25">
      <c r="A2482" s="6" t="s">
        <v>9962</v>
      </c>
      <c r="B2482" s="5" t="s">
        <v>9963</v>
      </c>
      <c r="C2482" s="5" t="s">
        <v>9914</v>
      </c>
      <c r="D2482" s="5" t="s">
        <v>9964</v>
      </c>
      <c r="E2482" s="5" t="s">
        <v>9921</v>
      </c>
      <c r="F2482" s="5" t="str">
        <f>HYPERLINK("http://www.franchinivini.com/","www.franchinivini.com")</f>
        <v>www.franchinivini.com</v>
      </c>
    </row>
    <row r="2483" spans="1:6" ht="29.55" customHeight="1" x14ac:dyDescent="0.25">
      <c r="A2483" s="1" t="s">
        <v>9966</v>
      </c>
      <c r="B2483" s="7" t="s">
        <v>9967</v>
      </c>
      <c r="C2483" s="7" t="s">
        <v>9968</v>
      </c>
      <c r="D2483" s="7" t="s">
        <v>9969</v>
      </c>
      <c r="E2483" s="7" t="s">
        <v>9970</v>
      </c>
      <c r="F2483" s="7" t="str">
        <f>HYPERLINK("http://www.ifigroup.it/","www.ifigroup.it")</f>
        <v>www.ifigroup.it</v>
      </c>
    </row>
    <row r="2484" spans="1:6" ht="43.05" customHeight="1" x14ac:dyDescent="0.25">
      <c r="A2484" s="6" t="s">
        <v>9971</v>
      </c>
      <c r="B2484" s="5" t="s">
        <v>9972</v>
      </c>
      <c r="C2484" s="5" t="s">
        <v>9914</v>
      </c>
      <c r="D2484" s="5" t="s">
        <v>9973</v>
      </c>
      <c r="E2484" s="5" t="s">
        <v>9974</v>
      </c>
      <c r="F2484" s="5" t="str">
        <f>HYPERLINK("http://immobiliare-agricola-piemontese-societa-a-responsa-00187300058.quantofattura.com/","immobiliare-agricola-piemontese-societa-a-responsa-00187300058.quantofattura.com")</f>
        <v>immobiliare-agricola-piemontese-societa-a-responsa-00187300058.quantofattura.com</v>
      </c>
    </row>
    <row r="2485" spans="1:6" ht="29.55" customHeight="1" x14ac:dyDescent="0.25">
      <c r="A2485" s="1" t="s">
        <v>9975</v>
      </c>
      <c r="B2485" s="7" t="s">
        <v>9976</v>
      </c>
      <c r="C2485" s="7" t="s">
        <v>9952</v>
      </c>
      <c r="D2485" s="7" t="s">
        <v>9930</v>
      </c>
      <c r="E2485" s="7" t="s">
        <v>9919</v>
      </c>
      <c r="F2485" s="7" t="str">
        <f>HYPERLINK("http://www.laperladeltevere.com/","www.laperladeltevere.com")</f>
        <v>www.laperladeltevere.com</v>
      </c>
    </row>
    <row r="2486" spans="1:6" ht="29.55" customHeight="1" x14ac:dyDescent="0.25">
      <c r="A2486" s="6" t="s">
        <v>9977</v>
      </c>
      <c r="B2486" s="5" t="s">
        <v>9978</v>
      </c>
      <c r="C2486" s="5" t="s">
        <v>9938</v>
      </c>
      <c r="D2486" s="5" t="s">
        <v>9979</v>
      </c>
      <c r="E2486" s="5" t="s">
        <v>9951</v>
      </c>
      <c r="F2486" s="5" t="str">
        <f>HYPERLINK("http://www.meristema.com/","http://www.meristema.com")</f>
        <v>http://www.meristema.com</v>
      </c>
    </row>
    <row r="2487" spans="1:6" ht="16.95" customHeight="1" x14ac:dyDescent="0.25">
      <c r="A2487" s="6" t="s">
        <v>9980</v>
      </c>
      <c r="B2487" s="5" t="s">
        <v>9981</v>
      </c>
      <c r="C2487" s="5" t="s">
        <v>9955</v>
      </c>
      <c r="D2487" s="5" t="s">
        <v>9982</v>
      </c>
      <c r="E2487" s="5" t="s">
        <v>9951</v>
      </c>
      <c r="F2487" s="5" t="str">
        <f>HYPERLINK("http://www.borgomummialla.com/","www.borgomummialla.com")</f>
        <v>www.borgomummialla.com</v>
      </c>
    </row>
    <row r="2488" spans="1:6" ht="29.55" customHeight="1" x14ac:dyDescent="0.25">
      <c r="A2488" s="6" t="s">
        <v>9983</v>
      </c>
      <c r="B2488" s="5" t="s">
        <v>9984</v>
      </c>
      <c r="C2488" s="5" t="s">
        <v>9985</v>
      </c>
      <c r="D2488" s="5" t="s">
        <v>9986</v>
      </c>
      <c r="E2488" s="5" t="s">
        <v>9965</v>
      </c>
      <c r="F2488" s="5" t="str">
        <f>HYPERLINK("http://www.casarossaaicolli.com/","www.casarossaaicolli.com")</f>
        <v>www.casarossaaicolli.com</v>
      </c>
    </row>
    <row r="2489" spans="1:6" ht="29.55" customHeight="1" x14ac:dyDescent="0.25">
      <c r="A2489" s="1" t="s">
        <v>9987</v>
      </c>
      <c r="B2489" s="7" t="s">
        <v>9988</v>
      </c>
      <c r="C2489" s="7" t="s">
        <v>9952</v>
      </c>
      <c r="D2489" s="7" t="s">
        <v>9989</v>
      </c>
      <c r="E2489" s="7" t="s">
        <v>9990</v>
      </c>
      <c r="F2489" s="7" t="str">
        <f>HYPERLINK("http://www.cerullispinozzi.it/","www.cerullispinozzi.it")</f>
        <v>www.cerullispinozzi.it</v>
      </c>
    </row>
    <row r="2490" spans="1:6" ht="81.75" customHeight="1" x14ac:dyDescent="0.25">
      <c r="A2490" s="1" t="s">
        <v>9991</v>
      </c>
      <c r="B2490" s="7" t="s">
        <v>9992</v>
      </c>
      <c r="C2490" s="7" t="s">
        <v>9993</v>
      </c>
      <c r="D2490" s="7" t="s">
        <v>9994</v>
      </c>
      <c r="E2490" s="7" t="s">
        <v>9995</v>
      </c>
      <c r="F2490" s="7" t="str">
        <f>HYPERLINK("http://www.ccdp.it/","http://www.ccdp.it")</f>
        <v>http://www.ccdp.it</v>
      </c>
    </row>
    <row r="2491" spans="1:6" ht="29.55" customHeight="1" x14ac:dyDescent="0.25">
      <c r="A2491" s="6" t="s">
        <v>9998</v>
      </c>
      <c r="B2491" s="5" t="s">
        <v>9999</v>
      </c>
      <c r="C2491" s="5" t="s">
        <v>10000</v>
      </c>
      <c r="D2491" s="5" t="s">
        <v>10001</v>
      </c>
      <c r="E2491" s="5" t="s">
        <v>10002</v>
      </c>
      <c r="F2491" s="5" t="str">
        <f>HYPERLINK("http://www.wippland.com/","www.wippland.com")</f>
        <v>www.wippland.com</v>
      </c>
    </row>
    <row r="2492" spans="1:6" ht="43.05" customHeight="1" x14ac:dyDescent="0.25">
      <c r="A2492" s="1" t="s">
        <v>10003</v>
      </c>
      <c r="B2492" s="7" t="s">
        <v>10004</v>
      </c>
      <c r="C2492" s="7" t="s">
        <v>10005</v>
      </c>
      <c r="D2492" s="7" t="s">
        <v>10006</v>
      </c>
      <c r="E2492" s="7" t="s">
        <v>10007</v>
      </c>
      <c r="F2492" s="7" t="str">
        <f>HYPERLINK("http://www.vitocardinali.com/","www.vitocardinali.com")</f>
        <v>www.vitocardinali.com</v>
      </c>
    </row>
    <row r="2493" spans="1:6" ht="29.55" customHeight="1" x14ac:dyDescent="0.25">
      <c r="A2493" s="1" t="s">
        <v>10009</v>
      </c>
      <c r="B2493" s="7" t="s">
        <v>10010</v>
      </c>
      <c r="C2493" s="7" t="s">
        <v>10011</v>
      </c>
      <c r="D2493" s="7" t="s">
        <v>10012</v>
      </c>
      <c r="E2493" s="7" t="s">
        <v>10013</v>
      </c>
      <c r="F2493" s="7" t="str">
        <f>HYPERLINK("http://www.albiati.it/","www.albiati.it")</f>
        <v>www.albiati.it</v>
      </c>
    </row>
    <row r="2494" spans="1:6" ht="55.65" customHeight="1" x14ac:dyDescent="0.25">
      <c r="A2494" s="1" t="s">
        <v>10015</v>
      </c>
      <c r="B2494" s="7" t="s">
        <v>10016</v>
      </c>
      <c r="C2494" s="7" t="s">
        <v>10005</v>
      </c>
      <c r="D2494" s="7" t="s">
        <v>10017</v>
      </c>
      <c r="E2494" s="7" t="s">
        <v>10018</v>
      </c>
      <c r="F2494" s="7" t="str">
        <f>HYPERLINK("http://www.lamoretti.eu/","www.lamoretti.eu")</f>
        <v>www.lamoretti.eu</v>
      </c>
    </row>
    <row r="2495" spans="1:6" ht="43.05" customHeight="1" x14ac:dyDescent="0.25">
      <c r="A2495" s="1" t="s">
        <v>10019</v>
      </c>
      <c r="B2495" s="7" t="s">
        <v>10020</v>
      </c>
      <c r="C2495" s="7" t="s">
        <v>9993</v>
      </c>
      <c r="D2495" s="7" t="s">
        <v>10021</v>
      </c>
      <c r="E2495" s="7" t="s">
        <v>10022</v>
      </c>
      <c r="F2495" s="7" t="str">
        <f>HYPERLINK("http://www.nolanoitaly.it/","www.nolanoitaly.it")</f>
        <v>www.nolanoitaly.it</v>
      </c>
    </row>
    <row r="2496" spans="1:6" ht="29.55" customHeight="1" x14ac:dyDescent="0.25">
      <c r="A2496" s="6" t="s">
        <v>10023</v>
      </c>
      <c r="B2496" s="5" t="s">
        <v>10024</v>
      </c>
      <c r="C2496" s="5" t="s">
        <v>10011</v>
      </c>
      <c r="D2496" s="5" t="s">
        <v>10025</v>
      </c>
      <c r="E2496" s="5" t="s">
        <v>10018</v>
      </c>
      <c r="F2496" s="5" t="str">
        <f>HYPERLINK("http://www.greenwell.it/","www.greenwell.it")</f>
        <v>www.greenwell.it</v>
      </c>
    </row>
    <row r="2497" spans="1:6" ht="43.05" customHeight="1" x14ac:dyDescent="0.25">
      <c r="A2497" s="6" t="s">
        <v>10027</v>
      </c>
      <c r="B2497" s="5" t="s">
        <v>10028</v>
      </c>
      <c r="C2497" s="5" t="s">
        <v>10029</v>
      </c>
      <c r="D2497" s="5" t="s">
        <v>10030</v>
      </c>
      <c r="E2497" s="5" t="s">
        <v>9997</v>
      </c>
      <c r="F2497" s="5" t="str">
        <f>HYPERLINK("http://www.tenutalamuratella.it/","www.tenutalamuratella.it")</f>
        <v>www.tenutalamuratella.it</v>
      </c>
    </row>
    <row r="2498" spans="1:6" ht="29.55" customHeight="1" x14ac:dyDescent="0.25">
      <c r="A2498" s="1" t="s">
        <v>10031</v>
      </c>
      <c r="B2498" s="7" t="s">
        <v>10032</v>
      </c>
      <c r="C2498" s="7" t="s">
        <v>9996</v>
      </c>
      <c r="D2498" s="7" t="s">
        <v>10033</v>
      </c>
      <c r="E2498" s="7" t="s">
        <v>10013</v>
      </c>
      <c r="F2498" s="7" t="str">
        <f>HYPERLINK("http://www.mocajo.it/","www.mocajo.it")</f>
        <v>www.mocajo.it</v>
      </c>
    </row>
    <row r="2499" spans="1:6" ht="29.55" customHeight="1" x14ac:dyDescent="0.25">
      <c r="A2499" s="1" t="s">
        <v>10034</v>
      </c>
      <c r="B2499" s="7" t="s">
        <v>10035</v>
      </c>
      <c r="C2499" s="7" t="s">
        <v>9996</v>
      </c>
      <c r="D2499" s="7" t="s">
        <v>10036</v>
      </c>
      <c r="E2499" s="7" t="s">
        <v>10013</v>
      </c>
      <c r="F2499" s="7" t="str">
        <f>HYPERLINK("http://poderesangiusto.it/","poderesangiusto.it")</f>
        <v>poderesangiusto.it</v>
      </c>
    </row>
    <row r="2500" spans="1:6" ht="29.55" customHeight="1" x14ac:dyDescent="0.25">
      <c r="A2500" s="1" t="s">
        <v>10037</v>
      </c>
      <c r="B2500" s="7" t="s">
        <v>10038</v>
      </c>
      <c r="C2500" s="7" t="s">
        <v>10008</v>
      </c>
      <c r="D2500" s="7" t="s">
        <v>10039</v>
      </c>
      <c r="E2500" s="7" t="s">
        <v>10026</v>
      </c>
      <c r="F2500" s="7" t="str">
        <f>HYPERLINK("http://www.birrificioaltavia.it/","www.birrificioaltavia.it")</f>
        <v>www.birrificioaltavia.it</v>
      </c>
    </row>
    <row r="2501" spans="1:6" ht="29.55" customHeight="1" x14ac:dyDescent="0.25">
      <c r="A2501" s="6" t="s">
        <v>10040</v>
      </c>
      <c r="B2501" s="5" t="s">
        <v>10041</v>
      </c>
      <c r="C2501" s="5" t="s">
        <v>10005</v>
      </c>
      <c r="D2501" s="5" t="s">
        <v>10042</v>
      </c>
      <c r="E2501" s="5" t="s">
        <v>10007</v>
      </c>
      <c r="F2501" s="5" t="str">
        <f>HYPERLINK("http://www.faustivini.com/","www.faustivini.com")</f>
        <v>www.faustivini.com</v>
      </c>
    </row>
    <row r="2502" spans="1:6" ht="29.55" customHeight="1" x14ac:dyDescent="0.25">
      <c r="A2502" s="6" t="s">
        <v>10043</v>
      </c>
      <c r="B2502" s="5" t="s">
        <v>10044</v>
      </c>
      <c r="C2502" s="5" t="s">
        <v>10008</v>
      </c>
      <c r="D2502" s="5" t="s">
        <v>10045</v>
      </c>
      <c r="E2502" s="5" t="s">
        <v>10014</v>
      </c>
      <c r="F2502" s="5" t="str">
        <f>HYPERLINK("http://www.canegra.com/","www.canegra.com")</f>
        <v>www.canegra.com</v>
      </c>
    </row>
    <row r="2503" spans="1:6" ht="29.55" customHeight="1" x14ac:dyDescent="0.25">
      <c r="A2503" s="1" t="s">
        <v>10049</v>
      </c>
      <c r="B2503" s="7" t="s">
        <v>10050</v>
      </c>
      <c r="C2503" s="7" t="s">
        <v>10051</v>
      </c>
      <c r="D2503" s="7" t="s">
        <v>10047</v>
      </c>
      <c r="E2503" s="7" t="s">
        <v>10048</v>
      </c>
      <c r="F2503" s="7" t="str">
        <f>HYPERLINK("http://vinisemonte.com/","vinisemonte.com")</f>
        <v>vinisemonte.com</v>
      </c>
    </row>
    <row r="2504" spans="1:6" ht="55.65" customHeight="1" x14ac:dyDescent="0.25">
      <c r="A2504" s="6" t="s">
        <v>10052</v>
      </c>
      <c r="B2504" s="5" t="s">
        <v>10053</v>
      </c>
      <c r="C2504" s="5" t="s">
        <v>10054</v>
      </c>
      <c r="D2504" s="5" t="s">
        <v>10055</v>
      </c>
      <c r="E2504" s="5" t="s">
        <v>10056</v>
      </c>
      <c r="F2504" s="5" t="str">
        <f>HYPERLINK("http://www.sanvir.it/","www.sanvir.it")</f>
        <v>www.sanvir.it</v>
      </c>
    </row>
    <row r="2505" spans="1:6" ht="43.05" customHeight="1" x14ac:dyDescent="0.25">
      <c r="A2505" s="1" t="s">
        <v>10057</v>
      </c>
      <c r="B2505" s="7" t="s">
        <v>10058</v>
      </c>
      <c r="C2505" s="7" t="s">
        <v>10051</v>
      </c>
      <c r="D2505" s="7" t="s">
        <v>10055</v>
      </c>
      <c r="E2505" s="7" t="s">
        <v>10056</v>
      </c>
      <c r="F2505" s="7" t="str">
        <f>HYPERLINK("http://shop.cantinagiba.com/","shop.cantinagiba.com")</f>
        <v>shop.cantinagiba.com</v>
      </c>
    </row>
    <row r="2506" spans="1:6" ht="29.55" customHeight="1" x14ac:dyDescent="0.25">
      <c r="A2506" s="6" t="s">
        <v>10059</v>
      </c>
      <c r="B2506" s="5" t="s">
        <v>10060</v>
      </c>
      <c r="C2506" s="5" t="s">
        <v>10046</v>
      </c>
      <c r="D2506" s="5" t="s">
        <v>10061</v>
      </c>
      <c r="E2506" s="5" t="s">
        <v>10062</v>
      </c>
      <c r="F2506" s="5" t="str">
        <f>HYPERLINK("http://www.energeticabiometano.it/","www.energeticabiometano.it")</f>
        <v>www.energeticabiometano.it</v>
      </c>
    </row>
    <row r="2507" spans="1:6" ht="16.95" customHeight="1" x14ac:dyDescent="0.25">
      <c r="A2507" s="6" t="s">
        <v>10065</v>
      </c>
      <c r="B2507" s="5" t="s">
        <v>10066</v>
      </c>
      <c r="C2507" s="5" t="s">
        <v>10067</v>
      </c>
      <c r="D2507" s="5" t="s">
        <v>10068</v>
      </c>
      <c r="E2507" s="5" t="s">
        <v>10069</v>
      </c>
      <c r="F2507" s="5" t="str">
        <f>HYPERLINK("http://lavecchiafattoria.info/","lavecchiafattoria.info")</f>
        <v>lavecchiafattoria.info</v>
      </c>
    </row>
    <row r="2508" spans="1:6" ht="29.55" customHeight="1" x14ac:dyDescent="0.25">
      <c r="A2508" s="1" t="s">
        <v>10070</v>
      </c>
      <c r="B2508" s="7" t="s">
        <v>10071</v>
      </c>
      <c r="C2508" s="7" t="s">
        <v>10072</v>
      </c>
      <c r="D2508" s="7" t="s">
        <v>10073</v>
      </c>
      <c r="E2508" s="7" t="s">
        <v>10074</v>
      </c>
      <c r="F2508" s="7" t="str">
        <f>HYPERLINK("http://www.vinterra.it/de-home/bistro-vinterra/","www.vinterra.it/de-home/bistro-vinterra/")</f>
        <v>www.vinterra.it/de-home/bistro-vinterra/</v>
      </c>
    </row>
    <row r="2509" spans="1:6" ht="43.05" customHeight="1" x14ac:dyDescent="0.25">
      <c r="A2509" s="6" t="s">
        <v>10076</v>
      </c>
      <c r="B2509" s="5" t="s">
        <v>10077</v>
      </c>
      <c r="C2509" s="5" t="s">
        <v>10078</v>
      </c>
      <c r="D2509" s="5" t="s">
        <v>10079</v>
      </c>
      <c r="E2509" s="5" t="s">
        <v>10080</v>
      </c>
      <c r="F2509" s="5" t="str">
        <f>HYPERLINK("http://www.shopborgosannicolao.it/","www.shopborgosannicolao.it")</f>
        <v>www.shopborgosannicolao.it</v>
      </c>
    </row>
    <row r="2510" spans="1:6" ht="16.95" customHeight="1" x14ac:dyDescent="0.25">
      <c r="A2510" s="1" t="s">
        <v>10081</v>
      </c>
      <c r="B2510" s="7" t="s">
        <v>10082</v>
      </c>
      <c r="C2510" s="7" t="s">
        <v>10083</v>
      </c>
      <c r="D2510" s="7" t="s">
        <v>10084</v>
      </c>
      <c r="E2510" s="7" t="s">
        <v>10064</v>
      </c>
      <c r="F2510" s="7" t="str">
        <f>HYPERLINK("http://www.fruititaly.it/","www.fruititaly.it")</f>
        <v>www.fruititaly.it</v>
      </c>
    </row>
    <row r="2511" spans="1:6" ht="29.55" customHeight="1" x14ac:dyDescent="0.25">
      <c r="A2511" s="6" t="s">
        <v>10085</v>
      </c>
      <c r="B2511" s="5" t="s">
        <v>10086</v>
      </c>
      <c r="C2511" s="5" t="s">
        <v>10087</v>
      </c>
      <c r="D2511" s="5" t="s">
        <v>10088</v>
      </c>
      <c r="E2511" s="5" t="s">
        <v>10062</v>
      </c>
      <c r="F2511" s="5" t="str">
        <f>HYPERLINK("http://www.villamorneto.it/","www.villamorneto.it")</f>
        <v>www.villamorneto.it</v>
      </c>
    </row>
    <row r="2512" spans="1:6" ht="29.55" customHeight="1" x14ac:dyDescent="0.25">
      <c r="A2512" s="1" t="s">
        <v>10089</v>
      </c>
      <c r="B2512" s="7" t="s">
        <v>10090</v>
      </c>
      <c r="C2512" s="7" t="s">
        <v>10091</v>
      </c>
      <c r="D2512" s="7" t="s">
        <v>10092</v>
      </c>
      <c r="E2512" s="7" t="s">
        <v>10064</v>
      </c>
      <c r="F2512" s="7" t="str">
        <f>HYPERLINK("http://www.facebook.com/vivaivigliotti/","www.facebook.com/vivaivigliotti/")</f>
        <v>www.facebook.com/vivaivigliotti/</v>
      </c>
    </row>
    <row r="2513" spans="1:6" ht="29.55" customHeight="1" x14ac:dyDescent="0.25">
      <c r="A2513" s="1" t="s">
        <v>10094</v>
      </c>
      <c r="B2513" s="7" t="s">
        <v>10095</v>
      </c>
      <c r="C2513" s="7" t="s">
        <v>10072</v>
      </c>
      <c r="D2513" s="7" t="s">
        <v>10096</v>
      </c>
      <c r="E2513" s="7" t="s">
        <v>10075</v>
      </c>
      <c r="F2513" s="7" t="str">
        <f>HYPERLINK("http://riseccoli.net/","riseccoli.net")</f>
        <v>riseccoli.net</v>
      </c>
    </row>
    <row r="2514" spans="1:6" ht="29.55" customHeight="1" x14ac:dyDescent="0.25">
      <c r="A2514" s="6" t="s">
        <v>10097</v>
      </c>
      <c r="B2514" s="5" t="s">
        <v>10098</v>
      </c>
      <c r="C2514" s="5" t="s">
        <v>10099</v>
      </c>
      <c r="D2514" s="5" t="s">
        <v>10063</v>
      </c>
      <c r="E2514" s="5" t="s">
        <v>10064</v>
      </c>
      <c r="F2514" s="5" t="str">
        <f>HYPERLINK("http://tenutanari.eatbu.com/","tenutanari.eatbu.com")</f>
        <v>tenutanari.eatbu.com</v>
      </c>
    </row>
    <row r="2515" spans="1:6" ht="29.55" customHeight="1" x14ac:dyDescent="0.25">
      <c r="A2515" s="6" t="s">
        <v>10100</v>
      </c>
      <c r="B2515" s="5" t="s">
        <v>10101</v>
      </c>
      <c r="C2515" s="5" t="s">
        <v>10102</v>
      </c>
      <c r="D2515" s="5" t="s">
        <v>10103</v>
      </c>
      <c r="E2515" s="5" t="s">
        <v>10062</v>
      </c>
      <c r="F2515" s="5" t="str">
        <f>HYPERLINK("http://www.brignanoenergia.it/","www.brignanoenergia.it/")</f>
        <v>www.brignanoenergia.it/</v>
      </c>
    </row>
    <row r="2516" spans="1:6" ht="29.55" customHeight="1" x14ac:dyDescent="0.25">
      <c r="A2516" s="1" t="s">
        <v>10104</v>
      </c>
      <c r="B2516" s="7" t="s">
        <v>10105</v>
      </c>
      <c r="C2516" s="7" t="s">
        <v>10106</v>
      </c>
      <c r="D2516" s="7" t="s">
        <v>10107</v>
      </c>
      <c r="E2516" s="7" t="s">
        <v>10056</v>
      </c>
      <c r="F2516" s="7" t="str">
        <f>HYPERLINK("http://www.vivaigallura.it/","www.vivaigallura.it")</f>
        <v>www.vivaigallura.it</v>
      </c>
    </row>
    <row r="2517" spans="1:6" ht="43.05" customHeight="1" x14ac:dyDescent="0.25">
      <c r="A2517" s="6" t="s">
        <v>10108</v>
      </c>
      <c r="B2517" s="5" t="s">
        <v>10109</v>
      </c>
      <c r="C2517" s="5" t="s">
        <v>10083</v>
      </c>
      <c r="D2517" s="5" t="s">
        <v>10110</v>
      </c>
      <c r="E2517" s="5" t="s">
        <v>10093</v>
      </c>
      <c r="F2517" s="5" t="str">
        <f>HYPERLINK("http://praglia.it/","praglia.it")</f>
        <v>praglia.it</v>
      </c>
    </row>
    <row r="2518" spans="1:6" ht="29.55" customHeight="1" x14ac:dyDescent="0.25">
      <c r="A2518" s="1" t="s">
        <v>10111</v>
      </c>
      <c r="B2518" s="7" t="s">
        <v>10112</v>
      </c>
      <c r="C2518" s="7" t="s">
        <v>10113</v>
      </c>
      <c r="D2518" s="7" t="s">
        <v>10114</v>
      </c>
      <c r="E2518" s="7" t="s">
        <v>10062</v>
      </c>
      <c r="F2518" s="7" t="str">
        <f>HYPERLINK("http://www.razzadelsole.it/","www.razzadelsole.it")</f>
        <v>www.razzadelsole.it</v>
      </c>
    </row>
    <row r="2519" spans="1:6" ht="43.05" customHeight="1" x14ac:dyDescent="0.25">
      <c r="A2519" s="6" t="s">
        <v>10115</v>
      </c>
      <c r="B2519" s="5" t="s">
        <v>10116</v>
      </c>
      <c r="C2519" s="5" t="s">
        <v>10102</v>
      </c>
      <c r="D2519" s="5" t="s">
        <v>10117</v>
      </c>
      <c r="E2519" s="5" t="s">
        <v>10069</v>
      </c>
      <c r="F2519" s="5" t="str">
        <f>HYPERLINK("http://www.tenutacesarina.com/","www.tenutacesarina.com")</f>
        <v>www.tenutacesarina.com</v>
      </c>
    </row>
    <row r="2520" spans="1:6" ht="43.05" customHeight="1" x14ac:dyDescent="0.25">
      <c r="A2520" s="1" t="s">
        <v>10118</v>
      </c>
      <c r="B2520" s="7" t="s">
        <v>10119</v>
      </c>
      <c r="C2520" s="7" t="s">
        <v>10120</v>
      </c>
      <c r="D2520" s="7" t="s">
        <v>10121</v>
      </c>
      <c r="E2520" s="7" t="s">
        <v>10122</v>
      </c>
      <c r="F2520" s="7" t="str">
        <f>HYPERLINK("http://donodorato.com/","donodorato.com")</f>
        <v>donodorato.com</v>
      </c>
    </row>
    <row r="2521" spans="1:6" ht="29.55" customHeight="1" x14ac:dyDescent="0.25">
      <c r="A2521" s="6" t="s">
        <v>10123</v>
      </c>
      <c r="B2521" s="5" t="s">
        <v>10124</v>
      </c>
      <c r="C2521" s="5" t="s">
        <v>10125</v>
      </c>
      <c r="D2521" s="5" t="s">
        <v>10126</v>
      </c>
      <c r="E2521" s="5" t="s">
        <v>10127</v>
      </c>
      <c r="F2521" s="5" t="str">
        <f>HYPERLINK("http://www.stagnodisanteodoro.com/","www.stagnodisanteodoro.com")</f>
        <v>www.stagnodisanteodoro.com</v>
      </c>
    </row>
    <row r="2522" spans="1:6" ht="29.55" customHeight="1" x14ac:dyDescent="0.25">
      <c r="A2522" s="1" t="s">
        <v>10129</v>
      </c>
      <c r="B2522" s="7" t="s">
        <v>10130</v>
      </c>
      <c r="C2522" s="7" t="s">
        <v>10131</v>
      </c>
      <c r="D2522" s="7" t="s">
        <v>10132</v>
      </c>
      <c r="E2522" s="7" t="s">
        <v>10133</v>
      </c>
      <c r="F2522" s="7" t="str">
        <f>HYPERLINK("http://www.tenutastellacollio.it/","www.tenutastellacollio.it")</f>
        <v>www.tenutastellacollio.it</v>
      </c>
    </row>
    <row r="2523" spans="1:6" ht="29.55" customHeight="1" x14ac:dyDescent="0.25">
      <c r="A2523" s="1" t="s">
        <v>10134</v>
      </c>
      <c r="B2523" s="7" t="s">
        <v>10135</v>
      </c>
      <c r="C2523" s="7" t="s">
        <v>10125</v>
      </c>
      <c r="D2523" s="7" t="s">
        <v>10136</v>
      </c>
      <c r="E2523" s="7" t="s">
        <v>10137</v>
      </c>
      <c r="F2523" s="7" t="str">
        <f>HYPERLINK("http://lacastellina.business.site/","lacastellina.business.site")</f>
        <v>lacastellina.business.site</v>
      </c>
    </row>
    <row r="2524" spans="1:6" ht="29.55" customHeight="1" x14ac:dyDescent="0.25">
      <c r="A2524" s="6" t="s">
        <v>10141</v>
      </c>
      <c r="B2524" s="5" t="s">
        <v>10142</v>
      </c>
      <c r="C2524" s="5" t="s">
        <v>10131</v>
      </c>
      <c r="D2524" s="5" t="s">
        <v>10143</v>
      </c>
      <c r="E2524" s="5" t="s">
        <v>10128</v>
      </c>
      <c r="F2524" s="5" t="str">
        <f>HYPERLINK("http://www.castellodicigognola.com/","www.castellodicigognola.com")</f>
        <v>www.castellodicigognola.com</v>
      </c>
    </row>
    <row r="2525" spans="1:6" ht="29.55" customHeight="1" x14ac:dyDescent="0.25">
      <c r="A2525" s="6" t="s">
        <v>10145</v>
      </c>
      <c r="B2525" s="5" t="s">
        <v>10146</v>
      </c>
      <c r="C2525" s="5" t="s">
        <v>10125</v>
      </c>
      <c r="D2525" s="5" t="s">
        <v>10147</v>
      </c>
      <c r="E2525" s="5" t="s">
        <v>10148</v>
      </c>
      <c r="F2525" s="5" t="str">
        <f>HYPERLINK("http://balzeoil.com/","balzeoil.com")</f>
        <v>balzeoil.com</v>
      </c>
    </row>
    <row r="2526" spans="1:6" ht="29.55" customHeight="1" x14ac:dyDescent="0.25">
      <c r="A2526" s="6" t="s">
        <v>10149</v>
      </c>
      <c r="B2526" s="5" t="s">
        <v>10150</v>
      </c>
      <c r="C2526" s="5" t="s">
        <v>10151</v>
      </c>
      <c r="D2526" s="5" t="s">
        <v>10139</v>
      </c>
      <c r="E2526" s="5" t="s">
        <v>10140</v>
      </c>
      <c r="F2526" s="5" t="str">
        <f>HYPERLINK("http://www.terreroiche.it/","www.terreroiche.it")</f>
        <v>www.terreroiche.it</v>
      </c>
    </row>
    <row r="2527" spans="1:6" ht="29.55" customHeight="1" x14ac:dyDescent="0.25">
      <c r="A2527" s="1" t="s">
        <v>10152</v>
      </c>
      <c r="B2527" s="7" t="s">
        <v>10153</v>
      </c>
      <c r="C2527" s="7" t="s">
        <v>10144</v>
      </c>
      <c r="D2527" s="7" t="s">
        <v>10154</v>
      </c>
      <c r="E2527" s="7" t="s">
        <v>10138</v>
      </c>
      <c r="F2527" s="7" t="str">
        <f>HYPERLINK("http://www.ideariso.com/","www.ideariso.com")</f>
        <v>www.ideariso.com</v>
      </c>
    </row>
    <row r="2528" spans="1:6" ht="43.05" customHeight="1" x14ac:dyDescent="0.25">
      <c r="A2528" s="1" t="s">
        <v>10155</v>
      </c>
      <c r="B2528" s="7" t="s">
        <v>10156</v>
      </c>
      <c r="C2528" s="7" t="s">
        <v>10157</v>
      </c>
      <c r="D2528" s="7" t="s">
        <v>10147</v>
      </c>
      <c r="E2528" s="7" t="s">
        <v>10148</v>
      </c>
      <c r="F2528" s="7" t="str">
        <f>HYPERLINK("http://en.latorredelloliveto.com/","en.latorredelloliveto.com")</f>
        <v>en.latorredelloliveto.com</v>
      </c>
    </row>
    <row r="2529" spans="1:6" ht="29.55" customHeight="1" x14ac:dyDescent="0.25">
      <c r="A2529" s="1" t="s">
        <v>10162</v>
      </c>
      <c r="B2529" s="7" t="s">
        <v>10163</v>
      </c>
      <c r="C2529" s="7" t="s">
        <v>10164</v>
      </c>
      <c r="D2529" s="7" t="s">
        <v>10165</v>
      </c>
      <c r="E2529" s="7" t="s">
        <v>10166</v>
      </c>
      <c r="F2529" s="7" t="str">
        <f>HYPERLINK("http://www.manti.wine/","www.manti.wine")</f>
        <v>www.manti.wine</v>
      </c>
    </row>
    <row r="2530" spans="1:6" ht="29.55" customHeight="1" x14ac:dyDescent="0.25">
      <c r="A2530" s="1" t="s">
        <v>10170</v>
      </c>
      <c r="B2530" s="7" t="s">
        <v>10171</v>
      </c>
      <c r="C2530" s="7" t="s">
        <v>10164</v>
      </c>
      <c r="D2530" s="7" t="s">
        <v>10172</v>
      </c>
      <c r="E2530" s="7" t="s">
        <v>10173</v>
      </c>
      <c r="F2530" s="7" t="str">
        <f>HYPERLINK("http://www.tenutamoriano.com/","www.tenutamoriano.com")</f>
        <v>www.tenutamoriano.com</v>
      </c>
    </row>
    <row r="2531" spans="1:6" ht="43.05" customHeight="1" x14ac:dyDescent="0.25">
      <c r="A2531" s="6" t="s">
        <v>10174</v>
      </c>
      <c r="B2531" s="5" t="s">
        <v>10175</v>
      </c>
      <c r="C2531" s="5" t="s">
        <v>10164</v>
      </c>
      <c r="D2531" s="5" t="s">
        <v>10176</v>
      </c>
      <c r="E2531" s="5" t="s">
        <v>10177</v>
      </c>
      <c r="F2531" s="5" t="str">
        <f>HYPERLINK("http://lnx.zangani.it/","lnx.zangani.it")</f>
        <v>lnx.zangani.it</v>
      </c>
    </row>
    <row r="2532" spans="1:6" ht="55.65" customHeight="1" x14ac:dyDescent="0.25">
      <c r="A2532" s="6" t="s">
        <v>10179</v>
      </c>
      <c r="B2532" s="5" t="s">
        <v>10180</v>
      </c>
      <c r="C2532" s="5" t="s">
        <v>10181</v>
      </c>
      <c r="D2532" s="5" t="s">
        <v>10182</v>
      </c>
      <c r="E2532" s="5" t="s">
        <v>10177</v>
      </c>
      <c r="F2532" s="5" t="str">
        <f>HYPERLINK("http://www.montelabate.com/","www.montelabate.com")</f>
        <v>www.montelabate.com</v>
      </c>
    </row>
    <row r="2533" spans="1:6" ht="29.55" customHeight="1" x14ac:dyDescent="0.25">
      <c r="A2533" s="1" t="s">
        <v>10183</v>
      </c>
      <c r="B2533" s="7" t="s">
        <v>10184</v>
      </c>
      <c r="C2533" s="7" t="s">
        <v>10185</v>
      </c>
      <c r="D2533" s="7" t="s">
        <v>10186</v>
      </c>
      <c r="E2533" s="7" t="s">
        <v>10178</v>
      </c>
      <c r="F2533" s="7" t="str">
        <f>HYPERLINK("http://www.marroni-altavallesenio.it/","www.marroni-altavallesenio.it")</f>
        <v>www.marroni-altavallesenio.it</v>
      </c>
    </row>
    <row r="2534" spans="1:6" ht="43.05" customHeight="1" x14ac:dyDescent="0.25">
      <c r="A2534" s="6" t="s">
        <v>10187</v>
      </c>
      <c r="B2534" s="5" t="s">
        <v>10188</v>
      </c>
      <c r="C2534" s="5" t="s">
        <v>10164</v>
      </c>
      <c r="D2534" s="5" t="s">
        <v>10189</v>
      </c>
      <c r="E2534" s="5" t="s">
        <v>10190</v>
      </c>
      <c r="F2534" s="5" t="str">
        <f>HYPERLINK("http://www.vitusvini.it/","www.vitusvini.it")</f>
        <v>www.vitusvini.it</v>
      </c>
    </row>
    <row r="2535" spans="1:6" ht="29.55" customHeight="1" x14ac:dyDescent="0.25">
      <c r="A2535" s="1" t="s">
        <v>10191</v>
      </c>
      <c r="B2535" s="7" t="s">
        <v>10192</v>
      </c>
      <c r="C2535" s="7" t="s">
        <v>10164</v>
      </c>
      <c r="D2535" s="7" t="s">
        <v>10160</v>
      </c>
      <c r="E2535" s="7" t="s">
        <v>10161</v>
      </c>
      <c r="F2535" s="7" t="str">
        <f>HYPERLINK("http://www.tenutabellafonte.it/","www.tenutabellafonte.it")</f>
        <v>www.tenutabellafonte.it</v>
      </c>
    </row>
    <row r="2536" spans="1:6" ht="29.55" customHeight="1" x14ac:dyDescent="0.25">
      <c r="A2536" s="1" t="s">
        <v>10194</v>
      </c>
      <c r="B2536" s="7" t="s">
        <v>10195</v>
      </c>
      <c r="C2536" s="7" t="s">
        <v>10164</v>
      </c>
      <c r="D2536" s="7" t="s">
        <v>10196</v>
      </c>
      <c r="E2536" s="7" t="s">
        <v>10193</v>
      </c>
      <c r="F2536" s="7" t="str">
        <f>HYPERLINK("http://www.vinory.com/","www.vinory.com")</f>
        <v>www.vinory.com</v>
      </c>
    </row>
    <row r="2537" spans="1:6" ht="29.55" customHeight="1" x14ac:dyDescent="0.25">
      <c r="A2537" s="1" t="s">
        <v>10197</v>
      </c>
      <c r="B2537" s="7" t="s">
        <v>10198</v>
      </c>
      <c r="C2537" s="7" t="s">
        <v>10164</v>
      </c>
      <c r="D2537" s="7" t="s">
        <v>10199</v>
      </c>
      <c r="E2537" s="7" t="s">
        <v>10158</v>
      </c>
      <c r="F2537" s="7" t="str">
        <f>HYPERLINK("http://www.enotecaangelino.it/","www.enotecaangelino.it")</f>
        <v>www.enotecaangelino.it</v>
      </c>
    </row>
    <row r="2538" spans="1:6" ht="29.55" customHeight="1" x14ac:dyDescent="0.25">
      <c r="A2538" s="1" t="s">
        <v>10200</v>
      </c>
      <c r="B2538" s="7" t="s">
        <v>10201</v>
      </c>
      <c r="C2538" s="7" t="s">
        <v>10167</v>
      </c>
      <c r="D2538" s="7" t="s">
        <v>10202</v>
      </c>
      <c r="E2538" s="7" t="s">
        <v>10166</v>
      </c>
      <c r="F2538" s="7" t="str">
        <f>HYPERLINK("http://www.deelpowergreen.it/","www.deelpowergreen.it")</f>
        <v>www.deelpowergreen.it</v>
      </c>
    </row>
    <row r="2539" spans="1:6" ht="29.55" customHeight="1" x14ac:dyDescent="0.25">
      <c r="A2539" s="6" t="s">
        <v>10203</v>
      </c>
      <c r="B2539" s="5" t="s">
        <v>10204</v>
      </c>
      <c r="C2539" s="5" t="s">
        <v>10205</v>
      </c>
      <c r="D2539" s="5" t="s">
        <v>10168</v>
      </c>
      <c r="E2539" s="5" t="s">
        <v>10169</v>
      </c>
      <c r="F2539" s="5" t="str">
        <f>HYPERLINK("http://benetazzospazioverde.com/","benetazzospazioverde.com")</f>
        <v>benetazzospazioverde.com</v>
      </c>
    </row>
    <row r="2540" spans="1:6" ht="29.55" customHeight="1" x14ac:dyDescent="0.25">
      <c r="A2540" s="6" t="s">
        <v>10206</v>
      </c>
      <c r="B2540" s="5" t="s">
        <v>10207</v>
      </c>
      <c r="C2540" s="5" t="s">
        <v>10164</v>
      </c>
      <c r="D2540" s="5" t="s">
        <v>10172</v>
      </c>
      <c r="E2540" s="5" t="s">
        <v>10173</v>
      </c>
      <c r="F2540" s="5" t="str">
        <f>HYPERLINK("http://tenutamoriniello.com/","tenutamoriniello.com")</f>
        <v>tenutamoriniello.com</v>
      </c>
    </row>
    <row r="2541" spans="1:6" ht="43.05" customHeight="1" x14ac:dyDescent="0.25">
      <c r="A2541" s="1" t="s">
        <v>10208</v>
      </c>
      <c r="B2541" s="7" t="s">
        <v>10209</v>
      </c>
      <c r="C2541" s="7" t="s">
        <v>10159</v>
      </c>
      <c r="D2541" s="7" t="s">
        <v>10210</v>
      </c>
      <c r="E2541" s="7" t="s">
        <v>10211</v>
      </c>
      <c r="F2541" s="7" t="str">
        <f>HYPERLINK("http://www.ilcasale.org/","www.ilcasale.org")</f>
        <v>www.ilcasale.org</v>
      </c>
    </row>
    <row r="2542" spans="1:6" ht="29.55" customHeight="1" x14ac:dyDescent="0.25">
      <c r="A2542" s="6" t="s">
        <v>10212</v>
      </c>
      <c r="B2542" s="5" t="s">
        <v>10213</v>
      </c>
      <c r="C2542" s="5" t="s">
        <v>10164</v>
      </c>
      <c r="D2542" s="5" t="s">
        <v>10214</v>
      </c>
      <c r="E2542" s="5" t="s">
        <v>10211</v>
      </c>
      <c r="F2542" s="5" t="str">
        <f>HYPERLINK("http://www.lecortideifarfensi.it/","www.lecortideifarfensi.it")</f>
        <v>www.lecortideifarfensi.it</v>
      </c>
    </row>
    <row r="2543" spans="1:6" ht="29.55" customHeight="1" x14ac:dyDescent="0.25">
      <c r="A2543" s="1" t="s">
        <v>10215</v>
      </c>
      <c r="B2543" s="7" t="s">
        <v>10216</v>
      </c>
      <c r="C2543" s="7" t="s">
        <v>10164</v>
      </c>
      <c r="D2543" s="7" t="s">
        <v>10217</v>
      </c>
      <c r="E2543" s="7" t="s">
        <v>10218</v>
      </c>
      <c r="F2543" s="7" t="str">
        <f>HYPERLINK("http://store.declaricini.it/","store.declaricini.it")</f>
        <v>store.declaricini.it</v>
      </c>
    </row>
    <row r="2544" spans="1:6" ht="29.55" customHeight="1" x14ac:dyDescent="0.25">
      <c r="A2544" s="6" t="s">
        <v>10219</v>
      </c>
      <c r="B2544" s="5" t="s">
        <v>10220</v>
      </c>
      <c r="C2544" s="5" t="s">
        <v>10164</v>
      </c>
      <c r="D2544" s="5" t="s">
        <v>10172</v>
      </c>
      <c r="E2544" s="5" t="s">
        <v>10173</v>
      </c>
      <c r="F2544" s="5" t="str">
        <f>HYPERLINK("http://www.tenutadisticciano.it/","www.tenutadisticciano.it")</f>
        <v>www.tenutadisticciano.it</v>
      </c>
    </row>
    <row r="2545" spans="1:6" ht="43.05" customHeight="1" x14ac:dyDescent="0.25">
      <c r="A2545" s="6" t="s">
        <v>10223</v>
      </c>
      <c r="B2545" s="5" t="s">
        <v>10224</v>
      </c>
      <c r="C2545" s="5" t="s">
        <v>10225</v>
      </c>
      <c r="D2545" s="5" t="s">
        <v>10221</v>
      </c>
      <c r="E2545" s="5" t="s">
        <v>10222</v>
      </c>
      <c r="F2545" s="5" t="str">
        <f>HYPERLINK("http://masseriadellesorgenti.it/","masseriadellesorgenti.it")</f>
        <v>masseriadellesorgenti.it</v>
      </c>
    </row>
    <row r="2546" spans="1:6" ht="29.55" customHeight="1" x14ac:dyDescent="0.25">
      <c r="A2546" s="6" t="s">
        <v>10226</v>
      </c>
      <c r="B2546" s="5" t="s">
        <v>10227</v>
      </c>
      <c r="C2546" s="5" t="s">
        <v>10228</v>
      </c>
      <c r="D2546" s="5" t="s">
        <v>10229</v>
      </c>
      <c r="E2546" s="5" t="s">
        <v>10230</v>
      </c>
      <c r="F2546" s="5" t="str">
        <f>HYPERLINK("http://www.vicara.it/","www.vicara.it")</f>
        <v>www.vicara.it</v>
      </c>
    </row>
    <row r="2547" spans="1:6" ht="29.55" customHeight="1" x14ac:dyDescent="0.25">
      <c r="A2547" s="6" t="s">
        <v>10236</v>
      </c>
      <c r="B2547" s="5" t="s">
        <v>10237</v>
      </c>
      <c r="C2547" s="5" t="s">
        <v>10238</v>
      </c>
      <c r="D2547" s="5" t="s">
        <v>10239</v>
      </c>
      <c r="E2547" s="5" t="s">
        <v>10230</v>
      </c>
      <c r="F2547" s="5" t="str">
        <f>HYPERLINK("http://www.contare.com/","www.contare.com")</f>
        <v>www.contare.com</v>
      </c>
    </row>
    <row r="2548" spans="1:6" ht="29.55" customHeight="1" x14ac:dyDescent="0.25">
      <c r="A2548" s="6" t="s">
        <v>10240</v>
      </c>
      <c r="B2548" s="5" t="s">
        <v>10241</v>
      </c>
      <c r="C2548" s="5" t="s">
        <v>10242</v>
      </c>
      <c r="D2548" s="5" t="s">
        <v>10221</v>
      </c>
      <c r="E2548" s="5" t="s">
        <v>10222</v>
      </c>
      <c r="F2548" s="5" t="str">
        <f>HYPERLINK("http://www.feolfruit.com/","www.feolfruit.com")</f>
        <v>www.feolfruit.com</v>
      </c>
    </row>
    <row r="2549" spans="1:6" ht="29.55" customHeight="1" x14ac:dyDescent="0.25">
      <c r="A2549" s="1" t="s">
        <v>10243</v>
      </c>
      <c r="B2549" s="7" t="s">
        <v>10244</v>
      </c>
      <c r="C2549" s="7" t="s">
        <v>10228</v>
      </c>
      <c r="D2549" s="7" t="s">
        <v>10235</v>
      </c>
      <c r="E2549" s="7" t="s">
        <v>10230</v>
      </c>
      <c r="F2549" s="7" t="str">
        <f>HYPERLINK("http://www.fortemasso.it/","www.fortemasso.it")</f>
        <v>www.fortemasso.it</v>
      </c>
    </row>
    <row r="2550" spans="1:6" ht="55.65" customHeight="1" x14ac:dyDescent="0.25">
      <c r="A2550" s="6" t="s">
        <v>10245</v>
      </c>
      <c r="B2550" s="5" t="s">
        <v>10246</v>
      </c>
      <c r="C2550" s="5" t="s">
        <v>10247</v>
      </c>
      <c r="D2550" s="5" t="s">
        <v>10248</v>
      </c>
      <c r="E2550" s="5" t="s">
        <v>10234</v>
      </c>
      <c r="F2550" s="5" t="str">
        <f>HYPERLINK("http://aziendagricolaclorofilla.it/","aziendagricolaclorofilla.it")</f>
        <v>aziendagricolaclorofilla.it</v>
      </c>
    </row>
    <row r="2551" spans="1:6" ht="29.55" customHeight="1" x14ac:dyDescent="0.25">
      <c r="A2551" s="1" t="s">
        <v>10249</v>
      </c>
      <c r="B2551" s="7" t="s">
        <v>10250</v>
      </c>
      <c r="C2551" s="7" t="s">
        <v>10251</v>
      </c>
      <c r="D2551" s="7" t="s">
        <v>10252</v>
      </c>
      <c r="E2551" s="7" t="s">
        <v>10253</v>
      </c>
      <c r="F2551" s="7" t="str">
        <f>HYPERLINK("http://www.torremarabino.com/","www.torremarabino.com")</f>
        <v>www.torremarabino.com</v>
      </c>
    </row>
    <row r="2552" spans="1:6" ht="29.55" customHeight="1" x14ac:dyDescent="0.25">
      <c r="A2552" s="6" t="s">
        <v>10254</v>
      </c>
      <c r="B2552" s="5" t="s">
        <v>10255</v>
      </c>
      <c r="C2552" s="5" t="s">
        <v>10231</v>
      </c>
      <c r="D2552" s="5" t="s">
        <v>10256</v>
      </c>
      <c r="E2552" s="5" t="s">
        <v>10232</v>
      </c>
      <c r="F2552" s="5" t="str">
        <f>HYPERLINK("http://www.the-four-seasons.it/","www.the-four-seasons.it")</f>
        <v>www.the-four-seasons.it</v>
      </c>
    </row>
    <row r="2553" spans="1:6" ht="55.65" customHeight="1" x14ac:dyDescent="0.25">
      <c r="A2553" s="1" t="s">
        <v>10257</v>
      </c>
      <c r="B2553" s="7" t="s">
        <v>10258</v>
      </c>
      <c r="C2553" s="7" t="s">
        <v>10228</v>
      </c>
      <c r="D2553" s="7" t="s">
        <v>10259</v>
      </c>
      <c r="E2553" s="7" t="s">
        <v>10230</v>
      </c>
      <c r="F2553" s="7" t="str">
        <f>HYPERLINK("http://ilbotolo.com/","ilbotolo.com")</f>
        <v>ilbotolo.com</v>
      </c>
    </row>
    <row r="2554" spans="1:6" ht="29.55" customHeight="1" x14ac:dyDescent="0.25">
      <c r="A2554" s="6" t="s">
        <v>10260</v>
      </c>
      <c r="B2554" s="5" t="s">
        <v>10261</v>
      </c>
      <c r="C2554" s="5" t="s">
        <v>10262</v>
      </c>
      <c r="D2554" s="5" t="s">
        <v>10263</v>
      </c>
      <c r="E2554" s="5" t="s">
        <v>10233</v>
      </c>
      <c r="F2554" s="5" t="str">
        <f>HYPERLINK("http://www.gardenvivaimediterranei.it/","www.gardenvivaimediterranei.it")</f>
        <v>www.gardenvivaimediterranei.it</v>
      </c>
    </row>
    <row r="2555" spans="1:6" ht="29.55" customHeight="1" x14ac:dyDescent="0.25">
      <c r="A2555" s="1" t="s">
        <v>10264</v>
      </c>
      <c r="B2555" s="7" t="s">
        <v>10265</v>
      </c>
      <c r="C2555" s="7" t="s">
        <v>10228</v>
      </c>
      <c r="D2555" s="7" t="s">
        <v>10266</v>
      </c>
      <c r="E2555" s="7" t="s">
        <v>10232</v>
      </c>
      <c r="F2555" s="7" t="str">
        <f>HYPERLINK("http://barbalonga.it/","barbalonga.it")</f>
        <v>barbalonga.it</v>
      </c>
    </row>
    <row r="2556" spans="1:6" ht="16.95" customHeight="1" x14ac:dyDescent="0.25">
      <c r="A2556" s="1" t="s">
        <v>10274</v>
      </c>
      <c r="B2556" s="7" t="s">
        <v>10275</v>
      </c>
      <c r="C2556" s="7" t="s">
        <v>10272</v>
      </c>
      <c r="D2556" s="7" t="s">
        <v>10276</v>
      </c>
      <c r="E2556" s="7" t="s">
        <v>10269</v>
      </c>
      <c r="F2556" s="7" t="str">
        <f>HYPERLINK("http://www.serragiumenta.it/","www.serragiumenta.it")</f>
        <v>www.serragiumenta.it</v>
      </c>
    </row>
    <row r="2557" spans="1:6" ht="43.05" customHeight="1" x14ac:dyDescent="0.25">
      <c r="A2557" s="6" t="s">
        <v>10277</v>
      </c>
      <c r="B2557" s="5" t="s">
        <v>10278</v>
      </c>
      <c r="C2557" s="5" t="s">
        <v>10279</v>
      </c>
      <c r="D2557" s="5" t="s">
        <v>10280</v>
      </c>
      <c r="E2557" s="5" t="s">
        <v>10281</v>
      </c>
      <c r="F2557" s="5" t="str">
        <f>HYPERLINK("http://www.lenticchiaigpcastelluccio.it/","www.lenticchiaigpcastelluccio.it")</f>
        <v>www.lenticchiaigpcastelluccio.it</v>
      </c>
    </row>
    <row r="2558" spans="1:6" ht="16.95" customHeight="1" x14ac:dyDescent="0.25">
      <c r="A2558" s="1" t="s">
        <v>10282</v>
      </c>
      <c r="B2558" s="7" t="s">
        <v>10283</v>
      </c>
      <c r="C2558" s="7" t="s">
        <v>10268</v>
      </c>
      <c r="D2558" s="7" t="s">
        <v>10284</v>
      </c>
      <c r="E2558" s="7" t="s">
        <v>10285</v>
      </c>
      <c r="F2558" s="7" t="str">
        <f>HYPERLINK("http://www.italtrend.com/","www.italtrend.com")</f>
        <v>www.italtrend.com</v>
      </c>
    </row>
    <row r="2559" spans="1:6" ht="43.05" customHeight="1" x14ac:dyDescent="0.25">
      <c r="A2559" s="6" t="s">
        <v>10286</v>
      </c>
      <c r="B2559" s="5" t="s">
        <v>10287</v>
      </c>
      <c r="C2559" s="5" t="s">
        <v>10272</v>
      </c>
      <c r="D2559" s="5" t="s">
        <v>10288</v>
      </c>
      <c r="E2559" s="5" t="s">
        <v>10289</v>
      </c>
      <c r="F2559" s="5" t="str">
        <f>HYPERLINK("http://www.totalwinesalento.com/","www.totalwinesalento.com")</f>
        <v>www.totalwinesalento.com</v>
      </c>
    </row>
    <row r="2560" spans="1:6" ht="29.55" customHeight="1" x14ac:dyDescent="0.25">
      <c r="A2560" s="6" t="s">
        <v>10290</v>
      </c>
      <c r="B2560" s="5" t="s">
        <v>10291</v>
      </c>
      <c r="C2560" s="5" t="s">
        <v>10270</v>
      </c>
      <c r="D2560" s="5" t="s">
        <v>10292</v>
      </c>
      <c r="E2560" s="5" t="s">
        <v>10273</v>
      </c>
      <c r="F2560" s="5" t="str">
        <f>HYPERLINK("http://www.biocolombini.it/","www.biocolombini.it")</f>
        <v>www.biocolombini.it</v>
      </c>
    </row>
    <row r="2561" spans="1:6" ht="16.95" customHeight="1" x14ac:dyDescent="0.25">
      <c r="A2561" s="6" t="s">
        <v>10294</v>
      </c>
      <c r="B2561" s="5" t="s">
        <v>10295</v>
      </c>
      <c r="C2561" s="5" t="s">
        <v>10293</v>
      </c>
      <c r="D2561" s="5" t="s">
        <v>10296</v>
      </c>
      <c r="E2561" s="5" t="s">
        <v>10297</v>
      </c>
      <c r="F2561" s="5" t="str">
        <f>HYPERLINK("http://www.lazzarilucchini.com/","www.lazzarilucchini.com")</f>
        <v>www.lazzarilucchini.com</v>
      </c>
    </row>
    <row r="2562" spans="1:6" ht="29.55" customHeight="1" x14ac:dyDescent="0.25">
      <c r="A2562" s="1" t="s">
        <v>10298</v>
      </c>
      <c r="B2562" s="7" t="s">
        <v>10299</v>
      </c>
      <c r="C2562" s="7" t="s">
        <v>10267</v>
      </c>
      <c r="D2562" s="7" t="s">
        <v>10300</v>
      </c>
      <c r="E2562" s="7" t="s">
        <v>10271</v>
      </c>
      <c r="F2562" s="7" t="str">
        <f>HYPERLINK("http://www.milkyfarm.it/","www.milkyfarm.it")</f>
        <v>www.milkyfarm.it</v>
      </c>
    </row>
    <row r="2563" spans="1:6" ht="29.55" customHeight="1" x14ac:dyDescent="0.25">
      <c r="A2563" s="1" t="s">
        <v>10301</v>
      </c>
      <c r="B2563" s="7" t="s">
        <v>10302</v>
      </c>
      <c r="C2563" s="7" t="s">
        <v>10303</v>
      </c>
      <c r="D2563" s="7" t="s">
        <v>10284</v>
      </c>
      <c r="E2563" s="7" t="s">
        <v>10285</v>
      </c>
      <c r="F2563" s="7" t="str">
        <f>HYPERLINK("http://www.green-leaf.it/","www.green-leaf.it")</f>
        <v>www.green-leaf.it</v>
      </c>
    </row>
    <row r="2564" spans="1:6" ht="29.55" customHeight="1" x14ac:dyDescent="0.25">
      <c r="A2564" s="6" t="s">
        <v>10304</v>
      </c>
      <c r="B2564" s="5" t="s">
        <v>10305</v>
      </c>
      <c r="C2564" s="5" t="s">
        <v>10293</v>
      </c>
      <c r="D2564" s="5" t="s">
        <v>10284</v>
      </c>
      <c r="E2564" s="5" t="s">
        <v>10285</v>
      </c>
      <c r="F2564" s="5" t="str">
        <f>HYPERLINK("http://www.cfenergy.it:2222/","www.cfenergy.it:2222")</f>
        <v>www.cfenergy.it:2222</v>
      </c>
    </row>
    <row r="2565" spans="1:6" ht="43.05" customHeight="1" x14ac:dyDescent="0.25">
      <c r="A2565" s="6" t="s">
        <v>10311</v>
      </c>
      <c r="B2565" s="5" t="s">
        <v>10312</v>
      </c>
      <c r="C2565" s="5" t="s">
        <v>10313</v>
      </c>
      <c r="D2565" s="5" t="s">
        <v>10314</v>
      </c>
      <c r="E2565" s="5" t="s">
        <v>10310</v>
      </c>
      <c r="F2565" s="5" t="str">
        <f>HYPERLINK("http://www.agriturismofiamberta.it/","www.agriturismofiamberta.it")</f>
        <v>www.agriturismofiamberta.it</v>
      </c>
    </row>
    <row r="2566" spans="1:6" ht="29.55" customHeight="1" x14ac:dyDescent="0.25">
      <c r="A2566" s="6" t="s">
        <v>10315</v>
      </c>
      <c r="B2566" s="5" t="s">
        <v>10316</v>
      </c>
      <c r="C2566" s="5" t="s">
        <v>10317</v>
      </c>
      <c r="D2566" s="5" t="s">
        <v>10318</v>
      </c>
      <c r="E2566" s="5" t="s">
        <v>10319</v>
      </c>
      <c r="F2566" s="5" t="str">
        <f>HYPERLINK("http://www.baronedecles.it/","www.baronedecles.it")</f>
        <v>www.baronedecles.it</v>
      </c>
    </row>
    <row r="2567" spans="1:6" ht="29.55" customHeight="1" x14ac:dyDescent="0.25">
      <c r="A2567" s="1" t="s">
        <v>10320</v>
      </c>
      <c r="B2567" s="7" t="s">
        <v>10321</v>
      </c>
      <c r="C2567" s="7" t="s">
        <v>10322</v>
      </c>
      <c r="D2567" s="7" t="s">
        <v>10323</v>
      </c>
      <c r="E2567" s="7" t="s">
        <v>10324</v>
      </c>
      <c r="F2567" s="7" t="str">
        <f>HYPERLINK("http://societa-agricola-punto-rosso-srl-01740060882.quantofattura.com/","societa-agricola-punto-rosso-srl-01740060882.quantofattura.com")</f>
        <v>societa-agricola-punto-rosso-srl-01740060882.quantofattura.com</v>
      </c>
    </row>
    <row r="2568" spans="1:6" ht="29.55" customHeight="1" x14ac:dyDescent="0.25">
      <c r="A2568" s="6" t="s">
        <v>10327</v>
      </c>
      <c r="B2568" s="5" t="s">
        <v>10328</v>
      </c>
      <c r="C2568" s="5" t="s">
        <v>10317</v>
      </c>
      <c r="D2568" s="5" t="s">
        <v>10329</v>
      </c>
      <c r="E2568" s="5" t="s">
        <v>10330</v>
      </c>
      <c r="F2568" s="5" t="str">
        <f>HYPERLINK("http://www.parideiaretti.it/","www.parideiaretti.it")</f>
        <v>www.parideiaretti.it</v>
      </c>
    </row>
    <row r="2569" spans="1:6" ht="29.55" customHeight="1" x14ac:dyDescent="0.25">
      <c r="A2569" s="1" t="s">
        <v>10334</v>
      </c>
      <c r="B2569" s="7" t="s">
        <v>10335</v>
      </c>
      <c r="C2569" s="7" t="s">
        <v>10306</v>
      </c>
      <c r="D2569" s="7" t="s">
        <v>10336</v>
      </c>
      <c r="E2569" s="7" t="s">
        <v>10330</v>
      </c>
      <c r="F2569" s="7" t="str">
        <f>HYPERLINK("http://www.disanapianta.bio/","www.disanapianta.bio")</f>
        <v>www.disanapianta.bio</v>
      </c>
    </row>
    <row r="2570" spans="1:6" ht="29.55" customHeight="1" x14ac:dyDescent="0.25">
      <c r="A2570" s="1" t="s">
        <v>10337</v>
      </c>
      <c r="B2570" s="7" t="s">
        <v>10338</v>
      </c>
      <c r="C2570" s="7" t="s">
        <v>10317</v>
      </c>
      <c r="D2570" s="7" t="s">
        <v>10339</v>
      </c>
      <c r="E2570" s="7" t="s">
        <v>10333</v>
      </c>
      <c r="F2570" s="7" t="str">
        <f>HYPERLINK("http://www.ilconventino.it/","www.ilconventino.it")</f>
        <v>www.ilconventino.it</v>
      </c>
    </row>
    <row r="2571" spans="1:6" ht="29.55" customHeight="1" x14ac:dyDescent="0.25">
      <c r="A2571" s="1" t="s">
        <v>10341</v>
      </c>
      <c r="B2571" s="7" t="s">
        <v>10342</v>
      </c>
      <c r="C2571" s="7" t="s">
        <v>10343</v>
      </c>
      <c r="D2571" s="7" t="s">
        <v>10344</v>
      </c>
      <c r="E2571" s="7" t="s">
        <v>10326</v>
      </c>
      <c r="F2571" s="7" t="str">
        <f>HYPERLINK("http://intergeos.it/","intergeos.it")</f>
        <v>intergeos.it</v>
      </c>
    </row>
    <row r="2572" spans="1:6" ht="29.55" customHeight="1" x14ac:dyDescent="0.25">
      <c r="A2572" s="6" t="s">
        <v>10345</v>
      </c>
      <c r="B2572" s="5" t="s">
        <v>10346</v>
      </c>
      <c r="C2572" s="5" t="s">
        <v>10347</v>
      </c>
      <c r="D2572" s="5" t="s">
        <v>10348</v>
      </c>
      <c r="E2572" s="5" t="s">
        <v>10349</v>
      </c>
      <c r="F2572" s="5" t="str">
        <f>HYPERLINK("http://www.nerodibaselice.it/","www.nerodibaselice.it")</f>
        <v>www.nerodibaselice.it</v>
      </c>
    </row>
    <row r="2573" spans="1:6" ht="68.099999999999994" customHeight="1" x14ac:dyDescent="0.25">
      <c r="A2573" s="6" t="s">
        <v>10350</v>
      </c>
      <c r="B2573" s="5" t="s">
        <v>10351</v>
      </c>
      <c r="C2573" s="5" t="s">
        <v>10325</v>
      </c>
      <c r="D2573" s="5" t="s">
        <v>10352</v>
      </c>
      <c r="E2573" s="5" t="s">
        <v>10333</v>
      </c>
      <c r="F2573" s="5" t="str">
        <f>HYPERLINK("http://www.agrilandia.eu/","http://www.agrilandia.eu")</f>
        <v>http://www.agrilandia.eu</v>
      </c>
    </row>
    <row r="2574" spans="1:6" ht="29.55" customHeight="1" x14ac:dyDescent="0.25">
      <c r="A2574" s="1" t="s">
        <v>10353</v>
      </c>
      <c r="B2574" s="7" t="s">
        <v>10354</v>
      </c>
      <c r="C2574" s="7" t="s">
        <v>10317</v>
      </c>
      <c r="D2574" s="7" t="s">
        <v>10355</v>
      </c>
      <c r="E2574" s="7" t="s">
        <v>10330</v>
      </c>
      <c r="F2574" s="7" t="str">
        <f>HYPERLINK("http://www.lilluminata.it/","www.lilluminata.it")</f>
        <v>www.lilluminata.it</v>
      </c>
    </row>
    <row r="2575" spans="1:6" ht="29.55" customHeight="1" x14ac:dyDescent="0.25">
      <c r="A2575" s="1" t="s">
        <v>10356</v>
      </c>
      <c r="B2575" s="7" t="s">
        <v>10357</v>
      </c>
      <c r="C2575" s="7" t="s">
        <v>10331</v>
      </c>
      <c r="D2575" s="7" t="s">
        <v>10358</v>
      </c>
      <c r="E2575" s="7" t="s">
        <v>10349</v>
      </c>
      <c r="F2575" s="7" t="str">
        <f>HYPERLINK("http://www.facebook.com/sorrentagri/","www.facebook.com/sorrentagri/")</f>
        <v>www.facebook.com/sorrentagri/</v>
      </c>
    </row>
    <row r="2576" spans="1:6" ht="16.95" customHeight="1" x14ac:dyDescent="0.25">
      <c r="A2576" s="6" t="s">
        <v>10361</v>
      </c>
      <c r="B2576" s="5" t="s">
        <v>10362</v>
      </c>
      <c r="C2576" s="5" t="s">
        <v>10317</v>
      </c>
      <c r="D2576" s="5" t="s">
        <v>10332</v>
      </c>
      <c r="E2576" s="5" t="s">
        <v>10333</v>
      </c>
      <c r="F2576" s="5" t="str">
        <f>HYPERLINK("http://tenutadicollina.com/","tenutadicollina.com")</f>
        <v>tenutadicollina.com</v>
      </c>
    </row>
    <row r="2577" spans="1:6" ht="29.55" customHeight="1" x14ac:dyDescent="0.25">
      <c r="A2577" s="1" t="s">
        <v>10363</v>
      </c>
      <c r="B2577" s="7" t="s">
        <v>10364</v>
      </c>
      <c r="C2577" s="7" t="s">
        <v>10317</v>
      </c>
      <c r="D2577" s="7" t="s">
        <v>10307</v>
      </c>
      <c r="E2577" s="7" t="s">
        <v>10308</v>
      </c>
      <c r="F2577" s="7" t="str">
        <f>HYPERLINK("http://www.poggiocennina.it/","www.poggiocennina.it")</f>
        <v>www.poggiocennina.it</v>
      </c>
    </row>
    <row r="2578" spans="1:6" ht="16.95" customHeight="1" x14ac:dyDescent="0.25">
      <c r="A2578" s="6" t="s">
        <v>10365</v>
      </c>
      <c r="B2578" s="5" t="s">
        <v>10366</v>
      </c>
      <c r="C2578" s="5" t="s">
        <v>10340</v>
      </c>
      <c r="D2578" s="5" t="s">
        <v>10309</v>
      </c>
      <c r="E2578" s="5" t="s">
        <v>10310</v>
      </c>
      <c r="F2578" s="5" t="str">
        <f>HYPERLINK("http://www.23quarterhorses.com/","www.23quarterhorses.com")</f>
        <v>www.23quarterhorses.com</v>
      </c>
    </row>
    <row r="2579" spans="1:6" ht="29.55" customHeight="1" x14ac:dyDescent="0.25">
      <c r="A2579" s="1" t="s">
        <v>10367</v>
      </c>
      <c r="B2579" s="7" t="s">
        <v>10368</v>
      </c>
      <c r="C2579" s="7" t="s">
        <v>10331</v>
      </c>
      <c r="D2579" s="7" t="s">
        <v>10355</v>
      </c>
      <c r="E2579" s="7" t="s">
        <v>10330</v>
      </c>
      <c r="F2579" s="7" t="str">
        <f>HYPERLINK("http://www.cantinecastion.it/","www.cantinecastion.it")</f>
        <v>www.cantinecastion.it</v>
      </c>
    </row>
    <row r="2580" spans="1:6" ht="29.55" customHeight="1" x14ac:dyDescent="0.25">
      <c r="A2580" s="1" t="s">
        <v>10369</v>
      </c>
      <c r="B2580" s="7" t="s">
        <v>10370</v>
      </c>
      <c r="C2580" s="7" t="s">
        <v>10322</v>
      </c>
      <c r="D2580" s="7" t="s">
        <v>10359</v>
      </c>
      <c r="E2580" s="7" t="s">
        <v>10360</v>
      </c>
      <c r="F2580" s="7" t="str">
        <f>HYPERLINK("http://www.oliobiologicoritrovato.it/","www.oliobiologicoritrovato.it")</f>
        <v>www.oliobiologicoritrovato.it</v>
      </c>
    </row>
    <row r="2581" spans="1:6" ht="29.55" customHeight="1" x14ac:dyDescent="0.25">
      <c r="A2581" s="1" t="s">
        <v>10371</v>
      </c>
      <c r="B2581" s="7" t="s">
        <v>10372</v>
      </c>
      <c r="C2581" s="7" t="s">
        <v>10373</v>
      </c>
      <c r="D2581" s="7" t="s">
        <v>10374</v>
      </c>
      <c r="E2581" s="7" t="s">
        <v>10375</v>
      </c>
      <c r="F2581" s="7" t="str">
        <f>HYPERLINK("http://vinhotel.it/","vinhotel.it")</f>
        <v>vinhotel.it</v>
      </c>
    </row>
    <row r="2582" spans="1:6" ht="29.55" customHeight="1" x14ac:dyDescent="0.25">
      <c r="A2582" s="1" t="s">
        <v>10378</v>
      </c>
      <c r="B2582" s="7" t="s">
        <v>10379</v>
      </c>
      <c r="C2582" s="7" t="s">
        <v>10373</v>
      </c>
      <c r="D2582" s="7" t="s">
        <v>10380</v>
      </c>
      <c r="E2582" s="7" t="s">
        <v>10381</v>
      </c>
      <c r="F2582" s="7" t="str">
        <f>HYPERLINK("http://www.saporidelletnastore.it/","www.saporidelletnastore.it")</f>
        <v>www.saporidelletnastore.it</v>
      </c>
    </row>
    <row r="2583" spans="1:6" ht="43.05" customHeight="1" x14ac:dyDescent="0.25">
      <c r="A2583" s="6" t="s">
        <v>10382</v>
      </c>
      <c r="B2583" s="5" t="s">
        <v>10383</v>
      </c>
      <c r="C2583" s="5" t="s">
        <v>10384</v>
      </c>
      <c r="D2583" s="5" t="s">
        <v>10385</v>
      </c>
      <c r="E2583" s="5" t="s">
        <v>10386</v>
      </c>
      <c r="F2583" s="5" t="str">
        <f>HYPERLINK("http://www.nueat.it/","www.nueat.it")</f>
        <v>www.nueat.it</v>
      </c>
    </row>
    <row r="2584" spans="1:6" ht="29.55" customHeight="1" x14ac:dyDescent="0.25">
      <c r="A2584" s="6" t="s">
        <v>10387</v>
      </c>
      <c r="B2584" s="5" t="s">
        <v>10388</v>
      </c>
      <c r="C2584" s="5" t="s">
        <v>10389</v>
      </c>
      <c r="D2584" s="5" t="s">
        <v>10390</v>
      </c>
      <c r="E2584" s="5" t="s">
        <v>10391</v>
      </c>
      <c r="F2584" s="5" t="str">
        <f>HYPERLINK("http://www.botromagno.it/","www.botromagno.it")</f>
        <v>www.botromagno.it</v>
      </c>
    </row>
    <row r="2585" spans="1:6" ht="43.05" customHeight="1" x14ac:dyDescent="0.25">
      <c r="A2585" s="1" t="s">
        <v>10393</v>
      </c>
      <c r="B2585" s="7" t="s">
        <v>10394</v>
      </c>
      <c r="C2585" s="7" t="s">
        <v>10373</v>
      </c>
      <c r="D2585" s="7" t="s">
        <v>10395</v>
      </c>
      <c r="E2585" s="7" t="s">
        <v>10375</v>
      </c>
      <c r="F2585" s="7" t="str">
        <f>HYPERLINK("http://www.ibalzini.it/","www.ibalzini.it")</f>
        <v>www.ibalzini.it</v>
      </c>
    </row>
    <row r="2586" spans="1:6" ht="29.55" customHeight="1" x14ac:dyDescent="0.25">
      <c r="A2586" s="6" t="s">
        <v>10396</v>
      </c>
      <c r="B2586" s="5" t="s">
        <v>10397</v>
      </c>
      <c r="C2586" s="5" t="s">
        <v>10398</v>
      </c>
      <c r="D2586" s="5" t="s">
        <v>10399</v>
      </c>
      <c r="E2586" s="5" t="s">
        <v>10392</v>
      </c>
      <c r="F2586" s="5" t="str">
        <f>HYPERLINK("http://www.locationbarbesina.it/","www.locationbarbesina.it")</f>
        <v>www.locationbarbesina.it</v>
      </c>
    </row>
    <row r="2587" spans="1:6" ht="55.65" customHeight="1" x14ac:dyDescent="0.25">
      <c r="A2587" s="6" t="s">
        <v>10400</v>
      </c>
      <c r="B2587" s="5" t="s">
        <v>10401</v>
      </c>
      <c r="C2587" s="5" t="s">
        <v>10402</v>
      </c>
      <c r="D2587" s="5" t="s">
        <v>10403</v>
      </c>
      <c r="E2587" s="5" t="s">
        <v>10404</v>
      </c>
      <c r="F2587" s="5" t="str">
        <f>HYPERLINK("http://azienda-agricola-biasi.business.site/","azienda-agricola-biasi.business.site/")</f>
        <v>azienda-agricola-biasi.business.site/</v>
      </c>
    </row>
    <row r="2588" spans="1:6" ht="29.55" customHeight="1" x14ac:dyDescent="0.25">
      <c r="A2588" s="6" t="s">
        <v>10406</v>
      </c>
      <c r="B2588" s="5" t="s">
        <v>10407</v>
      </c>
      <c r="C2588" s="5" t="s">
        <v>10408</v>
      </c>
      <c r="D2588" s="5" t="s">
        <v>10409</v>
      </c>
      <c r="E2588" s="5" t="s">
        <v>10410</v>
      </c>
      <c r="F2588" s="5" t="str">
        <f>HYPERLINK("http://www.europlantsrl.com/","www.europlantsrl.com")</f>
        <v>www.europlantsrl.com</v>
      </c>
    </row>
    <row r="2589" spans="1:6" ht="106.65" customHeight="1" x14ac:dyDescent="0.25">
      <c r="A2589" s="1" t="s">
        <v>10411</v>
      </c>
      <c r="B2589" s="7" t="s">
        <v>10412</v>
      </c>
      <c r="C2589" s="7" t="s">
        <v>10389</v>
      </c>
      <c r="D2589" s="7" t="s">
        <v>10413</v>
      </c>
      <c r="E2589" s="7" t="s">
        <v>10405</v>
      </c>
      <c r="F2589" s="7" t="str">
        <f>HYPERLINK("http://poggiodelladogana.com/","poggiodelladogana.com")</f>
        <v>poggiodelladogana.com</v>
      </c>
    </row>
    <row r="2590" spans="1:6" ht="29.55" customHeight="1" x14ac:dyDescent="0.25">
      <c r="A2590" s="1" t="s">
        <v>10414</v>
      </c>
      <c r="B2590" s="7" t="s">
        <v>10415</v>
      </c>
      <c r="C2590" s="7" t="s">
        <v>10416</v>
      </c>
      <c r="D2590" s="7" t="s">
        <v>10376</v>
      </c>
      <c r="E2590" s="7" t="s">
        <v>10377</v>
      </c>
      <c r="F2590" s="7" t="str">
        <f>HYPERLINK("http://www.masserianobile.com/","www.masserianobile.com")</f>
        <v>www.masserianobile.com</v>
      </c>
    </row>
    <row r="2591" spans="1:6" ht="43.05" customHeight="1" x14ac:dyDescent="0.25">
      <c r="A2591" s="1" t="s">
        <v>10418</v>
      </c>
      <c r="B2591" s="7" t="s">
        <v>10419</v>
      </c>
      <c r="C2591" s="7" t="s">
        <v>10408</v>
      </c>
      <c r="D2591" s="7" t="s">
        <v>10420</v>
      </c>
      <c r="E2591" s="7" t="s">
        <v>10417</v>
      </c>
      <c r="F2591" s="7" t="str">
        <f>HYPERLINK("http://www.vivaitomaino.it/","www.vivaitomaino.it")</f>
        <v>www.vivaitomaino.it</v>
      </c>
    </row>
    <row r="2592" spans="1:6" ht="43.05" customHeight="1" x14ac:dyDescent="0.25">
      <c r="A2592" s="6" t="s">
        <v>10421</v>
      </c>
      <c r="B2592" s="5" t="s">
        <v>10422</v>
      </c>
      <c r="C2592" s="5" t="s">
        <v>10423</v>
      </c>
      <c r="D2592" s="5" t="s">
        <v>10424</v>
      </c>
      <c r="E2592" s="5" t="s">
        <v>10425</v>
      </c>
      <c r="F2592" s="5" t="str">
        <f>HYPERLINK("http://www.alberodelparadiso.it/","www.alberodelparadiso.it")</f>
        <v>www.alberodelparadiso.it</v>
      </c>
    </row>
    <row r="2593" spans="1:6" ht="43.05" customHeight="1" x14ac:dyDescent="0.25">
      <c r="A2593" s="1" t="s">
        <v>10426</v>
      </c>
      <c r="B2593" s="7" t="s">
        <v>10427</v>
      </c>
      <c r="C2593" s="7" t="s">
        <v>10428</v>
      </c>
      <c r="D2593" s="7" t="s">
        <v>10429</v>
      </c>
      <c r="E2593" s="7" t="s">
        <v>10430</v>
      </c>
      <c r="F2593" s="7" t="str">
        <f>HYPERLINK("http://aziendaconcadoro.it/","aziendaconcadoro.it")</f>
        <v>aziendaconcadoro.it</v>
      </c>
    </row>
    <row r="2594" spans="1:6" ht="29.55" customHeight="1" x14ac:dyDescent="0.25">
      <c r="A2594" s="6" t="s">
        <v>10431</v>
      </c>
      <c r="B2594" s="5" t="s">
        <v>10432</v>
      </c>
      <c r="C2594" s="5" t="s">
        <v>10423</v>
      </c>
      <c r="D2594" s="5" t="s">
        <v>10433</v>
      </c>
      <c r="E2594" s="5" t="s">
        <v>10434</v>
      </c>
      <c r="F2594" s="5" t="str">
        <f>HYPERLINK("http://www.toscanagiaggiolo.it/","www.toscanagiaggiolo.it")</f>
        <v>www.toscanagiaggiolo.it</v>
      </c>
    </row>
    <row r="2595" spans="1:6" ht="29.55" customHeight="1" x14ac:dyDescent="0.25">
      <c r="A2595" s="6" t="s">
        <v>10438</v>
      </c>
      <c r="B2595" s="5" t="s">
        <v>10439</v>
      </c>
      <c r="C2595" s="5" t="s">
        <v>10440</v>
      </c>
      <c r="D2595" s="5" t="s">
        <v>10441</v>
      </c>
      <c r="E2595" s="5" t="s">
        <v>10442</v>
      </c>
      <c r="F2595" s="5" t="str">
        <f>HYPERLINK("http://www.oldo.it/","www.oldo.it")</f>
        <v>www.oldo.it</v>
      </c>
    </row>
    <row r="2596" spans="1:6" ht="29.55" customHeight="1" x14ac:dyDescent="0.25">
      <c r="A2596" s="1" t="s">
        <v>10443</v>
      </c>
      <c r="B2596" s="7" t="s">
        <v>10444</v>
      </c>
      <c r="C2596" s="7" t="s">
        <v>10445</v>
      </c>
      <c r="D2596" s="7" t="s">
        <v>10446</v>
      </c>
      <c r="E2596" s="7" t="s">
        <v>10447</v>
      </c>
      <c r="F2596" s="7" t="str">
        <f>HYPERLINK("http://www.vivaivotino.com/garden/","www.vivaivotino.com/garden/")</f>
        <v>www.vivaivotino.com/garden/</v>
      </c>
    </row>
    <row r="2597" spans="1:6" ht="29.55" customHeight="1" x14ac:dyDescent="0.25">
      <c r="A2597" s="6" t="s">
        <v>10448</v>
      </c>
      <c r="B2597" s="5" t="s">
        <v>10449</v>
      </c>
      <c r="C2597" s="5" t="s">
        <v>10435</v>
      </c>
      <c r="D2597" s="5" t="s">
        <v>10450</v>
      </c>
      <c r="E2597" s="5" t="s">
        <v>10430</v>
      </c>
      <c r="F2597" s="5" t="str">
        <f>HYPERLINK("http://frantoiocesarebattisti.it/","frantoiocesarebattisti.it")</f>
        <v>frantoiocesarebattisti.it</v>
      </c>
    </row>
    <row r="2598" spans="1:6" ht="29.55" customHeight="1" x14ac:dyDescent="0.25">
      <c r="A2598" s="1" t="s">
        <v>10451</v>
      </c>
      <c r="B2598" s="7" t="s">
        <v>10452</v>
      </c>
      <c r="C2598" s="7" t="s">
        <v>10453</v>
      </c>
      <c r="D2598" s="7" t="s">
        <v>10437</v>
      </c>
      <c r="E2598" s="7" t="s">
        <v>10434</v>
      </c>
      <c r="F2598" s="7" t="str">
        <f>HYPERLINK("http://www.usigliandelvescovo.it/","www.usigliandelvescovo.it")</f>
        <v>www.usigliandelvescovo.it</v>
      </c>
    </row>
    <row r="2599" spans="1:6" ht="29.55" customHeight="1" x14ac:dyDescent="0.25">
      <c r="A2599" s="1" t="s">
        <v>10454</v>
      </c>
      <c r="B2599" s="7" t="s">
        <v>10455</v>
      </c>
      <c r="C2599" s="7" t="s">
        <v>10453</v>
      </c>
      <c r="D2599" s="7" t="s">
        <v>10456</v>
      </c>
      <c r="E2599" s="7" t="s">
        <v>10457</v>
      </c>
      <c r="F2599" s="7" t="str">
        <f>HYPERLINK("http://www.costadoria.com/","www.costadoria.com")</f>
        <v>www.costadoria.com</v>
      </c>
    </row>
    <row r="2600" spans="1:6" ht="16.95" customHeight="1" x14ac:dyDescent="0.25">
      <c r="A2600" s="6" t="s">
        <v>10458</v>
      </c>
      <c r="B2600" s="5" t="s">
        <v>10459</v>
      </c>
      <c r="C2600" s="5" t="s">
        <v>10435</v>
      </c>
      <c r="D2600" s="5" t="s">
        <v>10460</v>
      </c>
      <c r="E2600" s="5" t="s">
        <v>10461</v>
      </c>
      <c r="F2600" s="5" t="str">
        <f>HYPERLINK("http://www.torridiporsenna.it/","www.torridiporsenna.it")</f>
        <v>www.torridiporsenna.it</v>
      </c>
    </row>
    <row r="2601" spans="1:6" ht="29.55" customHeight="1" x14ac:dyDescent="0.25">
      <c r="A2601" s="6" t="s">
        <v>10462</v>
      </c>
      <c r="B2601" s="5" t="s">
        <v>10463</v>
      </c>
      <c r="C2601" s="5" t="s">
        <v>10440</v>
      </c>
      <c r="D2601" s="5" t="s">
        <v>10464</v>
      </c>
      <c r="E2601" s="5" t="s">
        <v>10465</v>
      </c>
      <c r="F2601" s="5" t="str">
        <f>HYPERLINK("http://www.panigai.it/","www.panigai.it")</f>
        <v>www.panigai.it</v>
      </c>
    </row>
    <row r="2602" spans="1:6" ht="43.05" customHeight="1" x14ac:dyDescent="0.25">
      <c r="A2602" s="1" t="s">
        <v>10466</v>
      </c>
      <c r="B2602" s="7" t="s">
        <v>10467</v>
      </c>
      <c r="C2602" s="7" t="s">
        <v>10468</v>
      </c>
      <c r="D2602" s="7" t="s">
        <v>10469</v>
      </c>
      <c r="E2602" s="7" t="s">
        <v>10447</v>
      </c>
      <c r="F2602" s="7" t="str">
        <f>HYPERLINK("http://www.agriturismoparmenide.it/","www.agriturismoparmenide.it")</f>
        <v>www.agriturismoparmenide.it</v>
      </c>
    </row>
    <row r="2603" spans="1:6" ht="43.05" customHeight="1" x14ac:dyDescent="0.25">
      <c r="A2603" s="6" t="s">
        <v>10470</v>
      </c>
      <c r="B2603" s="5" t="s">
        <v>10471</v>
      </c>
      <c r="C2603" s="5" t="s">
        <v>10453</v>
      </c>
      <c r="D2603" s="5" t="s">
        <v>10460</v>
      </c>
      <c r="E2603" s="5" t="s">
        <v>10461</v>
      </c>
      <c r="F2603" s="5" t="str">
        <f>HYPERLINK("http://www.subretia.com/","www.subretia.com")</f>
        <v>www.subretia.com</v>
      </c>
    </row>
    <row r="2604" spans="1:6" ht="43.05" customHeight="1" x14ac:dyDescent="0.25">
      <c r="A2604" s="1" t="s">
        <v>10472</v>
      </c>
      <c r="B2604" s="7" t="s">
        <v>10473</v>
      </c>
      <c r="C2604" s="7" t="s">
        <v>10423</v>
      </c>
      <c r="D2604" s="7" t="s">
        <v>10460</v>
      </c>
      <c r="E2604" s="7" t="s">
        <v>10461</v>
      </c>
      <c r="F2604" s="7" t="str">
        <f>HYPERLINK("http://cooperativaoleificiopozzuolese.it/","cooperativaoleificiopozzuolese.it")</f>
        <v>cooperativaoleificiopozzuolese.it</v>
      </c>
    </row>
    <row r="2605" spans="1:6" ht="29.55" customHeight="1" x14ac:dyDescent="0.25">
      <c r="A2605" s="1" t="s">
        <v>10474</v>
      </c>
      <c r="B2605" s="7" t="s">
        <v>10475</v>
      </c>
      <c r="C2605" s="7" t="s">
        <v>10445</v>
      </c>
      <c r="D2605" s="7" t="s">
        <v>10476</v>
      </c>
      <c r="E2605" s="7" t="s">
        <v>10436</v>
      </c>
      <c r="F2605" s="7" t="str">
        <f>HYPERLINK("http://cairomelograno.it/","cairomelograno.it")</f>
        <v>cairomelograno.it</v>
      </c>
    </row>
    <row r="2606" spans="1:6" ht="29.55" customHeight="1" x14ac:dyDescent="0.25">
      <c r="A2606" s="1" t="s">
        <v>10477</v>
      </c>
      <c r="B2606" s="7" t="s">
        <v>10478</v>
      </c>
      <c r="C2606" s="7" t="s">
        <v>10479</v>
      </c>
      <c r="D2606" s="7" t="s">
        <v>10480</v>
      </c>
      <c r="E2606" s="7" t="s">
        <v>10481</v>
      </c>
      <c r="F2606" s="7" t="str">
        <f>HYPERLINK("http://www.cantinapetrabianca.com/","www.cantinapetrabianca.com")</f>
        <v>www.cantinapetrabianca.com</v>
      </c>
    </row>
    <row r="2607" spans="1:6" ht="29.55" customHeight="1" x14ac:dyDescent="0.25">
      <c r="A2607" s="1" t="s">
        <v>10483</v>
      </c>
      <c r="B2607" s="7" t="s">
        <v>10484</v>
      </c>
      <c r="C2607" s="7" t="s">
        <v>10485</v>
      </c>
      <c r="D2607" s="7" t="s">
        <v>10486</v>
      </c>
      <c r="E2607" s="7" t="s">
        <v>10487</v>
      </c>
      <c r="F2607" s="7" t="str">
        <f>HYPERLINK("http://www.unfioreperlavita.it/","www.unfioreperlavita.it")</f>
        <v>www.unfioreperlavita.it</v>
      </c>
    </row>
    <row r="2608" spans="1:6" ht="68.099999999999994" customHeight="1" x14ac:dyDescent="0.25">
      <c r="A2608" s="6" t="s">
        <v>10488</v>
      </c>
      <c r="B2608" s="5" t="s">
        <v>10489</v>
      </c>
      <c r="C2608" s="5" t="s">
        <v>10479</v>
      </c>
      <c r="D2608" s="5" t="s">
        <v>10490</v>
      </c>
      <c r="E2608" s="5" t="s">
        <v>10491</v>
      </c>
      <c r="F2608" s="5" t="str">
        <f>HYPERLINK("http://www.palazzonadimaggio.it/","www.palazzonadimaggio.it")</f>
        <v>www.palazzonadimaggio.it</v>
      </c>
    </row>
    <row r="2609" spans="1:6" ht="16.95" customHeight="1" x14ac:dyDescent="0.25">
      <c r="A2609" s="1" t="s">
        <v>10494</v>
      </c>
      <c r="B2609" s="7" t="s">
        <v>10495</v>
      </c>
      <c r="C2609" s="7" t="s">
        <v>10496</v>
      </c>
      <c r="D2609" s="7" t="s">
        <v>10492</v>
      </c>
      <c r="E2609" s="7" t="s">
        <v>10493</v>
      </c>
      <c r="F2609" s="7" t="str">
        <f>HYPERLINK("http://gardesana.it/","gardesana.it")</f>
        <v>gardesana.it</v>
      </c>
    </row>
    <row r="2610" spans="1:6" ht="43.05" customHeight="1" x14ac:dyDescent="0.25">
      <c r="A2610" s="6" t="s">
        <v>10497</v>
      </c>
      <c r="B2610" s="5" t="s">
        <v>10498</v>
      </c>
      <c r="C2610" s="5" t="s">
        <v>10499</v>
      </c>
      <c r="D2610" s="5" t="s">
        <v>10500</v>
      </c>
      <c r="E2610" s="5" t="s">
        <v>10482</v>
      </c>
      <c r="F2610" s="5" t="str">
        <f>HYPERLINK("http://ilfaggiorosso.it/","ilfaggiorosso.it")</f>
        <v>ilfaggiorosso.it</v>
      </c>
    </row>
    <row r="2611" spans="1:6" ht="29.55" customHeight="1" x14ac:dyDescent="0.25">
      <c r="A2611" s="6" t="s">
        <v>10501</v>
      </c>
      <c r="B2611" s="5" t="s">
        <v>10502</v>
      </c>
      <c r="C2611" s="5" t="s">
        <v>10479</v>
      </c>
      <c r="D2611" s="5" t="s">
        <v>10503</v>
      </c>
      <c r="E2611" s="5" t="s">
        <v>10504</v>
      </c>
      <c r="F2611" s="5" t="str">
        <f>HYPERLINK("http://camperchi.com/italiano","camperchi.com/italiano")</f>
        <v>camperchi.com/italiano</v>
      </c>
    </row>
    <row r="2612" spans="1:6" ht="43.05" customHeight="1" x14ac:dyDescent="0.25">
      <c r="A2612" s="1" t="s">
        <v>10505</v>
      </c>
      <c r="B2612" s="7" t="s">
        <v>10506</v>
      </c>
      <c r="C2612" s="7" t="s">
        <v>10507</v>
      </c>
      <c r="D2612" s="7" t="s">
        <v>10508</v>
      </c>
      <c r="E2612" s="7" t="s">
        <v>10504</v>
      </c>
      <c r="F2612" s="7" t="str">
        <f>HYPERLINK("http://www.poderelatorre.com/","www.poderelatorre.com")</f>
        <v>www.poderelatorre.com</v>
      </c>
    </row>
    <row r="2613" spans="1:6" ht="16.95" customHeight="1" x14ac:dyDescent="0.25">
      <c r="A2613" s="6" t="s">
        <v>10509</v>
      </c>
      <c r="B2613" s="5" t="s">
        <v>10510</v>
      </c>
      <c r="C2613" s="5" t="s">
        <v>10507</v>
      </c>
      <c r="D2613" s="5" t="s">
        <v>10511</v>
      </c>
      <c r="E2613" s="5" t="s">
        <v>10512</v>
      </c>
      <c r="F2613" s="5" t="str">
        <f>HYPERLINK("http://www.sansabino.info/","www.sansabino.info")</f>
        <v>www.sansabino.info</v>
      </c>
    </row>
    <row r="2614" spans="1:6" ht="29.55" customHeight="1" x14ac:dyDescent="0.25">
      <c r="A2614" s="6" t="s">
        <v>10513</v>
      </c>
      <c r="B2614" s="5" t="s">
        <v>10514</v>
      </c>
      <c r="C2614" s="5" t="s">
        <v>10507</v>
      </c>
      <c r="D2614" s="5" t="s">
        <v>10515</v>
      </c>
      <c r="E2614" s="5" t="s">
        <v>10504</v>
      </c>
      <c r="F2614" s="5" t="str">
        <f>HYPERLINK("http://stage.montaltointoscana.com/","stage.montaltointoscana.com")</f>
        <v>stage.montaltointoscana.com</v>
      </c>
    </row>
    <row r="2615" spans="1:6" ht="29.55" customHeight="1" x14ac:dyDescent="0.25">
      <c r="A2615" s="6" t="s">
        <v>10516</v>
      </c>
      <c r="B2615" s="5" t="s">
        <v>10517</v>
      </c>
      <c r="C2615" s="5" t="s">
        <v>10479</v>
      </c>
      <c r="D2615" s="5" t="s">
        <v>10492</v>
      </c>
      <c r="E2615" s="5" t="s">
        <v>10493</v>
      </c>
      <c r="F2615" s="5" t="str">
        <f>HYPERLINK("http://www.vantorosso.it/","www.vantorosso.it")</f>
        <v>www.vantorosso.it</v>
      </c>
    </row>
    <row r="2616" spans="1:6" ht="29.55" customHeight="1" x14ac:dyDescent="0.25">
      <c r="A2616" s="6" t="s">
        <v>10523</v>
      </c>
      <c r="B2616" s="5" t="s">
        <v>10524</v>
      </c>
      <c r="C2616" s="5" t="s">
        <v>10522</v>
      </c>
      <c r="D2616" s="5" t="s">
        <v>10525</v>
      </c>
      <c r="E2616" s="5" t="s">
        <v>10526</v>
      </c>
      <c r="F2616" s="5" t="str">
        <f>HYPERLINK("http://www.agriturismosottotono.com/","www.agriturismosottotono.com")</f>
        <v>www.agriturismosottotono.com</v>
      </c>
    </row>
    <row r="2617" spans="1:6" ht="29.55" customHeight="1" x14ac:dyDescent="0.25">
      <c r="A2617" s="1" t="s">
        <v>10527</v>
      </c>
      <c r="B2617" s="7" t="s">
        <v>10528</v>
      </c>
      <c r="C2617" s="7" t="s">
        <v>10529</v>
      </c>
      <c r="D2617" s="7" t="s">
        <v>10530</v>
      </c>
      <c r="E2617" s="7" t="s">
        <v>10520</v>
      </c>
      <c r="F2617" s="7" t="str">
        <f>HYPERLINK("http://www.casamorana.it/","www.casamorana.it")</f>
        <v>www.casamorana.it</v>
      </c>
    </row>
    <row r="2618" spans="1:6" ht="43.05" customHeight="1" x14ac:dyDescent="0.25">
      <c r="A2618" s="1" t="s">
        <v>10533</v>
      </c>
      <c r="B2618" s="7" t="s">
        <v>10534</v>
      </c>
      <c r="C2618" s="7" t="s">
        <v>10535</v>
      </c>
      <c r="D2618" s="7" t="s">
        <v>10536</v>
      </c>
      <c r="E2618" s="7" t="s">
        <v>10526</v>
      </c>
      <c r="F2618" s="7" t="str">
        <f>HYPERLINK("http://www.agricomes.marradi.it/","www.agricomes.marradi.it")</f>
        <v>www.agricomes.marradi.it</v>
      </c>
    </row>
    <row r="2619" spans="1:6" ht="43.05" customHeight="1" x14ac:dyDescent="0.25">
      <c r="A2619" s="6" t="s">
        <v>10537</v>
      </c>
      <c r="B2619" s="5" t="s">
        <v>10538</v>
      </c>
      <c r="C2619" s="5" t="s">
        <v>10539</v>
      </c>
      <c r="D2619" s="5" t="s">
        <v>10518</v>
      </c>
      <c r="E2619" s="5" t="s">
        <v>10519</v>
      </c>
      <c r="F2619" s="5" t="str">
        <f>HYPERLINK("http://www.valfredda.it/","www.valfredda.it")</f>
        <v>www.valfredda.it</v>
      </c>
    </row>
    <row r="2620" spans="1:6" ht="29.55" customHeight="1" x14ac:dyDescent="0.25">
      <c r="A2620" s="6" t="s">
        <v>10540</v>
      </c>
      <c r="B2620" s="5" t="s">
        <v>10541</v>
      </c>
      <c r="C2620" s="5" t="s">
        <v>10542</v>
      </c>
      <c r="D2620" s="5" t="s">
        <v>10543</v>
      </c>
      <c r="E2620" s="5" t="s">
        <v>10526</v>
      </c>
      <c r="F2620" s="5" t="str">
        <f>HYPERLINK("http://www.torracciadichiusi.it/","www.torracciadichiusi.it")</f>
        <v>www.torracciadichiusi.it</v>
      </c>
    </row>
    <row r="2621" spans="1:6" ht="43.05" customHeight="1" x14ac:dyDescent="0.25">
      <c r="A2621" s="6" t="s">
        <v>10544</v>
      </c>
      <c r="B2621" s="5" t="s">
        <v>10545</v>
      </c>
      <c r="C2621" s="5" t="s">
        <v>10522</v>
      </c>
      <c r="D2621" s="5" t="s">
        <v>10546</v>
      </c>
      <c r="E2621" s="5" t="s">
        <v>10521</v>
      </c>
      <c r="F2621" s="5" t="str">
        <f>HYPERLINK("http://paliseo-societa-agricola-a-responsabilita-limitata-07458220725.quantofattura.com/","paliseo-societa-agricola-a-responsabilita-limitata-07458220725.quantofattura.com")</f>
        <v>paliseo-societa-agricola-a-responsabilita-limitata-07458220725.quantofattura.com</v>
      </c>
    </row>
    <row r="2622" spans="1:6" ht="29.55" customHeight="1" x14ac:dyDescent="0.25">
      <c r="A2622" s="6" t="s">
        <v>10547</v>
      </c>
      <c r="B2622" s="5" t="s">
        <v>10548</v>
      </c>
      <c r="C2622" s="5" t="s">
        <v>10549</v>
      </c>
      <c r="D2622" s="5" t="s">
        <v>10550</v>
      </c>
      <c r="E2622" s="5" t="s">
        <v>10519</v>
      </c>
      <c r="F2622" s="5" t="str">
        <f>HYPERLINK("http://www.rivoltaenergiasrl.it/","www.rivoltaenergiasrl.it")</f>
        <v>www.rivoltaenergiasrl.it</v>
      </c>
    </row>
    <row r="2623" spans="1:6" ht="43.05" customHeight="1" x14ac:dyDescent="0.25">
      <c r="A2623" s="6" t="s">
        <v>10551</v>
      </c>
      <c r="B2623" s="5" t="s">
        <v>10552</v>
      </c>
      <c r="C2623" s="5" t="s">
        <v>10522</v>
      </c>
      <c r="D2623" s="5" t="s">
        <v>10536</v>
      </c>
      <c r="E2623" s="5" t="s">
        <v>10526</v>
      </c>
      <c r="F2623" s="5" t="str">
        <f>HYPERLINK("http://www.tenutailcorno.com/","www.tenutailcorno.com")</f>
        <v>www.tenutailcorno.com</v>
      </c>
    </row>
    <row r="2624" spans="1:6" ht="29.55" customHeight="1" x14ac:dyDescent="0.25">
      <c r="A2624" s="6" t="s">
        <v>10553</v>
      </c>
      <c r="B2624" s="5" t="s">
        <v>10554</v>
      </c>
      <c r="C2624" s="5" t="s">
        <v>10531</v>
      </c>
      <c r="D2624" s="5" t="s">
        <v>10532</v>
      </c>
      <c r="E2624" s="5" t="s">
        <v>10521</v>
      </c>
      <c r="F2624" s="5" t="str">
        <f>HYPERLINK("http://www.postaguevara.it/","www.postaguevara.it")</f>
        <v>www.postaguevara.it</v>
      </c>
    </row>
    <row r="2625" spans="1:6" ht="29.55" customHeight="1" x14ac:dyDescent="0.25">
      <c r="A2625" s="6" t="s">
        <v>10555</v>
      </c>
      <c r="B2625" s="5" t="s">
        <v>10556</v>
      </c>
      <c r="C2625" s="5" t="s">
        <v>10522</v>
      </c>
      <c r="D2625" s="5" t="s">
        <v>10557</v>
      </c>
      <c r="E2625" s="5" t="s">
        <v>10558</v>
      </c>
      <c r="F2625" s="5" t="str">
        <f>HYPERLINK("http://www.vinijankara.com/","www.vinijankara.com")</f>
        <v>www.vinijankara.com</v>
      </c>
    </row>
    <row r="2626" spans="1:6" ht="29.55" customHeight="1" x14ac:dyDescent="0.25">
      <c r="A2626" s="6" t="s">
        <v>10559</v>
      </c>
      <c r="B2626" s="5" t="s">
        <v>10560</v>
      </c>
      <c r="C2626" s="5" t="s">
        <v>10561</v>
      </c>
      <c r="D2626" s="5" t="s">
        <v>10562</v>
      </c>
      <c r="E2626" s="5" t="s">
        <v>10563</v>
      </c>
      <c r="F2626" s="5" t="str">
        <f>HYPERLINK("http://www.icasalidisanpastore.it/","www.icasalidisanpastore.it")</f>
        <v>www.icasalidisanpastore.it</v>
      </c>
    </row>
    <row r="2627" spans="1:6" ht="29.55" customHeight="1" x14ac:dyDescent="0.25">
      <c r="A2627" s="1" t="s">
        <v>10568</v>
      </c>
      <c r="B2627" s="7" t="s">
        <v>10569</v>
      </c>
      <c r="C2627" s="7" t="s">
        <v>10570</v>
      </c>
      <c r="D2627" s="7" t="s">
        <v>10571</v>
      </c>
      <c r="E2627" s="7" t="s">
        <v>10572</v>
      </c>
      <c r="F2627" s="7" t="str">
        <f>HYPERLINK("http://www.gardencoretto.com/","www.gardencoretto.com")</f>
        <v>www.gardencoretto.com</v>
      </c>
    </row>
    <row r="2628" spans="1:6" ht="29.55" customHeight="1" x14ac:dyDescent="0.25">
      <c r="A2628" s="1" t="s">
        <v>10573</v>
      </c>
      <c r="B2628" s="7" t="s">
        <v>10574</v>
      </c>
      <c r="C2628" s="7" t="s">
        <v>10575</v>
      </c>
      <c r="D2628" s="7" t="s">
        <v>10576</v>
      </c>
      <c r="E2628" s="7" t="s">
        <v>10577</v>
      </c>
      <c r="F2628" s="7" t="str">
        <f>HYPERLINK("http://shop.laspia.wine/","shop.laspia.wine")</f>
        <v>shop.laspia.wine</v>
      </c>
    </row>
    <row r="2629" spans="1:6" ht="29.55" customHeight="1" x14ac:dyDescent="0.25">
      <c r="A2629" s="6" t="s">
        <v>10579</v>
      </c>
      <c r="B2629" s="5" t="s">
        <v>10580</v>
      </c>
      <c r="C2629" s="5" t="s">
        <v>10561</v>
      </c>
      <c r="D2629" s="5" t="s">
        <v>10581</v>
      </c>
      <c r="E2629" s="5" t="s">
        <v>10582</v>
      </c>
      <c r="F2629" s="5" t="str">
        <f>HYPERLINK("http://www.oleificioilprogresso.it/","www.oleificioilprogresso.it")</f>
        <v>www.oleificioilprogresso.it</v>
      </c>
    </row>
    <row r="2630" spans="1:6" ht="29.55" customHeight="1" x14ac:dyDescent="0.25">
      <c r="A2630" s="6" t="s">
        <v>10584</v>
      </c>
      <c r="B2630" s="5" t="s">
        <v>10585</v>
      </c>
      <c r="C2630" s="5" t="s">
        <v>10575</v>
      </c>
      <c r="D2630" s="5" t="s">
        <v>10586</v>
      </c>
      <c r="E2630" s="5" t="s">
        <v>10578</v>
      </c>
      <c r="F2630" s="5" t="str">
        <f>HYPERLINK("http://collinedisopra.com/","collinedisopra.com")</f>
        <v>collinedisopra.com</v>
      </c>
    </row>
    <row r="2631" spans="1:6" ht="43.05" customHeight="1" x14ac:dyDescent="0.25">
      <c r="A2631" s="6" t="s">
        <v>10587</v>
      </c>
      <c r="B2631" s="5" t="s">
        <v>10588</v>
      </c>
      <c r="C2631" s="5" t="s">
        <v>10565</v>
      </c>
      <c r="D2631" s="5" t="s">
        <v>10589</v>
      </c>
      <c r="E2631" s="5" t="s">
        <v>10590</v>
      </c>
      <c r="F2631" s="5" t="str">
        <f>HYPERLINK("http://www.carneprifvg.it/","www.carneprifvg.it")</f>
        <v>www.carneprifvg.it</v>
      </c>
    </row>
    <row r="2632" spans="1:6" ht="29.55" customHeight="1" x14ac:dyDescent="0.25">
      <c r="A2632" s="6" t="s">
        <v>10591</v>
      </c>
      <c r="B2632" s="5" t="s">
        <v>10592</v>
      </c>
      <c r="C2632" s="5" t="s">
        <v>10575</v>
      </c>
      <c r="D2632" s="5" t="s">
        <v>10593</v>
      </c>
      <c r="E2632" s="5" t="s">
        <v>10578</v>
      </c>
      <c r="F2632" s="5" t="str">
        <f>HYPERLINK("http://lefioraie.it/","lefioraie.it")</f>
        <v>lefioraie.it</v>
      </c>
    </row>
    <row r="2633" spans="1:6" ht="29.55" customHeight="1" x14ac:dyDescent="0.25">
      <c r="A2633" s="1" t="s">
        <v>10594</v>
      </c>
      <c r="B2633" s="7" t="s">
        <v>10595</v>
      </c>
      <c r="C2633" s="7" t="s">
        <v>10564</v>
      </c>
      <c r="D2633" s="7" t="s">
        <v>10562</v>
      </c>
      <c r="E2633" s="7" t="s">
        <v>10563</v>
      </c>
      <c r="F2633" s="7" t="str">
        <f>HYPERLINK("http://www.parvusager.com/","www.parvusager.com")</f>
        <v>www.parvusager.com</v>
      </c>
    </row>
    <row r="2634" spans="1:6" ht="29.55" customHeight="1" x14ac:dyDescent="0.25">
      <c r="A2634" s="6" t="s">
        <v>10596</v>
      </c>
      <c r="B2634" s="5" t="s">
        <v>10597</v>
      </c>
      <c r="C2634" s="5" t="s">
        <v>10575</v>
      </c>
      <c r="D2634" s="5" t="s">
        <v>10593</v>
      </c>
      <c r="E2634" s="5" t="s">
        <v>10578</v>
      </c>
      <c r="F2634" s="5" t="str">
        <f>HYPERLINK("http://castellodicacchiano.it/","castellodicacchiano.it")</f>
        <v>castellodicacchiano.it</v>
      </c>
    </row>
    <row r="2635" spans="1:6" ht="43.05" customHeight="1" x14ac:dyDescent="0.25">
      <c r="A2635" s="6" t="s">
        <v>10598</v>
      </c>
      <c r="B2635" s="5" t="s">
        <v>10599</v>
      </c>
      <c r="C2635" s="5" t="s">
        <v>10564</v>
      </c>
      <c r="D2635" s="5" t="s">
        <v>10566</v>
      </c>
      <c r="E2635" s="5" t="s">
        <v>10567</v>
      </c>
      <c r="F2635" s="5" t="str">
        <f>HYPERLINK("http://www.poderifoglia.it/","www.poderifoglia.it")</f>
        <v>www.poderifoglia.it</v>
      </c>
    </row>
    <row r="2636" spans="1:6" ht="29.55" customHeight="1" x14ac:dyDescent="0.25">
      <c r="A2636" s="1" t="s">
        <v>10600</v>
      </c>
      <c r="B2636" s="7" t="s">
        <v>10601</v>
      </c>
      <c r="C2636" s="7" t="s">
        <v>10602</v>
      </c>
      <c r="D2636" s="7" t="s">
        <v>10603</v>
      </c>
      <c r="E2636" s="7" t="s">
        <v>10583</v>
      </c>
      <c r="F2636" s="7" t="str">
        <f>HYPERLINK("http://shop.mogliazze.it/","shop.mogliazze.it")</f>
        <v>shop.mogliazze.it</v>
      </c>
    </row>
    <row r="2637" spans="1:6" ht="29.55" customHeight="1" x14ac:dyDescent="0.25">
      <c r="A2637" s="6" t="s">
        <v>10604</v>
      </c>
      <c r="B2637" s="5" t="s">
        <v>10605</v>
      </c>
      <c r="C2637" s="5" t="s">
        <v>10575</v>
      </c>
      <c r="D2637" s="5" t="s">
        <v>10606</v>
      </c>
      <c r="E2637" s="5" t="s">
        <v>10577</v>
      </c>
      <c r="F2637" s="5" t="str">
        <f>HYPERLINK("http://www.plozza.ch/","www.plozza.ch")</f>
        <v>www.plozza.ch</v>
      </c>
    </row>
    <row r="2638" spans="1:6" ht="29.55" customHeight="1" x14ac:dyDescent="0.25">
      <c r="A2638" s="6" t="s">
        <v>10607</v>
      </c>
      <c r="B2638" s="5" t="s">
        <v>10608</v>
      </c>
      <c r="C2638" s="5" t="s">
        <v>10575</v>
      </c>
      <c r="D2638" s="5" t="s">
        <v>10609</v>
      </c>
      <c r="E2638" s="5" t="s">
        <v>10578</v>
      </c>
      <c r="F2638" s="5" t="str">
        <f>HYPERLINK("http://www.laginestra.toscana.it/","www.laginestra.toscana.it")</f>
        <v>www.laginestra.toscana.it</v>
      </c>
    </row>
    <row r="2639" spans="1:6" ht="29.55" customHeight="1" x14ac:dyDescent="0.25">
      <c r="A2639" s="6" t="s">
        <v>10612</v>
      </c>
      <c r="B2639" s="5" t="s">
        <v>10613</v>
      </c>
      <c r="C2639" s="5" t="s">
        <v>10614</v>
      </c>
      <c r="D2639" s="5" t="s">
        <v>10615</v>
      </c>
      <c r="E2639" s="5" t="s">
        <v>10616</v>
      </c>
      <c r="F2639" s="5" t="str">
        <f>HYPERLINK("http://www.bioseme.it/","www.bioseme.it")</f>
        <v>www.bioseme.it</v>
      </c>
    </row>
    <row r="2640" spans="1:6" ht="43.05" customHeight="1" x14ac:dyDescent="0.25">
      <c r="A2640" s="1" t="s">
        <v>10621</v>
      </c>
      <c r="B2640" s="7" t="s">
        <v>10622</v>
      </c>
      <c r="C2640" s="7" t="s">
        <v>10610</v>
      </c>
      <c r="D2640" s="7" t="s">
        <v>10623</v>
      </c>
      <c r="E2640" s="7" t="s">
        <v>10611</v>
      </c>
      <c r="F2640" s="7" t="str">
        <f>HYPERLINK("http://www.oleificiolemosse.com/","www.oleificiolemosse.com")</f>
        <v>www.oleificiolemosse.com</v>
      </c>
    </row>
    <row r="2641" spans="1:6" ht="29.55" customHeight="1" x14ac:dyDescent="0.25">
      <c r="A2641" s="1" t="s">
        <v>10624</v>
      </c>
      <c r="B2641" s="7" t="s">
        <v>10625</v>
      </c>
      <c r="C2641" s="7" t="s">
        <v>10626</v>
      </c>
      <c r="D2641" s="7" t="s">
        <v>10627</v>
      </c>
      <c r="E2641" s="7" t="s">
        <v>10628</v>
      </c>
      <c r="F2641" s="7" t="str">
        <f>HYPERLINK("http://www.cacolonna.it/","www.cacolonna.it")</f>
        <v>www.cacolonna.it</v>
      </c>
    </row>
    <row r="2642" spans="1:6" ht="29.55" customHeight="1" x14ac:dyDescent="0.25">
      <c r="A2642" s="1" t="s">
        <v>10629</v>
      </c>
      <c r="B2642" s="7" t="s">
        <v>10630</v>
      </c>
      <c r="C2642" s="7" t="s">
        <v>10631</v>
      </c>
      <c r="D2642" s="7" t="s">
        <v>10632</v>
      </c>
      <c r="E2642" s="7" t="s">
        <v>10611</v>
      </c>
      <c r="F2642" s="7" t="str">
        <f>HYPERLINK("http://www.fratellichianesesrl.it/","www.fratellichianesesrl.it")</f>
        <v>www.fratellichianesesrl.it</v>
      </c>
    </row>
    <row r="2643" spans="1:6" ht="29.55" customHeight="1" x14ac:dyDescent="0.25">
      <c r="A2643" s="6" t="s">
        <v>10633</v>
      </c>
      <c r="B2643" s="5" t="s">
        <v>10634</v>
      </c>
      <c r="C2643" s="5" t="s">
        <v>10635</v>
      </c>
      <c r="D2643" s="5" t="s">
        <v>10636</v>
      </c>
      <c r="E2643" s="5" t="s">
        <v>10620</v>
      </c>
      <c r="F2643" s="5" t="str">
        <f>HYPERLINK("http://www.equaltime.it/","www.equaltime.it")</f>
        <v>www.equaltime.it</v>
      </c>
    </row>
    <row r="2644" spans="1:6" ht="43.05" customHeight="1" x14ac:dyDescent="0.25">
      <c r="A2644" s="1" t="s">
        <v>10638</v>
      </c>
      <c r="B2644" s="7" t="s">
        <v>10639</v>
      </c>
      <c r="C2644" s="7" t="s">
        <v>10617</v>
      </c>
      <c r="D2644" s="7" t="s">
        <v>10632</v>
      </c>
      <c r="E2644" s="7" t="s">
        <v>10611</v>
      </c>
      <c r="F2644" s="7" t="str">
        <f>HYPERLINK("http://aziendaagricolalerose.com/","aziendaagricolalerose.com")</f>
        <v>aziendaagricolalerose.com</v>
      </c>
    </row>
    <row r="2645" spans="1:6" ht="29.55" customHeight="1" x14ac:dyDescent="0.25">
      <c r="A2645" s="1" t="s">
        <v>10640</v>
      </c>
      <c r="B2645" s="7" t="s">
        <v>10641</v>
      </c>
      <c r="C2645" s="7" t="s">
        <v>10619</v>
      </c>
      <c r="D2645" s="7" t="s">
        <v>10642</v>
      </c>
      <c r="E2645" s="7" t="s">
        <v>10637</v>
      </c>
      <c r="F2645" s="7" t="str">
        <f>HYPERLINK("http://www.aziendaagricoladegrazia.it/","www.aziendaagricoladegrazia.it")</f>
        <v>www.aziendaagricoladegrazia.it</v>
      </c>
    </row>
    <row r="2646" spans="1:6" ht="29.55" customHeight="1" x14ac:dyDescent="0.25">
      <c r="A2646" s="1" t="s">
        <v>10643</v>
      </c>
      <c r="B2646" s="7" t="s">
        <v>10644</v>
      </c>
      <c r="C2646" s="7" t="s">
        <v>10645</v>
      </c>
      <c r="D2646" s="7" t="s">
        <v>10646</v>
      </c>
      <c r="E2646" s="7" t="s">
        <v>10616</v>
      </c>
      <c r="F2646" s="7" t="str">
        <f>HYPERLINK("http://www.fattoriacasalbosco.it/","www.fattoriacasalbosco.it")</f>
        <v>www.fattoriacasalbosco.it</v>
      </c>
    </row>
    <row r="2647" spans="1:6" ht="29.55" customHeight="1" x14ac:dyDescent="0.25">
      <c r="A2647" s="6" t="s">
        <v>10647</v>
      </c>
      <c r="B2647" s="5" t="s">
        <v>10648</v>
      </c>
      <c r="C2647" s="5" t="s">
        <v>10617</v>
      </c>
      <c r="D2647" s="5" t="s">
        <v>10649</v>
      </c>
      <c r="E2647" s="5" t="s">
        <v>10650</v>
      </c>
      <c r="F2647" s="5" t="str">
        <f>HYPERLINK("http://castorani.it/","castorani.it")</f>
        <v>castorani.it</v>
      </c>
    </row>
    <row r="2648" spans="1:6" ht="43.05" customHeight="1" x14ac:dyDescent="0.25">
      <c r="A2648" s="6" t="s">
        <v>10651</v>
      </c>
      <c r="B2648" s="5" t="s">
        <v>10652</v>
      </c>
      <c r="C2648" s="5" t="s">
        <v>10653</v>
      </c>
      <c r="D2648" s="5" t="s">
        <v>10654</v>
      </c>
      <c r="E2648" s="5" t="s">
        <v>10655</v>
      </c>
      <c r="F2648" s="5" t="str">
        <f>HYPERLINK("http://www.dimensioneverde.it/","www.dimensioneverde.it")</f>
        <v>www.dimensioneverde.it</v>
      </c>
    </row>
    <row r="2649" spans="1:6" ht="29.55" customHeight="1" x14ac:dyDescent="0.25">
      <c r="A2649" s="1" t="s">
        <v>10656</v>
      </c>
      <c r="B2649" s="7" t="s">
        <v>10657</v>
      </c>
      <c r="C2649" s="7" t="s">
        <v>10617</v>
      </c>
      <c r="D2649" s="7" t="s">
        <v>10658</v>
      </c>
      <c r="E2649" s="7" t="s">
        <v>10618</v>
      </c>
      <c r="F2649" s="7" t="str">
        <f>HYPERLINK("http://scilio.it/","scilio.it")</f>
        <v>scilio.it</v>
      </c>
    </row>
    <row r="2650" spans="1:6" ht="16.95" customHeight="1" x14ac:dyDescent="0.25">
      <c r="A2650" s="6" t="s">
        <v>10659</v>
      </c>
      <c r="B2650" s="5" t="s">
        <v>10660</v>
      </c>
      <c r="C2650" s="5" t="s">
        <v>10614</v>
      </c>
      <c r="D2650" s="5" t="s">
        <v>10632</v>
      </c>
      <c r="E2650" s="5" t="s">
        <v>10611</v>
      </c>
      <c r="F2650" s="5" t="str">
        <f>HYPERLINK("http://www.ilpuntoverdecassia.com/","www.ilpuntoverdecassia.com")</f>
        <v>www.ilpuntoverdecassia.com</v>
      </c>
    </row>
    <row r="2651" spans="1:6" ht="29.55" customHeight="1" x14ac:dyDescent="0.25">
      <c r="A2651" s="1" t="s">
        <v>10661</v>
      </c>
      <c r="B2651" s="7" t="s">
        <v>10662</v>
      </c>
      <c r="C2651" s="7" t="s">
        <v>10663</v>
      </c>
      <c r="D2651" s="7" t="s">
        <v>10664</v>
      </c>
      <c r="E2651" s="7" t="s">
        <v>10665</v>
      </c>
      <c r="F2651" s="7" t="str">
        <f>HYPERLINK("http://www.casamediterranea.it/","www.casamediterranea.it")</f>
        <v>www.casamediterranea.it</v>
      </c>
    </row>
    <row r="2652" spans="1:6" ht="29.55" customHeight="1" x14ac:dyDescent="0.25">
      <c r="A2652" s="6" t="s">
        <v>10666</v>
      </c>
      <c r="B2652" s="5" t="s">
        <v>10667</v>
      </c>
      <c r="C2652" s="5" t="s">
        <v>10668</v>
      </c>
      <c r="D2652" s="5" t="s">
        <v>10669</v>
      </c>
      <c r="E2652" s="5" t="s">
        <v>10670</v>
      </c>
      <c r="F2652" s="5" t="str">
        <f>HYPERLINK("http://www.vivaimannone.it/","www.vivaimannone.it")</f>
        <v>www.vivaimannone.it</v>
      </c>
    </row>
    <row r="2653" spans="1:6" ht="29.55" customHeight="1" x14ac:dyDescent="0.25">
      <c r="A2653" s="1" t="s">
        <v>10671</v>
      </c>
      <c r="B2653" s="7" t="s">
        <v>10672</v>
      </c>
      <c r="C2653" s="7" t="s">
        <v>10663</v>
      </c>
      <c r="D2653" s="7" t="s">
        <v>10673</v>
      </c>
      <c r="E2653" s="7" t="s">
        <v>10674</v>
      </c>
      <c r="F2653" s="7" t="str">
        <f>HYPERLINK("http://www.lamacoppa.com/","www.lamacoppa.com")</f>
        <v>www.lamacoppa.com</v>
      </c>
    </row>
    <row r="2654" spans="1:6" ht="29.55" customHeight="1" x14ac:dyDescent="0.25">
      <c r="A2654" s="1" t="s">
        <v>10675</v>
      </c>
      <c r="B2654" s="7" t="s">
        <v>10676</v>
      </c>
      <c r="C2654" s="7" t="s">
        <v>10677</v>
      </c>
      <c r="D2654" s="7" t="s">
        <v>10678</v>
      </c>
      <c r="E2654" s="7" t="s">
        <v>10679</v>
      </c>
      <c r="F2654" s="7" t="str">
        <f>HYPERLINK("http://il-sapito-poderi-tognetti-agriturismo.percorsiitaliani.top/","il-sapito-poderi-tognetti-agriturismo.percorsiitaliani.top")</f>
        <v>il-sapito-poderi-tognetti-agriturismo.percorsiitaliani.top</v>
      </c>
    </row>
    <row r="2655" spans="1:6" ht="29.55" customHeight="1" x14ac:dyDescent="0.25">
      <c r="A2655" s="6" t="s">
        <v>10681</v>
      </c>
      <c r="B2655" s="5" t="s">
        <v>10682</v>
      </c>
      <c r="C2655" s="5" t="s">
        <v>10677</v>
      </c>
      <c r="D2655" s="5" t="s">
        <v>10683</v>
      </c>
      <c r="E2655" s="5" t="s">
        <v>10679</v>
      </c>
      <c r="F2655" s="5" t="str">
        <f>HYPERLINK("http://www.colleverde.it/","www.colleverde.it")</f>
        <v>www.colleverde.it</v>
      </c>
    </row>
    <row r="2656" spans="1:6" ht="29.55" customHeight="1" x14ac:dyDescent="0.25">
      <c r="A2656" s="1" t="s">
        <v>10684</v>
      </c>
      <c r="B2656" s="7" t="s">
        <v>10685</v>
      </c>
      <c r="C2656" s="7" t="s">
        <v>10686</v>
      </c>
      <c r="D2656" s="7" t="s">
        <v>10687</v>
      </c>
      <c r="E2656" s="7" t="s">
        <v>10688</v>
      </c>
      <c r="F2656" s="7" t="str">
        <f>HYPERLINK("http://www.archimedericerche.com/","www.archimedericerche.com")</f>
        <v>www.archimedericerche.com</v>
      </c>
    </row>
    <row r="2657" spans="1:6" ht="29.55" customHeight="1" x14ac:dyDescent="0.25">
      <c r="A2657" s="6" t="s">
        <v>10689</v>
      </c>
      <c r="B2657" s="5" t="s">
        <v>10690</v>
      </c>
      <c r="C2657" s="5" t="s">
        <v>10677</v>
      </c>
      <c r="D2657" s="5" t="s">
        <v>10691</v>
      </c>
      <c r="E2657" s="5" t="s">
        <v>10674</v>
      </c>
      <c r="F2657" s="5" t="str">
        <f>HYPERLINK("http://masseriatrullievigne.com/","masseriatrullievigne.com")</f>
        <v>masseriatrullievigne.com</v>
      </c>
    </row>
    <row r="2658" spans="1:6" ht="29.55" customHeight="1" x14ac:dyDescent="0.25">
      <c r="A2658" s="6" t="s">
        <v>10692</v>
      </c>
      <c r="B2658" s="5" t="s">
        <v>10693</v>
      </c>
      <c r="C2658" s="5" t="s">
        <v>10677</v>
      </c>
      <c r="D2658" s="5" t="s">
        <v>10694</v>
      </c>
      <c r="E2658" s="5" t="s">
        <v>10679</v>
      </c>
      <c r="F2658" s="5" t="str">
        <f>HYPERLINK("http://www.tenutacantoallamoraia.com/","www.tenutacantoallamoraia.com")</f>
        <v>www.tenutacantoallamoraia.com</v>
      </c>
    </row>
    <row r="2659" spans="1:6" ht="94.2" customHeight="1" x14ac:dyDescent="0.25">
      <c r="A2659" s="6" t="s">
        <v>10695</v>
      </c>
      <c r="B2659" s="5" t="s">
        <v>10696</v>
      </c>
      <c r="C2659" s="5" t="s">
        <v>10697</v>
      </c>
      <c r="D2659" s="5" t="s">
        <v>10698</v>
      </c>
      <c r="E2659" s="5" t="s">
        <v>10680</v>
      </c>
      <c r="F2659" s="5" t="str">
        <f>HYPERLINK("http://www.comune.antignano.at.it/","www.comune.antignano.at.it")</f>
        <v>www.comune.antignano.at.it</v>
      </c>
    </row>
    <row r="2660" spans="1:6" ht="132.75" customHeight="1" x14ac:dyDescent="0.25">
      <c r="A2660" s="6" t="s">
        <v>10699</v>
      </c>
      <c r="B2660" s="5" t="s">
        <v>10700</v>
      </c>
      <c r="C2660" s="5" t="s">
        <v>10701</v>
      </c>
      <c r="D2660" s="5" t="s">
        <v>10702</v>
      </c>
      <c r="E2660" s="5" t="s">
        <v>10703</v>
      </c>
      <c r="F2660" s="5" t="str">
        <f>HYPERLINK("http://www.tenutasecoloix.it/","www.tenutasecoloix.it")</f>
        <v>www.tenutasecoloix.it</v>
      </c>
    </row>
    <row r="2661" spans="1:6" ht="29.55" customHeight="1" x14ac:dyDescent="0.25">
      <c r="A2661" s="6" t="s">
        <v>10704</v>
      </c>
      <c r="B2661" s="5" t="s">
        <v>10705</v>
      </c>
      <c r="C2661" s="5" t="s">
        <v>10706</v>
      </c>
      <c r="D2661" s="5" t="s">
        <v>10707</v>
      </c>
      <c r="E2661" s="5" t="s">
        <v>10708</v>
      </c>
      <c r="F2661" s="5" t="str">
        <f>HYPERLINK("http://www.castelloacquaro.com/","www.castelloacquaro.com")</f>
        <v>www.castelloacquaro.com</v>
      </c>
    </row>
    <row r="2662" spans="1:6" ht="16.95" customHeight="1" x14ac:dyDescent="0.25">
      <c r="A2662" s="6" t="s">
        <v>10709</v>
      </c>
      <c r="B2662" s="5" t="s">
        <v>10710</v>
      </c>
      <c r="C2662" s="5" t="s">
        <v>10711</v>
      </c>
      <c r="D2662" s="5" t="s">
        <v>10707</v>
      </c>
      <c r="E2662" s="5" t="s">
        <v>10708</v>
      </c>
      <c r="F2662" s="5" t="str">
        <f>HYPERLINK("http://www.italprodotti.it/","http://www.italprodotti.it")</f>
        <v>http://www.italprodotti.it</v>
      </c>
    </row>
    <row r="2663" spans="1:6" ht="29.55" customHeight="1" x14ac:dyDescent="0.25">
      <c r="A2663" s="1" t="s">
        <v>10713</v>
      </c>
      <c r="B2663" s="7" t="s">
        <v>10714</v>
      </c>
      <c r="C2663" s="7" t="s">
        <v>10706</v>
      </c>
      <c r="D2663" s="7" t="s">
        <v>10715</v>
      </c>
      <c r="E2663" s="7" t="s">
        <v>10712</v>
      </c>
      <c r="F2663" s="7" t="str">
        <f>HYPERLINK("http://www.lagiannettola.com/","www.lagiannettola.com")</f>
        <v>www.lagiannettola.com</v>
      </c>
    </row>
    <row r="2664" spans="1:6" ht="29.55" customHeight="1" x14ac:dyDescent="0.25">
      <c r="A2664" s="1" t="s">
        <v>10718</v>
      </c>
      <c r="B2664" s="7" t="s">
        <v>10719</v>
      </c>
      <c r="C2664" s="7" t="s">
        <v>10720</v>
      </c>
      <c r="D2664" s="7" t="s">
        <v>10721</v>
      </c>
      <c r="E2664" s="7" t="s">
        <v>10722</v>
      </c>
      <c r="F2664" s="7" t="str">
        <f>HYPERLINK("http://www.archefood.it/","www.archefood.it")</f>
        <v>www.archefood.it</v>
      </c>
    </row>
    <row r="2665" spans="1:6" ht="43.05" customHeight="1" x14ac:dyDescent="0.25">
      <c r="A2665" s="1" t="s">
        <v>10723</v>
      </c>
      <c r="B2665" s="7" t="s">
        <v>10724</v>
      </c>
      <c r="C2665" s="7" t="s">
        <v>10725</v>
      </c>
      <c r="D2665" s="7" t="s">
        <v>10726</v>
      </c>
      <c r="E2665" s="7" t="s">
        <v>10727</v>
      </c>
      <c r="F2665" s="7" t="str">
        <f>HYPERLINK("http://tuscanysummercamp.com/","tuscanysummercamp.com")</f>
        <v>tuscanysummercamp.com</v>
      </c>
    </row>
    <row r="2666" spans="1:6" ht="29.55" customHeight="1" x14ac:dyDescent="0.25">
      <c r="A2666" s="6" t="s">
        <v>10728</v>
      </c>
      <c r="B2666" s="5" t="s">
        <v>10729</v>
      </c>
      <c r="C2666" s="5" t="s">
        <v>10730</v>
      </c>
      <c r="D2666" s="5" t="s">
        <v>10716</v>
      </c>
      <c r="E2666" s="5" t="s">
        <v>10717</v>
      </c>
      <c r="F2666" s="5" t="str">
        <f>HYPERLINK("http://www.terredicastelmagno.com/il-ristorante/","www.terredicastelmagno.com/il-ristorante/")</f>
        <v>www.terredicastelmagno.com/il-ristorante/</v>
      </c>
    </row>
    <row r="2667" spans="1:6" ht="29.55" customHeight="1" x14ac:dyDescent="0.25">
      <c r="A2667" s="1" t="s">
        <v>10733</v>
      </c>
      <c r="B2667" s="7" t="s">
        <v>10734</v>
      </c>
      <c r="C2667" s="7" t="s">
        <v>10735</v>
      </c>
      <c r="D2667" s="7" t="s">
        <v>10731</v>
      </c>
      <c r="E2667" s="7" t="s">
        <v>10732</v>
      </c>
      <c r="F2667" s="7" t="str">
        <f>HYPERLINK("http://www.agricolaangelucci.it/","www.agricolaangelucci.it")</f>
        <v>www.agricolaangelucci.it</v>
      </c>
    </row>
    <row r="2668" spans="1:6" ht="43.05" customHeight="1" x14ac:dyDescent="0.25">
      <c r="A2668" s="1" t="s">
        <v>10737</v>
      </c>
      <c r="B2668" s="7" t="s">
        <v>10738</v>
      </c>
      <c r="C2668" s="7" t="s">
        <v>10739</v>
      </c>
      <c r="D2668" s="7" t="s">
        <v>10740</v>
      </c>
      <c r="E2668" s="7" t="s">
        <v>10741</v>
      </c>
      <c r="F2668" s="7" t="str">
        <f>HYPERLINK("http://oasidelsol.novobyte.it/","oasidelsol.novobyte.it")</f>
        <v>oasidelsol.novobyte.it</v>
      </c>
    </row>
    <row r="2669" spans="1:6" ht="55.65" customHeight="1" x14ac:dyDescent="0.25">
      <c r="A2669" s="1" t="s">
        <v>10742</v>
      </c>
      <c r="B2669" s="7" t="s">
        <v>10743</v>
      </c>
      <c r="C2669" s="7" t="s">
        <v>10736</v>
      </c>
      <c r="D2669" s="7" t="s">
        <v>10744</v>
      </c>
      <c r="E2669" s="7" t="s">
        <v>10703</v>
      </c>
      <c r="F2669" s="7" t="str">
        <f>HYPERLINK("http://www.mercatocontadinolaquila.it/","www.mercatocontadinolaquila.it")</f>
        <v>www.mercatocontadinolaquila.it</v>
      </c>
    </row>
    <row r="2670" spans="1:6" ht="29.55" customHeight="1" x14ac:dyDescent="0.25">
      <c r="A2670" s="1" t="s">
        <v>10745</v>
      </c>
      <c r="B2670" s="7" t="s">
        <v>10746</v>
      </c>
      <c r="C2670" s="7" t="s">
        <v>10747</v>
      </c>
      <c r="D2670" s="7" t="s">
        <v>10748</v>
      </c>
      <c r="E2670" s="7" t="s">
        <v>10749</v>
      </c>
      <c r="F2670" s="7" t="str">
        <f>HYPERLINK("http://www.allevamentofiorello.com/","www.allevamentofiorello.com")</f>
        <v>www.allevamentofiorello.com</v>
      </c>
    </row>
    <row r="2671" spans="1:6" ht="55.65" customHeight="1" x14ac:dyDescent="0.25">
      <c r="A2671" s="6" t="s">
        <v>10753</v>
      </c>
      <c r="B2671" s="5" t="s">
        <v>10754</v>
      </c>
      <c r="C2671" s="5" t="s">
        <v>10755</v>
      </c>
      <c r="D2671" s="5" t="s">
        <v>10756</v>
      </c>
      <c r="E2671" s="5" t="s">
        <v>10757</v>
      </c>
      <c r="F2671" s="5" t="str">
        <f>HYPERLINK("http://palazzotronconiholidays.com/","palazzotronconiholidays.com")</f>
        <v>palazzotronconiholidays.com</v>
      </c>
    </row>
    <row r="2672" spans="1:6" ht="29.55" customHeight="1" x14ac:dyDescent="0.25">
      <c r="A2672" s="6" t="s">
        <v>10761</v>
      </c>
      <c r="B2672" s="5" t="s">
        <v>10762</v>
      </c>
      <c r="C2672" s="5" t="s">
        <v>10763</v>
      </c>
      <c r="D2672" s="5" t="s">
        <v>10764</v>
      </c>
      <c r="E2672" s="5" t="s">
        <v>10765</v>
      </c>
      <c r="F2672" s="5" t="str">
        <f>HYPERLINK("http://www.passifloraispica.it/","www.passifloraispica.it")</f>
        <v>www.passifloraispica.it</v>
      </c>
    </row>
    <row r="2673" spans="1:6" ht="29.55" customHeight="1" x14ac:dyDescent="0.25">
      <c r="A2673" s="1" t="s">
        <v>10766</v>
      </c>
      <c r="B2673" s="7" t="s">
        <v>10767</v>
      </c>
      <c r="C2673" s="7" t="s">
        <v>10768</v>
      </c>
      <c r="D2673" s="7" t="s">
        <v>10769</v>
      </c>
      <c r="E2673" s="7" t="s">
        <v>10759</v>
      </c>
      <c r="F2673" s="7" t="str">
        <f>HYPERLINK("http://www.oltreilverde.com/","www.oltreilverde.com")</f>
        <v>www.oltreilverde.com</v>
      </c>
    </row>
    <row r="2674" spans="1:6" ht="55.65" customHeight="1" x14ac:dyDescent="0.25">
      <c r="A2674" s="1" t="s">
        <v>10771</v>
      </c>
      <c r="B2674" s="7" t="s">
        <v>10772</v>
      </c>
      <c r="C2674" s="7" t="s">
        <v>10773</v>
      </c>
      <c r="D2674" s="7" t="s">
        <v>10752</v>
      </c>
      <c r="E2674" s="7" t="s">
        <v>10750</v>
      </c>
      <c r="F2674" s="7" t="str">
        <f>HYPERLINK("http://www.oliociccolella.it/","www.oliociccolella.it")</f>
        <v>www.oliociccolella.it</v>
      </c>
    </row>
    <row r="2675" spans="1:6" ht="81.75" customHeight="1" x14ac:dyDescent="0.25">
      <c r="A2675" s="6" t="s">
        <v>10774</v>
      </c>
      <c r="B2675" s="5" t="s">
        <v>10775</v>
      </c>
      <c r="C2675" s="5" t="s">
        <v>10755</v>
      </c>
      <c r="D2675" s="5" t="s">
        <v>10776</v>
      </c>
      <c r="E2675" s="5" t="s">
        <v>10759</v>
      </c>
      <c r="F2675" s="5" t="str">
        <f>HYPERLINK("http://www.latravaglina.it/","www.latravaglina.it")</f>
        <v>www.latravaglina.it</v>
      </c>
    </row>
    <row r="2676" spans="1:6" ht="29.55" customHeight="1" x14ac:dyDescent="0.25">
      <c r="A2676" s="1" t="s">
        <v>10779</v>
      </c>
      <c r="B2676" s="7" t="s">
        <v>10780</v>
      </c>
      <c r="C2676" s="7" t="s">
        <v>10773</v>
      </c>
      <c r="D2676" s="7" t="s">
        <v>10781</v>
      </c>
      <c r="E2676" s="7" t="s">
        <v>10760</v>
      </c>
      <c r="F2676" s="7" t="str">
        <f>HYPERLINK("http://www.nerbona.com/","www.nerbona.com")</f>
        <v>www.nerbona.com</v>
      </c>
    </row>
    <row r="2677" spans="1:6" ht="29.55" customHeight="1" x14ac:dyDescent="0.25">
      <c r="A2677" s="6" t="s">
        <v>10782</v>
      </c>
      <c r="B2677" s="5" t="s">
        <v>10783</v>
      </c>
      <c r="C2677" s="5" t="s">
        <v>10770</v>
      </c>
      <c r="D2677" s="5" t="s">
        <v>10784</v>
      </c>
      <c r="E2677" s="5" t="s">
        <v>10785</v>
      </c>
      <c r="F2677" s="5" t="str">
        <f>HYPERLINK("http://www.fattorielaginestra.it/","www.fattorielaginestra.it")</f>
        <v>www.fattorielaginestra.it</v>
      </c>
    </row>
    <row r="2678" spans="1:6" ht="43.05" customHeight="1" x14ac:dyDescent="0.25">
      <c r="A2678" s="1" t="s">
        <v>10786</v>
      </c>
      <c r="B2678" s="7" t="s">
        <v>10787</v>
      </c>
      <c r="C2678" s="7" t="s">
        <v>10773</v>
      </c>
      <c r="D2678" s="7" t="s">
        <v>10788</v>
      </c>
      <c r="E2678" s="7" t="s">
        <v>10788</v>
      </c>
      <c r="F2678" s="7" t="str">
        <f>HYPERLINK("http://www.euralsulcis.it/","www.euralsulcis.it")</f>
        <v>www.euralsulcis.it</v>
      </c>
    </row>
    <row r="2679" spans="1:6" ht="29.55" customHeight="1" x14ac:dyDescent="0.25">
      <c r="A2679" s="1" t="s">
        <v>10789</v>
      </c>
      <c r="B2679" s="7" t="s">
        <v>10790</v>
      </c>
      <c r="C2679" s="7" t="s">
        <v>10777</v>
      </c>
      <c r="D2679" s="7" t="s">
        <v>10791</v>
      </c>
      <c r="E2679" s="7" t="s">
        <v>10778</v>
      </c>
      <c r="F2679" s="7" t="str">
        <f>HYPERLINK("http://ifondidibaia.eatbu.com/","ifondidibaia.eatbu.com")</f>
        <v>ifondidibaia.eatbu.com</v>
      </c>
    </row>
    <row r="2680" spans="1:6" ht="29.55" customHeight="1" x14ac:dyDescent="0.25">
      <c r="A2680" s="1" t="s">
        <v>10792</v>
      </c>
      <c r="B2680" s="7" t="s">
        <v>10793</v>
      </c>
      <c r="C2680" s="7" t="s">
        <v>10794</v>
      </c>
      <c r="D2680" s="7" t="s">
        <v>10795</v>
      </c>
      <c r="E2680" s="7" t="s">
        <v>10796</v>
      </c>
      <c r="F2680" s="7" t="str">
        <f>HYPERLINK("http://rossmary.it/","rossmary.it")</f>
        <v>rossmary.it</v>
      </c>
    </row>
    <row r="2681" spans="1:6" ht="43.05" customHeight="1" x14ac:dyDescent="0.25">
      <c r="A2681" s="1" t="s">
        <v>10797</v>
      </c>
      <c r="B2681" s="7" t="s">
        <v>10798</v>
      </c>
      <c r="C2681" s="7" t="s">
        <v>10751</v>
      </c>
      <c r="D2681" s="7" t="s">
        <v>10758</v>
      </c>
      <c r="E2681" s="7" t="s">
        <v>10749</v>
      </c>
      <c r="F2681" s="7" t="str">
        <f>HYPERLINK("http://www.cascinaamalia.it/","www.cascinaamalia.it")</f>
        <v>www.cascinaamalia.it</v>
      </c>
    </row>
    <row r="2682" spans="1:6" ht="43.05" customHeight="1" x14ac:dyDescent="0.25">
      <c r="A2682" s="1" t="s">
        <v>10799</v>
      </c>
      <c r="B2682" s="7" t="s">
        <v>10800</v>
      </c>
      <c r="C2682" s="7" t="s">
        <v>10801</v>
      </c>
      <c r="D2682" s="7" t="s">
        <v>10802</v>
      </c>
      <c r="E2682" s="7" t="s">
        <v>10803</v>
      </c>
      <c r="F2682" s="7" t="str">
        <f>HYPERLINK("http://qfarmbio.it/","qfarmbio.it")</f>
        <v>qfarmbio.it</v>
      </c>
    </row>
    <row r="2683" spans="1:6" ht="29.55" customHeight="1" x14ac:dyDescent="0.25">
      <c r="A2683" s="6" t="s">
        <v>10804</v>
      </c>
      <c r="B2683" s="5" t="s">
        <v>10805</v>
      </c>
      <c r="C2683" s="5" t="s">
        <v>10806</v>
      </c>
      <c r="D2683" s="5" t="s">
        <v>10807</v>
      </c>
      <c r="E2683" s="5" t="s">
        <v>10808</v>
      </c>
      <c r="F2683" s="5" t="str">
        <f>HYPERLINK("http://www.cantinazazzera.com/","www.cantinazazzera.com")</f>
        <v>www.cantinazazzera.com</v>
      </c>
    </row>
    <row r="2684" spans="1:6" ht="16.95" customHeight="1" x14ac:dyDescent="0.25">
      <c r="A2684" s="6" t="s">
        <v>10809</v>
      </c>
      <c r="B2684" s="5" t="s">
        <v>10810</v>
      </c>
      <c r="C2684" s="5" t="s">
        <v>10811</v>
      </c>
      <c r="D2684" s="5" t="s">
        <v>10812</v>
      </c>
      <c r="E2684" s="5" t="s">
        <v>10812</v>
      </c>
      <c r="F2684" s="5" t="str">
        <f>HYPERLINK("http://www.commaviagricola.com/","www.commaviagricola.com")</f>
        <v>www.commaviagricola.com</v>
      </c>
    </row>
    <row r="2685" spans="1:6" ht="43.05" customHeight="1" x14ac:dyDescent="0.25">
      <c r="A2685" s="6" t="s">
        <v>10814</v>
      </c>
      <c r="B2685" s="5" t="s">
        <v>10815</v>
      </c>
      <c r="C2685" s="5" t="s">
        <v>10816</v>
      </c>
      <c r="D2685" s="5" t="s">
        <v>10817</v>
      </c>
      <c r="E2685" s="5" t="s">
        <v>10818</v>
      </c>
      <c r="F2685" s="5" t="str">
        <f>HYPERLINK("http://gestionale.oleificiovaldorcia.it/","gestionale.oleificiovaldorcia.it")</f>
        <v>gestionale.oleificiovaldorcia.it</v>
      </c>
    </row>
    <row r="2686" spans="1:6" ht="29.55" customHeight="1" x14ac:dyDescent="0.25">
      <c r="A2686" s="1" t="s">
        <v>10819</v>
      </c>
      <c r="B2686" s="7" t="s">
        <v>10820</v>
      </c>
      <c r="C2686" s="7" t="s">
        <v>10821</v>
      </c>
      <c r="D2686" s="7" t="s">
        <v>10807</v>
      </c>
      <c r="E2686" s="7" t="s">
        <v>10808</v>
      </c>
      <c r="F2686" s="7" t="str">
        <f>HYPERLINK("http://www.agricolatodini.com/","www.agricolatodini.com")</f>
        <v>www.agricolatodini.com</v>
      </c>
    </row>
    <row r="2687" spans="1:6" ht="29.55" customHeight="1" x14ac:dyDescent="0.25">
      <c r="A2687" s="6" t="s">
        <v>10822</v>
      </c>
      <c r="B2687" s="5" t="s">
        <v>10823</v>
      </c>
      <c r="C2687" s="5" t="s">
        <v>10816</v>
      </c>
      <c r="D2687" s="5" t="s">
        <v>10807</v>
      </c>
      <c r="E2687" s="5" t="s">
        <v>10808</v>
      </c>
      <c r="F2687" s="5" t="str">
        <f>HYPERLINK("http://www.borgopulciano.it/","www.borgopulciano.it")</f>
        <v>www.borgopulciano.it</v>
      </c>
    </row>
    <row r="2688" spans="1:6" ht="29.55" customHeight="1" x14ac:dyDescent="0.25">
      <c r="A2688" s="1" t="s">
        <v>10827</v>
      </c>
      <c r="B2688" s="7" t="s">
        <v>10828</v>
      </c>
      <c r="C2688" s="7" t="s">
        <v>10829</v>
      </c>
      <c r="D2688" s="7" t="s">
        <v>10824</v>
      </c>
      <c r="E2688" s="7" t="s">
        <v>10825</v>
      </c>
      <c r="F2688" s="7" t="str">
        <f>HYPERLINK("http://m.facebook.com/cibo-nostrum-108783177679780/?ref=bookmarks","m.facebook.com/cibo-nostrum-108783177679780/?ref=bookmarks")</f>
        <v>m.facebook.com/cibo-nostrum-108783177679780/?ref=bookmarks</v>
      </c>
    </row>
    <row r="2689" spans="1:6" ht="29.55" customHeight="1" x14ac:dyDescent="0.25">
      <c r="A2689" s="6" t="s">
        <v>10830</v>
      </c>
      <c r="B2689" s="5" t="s">
        <v>10831</v>
      </c>
      <c r="C2689" s="5" t="s">
        <v>10832</v>
      </c>
      <c r="D2689" s="5" t="s">
        <v>10833</v>
      </c>
      <c r="E2689" s="5" t="s">
        <v>10818</v>
      </c>
      <c r="F2689" s="5" t="str">
        <f>HYPERLINK("http://www.birradellelba.it/","www.birradellelba.it")</f>
        <v>www.birradellelba.it</v>
      </c>
    </row>
    <row r="2690" spans="1:6" ht="29.55" customHeight="1" x14ac:dyDescent="0.25">
      <c r="A2690" s="1" t="s">
        <v>10834</v>
      </c>
      <c r="B2690" s="7" t="s">
        <v>10835</v>
      </c>
      <c r="C2690" s="7" t="s">
        <v>10806</v>
      </c>
      <c r="D2690" s="7" t="s">
        <v>10836</v>
      </c>
      <c r="E2690" s="7" t="s">
        <v>10837</v>
      </c>
      <c r="F2690" s="7" t="str">
        <f>HYPERLINK("http://www.villaminelli.it/","www.villaminelli.it")</f>
        <v>www.villaminelli.it</v>
      </c>
    </row>
    <row r="2691" spans="1:6" ht="29.55" customHeight="1" x14ac:dyDescent="0.25">
      <c r="A2691" s="6" t="s">
        <v>10838</v>
      </c>
      <c r="B2691" s="5" t="s">
        <v>10839</v>
      </c>
      <c r="C2691" s="5" t="s">
        <v>10806</v>
      </c>
      <c r="D2691" s="5" t="s">
        <v>10840</v>
      </c>
      <c r="E2691" s="5" t="s">
        <v>10837</v>
      </c>
      <c r="F2691" s="5" t="str">
        <f>HYPERLINK("http://www.dalleore.it/","www.dalleore.it")</f>
        <v>www.dalleore.it</v>
      </c>
    </row>
    <row r="2692" spans="1:6" ht="29.55" customHeight="1" x14ac:dyDescent="0.25">
      <c r="A2692" s="1" t="s">
        <v>10841</v>
      </c>
      <c r="B2692" s="7" t="s">
        <v>10842</v>
      </c>
      <c r="C2692" s="7" t="s">
        <v>10832</v>
      </c>
      <c r="D2692" s="7" t="s">
        <v>10843</v>
      </c>
      <c r="E2692" s="7" t="s">
        <v>10826</v>
      </c>
      <c r="F2692" s="7" t="str">
        <f>HYPERLINK("http://www.torrebisenzio.com/","www.torrebisenzio.com")</f>
        <v>www.torrebisenzio.com</v>
      </c>
    </row>
    <row r="2693" spans="1:6" ht="29.55" customHeight="1" x14ac:dyDescent="0.25">
      <c r="A2693" s="6" t="s">
        <v>10844</v>
      </c>
      <c r="B2693" s="5" t="s">
        <v>10845</v>
      </c>
      <c r="C2693" s="5" t="s">
        <v>10806</v>
      </c>
      <c r="D2693" s="5" t="s">
        <v>10817</v>
      </c>
      <c r="E2693" s="5" t="s">
        <v>10818</v>
      </c>
      <c r="F2693" s="5" t="str">
        <f>HYPERLINK("http://www.dionora.it/","www.dionora.it")</f>
        <v>www.dionora.it</v>
      </c>
    </row>
    <row r="2694" spans="1:6" ht="43.05" customHeight="1" x14ac:dyDescent="0.25">
      <c r="A2694" s="1" t="s">
        <v>10846</v>
      </c>
      <c r="B2694" s="7" t="s">
        <v>10847</v>
      </c>
      <c r="C2694" s="7" t="s">
        <v>10806</v>
      </c>
      <c r="D2694" s="7" t="s">
        <v>10848</v>
      </c>
      <c r="E2694" s="7" t="s">
        <v>10825</v>
      </c>
      <c r="F2694" s="7" t="str">
        <f>HYPERLINK("http://www.masserialacattiva.it/","www.masserialacattiva.it")</f>
        <v>www.masserialacattiva.it</v>
      </c>
    </row>
    <row r="2695" spans="1:6" ht="29.55" customHeight="1" x14ac:dyDescent="0.25">
      <c r="A2695" s="1" t="s">
        <v>10850</v>
      </c>
      <c r="B2695" s="7" t="s">
        <v>10851</v>
      </c>
      <c r="C2695" s="7" t="s">
        <v>10852</v>
      </c>
      <c r="D2695" s="7" t="s">
        <v>10849</v>
      </c>
      <c r="E2695" s="7" t="s">
        <v>10813</v>
      </c>
      <c r="F2695" s="7" t="str">
        <f>HYPERLINK("http://www.vivaimaisto.it/","www.vivaimaisto.it")</f>
        <v>www.vivaimaisto.it</v>
      </c>
    </row>
    <row r="2696" spans="1:6" ht="43.05" customHeight="1" x14ac:dyDescent="0.25">
      <c r="A2696" s="1" t="s">
        <v>10853</v>
      </c>
      <c r="B2696" s="7" t="s">
        <v>10854</v>
      </c>
      <c r="C2696" s="7" t="s">
        <v>10855</v>
      </c>
      <c r="D2696" s="7" t="s">
        <v>10856</v>
      </c>
      <c r="E2696" s="7" t="s">
        <v>10813</v>
      </c>
      <c r="F2696" s="7" t="str">
        <f>HYPERLINK("http://www.terraorti.it/","www.terraorti.it")</f>
        <v>www.terraorti.it</v>
      </c>
    </row>
    <row r="2697" spans="1:6" ht="43.05" customHeight="1" x14ac:dyDescent="0.25">
      <c r="A2697" s="6" t="s">
        <v>10858</v>
      </c>
      <c r="B2697" s="5" t="s">
        <v>10859</v>
      </c>
      <c r="C2697" s="5" t="s">
        <v>10857</v>
      </c>
      <c r="D2697" s="5" t="s">
        <v>10860</v>
      </c>
      <c r="E2697" s="5" t="s">
        <v>10861</v>
      </c>
      <c r="F2697" s="5" t="str">
        <f>HYPERLINK("http://www.ortodiroma.eu/","www.ortodiroma.eu")</f>
        <v>www.ortodiroma.eu</v>
      </c>
    </row>
    <row r="2698" spans="1:6" ht="55.65" customHeight="1" x14ac:dyDescent="0.25">
      <c r="A2698" s="6" t="s">
        <v>10862</v>
      </c>
      <c r="B2698" s="5" t="s">
        <v>10863</v>
      </c>
      <c r="C2698" s="5" t="s">
        <v>10864</v>
      </c>
      <c r="D2698" s="5" t="s">
        <v>10865</v>
      </c>
      <c r="E2698" s="5" t="s">
        <v>10866</v>
      </c>
      <c r="F2698" s="5" t="str">
        <f>HYPERLINK("http://www.alessandradivella.com/","www.alessandradivella.com")</f>
        <v>www.alessandradivella.com</v>
      </c>
    </row>
    <row r="2699" spans="1:6" ht="55.65" customHeight="1" x14ac:dyDescent="0.25">
      <c r="A2699" s="6" t="s">
        <v>10867</v>
      </c>
      <c r="B2699" s="5" t="s">
        <v>10868</v>
      </c>
      <c r="C2699" s="5" t="s">
        <v>10864</v>
      </c>
      <c r="D2699" s="5" t="s">
        <v>10869</v>
      </c>
      <c r="E2699" s="5" t="s">
        <v>10870</v>
      </c>
      <c r="F2699" s="5" t="str">
        <f>HYPERLINK("http://www.setteanime.com/","www.setteanime.com")</f>
        <v>www.setteanime.com</v>
      </c>
    </row>
    <row r="2700" spans="1:6" ht="16.95" customHeight="1" x14ac:dyDescent="0.25">
      <c r="A2700" s="1" t="s">
        <v>10871</v>
      </c>
      <c r="B2700" s="7" t="s">
        <v>10872</v>
      </c>
      <c r="C2700" s="7" t="s">
        <v>10873</v>
      </c>
      <c r="D2700" s="7" t="s">
        <v>10869</v>
      </c>
      <c r="E2700" s="7" t="s">
        <v>10870</v>
      </c>
      <c r="F2700" s="7" t="str">
        <f>HYPERLINK("http://www.gobboimpianti.it/","www.gobboimpianti.it")</f>
        <v>www.gobboimpianti.it</v>
      </c>
    </row>
    <row r="2701" spans="1:6" ht="43.05" customHeight="1" x14ac:dyDescent="0.25">
      <c r="A2701" s="1" t="s">
        <v>10875</v>
      </c>
      <c r="B2701" s="7" t="s">
        <v>10876</v>
      </c>
      <c r="C2701" s="7" t="s">
        <v>10864</v>
      </c>
      <c r="D2701" s="7" t="s">
        <v>10860</v>
      </c>
      <c r="E2701" s="7" t="s">
        <v>10861</v>
      </c>
      <c r="F2701" s="7" t="str">
        <f>HYPERLINK("http://www.agricolailponte.com/","www.agricolailponte.com")</f>
        <v>www.agricolailponte.com</v>
      </c>
    </row>
    <row r="2702" spans="1:6" ht="55.65" customHeight="1" x14ac:dyDescent="0.25">
      <c r="A2702" s="1" t="s">
        <v>10878</v>
      </c>
      <c r="B2702" s="7" t="s">
        <v>10879</v>
      </c>
      <c r="C2702" s="7" t="s">
        <v>10857</v>
      </c>
      <c r="D2702" s="7" t="s">
        <v>10880</v>
      </c>
      <c r="E2702" s="7" t="s">
        <v>10874</v>
      </c>
      <c r="F2702" s="7" t="str">
        <f>HYPERLINK("http://m.facebook.com/pages/category/hotel---lodging/tenuta-calidarius-2275655666032237/","m.facebook.com/pages/category/hotel---lodging/tenuta-calidarius-2275655666032237/")</f>
        <v>m.facebook.com/pages/category/hotel---lodging/tenuta-calidarius-2275655666032237/</v>
      </c>
    </row>
    <row r="2703" spans="1:6" ht="29.55" customHeight="1" x14ac:dyDescent="0.25">
      <c r="A2703" s="1" t="s">
        <v>10881</v>
      </c>
      <c r="B2703" s="7" t="s">
        <v>10882</v>
      </c>
      <c r="C2703" s="7" t="s">
        <v>10877</v>
      </c>
      <c r="D2703" s="7" t="s">
        <v>10883</v>
      </c>
      <c r="E2703" s="7" t="s">
        <v>10884</v>
      </c>
      <c r="F2703" s="7" t="str">
        <f>HYPERLINK("http://societa-agricola-collerolletta-srl-01210810550.quantofattura.com/","societa-agricola-collerolletta-srl-01210810550.quantofattura.com")</f>
        <v>societa-agricola-collerolletta-srl-01210810550.quantofattura.com</v>
      </c>
    </row>
    <row r="2704" spans="1:6" ht="43.05" customHeight="1" x14ac:dyDescent="0.25">
      <c r="A2704" s="1" t="s">
        <v>10885</v>
      </c>
      <c r="B2704" s="7" t="s">
        <v>10886</v>
      </c>
      <c r="C2704" s="7" t="s">
        <v>10887</v>
      </c>
      <c r="D2704" s="7" t="s">
        <v>10888</v>
      </c>
      <c r="E2704" s="7" t="s">
        <v>10884</v>
      </c>
      <c r="F2704" s="7" t="str">
        <f>HYPERLINK("http://www.fattoriadivibio.com/","www.fattoriadivibio.com")</f>
        <v>www.fattoriadivibio.com</v>
      </c>
    </row>
    <row r="2705" spans="1:6" ht="29.55" customHeight="1" x14ac:dyDescent="0.25">
      <c r="A2705" s="6" t="s">
        <v>10889</v>
      </c>
      <c r="B2705" s="5" t="s">
        <v>10890</v>
      </c>
      <c r="C2705" s="5" t="s">
        <v>10891</v>
      </c>
      <c r="D2705" s="5" t="s">
        <v>10892</v>
      </c>
      <c r="E2705" s="5" t="s">
        <v>10893</v>
      </c>
      <c r="F2705" s="5" t="str">
        <f>HYPERLINK("http://conservefina.it/dove-puoi-trovare-i-nostri-prodotti/","conservefina.it/dove-puoi-trovare-i-nostri-prodotti/")</f>
        <v>conservefina.it/dove-puoi-trovare-i-nostri-prodotti/</v>
      </c>
    </row>
    <row r="2706" spans="1:6" ht="29.55" customHeight="1" x14ac:dyDescent="0.25">
      <c r="A2706" s="6" t="s">
        <v>10894</v>
      </c>
      <c r="B2706" s="5" t="s">
        <v>10895</v>
      </c>
      <c r="C2706" s="5" t="s">
        <v>10896</v>
      </c>
      <c r="D2706" s="5" t="s">
        <v>10897</v>
      </c>
      <c r="E2706" s="5" t="s">
        <v>10898</v>
      </c>
      <c r="F2706" s="5" t="str">
        <f>HYPERLINK("http://borgosanpietro.com/","borgosanpietro.com")</f>
        <v>borgosanpietro.com</v>
      </c>
    </row>
    <row r="2707" spans="1:6" ht="29.55" customHeight="1" x14ac:dyDescent="0.25">
      <c r="A2707" s="6" t="s">
        <v>10902</v>
      </c>
      <c r="B2707" s="5" t="s">
        <v>10903</v>
      </c>
      <c r="C2707" s="5" t="s">
        <v>10904</v>
      </c>
      <c r="D2707" s="5" t="s">
        <v>10905</v>
      </c>
      <c r="E2707" s="5" t="s">
        <v>10906</v>
      </c>
      <c r="F2707" s="5" t="str">
        <f>HYPERLINK("http://www.tenutabramasole.com/","www.tenutabramasole.com")</f>
        <v>www.tenutabramasole.com</v>
      </c>
    </row>
    <row r="2708" spans="1:6" ht="29.55" customHeight="1" x14ac:dyDescent="0.25">
      <c r="A2708" s="1" t="s">
        <v>10907</v>
      </c>
      <c r="B2708" s="7" t="s">
        <v>10908</v>
      </c>
      <c r="C2708" s="7" t="s">
        <v>10909</v>
      </c>
      <c r="D2708" s="7" t="s">
        <v>10899</v>
      </c>
      <c r="E2708" s="7" t="s">
        <v>10898</v>
      </c>
      <c r="F2708" s="7" t="str">
        <f>HYPERLINK("http://www.fattoriaricrio.com/","www.fattoriaricrio.com")</f>
        <v>www.fattoriaricrio.com</v>
      </c>
    </row>
    <row r="2709" spans="1:6" ht="43.05" customHeight="1" x14ac:dyDescent="0.25">
      <c r="A2709" s="6" t="s">
        <v>10910</v>
      </c>
      <c r="B2709" s="5" t="s">
        <v>10911</v>
      </c>
      <c r="C2709" s="5" t="s">
        <v>10912</v>
      </c>
      <c r="D2709" s="5" t="s">
        <v>10913</v>
      </c>
      <c r="E2709" s="5" t="s">
        <v>10900</v>
      </c>
      <c r="F2709" s="5" t="str">
        <f>HYPERLINK("http://www.saracino1925.com/","www.saracino1925.com")</f>
        <v>www.saracino1925.com</v>
      </c>
    </row>
    <row r="2710" spans="1:6" ht="29.55" customHeight="1" x14ac:dyDescent="0.25">
      <c r="A2710" s="1" t="s">
        <v>10914</v>
      </c>
      <c r="B2710" s="7" t="s">
        <v>10915</v>
      </c>
      <c r="C2710" s="7" t="s">
        <v>10916</v>
      </c>
      <c r="D2710" s="7" t="s">
        <v>10917</v>
      </c>
      <c r="E2710" s="7" t="s">
        <v>10918</v>
      </c>
      <c r="F2710" s="7" t="str">
        <f>HYPERLINK("http://www.gardenpoint.eu/","www.gardenpoint.eu")</f>
        <v>www.gardenpoint.eu</v>
      </c>
    </row>
    <row r="2711" spans="1:6" ht="43.05" customHeight="1" x14ac:dyDescent="0.25">
      <c r="A2711" s="6" t="s">
        <v>10919</v>
      </c>
      <c r="B2711" s="5" t="s">
        <v>10920</v>
      </c>
      <c r="C2711" s="5" t="s">
        <v>10921</v>
      </c>
      <c r="D2711" s="5" t="s">
        <v>10922</v>
      </c>
      <c r="E2711" s="5" t="s">
        <v>10901</v>
      </c>
      <c r="F2711" s="5" t="str">
        <f>HYPERLINK("http://www.agricopecetto.it/","www.agricopecetto.it")</f>
        <v>www.agricopecetto.it</v>
      </c>
    </row>
    <row r="2712" spans="1:6" ht="43.05" customHeight="1" x14ac:dyDescent="0.25">
      <c r="A2712" s="1" t="s">
        <v>10923</v>
      </c>
      <c r="B2712" s="7" t="s">
        <v>10924</v>
      </c>
      <c r="C2712" s="7" t="s">
        <v>10896</v>
      </c>
      <c r="D2712" s="7" t="s">
        <v>10925</v>
      </c>
      <c r="E2712" s="7" t="s">
        <v>10898</v>
      </c>
      <c r="F2712" s="7" t="str">
        <f>HYPERLINK("http://www.tenutamariateresa.it/","www.tenutamariateresa.it")</f>
        <v>www.tenutamariateresa.it</v>
      </c>
    </row>
    <row r="2713" spans="1:6" ht="43.05" customHeight="1" x14ac:dyDescent="0.25">
      <c r="A2713" s="6" t="s">
        <v>10926</v>
      </c>
      <c r="B2713" s="5" t="s">
        <v>10927</v>
      </c>
      <c r="C2713" s="5" t="s">
        <v>10909</v>
      </c>
      <c r="D2713" s="5" t="s">
        <v>10928</v>
      </c>
      <c r="E2713" s="5" t="s">
        <v>10898</v>
      </c>
      <c r="F2713" s="5" t="str">
        <f>HYPERLINK("http://www.follonico.com/","www.follonico.com")</f>
        <v>www.follonico.com</v>
      </c>
    </row>
    <row r="2714" spans="1:6" ht="29.55" customHeight="1" x14ac:dyDescent="0.25">
      <c r="A2714" s="1" t="s">
        <v>10936</v>
      </c>
      <c r="B2714" s="7" t="s">
        <v>10937</v>
      </c>
      <c r="C2714" s="7" t="s">
        <v>10932</v>
      </c>
      <c r="D2714" s="7" t="s">
        <v>10938</v>
      </c>
      <c r="E2714" s="7" t="s">
        <v>10935</v>
      </c>
      <c r="F2714" s="7" t="str">
        <f>HYPERLINK("http://www.agricoladoriasrl.it/","www.agricoladoriasrl.it")</f>
        <v>www.agricoladoriasrl.it</v>
      </c>
    </row>
    <row r="2715" spans="1:6" ht="43.05" customHeight="1" x14ac:dyDescent="0.25">
      <c r="A2715" s="1" t="s">
        <v>10940</v>
      </c>
      <c r="B2715" s="7" t="s">
        <v>10941</v>
      </c>
      <c r="C2715" s="7" t="s">
        <v>10942</v>
      </c>
      <c r="D2715" s="7" t="s">
        <v>10943</v>
      </c>
      <c r="E2715" s="7" t="s">
        <v>10944</v>
      </c>
      <c r="F2715" s="7" t="str">
        <f>HYPERLINK("http://www.thecircle.global/","www.thecircle.global")</f>
        <v>www.thecircle.global</v>
      </c>
    </row>
    <row r="2716" spans="1:6" ht="43.05" customHeight="1" x14ac:dyDescent="0.25">
      <c r="A2716" s="1" t="s">
        <v>10948</v>
      </c>
      <c r="B2716" s="7" t="s">
        <v>10949</v>
      </c>
      <c r="C2716" s="7" t="s">
        <v>10931</v>
      </c>
      <c r="D2716" s="7" t="s">
        <v>10950</v>
      </c>
      <c r="E2716" s="7" t="s">
        <v>10935</v>
      </c>
      <c r="F2716" s="7" t="str">
        <f>HYPERLINK("http://www.instagram.com/schiariti2.0/","www.instagram.com/schiariti2.0/")</f>
        <v>www.instagram.com/schiariti2.0/</v>
      </c>
    </row>
    <row r="2717" spans="1:6" ht="29.55" customHeight="1" x14ac:dyDescent="0.25">
      <c r="A2717" s="1" t="s">
        <v>10955</v>
      </c>
      <c r="B2717" s="7" t="s">
        <v>10956</v>
      </c>
      <c r="C2717" s="7" t="s">
        <v>10932</v>
      </c>
      <c r="D2717" s="7" t="s">
        <v>10957</v>
      </c>
      <c r="E2717" s="7" t="s">
        <v>10954</v>
      </c>
      <c r="F2717" s="7" t="str">
        <f>HYPERLINK("http://www.samsara-center.it/","www.samsara-center.it")</f>
        <v>www.samsara-center.it</v>
      </c>
    </row>
    <row r="2718" spans="1:6" ht="29.55" customHeight="1" x14ac:dyDescent="0.25">
      <c r="A2718" s="6" t="s">
        <v>10958</v>
      </c>
      <c r="B2718" s="5" t="s">
        <v>10959</v>
      </c>
      <c r="C2718" s="5" t="s">
        <v>10947</v>
      </c>
      <c r="D2718" s="5" t="s">
        <v>10946</v>
      </c>
      <c r="E2718" s="5" t="s">
        <v>10939</v>
      </c>
      <c r="F2718" s="5" t="str">
        <f>HYPERLINK("http://silvasuri.eu/","silvasuri.eu")</f>
        <v>silvasuri.eu</v>
      </c>
    </row>
    <row r="2719" spans="1:6" ht="43.05" customHeight="1" x14ac:dyDescent="0.25">
      <c r="A2719" s="1" t="s">
        <v>10960</v>
      </c>
      <c r="B2719" s="7" t="s">
        <v>10961</v>
      </c>
      <c r="C2719" s="7" t="s">
        <v>10945</v>
      </c>
      <c r="D2719" s="7" t="s">
        <v>10933</v>
      </c>
      <c r="E2719" s="7" t="s">
        <v>10934</v>
      </c>
      <c r="F2719" s="7" t="str">
        <f>HYPERLINK("http://www.cantinavalsanmartino.com/","www.cantinavalsanmartino.com")</f>
        <v>www.cantinavalsanmartino.com</v>
      </c>
    </row>
    <row r="2720" spans="1:6" ht="43.05" customHeight="1" x14ac:dyDescent="0.25">
      <c r="A2720" s="6" t="s">
        <v>10962</v>
      </c>
      <c r="B2720" s="5" t="s">
        <v>10963</v>
      </c>
      <c r="C2720" s="5" t="s">
        <v>10951</v>
      </c>
      <c r="D2720" s="5" t="s">
        <v>10964</v>
      </c>
      <c r="E2720" s="5" t="s">
        <v>10965</v>
      </c>
      <c r="F2720" s="5" t="str">
        <f>HYPERLINK("http://www.aziendarusso.it/","www.aziendarusso.it")</f>
        <v>www.aziendarusso.it</v>
      </c>
    </row>
    <row r="2721" spans="1:6" ht="29.55" customHeight="1" x14ac:dyDescent="0.25">
      <c r="A2721" s="1" t="s">
        <v>10966</v>
      </c>
      <c r="B2721" s="7" t="s">
        <v>10967</v>
      </c>
      <c r="C2721" s="7" t="s">
        <v>10945</v>
      </c>
      <c r="D2721" s="7" t="s">
        <v>10968</v>
      </c>
      <c r="E2721" s="7" t="s">
        <v>10954</v>
      </c>
      <c r="F2721" s="7" t="str">
        <f>HYPERLINK("http://www.marconivini.it/","www.marconivini.it")</f>
        <v>www.marconivini.it</v>
      </c>
    </row>
    <row r="2722" spans="1:6" ht="29.55" customHeight="1" x14ac:dyDescent="0.25">
      <c r="A2722" s="6" t="s">
        <v>10969</v>
      </c>
      <c r="B2722" s="5" t="s">
        <v>10970</v>
      </c>
      <c r="C2722" s="5" t="s">
        <v>10971</v>
      </c>
      <c r="D2722" s="5" t="s">
        <v>10972</v>
      </c>
      <c r="E2722" s="5" t="s">
        <v>10973</v>
      </c>
      <c r="F2722" s="5" t="str">
        <f>HYPERLINK("http://www.spesauser.it/","www.spesauser.it")</f>
        <v>www.spesauser.it</v>
      </c>
    </row>
    <row r="2723" spans="1:6" ht="29.55" customHeight="1" x14ac:dyDescent="0.25">
      <c r="A2723" s="6" t="s">
        <v>10974</v>
      </c>
      <c r="B2723" s="5" t="s">
        <v>10975</v>
      </c>
      <c r="C2723" s="5" t="s">
        <v>10931</v>
      </c>
      <c r="D2723" s="5" t="s">
        <v>10929</v>
      </c>
      <c r="E2723" s="5" t="s">
        <v>10930</v>
      </c>
      <c r="F2723" s="5" t="str">
        <f>HYPERLINK("http://dieciventi.it/","dieciventi.it")</f>
        <v>dieciventi.it</v>
      </c>
    </row>
    <row r="2724" spans="1:6" ht="43.05" customHeight="1" x14ac:dyDescent="0.25">
      <c r="A2724" s="1" t="s">
        <v>10976</v>
      </c>
      <c r="B2724" s="7" t="s">
        <v>10977</v>
      </c>
      <c r="C2724" s="7" t="s">
        <v>10953</v>
      </c>
      <c r="D2724" s="7" t="s">
        <v>10978</v>
      </c>
      <c r="E2724" s="7" t="s">
        <v>10952</v>
      </c>
      <c r="F2724" s="7" t="str">
        <f>HYPERLINK("http://www.cooperativapuntoverde.it/","www.cooperativapuntoverde.it")</f>
        <v>www.cooperativapuntoverde.it</v>
      </c>
    </row>
    <row r="2725" spans="1:6" ht="55.65" customHeight="1" x14ac:dyDescent="0.25">
      <c r="A2725" s="1" t="s">
        <v>10979</v>
      </c>
      <c r="B2725" s="7" t="s">
        <v>10980</v>
      </c>
      <c r="C2725" s="7" t="s">
        <v>10953</v>
      </c>
      <c r="D2725" s="7" t="s">
        <v>10981</v>
      </c>
      <c r="E2725" s="7" t="s">
        <v>10934</v>
      </c>
      <c r="F2725" s="7" t="str">
        <f>HYPERLINK("http://tenutapozzi.it/","tenutapozzi.it")</f>
        <v>tenutapozzi.it</v>
      </c>
    </row>
    <row r="2726" spans="1:6" ht="29.55" customHeight="1" x14ac:dyDescent="0.25">
      <c r="A2726" s="1" t="s">
        <v>10982</v>
      </c>
      <c r="B2726" s="7" t="s">
        <v>10983</v>
      </c>
      <c r="C2726" s="7" t="s">
        <v>10953</v>
      </c>
      <c r="D2726" s="7" t="s">
        <v>10984</v>
      </c>
      <c r="E2726" s="7" t="s">
        <v>10985</v>
      </c>
      <c r="F2726" s="7" t="str">
        <f>HYPERLINK("http://www.me-ma.eu/","www.me-ma.eu")</f>
        <v>www.me-ma.eu</v>
      </c>
    </row>
    <row r="2727" spans="1:6" ht="29.55" customHeight="1" x14ac:dyDescent="0.25">
      <c r="A2727" s="6" t="s">
        <v>10986</v>
      </c>
      <c r="B2727" s="5" t="s">
        <v>10987</v>
      </c>
      <c r="C2727" s="5" t="s">
        <v>10932</v>
      </c>
      <c r="D2727" s="5" t="s">
        <v>10943</v>
      </c>
      <c r="E2727" s="5" t="s">
        <v>10944</v>
      </c>
      <c r="F2727" s="5" t="str">
        <f>HYPERLINK("http://www.terredimarfisa.it/","www.terredimarfisa.it")</f>
        <v>www.terredimarfisa.it</v>
      </c>
    </row>
    <row r="2728" spans="1:6" ht="29.55" customHeight="1" x14ac:dyDescent="0.25">
      <c r="A2728" s="1" t="s">
        <v>10988</v>
      </c>
      <c r="B2728" s="7" t="s">
        <v>10989</v>
      </c>
      <c r="C2728" s="7" t="s">
        <v>10990</v>
      </c>
      <c r="D2728" s="7" t="s">
        <v>10991</v>
      </c>
      <c r="E2728" s="7" t="s">
        <v>10992</v>
      </c>
      <c r="F2728" s="7" t="str">
        <f>HYPERLINK("http://www.rigoloccio.it/","www.rigoloccio.it")</f>
        <v>www.rigoloccio.it</v>
      </c>
    </row>
    <row r="2729" spans="1:6" ht="29.55" customHeight="1" x14ac:dyDescent="0.25">
      <c r="A2729" s="6" t="s">
        <v>10993</v>
      </c>
      <c r="B2729" s="5" t="s">
        <v>10994</v>
      </c>
      <c r="C2729" s="5" t="s">
        <v>10995</v>
      </c>
      <c r="D2729" s="5" t="s">
        <v>10996</v>
      </c>
      <c r="E2729" s="5" t="s">
        <v>10997</v>
      </c>
      <c r="F2729" s="5" t="str">
        <f>HYPERLINK("http://www.primitivo-attanasio.com/","www.primitivo-attanasio.com")</f>
        <v>www.primitivo-attanasio.com</v>
      </c>
    </row>
    <row r="2730" spans="1:6" ht="29.55" customHeight="1" x14ac:dyDescent="0.25">
      <c r="A2730" s="1" t="s">
        <v>11001</v>
      </c>
      <c r="B2730" s="7" t="s">
        <v>11002</v>
      </c>
      <c r="C2730" s="7" t="s">
        <v>10995</v>
      </c>
      <c r="D2730" s="7" t="s">
        <v>11003</v>
      </c>
      <c r="E2730" s="7" t="s">
        <v>10999</v>
      </c>
      <c r="F2730" s="7" t="str">
        <f>HYPERLINK("http://www.cadelvent.com/","www.cadelvent.com")</f>
        <v>www.cadelvent.com</v>
      </c>
    </row>
    <row r="2731" spans="1:6" ht="29.55" customHeight="1" x14ac:dyDescent="0.25">
      <c r="A2731" s="1" t="s">
        <v>11006</v>
      </c>
      <c r="B2731" s="7" t="s">
        <v>11007</v>
      </c>
      <c r="C2731" s="7" t="s">
        <v>10995</v>
      </c>
      <c r="D2731" s="7" t="s">
        <v>11008</v>
      </c>
      <c r="E2731" s="7" t="s">
        <v>11005</v>
      </c>
      <c r="F2731" s="7" t="str">
        <f>HYPERLINK("http://www.fornaser.com/","www.fornaser.com")</f>
        <v>www.fornaser.com</v>
      </c>
    </row>
    <row r="2732" spans="1:6" ht="29.55" customHeight="1" x14ac:dyDescent="0.25">
      <c r="A2732" s="1" t="s">
        <v>11009</v>
      </c>
      <c r="B2732" s="7" t="s">
        <v>11010</v>
      </c>
      <c r="C2732" s="7" t="s">
        <v>11011</v>
      </c>
      <c r="D2732" s="7" t="s">
        <v>11000</v>
      </c>
      <c r="E2732" s="7" t="s">
        <v>10998</v>
      </c>
      <c r="F2732" s="7" t="str">
        <f>HYPERLINK("http://www.vivaispazioverde.it/","www.vivaispazioverde.it")</f>
        <v>www.vivaispazioverde.it</v>
      </c>
    </row>
    <row r="2733" spans="1:6" ht="43.05" customHeight="1" x14ac:dyDescent="0.25">
      <c r="A2733" s="6" t="s">
        <v>11012</v>
      </c>
      <c r="B2733" s="5" t="s">
        <v>11013</v>
      </c>
      <c r="C2733" s="5" t="s">
        <v>10995</v>
      </c>
      <c r="D2733" s="5" t="s">
        <v>11014</v>
      </c>
      <c r="E2733" s="5" t="s">
        <v>10992</v>
      </c>
      <c r="F2733" s="5" t="str">
        <f>HYPERLINK("http://www.laleccia.it/","www.laleccia.it")</f>
        <v>www.laleccia.it</v>
      </c>
    </row>
    <row r="2734" spans="1:6" ht="43.05" customHeight="1" x14ac:dyDescent="0.25">
      <c r="A2734" s="6" t="s">
        <v>11016</v>
      </c>
      <c r="B2734" s="5" t="s">
        <v>11017</v>
      </c>
      <c r="C2734" s="5" t="s">
        <v>11004</v>
      </c>
      <c r="D2734" s="5" t="s">
        <v>11018</v>
      </c>
      <c r="E2734" s="5" t="s">
        <v>11015</v>
      </c>
      <c r="F2734" s="5" t="str">
        <f>HYPERLINK("http://www.coop-service.it/","www.coop-service.it")</f>
        <v>www.coop-service.it</v>
      </c>
    </row>
    <row r="2735" spans="1:6" ht="16.95" customHeight="1" x14ac:dyDescent="0.25">
      <c r="A2735" s="1" t="s">
        <v>11020</v>
      </c>
      <c r="B2735" s="7" t="s">
        <v>11021</v>
      </c>
      <c r="C2735" s="7" t="s">
        <v>11022</v>
      </c>
      <c r="D2735" s="7" t="s">
        <v>11023</v>
      </c>
      <c r="E2735" s="7" t="s">
        <v>11024</v>
      </c>
      <c r="F2735" s="7" t="str">
        <f>HYPERLINK("http://www.quellideicampi.it/","www.quellideicampi.it")</f>
        <v>www.quellideicampi.it</v>
      </c>
    </row>
    <row r="2736" spans="1:6" ht="43.05" customHeight="1" x14ac:dyDescent="0.25">
      <c r="A2736" s="6" t="s">
        <v>11025</v>
      </c>
      <c r="B2736" s="5" t="s">
        <v>11026</v>
      </c>
      <c r="C2736" s="5" t="s">
        <v>11027</v>
      </c>
      <c r="D2736" s="5" t="s">
        <v>11028</v>
      </c>
      <c r="E2736" s="5" t="s">
        <v>11029</v>
      </c>
      <c r="F2736" s="5" t="str">
        <f>HYPERLINK("http://www.torresanta.it/","www.torresanta.it")</f>
        <v>www.torresanta.it</v>
      </c>
    </row>
    <row r="2737" spans="1:6" ht="43.05" customHeight="1" x14ac:dyDescent="0.25">
      <c r="A2737" s="1" t="s">
        <v>11030</v>
      </c>
      <c r="B2737" s="7" t="s">
        <v>11031</v>
      </c>
      <c r="C2737" s="7" t="s">
        <v>11032</v>
      </c>
      <c r="D2737" s="7" t="s">
        <v>11033</v>
      </c>
      <c r="E2737" s="7" t="s">
        <v>11029</v>
      </c>
      <c r="F2737" s="7" t="str">
        <f>HYPERLINK("http://www.coopruffano.it/","www.coopruffano.it")</f>
        <v>www.coopruffano.it</v>
      </c>
    </row>
    <row r="2738" spans="1:6" ht="29.55" customHeight="1" x14ac:dyDescent="0.25">
      <c r="A2738" s="6" t="s">
        <v>11036</v>
      </c>
      <c r="B2738" s="5" t="s">
        <v>11037</v>
      </c>
      <c r="C2738" s="5" t="s">
        <v>11027</v>
      </c>
      <c r="D2738" s="5" t="s">
        <v>11038</v>
      </c>
      <c r="E2738" s="5" t="s">
        <v>11039</v>
      </c>
      <c r="F2738" s="5" t="str">
        <f>HYPERLINK("http://www.kurtin.it/","www.kurtin.it")</f>
        <v>www.kurtin.it</v>
      </c>
    </row>
    <row r="2739" spans="1:6" ht="29.55" customHeight="1" x14ac:dyDescent="0.25">
      <c r="A2739" s="6" t="s">
        <v>11040</v>
      </c>
      <c r="B2739" s="5" t="s">
        <v>11041</v>
      </c>
      <c r="C2739" s="5" t="s">
        <v>11042</v>
      </c>
      <c r="D2739" s="5" t="s">
        <v>11034</v>
      </c>
      <c r="E2739" s="5" t="s">
        <v>11035</v>
      </c>
      <c r="F2739" s="5" t="str">
        <f>HYPERLINK("http://rexolution.it/","rexolution.it")</f>
        <v>rexolution.it</v>
      </c>
    </row>
    <row r="2740" spans="1:6" ht="29.55" customHeight="1" x14ac:dyDescent="0.25">
      <c r="A2740" s="1" t="s">
        <v>11043</v>
      </c>
      <c r="B2740" s="7" t="s">
        <v>11044</v>
      </c>
      <c r="C2740" s="7" t="s">
        <v>11045</v>
      </c>
      <c r="D2740" s="7" t="s">
        <v>11046</v>
      </c>
      <c r="E2740" s="7" t="s">
        <v>11035</v>
      </c>
      <c r="F2740" s="7" t="str">
        <f>HYPERLINK("http://rangostables.it/","rangostables.it")</f>
        <v>rangostables.it</v>
      </c>
    </row>
    <row r="2741" spans="1:6" ht="29.55" customHeight="1" x14ac:dyDescent="0.25">
      <c r="A2741" s="6" t="s">
        <v>11048</v>
      </c>
      <c r="B2741" s="5" t="s">
        <v>11049</v>
      </c>
      <c r="C2741" s="5" t="s">
        <v>11050</v>
      </c>
      <c r="D2741" s="5" t="s">
        <v>11051</v>
      </c>
      <c r="E2741" s="5" t="s">
        <v>11047</v>
      </c>
      <c r="F2741" s="5" t="str">
        <f>HYPERLINK("http://baomiaovillage.it/","baomiaovillage.it")</f>
        <v>baomiaovillage.it</v>
      </c>
    </row>
    <row r="2742" spans="1:6" ht="29.55" customHeight="1" x14ac:dyDescent="0.25">
      <c r="A2742" s="6" t="s">
        <v>11055</v>
      </c>
      <c r="B2742" s="5" t="s">
        <v>11056</v>
      </c>
      <c r="C2742" s="5" t="s">
        <v>11027</v>
      </c>
      <c r="D2742" s="5" t="s">
        <v>11057</v>
      </c>
      <c r="E2742" s="5" t="s">
        <v>11019</v>
      </c>
      <c r="F2742" s="5" t="str">
        <f>HYPERLINK("http://www.agriturismofraschetta.it/","www.agriturismofraschetta.it")</f>
        <v>www.agriturismofraschetta.it</v>
      </c>
    </row>
    <row r="2743" spans="1:6" ht="29.55" customHeight="1" x14ac:dyDescent="0.25">
      <c r="A2743" s="1" t="s">
        <v>11058</v>
      </c>
      <c r="B2743" s="7" t="s">
        <v>11059</v>
      </c>
      <c r="C2743" s="7" t="s">
        <v>11052</v>
      </c>
      <c r="D2743" s="7" t="s">
        <v>11053</v>
      </c>
      <c r="E2743" s="7" t="s">
        <v>11054</v>
      </c>
      <c r="F2743" s="7" t="str">
        <f>HYPERLINK("http://soc-agr-blaiotta-srl.business.site/","soc-agr-blaiotta-srl.business.site/")</f>
        <v>soc-agr-blaiotta-srl.business.site/</v>
      </c>
    </row>
    <row r="2744" spans="1:6" ht="55.65" customHeight="1" x14ac:dyDescent="0.25">
      <c r="A2744" s="6" t="s">
        <v>11061</v>
      </c>
      <c r="B2744" s="5" t="s">
        <v>11062</v>
      </c>
      <c r="C2744" s="5" t="s">
        <v>11063</v>
      </c>
      <c r="D2744" s="5" t="s">
        <v>11064</v>
      </c>
      <c r="E2744" s="5" t="s">
        <v>11065</v>
      </c>
      <c r="F2744" s="5" t="str">
        <f>HYPERLINK("http://www.conitalo.it/","www.conitalo.it")</f>
        <v>www.conitalo.it</v>
      </c>
    </row>
    <row r="2745" spans="1:6" ht="29.55" customHeight="1" x14ac:dyDescent="0.25">
      <c r="A2745" s="6" t="s">
        <v>11069</v>
      </c>
      <c r="B2745" s="5" t="s">
        <v>11070</v>
      </c>
      <c r="C2745" s="5" t="s">
        <v>11060</v>
      </c>
      <c r="D2745" s="5" t="s">
        <v>11071</v>
      </c>
      <c r="E2745" s="5" t="s">
        <v>11072</v>
      </c>
      <c r="F2745" s="5" t="str">
        <f>HYPERLINK("http://www.rurabilandia.it/","www.rurabilandia.it")</f>
        <v>www.rurabilandia.it</v>
      </c>
    </row>
    <row r="2746" spans="1:6" ht="29.55" customHeight="1" x14ac:dyDescent="0.25">
      <c r="A2746" s="1" t="s">
        <v>11073</v>
      </c>
      <c r="B2746" s="7" t="s">
        <v>11074</v>
      </c>
      <c r="C2746" s="7" t="s">
        <v>11075</v>
      </c>
      <c r="D2746" s="7" t="s">
        <v>11076</v>
      </c>
      <c r="E2746" s="7" t="s">
        <v>11077</v>
      </c>
      <c r="F2746" s="7" t="str">
        <f>HYPERLINK("http://concarma.com/","concarma.com")</f>
        <v>concarma.com</v>
      </c>
    </row>
    <row r="2747" spans="1:6" ht="29.55" customHeight="1" x14ac:dyDescent="0.25">
      <c r="A2747" s="6" t="s">
        <v>11078</v>
      </c>
      <c r="B2747" s="5" t="s">
        <v>11079</v>
      </c>
      <c r="C2747" s="5" t="s">
        <v>11080</v>
      </c>
      <c r="D2747" s="5" t="s">
        <v>11081</v>
      </c>
      <c r="E2747" s="5" t="s">
        <v>11072</v>
      </c>
      <c r="F2747" s="5" t="str">
        <f>HYPERLINK("http://www.vinivalori.it/","www.vinivalori.it")</f>
        <v>www.vinivalori.it</v>
      </c>
    </row>
    <row r="2748" spans="1:6" ht="29.55" customHeight="1" x14ac:dyDescent="0.25">
      <c r="A2748" s="1" t="s">
        <v>11082</v>
      </c>
      <c r="B2748" s="7" t="s">
        <v>11083</v>
      </c>
      <c r="C2748" s="7" t="s">
        <v>11080</v>
      </c>
      <c r="D2748" s="7" t="s">
        <v>11084</v>
      </c>
      <c r="E2748" s="7" t="s">
        <v>11085</v>
      </c>
      <c r="F2748" s="7" t="str">
        <f>HYPERLINK("http://www.aziendagricolaconta.com/","www.aziendagricolaconta.com")</f>
        <v>www.aziendagricolaconta.com</v>
      </c>
    </row>
    <row r="2749" spans="1:6" ht="29.55" customHeight="1" x14ac:dyDescent="0.25">
      <c r="A2749" s="6" t="s">
        <v>11087</v>
      </c>
      <c r="B2749" s="5" t="s">
        <v>11088</v>
      </c>
      <c r="C2749" s="5" t="s">
        <v>11089</v>
      </c>
      <c r="D2749" s="5" t="s">
        <v>11090</v>
      </c>
      <c r="E2749" s="5" t="s">
        <v>11067</v>
      </c>
      <c r="F2749" s="5" t="str">
        <f>HYPERLINK("http://www.lalobra.it/","www.lalobra.it")</f>
        <v>www.lalobra.it</v>
      </c>
    </row>
    <row r="2750" spans="1:6" ht="81.75" customHeight="1" x14ac:dyDescent="0.25">
      <c r="A2750" s="1" t="s">
        <v>11091</v>
      </c>
      <c r="B2750" s="7" t="s">
        <v>11092</v>
      </c>
      <c r="C2750" s="7" t="s">
        <v>11093</v>
      </c>
      <c r="D2750" s="7" t="s">
        <v>11094</v>
      </c>
      <c r="E2750" s="7" t="s">
        <v>11068</v>
      </c>
      <c r="F2750" s="7" t="str">
        <f>HYPERLINK("http://www.masselina.it/","www.masselina.it")</f>
        <v>www.masselina.it</v>
      </c>
    </row>
    <row r="2751" spans="1:6" ht="29.55" customHeight="1" x14ac:dyDescent="0.25">
      <c r="A2751" s="6" t="s">
        <v>11096</v>
      </c>
      <c r="B2751" s="5" t="s">
        <v>11097</v>
      </c>
      <c r="C2751" s="5" t="s">
        <v>11093</v>
      </c>
      <c r="D2751" s="5" t="s">
        <v>11098</v>
      </c>
      <c r="E2751" s="5" t="s">
        <v>11086</v>
      </c>
      <c r="F2751" s="5" t="str">
        <f>HYPERLINK("http://www.domodimonti.com/","www.domodimonti.com")</f>
        <v>www.domodimonti.com</v>
      </c>
    </row>
    <row r="2752" spans="1:6" ht="29.55" customHeight="1" x14ac:dyDescent="0.25">
      <c r="A2752" s="1" t="s">
        <v>11101</v>
      </c>
      <c r="B2752" s="7" t="s">
        <v>11102</v>
      </c>
      <c r="C2752" s="7" t="s">
        <v>11080</v>
      </c>
      <c r="D2752" s="7" t="s">
        <v>11103</v>
      </c>
      <c r="E2752" s="7" t="s">
        <v>11099</v>
      </c>
      <c r="F2752" s="7" t="str">
        <f>HYPERLINK("http://www.villalaripa.it/","www.villalaripa.it")</f>
        <v>www.villalaripa.it</v>
      </c>
    </row>
    <row r="2753" spans="1:6" ht="29.55" customHeight="1" x14ac:dyDescent="0.25">
      <c r="A2753" s="6" t="s">
        <v>11104</v>
      </c>
      <c r="B2753" s="5" t="s">
        <v>11105</v>
      </c>
      <c r="C2753" s="5" t="s">
        <v>11080</v>
      </c>
      <c r="D2753" s="5" t="s">
        <v>11106</v>
      </c>
      <c r="E2753" s="5" t="s">
        <v>11068</v>
      </c>
      <c r="F2753" s="5" t="str">
        <f>HYPERLINK("http://www.cantinedallasta.com/","www.cantinedallasta.com")</f>
        <v>www.cantinedallasta.com</v>
      </c>
    </row>
    <row r="2754" spans="1:6" ht="29.55" customHeight="1" x14ac:dyDescent="0.25">
      <c r="A2754" s="1" t="s">
        <v>11107</v>
      </c>
      <c r="B2754" s="7" t="s">
        <v>11108</v>
      </c>
      <c r="C2754" s="7" t="s">
        <v>11060</v>
      </c>
      <c r="D2754" s="7" t="s">
        <v>11109</v>
      </c>
      <c r="E2754" s="7" t="s">
        <v>11077</v>
      </c>
      <c r="F2754" s="7" t="str">
        <f>HYPERLINK("http://shop.anticatenutapalombo.it/","shop.anticatenutapalombo.it")</f>
        <v>shop.anticatenutapalombo.it</v>
      </c>
    </row>
    <row r="2755" spans="1:6" ht="43.05" customHeight="1" x14ac:dyDescent="0.25">
      <c r="A2755" s="6" t="s">
        <v>11110</v>
      </c>
      <c r="B2755" s="5" t="s">
        <v>11111</v>
      </c>
      <c r="C2755" s="5" t="s">
        <v>11112</v>
      </c>
      <c r="D2755" s="5" t="s">
        <v>11113</v>
      </c>
      <c r="E2755" s="5" t="s">
        <v>11066</v>
      </c>
      <c r="F2755" s="5" t="str">
        <f>HYPERLINK("http://www.agricolapaduanelli.it/","www.agricolapaduanelli.it")</f>
        <v>www.agricolapaduanelli.it</v>
      </c>
    </row>
    <row r="2756" spans="1:6" ht="29.55" customHeight="1" x14ac:dyDescent="0.25">
      <c r="A2756" s="1" t="s">
        <v>11114</v>
      </c>
      <c r="B2756" s="7" t="s">
        <v>11115</v>
      </c>
      <c r="C2756" s="7" t="s">
        <v>11100</v>
      </c>
      <c r="D2756" s="7" t="s">
        <v>11116</v>
      </c>
      <c r="E2756" s="7" t="s">
        <v>11095</v>
      </c>
      <c r="F2756" s="7" t="str">
        <f>HYPERLINK("http://www.vivaiadl.it/","www.vivaiadl.it")</f>
        <v>www.vivaiadl.it</v>
      </c>
    </row>
    <row r="2757" spans="1:6" ht="43.05" customHeight="1" x14ac:dyDescent="0.25">
      <c r="A2757" s="1" t="s">
        <v>11117</v>
      </c>
      <c r="B2757" s="7" t="s">
        <v>11118</v>
      </c>
      <c r="C2757" s="7" t="s">
        <v>11119</v>
      </c>
      <c r="D2757" s="7" t="s">
        <v>11120</v>
      </c>
      <c r="E2757" s="7" t="s">
        <v>11121</v>
      </c>
      <c r="F2757" s="7" t="str">
        <f>HYPERLINK("http://florguarino.com/","florguarino.com")</f>
        <v>florguarino.com</v>
      </c>
    </row>
    <row r="2758" spans="1:6" ht="29.55" customHeight="1" x14ac:dyDescent="0.25">
      <c r="A2758" s="6" t="s">
        <v>11122</v>
      </c>
      <c r="B2758" s="5" t="s">
        <v>11123</v>
      </c>
      <c r="C2758" s="5" t="s">
        <v>11075</v>
      </c>
      <c r="D2758" s="5" t="s">
        <v>11124</v>
      </c>
      <c r="E2758" s="5" t="s">
        <v>11121</v>
      </c>
      <c r="F2758" s="5" t="str">
        <f>HYPERLINK("http://www.coopnoe.it/","www.coopnoe.it")</f>
        <v>www.coopnoe.it</v>
      </c>
    </row>
    <row r="2759" spans="1:6" ht="29.55" customHeight="1" x14ac:dyDescent="0.25">
      <c r="A2759" s="1" t="s">
        <v>11125</v>
      </c>
      <c r="B2759" s="7" t="s">
        <v>11126</v>
      </c>
      <c r="C2759" s="7" t="s">
        <v>11127</v>
      </c>
      <c r="D2759" s="7" t="s">
        <v>11128</v>
      </c>
      <c r="E2759" s="7" t="s">
        <v>11129</v>
      </c>
      <c r="F2759" s="7" t="str">
        <f>HYPERLINK("http://cooperativaoasi.it/","cooperativaoasi.it")</f>
        <v>cooperativaoasi.it</v>
      </c>
    </row>
    <row r="2760" spans="1:6" ht="29.55" customHeight="1" x14ac:dyDescent="0.25">
      <c r="A2760" s="1" t="s">
        <v>11130</v>
      </c>
      <c r="B2760" s="7" t="s">
        <v>11131</v>
      </c>
      <c r="C2760" s="7" t="s">
        <v>11132</v>
      </c>
      <c r="D2760" s="7" t="s">
        <v>11133</v>
      </c>
      <c r="E2760" s="7" t="s">
        <v>11134</v>
      </c>
      <c r="F2760" s="7" t="str">
        <f>HYPERLINK("http://www.laboratoriomater.it/","www.laboratoriomater.it")</f>
        <v>www.laboratoriomater.it</v>
      </c>
    </row>
    <row r="2761" spans="1:6" ht="29.55" customHeight="1" x14ac:dyDescent="0.25">
      <c r="A2761" s="1" t="s">
        <v>11135</v>
      </c>
      <c r="B2761" s="7" t="s">
        <v>11136</v>
      </c>
      <c r="C2761" s="7" t="s">
        <v>11137</v>
      </c>
      <c r="D2761" s="7" t="s">
        <v>11138</v>
      </c>
      <c r="E2761" s="7" t="s">
        <v>11139</v>
      </c>
      <c r="F2761" s="7" t="str">
        <f>HYPERLINK("http://www.agriturismodelcimone.com/","www.agriturismodelcimone.com")</f>
        <v>www.agriturismodelcimone.com</v>
      </c>
    </row>
    <row r="2762" spans="1:6" ht="29.55" customHeight="1" x14ac:dyDescent="0.25">
      <c r="A2762" s="1" t="s">
        <v>11144</v>
      </c>
      <c r="B2762" s="7" t="s">
        <v>11145</v>
      </c>
      <c r="C2762" s="7" t="s">
        <v>11146</v>
      </c>
      <c r="D2762" s="7" t="s">
        <v>11147</v>
      </c>
      <c r="E2762" s="7" t="s">
        <v>11139</v>
      </c>
      <c r="F2762" s="7" t="str">
        <f>HYPERLINK("http://www.alegrait.com/","www.alegrait.com")</f>
        <v>www.alegrait.com</v>
      </c>
    </row>
    <row r="2763" spans="1:6" ht="29.55" customHeight="1" x14ac:dyDescent="0.25">
      <c r="A2763" s="1" t="s">
        <v>11148</v>
      </c>
      <c r="B2763" s="7" t="s">
        <v>11149</v>
      </c>
      <c r="C2763" s="7" t="s">
        <v>11150</v>
      </c>
      <c r="D2763" s="7" t="s">
        <v>11151</v>
      </c>
      <c r="E2763" s="7" t="s">
        <v>11143</v>
      </c>
      <c r="F2763" s="7" t="str">
        <f>HYPERLINK("http://www.sailinruf.com/","www.sailinruf.com")</f>
        <v>www.sailinruf.com</v>
      </c>
    </row>
    <row r="2764" spans="1:6" ht="29.55" customHeight="1" x14ac:dyDescent="0.25">
      <c r="A2764" s="6" t="s">
        <v>11152</v>
      </c>
      <c r="B2764" s="5" t="s">
        <v>11153</v>
      </c>
      <c r="C2764" s="5" t="s">
        <v>11141</v>
      </c>
      <c r="D2764" s="5" t="s">
        <v>11154</v>
      </c>
      <c r="E2764" s="5" t="s">
        <v>11155</v>
      </c>
      <c r="F2764" s="5" t="str">
        <f>HYPERLINK("http://www.traveltoscana.com/","www.traveltoscana.com")</f>
        <v>www.traveltoscana.com</v>
      </c>
    </row>
    <row r="2765" spans="1:6" ht="68.099999999999994" customHeight="1" x14ac:dyDescent="0.25">
      <c r="A2765" s="1" t="s">
        <v>11156</v>
      </c>
      <c r="B2765" s="7" t="s">
        <v>11157</v>
      </c>
      <c r="C2765" s="7" t="s">
        <v>11142</v>
      </c>
      <c r="D2765" s="7" t="s">
        <v>11158</v>
      </c>
      <c r="E2765" s="7" t="s">
        <v>11140</v>
      </c>
      <c r="F2765" s="7" t="str">
        <f>HYPERLINK("http://piolatorre.blogspot.com/","piolatorre.blogspot.com")</f>
        <v>piolatorre.blogspot.com</v>
      </c>
    </row>
    <row r="2766" spans="1:6" ht="29.55" customHeight="1" x14ac:dyDescent="0.25">
      <c r="A2766" s="6" t="s">
        <v>11159</v>
      </c>
      <c r="B2766" s="5" t="s">
        <v>11160</v>
      </c>
      <c r="C2766" s="5" t="s">
        <v>11132</v>
      </c>
      <c r="D2766" s="5" t="s">
        <v>11161</v>
      </c>
      <c r="E2766" s="5" t="s">
        <v>11134</v>
      </c>
      <c r="F2766" s="5" t="str">
        <f>HYPERLINK("http://tenuteallegretti.com/","tenuteallegretti.com")</f>
        <v>tenuteallegretti.com</v>
      </c>
    </row>
    <row r="2767" spans="1:6" ht="29.55" customHeight="1" x14ac:dyDescent="0.25">
      <c r="A2767" s="6" t="s">
        <v>11162</v>
      </c>
      <c r="B2767" s="5" t="s">
        <v>11163</v>
      </c>
      <c r="C2767" s="5" t="s">
        <v>11164</v>
      </c>
      <c r="D2767" s="5" t="s">
        <v>11165</v>
      </c>
      <c r="E2767" s="5" t="s">
        <v>11143</v>
      </c>
      <c r="F2767" s="5" t="str">
        <f>HYPERLINK("http://www.leselvagge.it/","www.leselvagge.it")</f>
        <v>www.leselvagge.it</v>
      </c>
    </row>
    <row r="2768" spans="1:6" ht="55.65" customHeight="1" x14ac:dyDescent="0.25">
      <c r="A2768" s="1" t="s">
        <v>11166</v>
      </c>
      <c r="B2768" s="7" t="s">
        <v>11167</v>
      </c>
      <c r="C2768" s="7" t="s">
        <v>11168</v>
      </c>
      <c r="D2768" s="7" t="s">
        <v>11133</v>
      </c>
      <c r="E2768" s="7" t="s">
        <v>11134</v>
      </c>
      <c r="F2768" s="7" t="str">
        <f>HYPERLINK("http://www.oleificiorfleverano.it/","www.oleificiorfleverano.it")</f>
        <v>www.oleificiorfleverano.it</v>
      </c>
    </row>
    <row r="2769" spans="1:6" ht="55.65" customHeight="1" x14ac:dyDescent="0.25">
      <c r="A2769" s="6" t="s">
        <v>11169</v>
      </c>
      <c r="B2769" s="5" t="s">
        <v>11170</v>
      </c>
      <c r="C2769" s="5" t="s">
        <v>11142</v>
      </c>
      <c r="D2769" s="5" t="s">
        <v>11171</v>
      </c>
      <c r="E2769" s="5" t="s">
        <v>11140</v>
      </c>
      <c r="F2769" s="5" t="str">
        <f>HYPERLINK("http://www.baronediserramarrocco.it/","www.baronediserramarrocco.it")</f>
        <v>www.baronediserramarrocco.it</v>
      </c>
    </row>
    <row r="2770" spans="1:6" ht="29.55" customHeight="1" x14ac:dyDescent="0.25">
      <c r="A2770" s="6" t="s">
        <v>11172</v>
      </c>
      <c r="B2770" s="5" t="s">
        <v>11173</v>
      </c>
      <c r="C2770" s="5" t="s">
        <v>11141</v>
      </c>
      <c r="D2770" s="5" t="s">
        <v>11174</v>
      </c>
      <c r="E2770" s="5" t="s">
        <v>11175</v>
      </c>
      <c r="F2770" s="5" t="str">
        <f>HYPERLINK("http://www.fontanacervo.it/","www.fontanacervo.it")</f>
        <v>www.fontanacervo.it</v>
      </c>
    </row>
    <row r="2771" spans="1:6" ht="29.55" customHeight="1" x14ac:dyDescent="0.25">
      <c r="A2771" s="1" t="s">
        <v>11179</v>
      </c>
      <c r="B2771" s="7" t="s">
        <v>11180</v>
      </c>
      <c r="C2771" s="7" t="s">
        <v>11181</v>
      </c>
      <c r="D2771" s="7" t="s">
        <v>11182</v>
      </c>
      <c r="E2771" s="7" t="s">
        <v>11183</v>
      </c>
      <c r="F2771" s="7" t="str">
        <f>HYPERLINK("http://www.labottegadimichele.it/","www.labottegadimichele.it")</f>
        <v>www.labottegadimichele.it</v>
      </c>
    </row>
    <row r="2772" spans="1:6" ht="29.55" customHeight="1" x14ac:dyDescent="0.25">
      <c r="A2772" s="1" t="s">
        <v>11185</v>
      </c>
      <c r="B2772" s="7" t="s">
        <v>11186</v>
      </c>
      <c r="C2772" s="7" t="s">
        <v>11187</v>
      </c>
      <c r="D2772" s="7" t="s">
        <v>11188</v>
      </c>
      <c r="E2772" s="7" t="s">
        <v>11189</v>
      </c>
      <c r="F2772" s="7" t="str">
        <f>HYPERLINK("http://www.tenutemartarosa.com/","www.tenutemartarosa.com")</f>
        <v>www.tenutemartarosa.com</v>
      </c>
    </row>
    <row r="2773" spans="1:6" ht="43.05" customHeight="1" x14ac:dyDescent="0.25">
      <c r="A2773" s="6" t="s">
        <v>11193</v>
      </c>
      <c r="B2773" s="5" t="s">
        <v>11194</v>
      </c>
      <c r="C2773" s="5" t="s">
        <v>11195</v>
      </c>
      <c r="D2773" s="5" t="s">
        <v>11196</v>
      </c>
      <c r="E2773" s="5" t="s">
        <v>11197</v>
      </c>
      <c r="F2773" s="5" t="str">
        <f>HYPERLINK("http://www.tenutalaghiaia.it/","www.tenutalaghiaia.it")</f>
        <v>www.tenutalaghiaia.it</v>
      </c>
    </row>
    <row r="2774" spans="1:6" ht="29.55" customHeight="1" x14ac:dyDescent="0.25">
      <c r="A2774" s="1" t="s">
        <v>11198</v>
      </c>
      <c r="B2774" s="7" t="s">
        <v>11199</v>
      </c>
      <c r="C2774" s="7" t="s">
        <v>11178</v>
      </c>
      <c r="D2774" s="7" t="s">
        <v>11200</v>
      </c>
      <c r="E2774" s="7" t="s">
        <v>11201</v>
      </c>
      <c r="F2774" s="7" t="str">
        <f>HYPERLINK("http://www.podereilmacchione.it/","www.podereilmacchione.it")</f>
        <v>www.podereilmacchione.it</v>
      </c>
    </row>
    <row r="2775" spans="1:6" ht="43.05" customHeight="1" x14ac:dyDescent="0.25">
      <c r="A2775" s="6" t="s">
        <v>11202</v>
      </c>
      <c r="B2775" s="5" t="s">
        <v>11203</v>
      </c>
      <c r="C2775" s="5" t="s">
        <v>11187</v>
      </c>
      <c r="D2775" s="5" t="s">
        <v>11200</v>
      </c>
      <c r="E2775" s="5" t="s">
        <v>11201</v>
      </c>
      <c r="F2775" s="5" t="str">
        <f>HYPERLINK("http://www.tenutapiandelleginestre.it/","www.tenutapiandelleginestre.it")</f>
        <v>www.tenutapiandelleginestre.it</v>
      </c>
    </row>
    <row r="2776" spans="1:6" ht="29.55" customHeight="1" x14ac:dyDescent="0.25">
      <c r="A2776" s="1" t="s">
        <v>11204</v>
      </c>
      <c r="B2776" s="7" t="s">
        <v>11205</v>
      </c>
      <c r="C2776" s="7" t="s">
        <v>11190</v>
      </c>
      <c r="D2776" s="7" t="s">
        <v>11191</v>
      </c>
      <c r="E2776" s="7" t="s">
        <v>11192</v>
      </c>
      <c r="F2776" s="7" t="str">
        <f>HYPERLINK("http://monvisofruit.it/","monvisofruit.it")</f>
        <v>monvisofruit.it</v>
      </c>
    </row>
    <row r="2777" spans="1:6" ht="29.55" customHeight="1" x14ac:dyDescent="0.25">
      <c r="A2777" s="6" t="s">
        <v>11206</v>
      </c>
      <c r="B2777" s="5" t="s">
        <v>11207</v>
      </c>
      <c r="C2777" s="5" t="s">
        <v>11184</v>
      </c>
      <c r="D2777" s="5" t="s">
        <v>11176</v>
      </c>
      <c r="E2777" s="5" t="s">
        <v>11177</v>
      </c>
      <c r="F2777" s="5" t="str">
        <f>HYPERLINK("http://www.rio-doro.it/","www.rio-doro.it")</f>
        <v>www.rio-doro.it</v>
      </c>
    </row>
    <row r="2778" spans="1:6" ht="29.55" customHeight="1" x14ac:dyDescent="0.25">
      <c r="A2778" s="1" t="s">
        <v>11208</v>
      </c>
      <c r="B2778" s="7" t="s">
        <v>11209</v>
      </c>
      <c r="C2778" s="7" t="s">
        <v>11210</v>
      </c>
      <c r="D2778" s="7" t="s">
        <v>11211</v>
      </c>
      <c r="E2778" s="7" t="s">
        <v>11212</v>
      </c>
      <c r="F2778" s="7" t="str">
        <f>HYPERLINK("http://www.lavinum.it/","www.lavinum.it")</f>
        <v>www.lavinum.it</v>
      </c>
    </row>
    <row r="2779" spans="1:6" ht="43.05" customHeight="1" x14ac:dyDescent="0.25">
      <c r="A2779" s="6" t="s">
        <v>11213</v>
      </c>
      <c r="B2779" s="5" t="s">
        <v>11214</v>
      </c>
      <c r="C2779" s="5" t="s">
        <v>11215</v>
      </c>
      <c r="D2779" s="5" t="s">
        <v>11216</v>
      </c>
      <c r="E2779" s="5" t="s">
        <v>11217</v>
      </c>
      <c r="F2779" s="5" t="str">
        <f>HYPERLINK("http://www.ferrazzi-cova.it/","www.ferrazzi-cova.it")</f>
        <v>www.ferrazzi-cova.it</v>
      </c>
    </row>
    <row r="2780" spans="1:6" ht="29.55" customHeight="1" x14ac:dyDescent="0.25">
      <c r="A2780" s="1" t="s">
        <v>11218</v>
      </c>
      <c r="B2780" s="7" t="s">
        <v>11219</v>
      </c>
      <c r="C2780" s="7" t="s">
        <v>11220</v>
      </c>
      <c r="D2780" s="7" t="s">
        <v>11221</v>
      </c>
      <c r="E2780" s="7" t="s">
        <v>11222</v>
      </c>
      <c r="F2780" s="7" t="str">
        <f>HYPERLINK("http://secolo21.it/","secolo21.it")</f>
        <v>secolo21.it</v>
      </c>
    </row>
    <row r="2781" spans="1:6" ht="29.55" customHeight="1" x14ac:dyDescent="0.25">
      <c r="A2781" s="1" t="s">
        <v>11223</v>
      </c>
      <c r="B2781" s="7" t="s">
        <v>11224</v>
      </c>
      <c r="C2781" s="7" t="s">
        <v>11210</v>
      </c>
      <c r="D2781" s="7" t="s">
        <v>11225</v>
      </c>
      <c r="E2781" s="7" t="s">
        <v>11226</v>
      </c>
      <c r="F2781" s="7" t="str">
        <f>HYPERLINK("http://www.collinadellefate.com/","www.collinadellefate.com")</f>
        <v>www.collinadellefate.com</v>
      </c>
    </row>
    <row r="2782" spans="1:6" ht="29.55" customHeight="1" x14ac:dyDescent="0.25">
      <c r="A2782" s="6" t="s">
        <v>11228</v>
      </c>
      <c r="B2782" s="5" t="s">
        <v>11229</v>
      </c>
      <c r="C2782" s="5" t="s">
        <v>11210</v>
      </c>
      <c r="D2782" s="5" t="s">
        <v>11230</v>
      </c>
      <c r="E2782" s="5" t="s">
        <v>11231</v>
      </c>
      <c r="F2782" s="5" t="str">
        <f>HYPERLINK("http://fattorialamaliosa.it/","fattorialamaliosa.it")</f>
        <v>fattorialamaliosa.it</v>
      </c>
    </row>
    <row r="2783" spans="1:6" ht="29.55" customHeight="1" x14ac:dyDescent="0.25">
      <c r="A2783" s="6" t="s">
        <v>11232</v>
      </c>
      <c r="B2783" s="5" t="s">
        <v>11233</v>
      </c>
      <c r="C2783" s="5" t="s">
        <v>11227</v>
      </c>
      <c r="D2783" s="5" t="s">
        <v>11234</v>
      </c>
      <c r="E2783" s="5" t="s">
        <v>11231</v>
      </c>
      <c r="F2783" s="5" t="str">
        <f>HYPERLINK("http://www.tenutedibadia.it/","www.tenutedibadia.it")</f>
        <v>www.tenutedibadia.it</v>
      </c>
    </row>
    <row r="2784" spans="1:6" ht="29.55" customHeight="1" x14ac:dyDescent="0.25">
      <c r="A2784" s="1" t="s">
        <v>11235</v>
      </c>
      <c r="B2784" s="7" t="s">
        <v>11236</v>
      </c>
      <c r="C2784" s="7" t="s">
        <v>11237</v>
      </c>
      <c r="D2784" s="7" t="s">
        <v>11221</v>
      </c>
      <c r="E2784" s="7" t="s">
        <v>11222</v>
      </c>
      <c r="F2784" s="7" t="str">
        <f>HYPERLINK("http://vigna-del-principe.business.site/","vigna-del-principe.business.site/")</f>
        <v>vigna-del-principe.business.site/</v>
      </c>
    </row>
    <row r="2785" spans="1:6" ht="16.95" customHeight="1" x14ac:dyDescent="0.25">
      <c r="A2785" s="1" t="s">
        <v>11240</v>
      </c>
      <c r="B2785" s="7" t="s">
        <v>11241</v>
      </c>
      <c r="C2785" s="7" t="s">
        <v>11242</v>
      </c>
      <c r="D2785" s="7" t="s">
        <v>11216</v>
      </c>
      <c r="E2785" s="7" t="s">
        <v>11217</v>
      </c>
      <c r="F2785" s="7" t="str">
        <f>HYPERLINK("http://www.giardiniere.it/","www.giardiniere.it")</f>
        <v>www.giardiniere.it</v>
      </c>
    </row>
    <row r="2786" spans="1:6" ht="29.55" customHeight="1" x14ac:dyDescent="0.25">
      <c r="A2786" s="6" t="s">
        <v>11243</v>
      </c>
      <c r="B2786" s="5" t="s">
        <v>11244</v>
      </c>
      <c r="C2786" s="5" t="s">
        <v>11238</v>
      </c>
      <c r="D2786" s="5" t="s">
        <v>11239</v>
      </c>
      <c r="E2786" s="5" t="s">
        <v>11212</v>
      </c>
      <c r="F2786" s="5" t="str">
        <f>HYPERLINK("http://www.aziendagricolademartino.com/","www.aziendagricolademartino.com")</f>
        <v>www.aziendagricolademartino.com</v>
      </c>
    </row>
    <row r="2787" spans="1:6" ht="29.55" customHeight="1" x14ac:dyDescent="0.25">
      <c r="A2787" s="6" t="s">
        <v>11245</v>
      </c>
      <c r="B2787" s="5" t="s">
        <v>11246</v>
      </c>
      <c r="C2787" s="5" t="s">
        <v>11247</v>
      </c>
      <c r="D2787" s="5" t="s">
        <v>11248</v>
      </c>
      <c r="E2787" s="5" t="s">
        <v>11249</v>
      </c>
      <c r="F2787" s="5" t="str">
        <f>HYPERLINK("http://shop.quota101.com/","shop.quota101.com")</f>
        <v>shop.quota101.com</v>
      </c>
    </row>
    <row r="2788" spans="1:6" ht="29.55" customHeight="1" x14ac:dyDescent="0.25">
      <c r="A2788" s="6" t="s">
        <v>11250</v>
      </c>
      <c r="B2788" s="5" t="s">
        <v>11251</v>
      </c>
      <c r="C2788" s="5" t="s">
        <v>11247</v>
      </c>
      <c r="D2788" s="5" t="s">
        <v>11252</v>
      </c>
      <c r="E2788" s="5" t="s">
        <v>11231</v>
      </c>
      <c r="F2788" s="5" t="str">
        <f>HYPERLINK("http://www.passeggere.it/","www.passeggere.it")</f>
        <v>www.passeggere.it</v>
      </c>
    </row>
    <row r="2789" spans="1:6" ht="29.55" customHeight="1" x14ac:dyDescent="0.25">
      <c r="A2789" s="1" t="s">
        <v>11253</v>
      </c>
      <c r="B2789" s="7" t="s">
        <v>11254</v>
      </c>
      <c r="C2789" s="7" t="s">
        <v>11210</v>
      </c>
      <c r="D2789" s="7" t="s">
        <v>11255</v>
      </c>
      <c r="E2789" s="7" t="s">
        <v>11231</v>
      </c>
      <c r="F2789" s="7" t="str">
        <f>HYPERLINK("http://www.tenutaditrinoro.it/","www.tenutaditrinoro.it")</f>
        <v>www.tenutaditrinoro.it</v>
      </c>
    </row>
    <row r="2790" spans="1:6" ht="29.55" customHeight="1" x14ac:dyDescent="0.25">
      <c r="A2790" s="1" t="s">
        <v>11256</v>
      </c>
      <c r="B2790" s="7" t="s">
        <v>11257</v>
      </c>
      <c r="C2790" s="7" t="s">
        <v>11258</v>
      </c>
      <c r="D2790" s="7" t="s">
        <v>11259</v>
      </c>
      <c r="E2790" s="7" t="s">
        <v>11217</v>
      </c>
      <c r="F2790" s="7" t="str">
        <f>HYPERLINK("http://www.giardinipellizzari.it/","www.giardinipellizzari.it")</f>
        <v>www.giardinipellizzari.it</v>
      </c>
    </row>
    <row r="2791" spans="1:6" ht="29.55" customHeight="1" x14ac:dyDescent="0.25">
      <c r="A2791" s="6" t="s">
        <v>11260</v>
      </c>
      <c r="B2791" s="5" t="s">
        <v>11261</v>
      </c>
      <c r="C2791" s="5" t="s">
        <v>11210</v>
      </c>
      <c r="D2791" s="5" t="s">
        <v>11234</v>
      </c>
      <c r="E2791" s="5" t="s">
        <v>11231</v>
      </c>
      <c r="F2791" s="5" t="str">
        <f>HYPERLINK("http://www.tenutaadamo.it/","www.tenutaadamo.it")</f>
        <v>www.tenutaadamo.it</v>
      </c>
    </row>
    <row r="2792" spans="1:6" ht="43.05" customHeight="1" x14ac:dyDescent="0.25">
      <c r="A2792" s="1" t="s">
        <v>11262</v>
      </c>
      <c r="B2792" s="7" t="s">
        <v>11263</v>
      </c>
      <c r="C2792" s="7" t="s">
        <v>11264</v>
      </c>
      <c r="D2792" s="7" t="s">
        <v>11265</v>
      </c>
      <c r="E2792" s="7" t="s">
        <v>11266</v>
      </c>
      <c r="F2792" s="7" t="str">
        <f>HYPERLINK("http://carburanti.esso.it/it-it/find-station/esso-licata-essolicata-100108331","carburanti.esso.it/it-it/find-station/esso-licata-essolicata-100108331")</f>
        <v>carburanti.esso.it/it-it/find-station/esso-licata-essolicata-100108331</v>
      </c>
    </row>
    <row r="2793" spans="1:6" ht="16.95" customHeight="1" x14ac:dyDescent="0.25">
      <c r="A2793" s="6" t="s">
        <v>11267</v>
      </c>
      <c r="B2793" s="5" t="s">
        <v>11268</v>
      </c>
      <c r="C2793" s="5" t="s">
        <v>11264</v>
      </c>
      <c r="D2793" s="5" t="s">
        <v>11269</v>
      </c>
      <c r="E2793" s="5" t="s">
        <v>11270</v>
      </c>
      <c r="F2793" s="5" t="str">
        <f>HYPERLINK("http://www.ristoranteilcasolare.biz/","www.ristoranteilcasolare.biz")</f>
        <v>www.ristoranteilcasolare.biz</v>
      </c>
    </row>
    <row r="2794" spans="1:6" ht="29.55" customHeight="1" x14ac:dyDescent="0.25">
      <c r="A2794" s="6" t="s">
        <v>11275</v>
      </c>
      <c r="B2794" s="5" t="s">
        <v>11276</v>
      </c>
      <c r="C2794" s="5" t="s">
        <v>11277</v>
      </c>
      <c r="D2794" s="5" t="s">
        <v>11278</v>
      </c>
      <c r="E2794" s="5" t="s">
        <v>11278</v>
      </c>
      <c r="F2794" s="5" t="str">
        <f>HYPERLINK("http://www.cantinenuragheantigori.it/","www.cantinenuragheantigori.it")</f>
        <v>www.cantinenuragheantigori.it</v>
      </c>
    </row>
    <row r="2795" spans="1:6" ht="43.05" customHeight="1" x14ac:dyDescent="0.25">
      <c r="A2795" s="6" t="s">
        <v>11279</v>
      </c>
      <c r="B2795" s="5" t="s">
        <v>11280</v>
      </c>
      <c r="C2795" s="5" t="s">
        <v>11277</v>
      </c>
      <c r="D2795" s="5" t="s">
        <v>11281</v>
      </c>
      <c r="E2795" s="5" t="s">
        <v>11270</v>
      </c>
      <c r="F2795" s="5" t="str">
        <f>HYPERLINK("http://roccolodellago.it/","roccolodellago.it")</f>
        <v>roccolodellago.it</v>
      </c>
    </row>
    <row r="2796" spans="1:6" ht="43.05" customHeight="1" x14ac:dyDescent="0.25">
      <c r="A2796" s="1" t="s">
        <v>11284</v>
      </c>
      <c r="B2796" s="7" t="s">
        <v>11285</v>
      </c>
      <c r="C2796" s="7" t="s">
        <v>11286</v>
      </c>
      <c r="D2796" s="7" t="s">
        <v>11287</v>
      </c>
      <c r="E2796" s="7" t="s">
        <v>11283</v>
      </c>
      <c r="F2796" s="7" t="str">
        <f>HYPERLINK("http://www.bioagricolatraiano.it/","www.bioagricolatraiano.it")</f>
        <v>www.bioagricolatraiano.it</v>
      </c>
    </row>
    <row r="2797" spans="1:6" ht="29.55" customHeight="1" x14ac:dyDescent="0.25">
      <c r="A2797" s="1" t="s">
        <v>11289</v>
      </c>
      <c r="B2797" s="7" t="s">
        <v>11290</v>
      </c>
      <c r="C2797" s="7" t="s">
        <v>11286</v>
      </c>
      <c r="D2797" s="7" t="s">
        <v>11291</v>
      </c>
      <c r="E2797" s="7" t="s">
        <v>11288</v>
      </c>
      <c r="F2797" s="7" t="str">
        <f>HYPERLINK("http://www.paradispietrasantaagricole.com/","www.paradispietrasantaagricole.com")</f>
        <v>www.paradispietrasantaagricole.com</v>
      </c>
    </row>
    <row r="2798" spans="1:6" ht="55.65" customHeight="1" x14ac:dyDescent="0.25">
      <c r="A2798" s="6" t="s">
        <v>11292</v>
      </c>
      <c r="B2798" s="5" t="s">
        <v>11293</v>
      </c>
      <c r="C2798" s="5" t="s">
        <v>11282</v>
      </c>
      <c r="D2798" s="5" t="s">
        <v>11294</v>
      </c>
      <c r="E2798" s="5" t="s">
        <v>11272</v>
      </c>
      <c r="F2798" s="5" t="str">
        <f>HYPERLINK("http://www.oleificiorfnardo.it/","www.oleificiorfnardo.it")</f>
        <v>www.oleificiorfnardo.it</v>
      </c>
    </row>
    <row r="2799" spans="1:6" ht="29.55" customHeight="1" x14ac:dyDescent="0.25">
      <c r="A2799" s="1" t="s">
        <v>11295</v>
      </c>
      <c r="B2799" s="7" t="s">
        <v>11296</v>
      </c>
      <c r="C2799" s="7" t="s">
        <v>11273</v>
      </c>
      <c r="D2799" s="7" t="s">
        <v>11271</v>
      </c>
      <c r="E2799" s="7" t="s">
        <v>11272</v>
      </c>
      <c r="F2799" s="7" t="str">
        <f>HYPERLINK("http://nelmiocampo.com/","nelmiocampo.com")</f>
        <v>nelmiocampo.com</v>
      </c>
    </row>
    <row r="2800" spans="1:6" ht="68.099999999999994" customHeight="1" x14ac:dyDescent="0.25">
      <c r="A2800" s="6" t="s">
        <v>11297</v>
      </c>
      <c r="B2800" s="5" t="s">
        <v>11298</v>
      </c>
      <c r="C2800" s="5" t="s">
        <v>11299</v>
      </c>
      <c r="D2800" s="5" t="s">
        <v>11300</v>
      </c>
      <c r="E2800" s="5" t="s">
        <v>11288</v>
      </c>
      <c r="F2800" s="5" t="str">
        <f>HYPERLINK("http://www.agriturismolearcatelivorno.com/","www.agriturismolearcatelivorno.com")</f>
        <v>www.agriturismolearcatelivorno.com</v>
      </c>
    </row>
    <row r="2801" spans="1:6" ht="55.65" customHeight="1" x14ac:dyDescent="0.25">
      <c r="A2801" s="1" t="s">
        <v>11301</v>
      </c>
      <c r="B2801" s="7" t="s">
        <v>11302</v>
      </c>
      <c r="C2801" s="7" t="s">
        <v>11277</v>
      </c>
      <c r="D2801" s="7" t="s">
        <v>11303</v>
      </c>
      <c r="E2801" s="7" t="s">
        <v>11304</v>
      </c>
      <c r="F2801" s="7" t="str">
        <f>HYPERLINK("http://www.vinicherri.it/","www.vinicherri.it")</f>
        <v>www.vinicherri.it</v>
      </c>
    </row>
    <row r="2802" spans="1:6" ht="29.55" customHeight="1" x14ac:dyDescent="0.25">
      <c r="A2802" s="6" t="s">
        <v>11305</v>
      </c>
      <c r="B2802" s="5" t="s">
        <v>11306</v>
      </c>
      <c r="C2802" s="5" t="s">
        <v>11277</v>
      </c>
      <c r="D2802" s="5" t="s">
        <v>11281</v>
      </c>
      <c r="E2802" s="5" t="s">
        <v>11270</v>
      </c>
      <c r="F2802" s="5" t="str">
        <f>HYPERLINK("http://www.cantinealdegheri.it/","www.cantinealdegheri.it")</f>
        <v>www.cantinealdegheri.it</v>
      </c>
    </row>
    <row r="2803" spans="1:6" ht="55.65" customHeight="1" x14ac:dyDescent="0.25">
      <c r="A2803" s="6" t="s">
        <v>11307</v>
      </c>
      <c r="B2803" s="5" t="s">
        <v>11308</v>
      </c>
      <c r="C2803" s="5" t="s">
        <v>11274</v>
      </c>
      <c r="D2803" s="5" t="s">
        <v>11309</v>
      </c>
      <c r="E2803" s="5" t="s">
        <v>11288</v>
      </c>
      <c r="F2803" s="5" t="str">
        <f>HYPERLINK("http://erbolaio.it/","erbolaio.it")</f>
        <v>erbolaio.it</v>
      </c>
    </row>
    <row r="2804" spans="1:6" ht="29.55" customHeight="1" x14ac:dyDescent="0.25">
      <c r="A2804" s="6" t="s">
        <v>11313</v>
      </c>
      <c r="B2804" s="5" t="s">
        <v>11314</v>
      </c>
      <c r="C2804" s="5" t="s">
        <v>11310</v>
      </c>
      <c r="D2804" s="5" t="s">
        <v>11315</v>
      </c>
      <c r="E2804" s="5" t="s">
        <v>11316</v>
      </c>
      <c r="F2804" s="5" t="str">
        <f>HYPERLINK("http://brinatartufi.com/","brinatartufi.com")</f>
        <v>brinatartufi.com</v>
      </c>
    </row>
    <row r="2805" spans="1:6" ht="43.05" customHeight="1" x14ac:dyDescent="0.25">
      <c r="A2805" s="6" t="s">
        <v>11318</v>
      </c>
      <c r="B2805" s="5" t="s">
        <v>11319</v>
      </c>
      <c r="C2805" s="5" t="s">
        <v>11320</v>
      </c>
      <c r="D2805" s="5" t="s">
        <v>11321</v>
      </c>
      <c r="E2805" s="5" t="s">
        <v>11322</v>
      </c>
      <c r="F2805" s="5" t="str">
        <f>HYPERLINK("http://www.villapreselle.it/","www.villapreselle.it")</f>
        <v>www.villapreselle.it</v>
      </c>
    </row>
    <row r="2806" spans="1:6" ht="29.55" customHeight="1" x14ac:dyDescent="0.25">
      <c r="A2806" s="1" t="s">
        <v>11325</v>
      </c>
      <c r="B2806" s="7" t="s">
        <v>11326</v>
      </c>
      <c r="C2806" s="7" t="s">
        <v>11317</v>
      </c>
      <c r="D2806" s="7" t="s">
        <v>11327</v>
      </c>
      <c r="E2806" s="7" t="s">
        <v>11328</v>
      </c>
      <c r="F2806" s="7" t="str">
        <f>HYPERLINK("http://www.acinovini.com/","www.acinovini.com")</f>
        <v>www.acinovini.com</v>
      </c>
    </row>
    <row r="2807" spans="1:6" ht="29.55" customHeight="1" x14ac:dyDescent="0.25">
      <c r="A2807" s="6" t="s">
        <v>11329</v>
      </c>
      <c r="B2807" s="5" t="s">
        <v>11330</v>
      </c>
      <c r="C2807" s="5" t="s">
        <v>11317</v>
      </c>
      <c r="D2807" s="5" t="s">
        <v>11331</v>
      </c>
      <c r="E2807" s="5" t="s">
        <v>11322</v>
      </c>
      <c r="F2807" s="5" t="str">
        <f>HYPERLINK("http://www.fattoriebianchi.it/","www.fattoriebianchi.it")</f>
        <v>www.fattoriebianchi.it</v>
      </c>
    </row>
    <row r="2808" spans="1:6" ht="68.099999999999994" customHeight="1" x14ac:dyDescent="0.25">
      <c r="A2808" s="1" t="s">
        <v>11332</v>
      </c>
      <c r="B2808" s="7" t="s">
        <v>11333</v>
      </c>
      <c r="C2808" s="7" t="s">
        <v>11323</v>
      </c>
      <c r="D2808" s="7" t="s">
        <v>11334</v>
      </c>
      <c r="E2808" s="7" t="s">
        <v>11335</v>
      </c>
      <c r="F2808" s="7" t="str">
        <f>HYPERLINK("http://www.garden-nomentano.com/","www.garden-nomentano.com")</f>
        <v>www.garden-nomentano.com</v>
      </c>
    </row>
    <row r="2809" spans="1:6" ht="43.05" customHeight="1" x14ac:dyDescent="0.25">
      <c r="A2809" s="1" t="s">
        <v>11336</v>
      </c>
      <c r="B2809" s="7" t="s">
        <v>11337</v>
      </c>
      <c r="C2809" s="7" t="s">
        <v>11317</v>
      </c>
      <c r="D2809" s="7" t="s">
        <v>11338</v>
      </c>
      <c r="E2809" s="7" t="s">
        <v>11339</v>
      </c>
      <c r="F2809" s="7" t="str">
        <f>HYPERLINK("http://www.ottosoldi.it/","www.ottosoldi.it")</f>
        <v>www.ottosoldi.it</v>
      </c>
    </row>
    <row r="2810" spans="1:6" ht="29.55" customHeight="1" x14ac:dyDescent="0.25">
      <c r="A2810" s="1" t="s">
        <v>11340</v>
      </c>
      <c r="B2810" s="7" t="s">
        <v>11341</v>
      </c>
      <c r="C2810" s="7" t="s">
        <v>11320</v>
      </c>
      <c r="D2810" s="7" t="s">
        <v>11342</v>
      </c>
      <c r="E2810" s="7" t="s">
        <v>11335</v>
      </c>
      <c r="F2810" s="7" t="str">
        <f>HYPERLINK("http://www.oliotamia.com/","www.oliotamia.com")</f>
        <v>www.oliotamia.com</v>
      </c>
    </row>
    <row r="2811" spans="1:6" ht="29.55" customHeight="1" x14ac:dyDescent="0.25">
      <c r="A2811" s="6" t="s">
        <v>11343</v>
      </c>
      <c r="B2811" s="5" t="s">
        <v>11344</v>
      </c>
      <c r="C2811" s="5" t="s">
        <v>11345</v>
      </c>
      <c r="D2811" s="5" t="s">
        <v>11346</v>
      </c>
      <c r="E2811" s="5" t="s">
        <v>11347</v>
      </c>
      <c r="F2811" s="5" t="str">
        <f>HYPERLINK("http://www.mineosaitta.it/","www.mineosaitta.it")</f>
        <v>www.mineosaitta.it</v>
      </c>
    </row>
    <row r="2812" spans="1:6" ht="81.75" customHeight="1" x14ac:dyDescent="0.25">
      <c r="A2812" s="1" t="s">
        <v>11348</v>
      </c>
      <c r="B2812" s="7" t="s">
        <v>11349</v>
      </c>
      <c r="C2812" s="7" t="s">
        <v>11350</v>
      </c>
      <c r="D2812" s="7" t="s">
        <v>11327</v>
      </c>
      <c r="E2812" s="7" t="s">
        <v>11328</v>
      </c>
      <c r="F2812" s="7" t="str">
        <f>HYPERLINK("http://azienda-agricola-caravelli-ingrosso-e-dettaglio.business.site/","azienda-agricola-caravelli-ingrosso-e-dettaglio.business.site/")</f>
        <v>azienda-agricola-caravelli-ingrosso-e-dettaglio.business.site/</v>
      </c>
    </row>
    <row r="2813" spans="1:6" ht="29.55" customHeight="1" x14ac:dyDescent="0.25">
      <c r="A2813" s="1" t="s">
        <v>11351</v>
      </c>
      <c r="B2813" s="7" t="s">
        <v>11352</v>
      </c>
      <c r="C2813" s="7" t="s">
        <v>11324</v>
      </c>
      <c r="D2813" s="7" t="s">
        <v>11311</v>
      </c>
      <c r="E2813" s="7" t="s">
        <v>11312</v>
      </c>
      <c r="F2813" s="7" t="str">
        <f>HYPERLINK("http://www.campagnamica.it/","www.campagnamica.it")</f>
        <v>www.campagnamica.it</v>
      </c>
    </row>
    <row r="2814" spans="1:6" ht="29.55" customHeight="1" x14ac:dyDescent="0.25">
      <c r="A2814" s="6" t="s">
        <v>11353</v>
      </c>
      <c r="B2814" s="5" t="s">
        <v>11354</v>
      </c>
      <c r="C2814" s="5" t="s">
        <v>11355</v>
      </c>
      <c r="D2814" s="5" t="s">
        <v>11356</v>
      </c>
      <c r="E2814" s="5" t="s">
        <v>11316</v>
      </c>
      <c r="F2814" s="5" t="str">
        <f>HYPERLINK("http://cadellodola.org/","cadellodola.org")</f>
        <v>cadellodola.org</v>
      </c>
    </row>
    <row r="2815" spans="1:6" ht="29.55" customHeight="1" x14ac:dyDescent="0.25">
      <c r="A2815" s="6" t="s">
        <v>11357</v>
      </c>
      <c r="B2815" s="5" t="s">
        <v>11358</v>
      </c>
      <c r="C2815" s="5" t="s">
        <v>11359</v>
      </c>
      <c r="D2815" s="5" t="s">
        <v>11360</v>
      </c>
      <c r="E2815" s="5" t="s">
        <v>11361</v>
      </c>
      <c r="F2815" s="5" t="str">
        <f>HYPERLINK("http://biomelise.it/","biomelise.it")</f>
        <v>biomelise.it</v>
      </c>
    </row>
    <row r="2816" spans="1:6" ht="29.55" customHeight="1" x14ac:dyDescent="0.25">
      <c r="A2816" s="6" t="s">
        <v>11365</v>
      </c>
      <c r="B2816" s="5" t="s">
        <v>11366</v>
      </c>
      <c r="C2816" s="5" t="s">
        <v>11367</v>
      </c>
      <c r="D2816" s="5" t="s">
        <v>11368</v>
      </c>
      <c r="E2816" s="5" t="s">
        <v>11363</v>
      </c>
      <c r="F2816" s="5" t="str">
        <f>HYPERLINK("http://www.lafioca.com/","www.lafioca.com")</f>
        <v>www.lafioca.com</v>
      </c>
    </row>
    <row r="2817" spans="1:6" ht="29.55" customHeight="1" x14ac:dyDescent="0.25">
      <c r="A2817" s="1" t="s">
        <v>11370</v>
      </c>
      <c r="B2817" s="7" t="s">
        <v>11371</v>
      </c>
      <c r="C2817" s="7" t="s">
        <v>11362</v>
      </c>
      <c r="D2817" s="7" t="s">
        <v>11372</v>
      </c>
      <c r="E2817" s="7" t="s">
        <v>11373</v>
      </c>
      <c r="F2817" s="7" t="str">
        <f>HYPERLINK("http://www.casettaprima.com/","www.casettaprima.com")</f>
        <v>www.casettaprima.com</v>
      </c>
    </row>
    <row r="2818" spans="1:6" ht="29.55" customHeight="1" x14ac:dyDescent="0.25">
      <c r="A2818" s="6" t="s">
        <v>11375</v>
      </c>
      <c r="B2818" s="5" t="s">
        <v>11376</v>
      </c>
      <c r="C2818" s="5" t="s">
        <v>11362</v>
      </c>
      <c r="D2818" s="5" t="s">
        <v>11377</v>
      </c>
      <c r="E2818" s="5" t="s">
        <v>11378</v>
      </c>
      <c r="F2818" s="5" t="str">
        <f>HYPERLINK("http://www.polje.it/","www.polje.it")</f>
        <v>www.polje.it</v>
      </c>
    </row>
    <row r="2819" spans="1:6" ht="43.05" customHeight="1" x14ac:dyDescent="0.25">
      <c r="A2819" s="1" t="s">
        <v>11379</v>
      </c>
      <c r="B2819" s="7" t="s">
        <v>11380</v>
      </c>
      <c r="C2819" s="7" t="s">
        <v>11381</v>
      </c>
      <c r="D2819" s="7" t="s">
        <v>11382</v>
      </c>
      <c r="E2819" s="7" t="s">
        <v>11383</v>
      </c>
      <c r="F2819" s="7" t="str">
        <f>HYPERLINK("http://www.suinodellamarca.it/","www.suinodellamarca.it")</f>
        <v>www.suinodellamarca.it</v>
      </c>
    </row>
    <row r="2820" spans="1:6" ht="29.55" customHeight="1" x14ac:dyDescent="0.25">
      <c r="A2820" s="6" t="s">
        <v>11385</v>
      </c>
      <c r="B2820" s="5" t="s">
        <v>11386</v>
      </c>
      <c r="C2820" s="5" t="s">
        <v>11362</v>
      </c>
      <c r="D2820" s="5" t="s">
        <v>11387</v>
      </c>
      <c r="E2820" s="5" t="s">
        <v>11388</v>
      </c>
      <c r="F2820" s="5" t="str">
        <f>HYPERLINK("http://poderepalazzo.it/","poderepalazzo.it")</f>
        <v>poderepalazzo.it</v>
      </c>
    </row>
    <row r="2821" spans="1:6" ht="43.05" customHeight="1" x14ac:dyDescent="0.25">
      <c r="A2821" s="6" t="s">
        <v>11389</v>
      </c>
      <c r="B2821" s="5" t="s">
        <v>11390</v>
      </c>
      <c r="C2821" s="5" t="s">
        <v>11374</v>
      </c>
      <c r="D2821" s="5" t="s">
        <v>11391</v>
      </c>
      <c r="E2821" s="5" t="s">
        <v>11383</v>
      </c>
      <c r="F2821" s="5" t="str">
        <f>HYPERLINK("http://cooplaformica.it/","cooplaformica.it")</f>
        <v>cooplaformica.it</v>
      </c>
    </row>
    <row r="2822" spans="1:6" ht="29.55" customHeight="1" x14ac:dyDescent="0.25">
      <c r="A2822" s="6" t="s">
        <v>11392</v>
      </c>
      <c r="B2822" s="5" t="s">
        <v>11393</v>
      </c>
      <c r="C2822" s="5" t="s">
        <v>11384</v>
      </c>
      <c r="D2822" s="5" t="s">
        <v>11394</v>
      </c>
      <c r="E2822" s="5" t="s">
        <v>11364</v>
      </c>
      <c r="F2822" s="5" t="str">
        <f>HYPERLINK("http://www.mastrototaro.org/","www.mastrototaro.org")</f>
        <v>www.mastrototaro.org</v>
      </c>
    </row>
    <row r="2823" spans="1:6" ht="29.55" customHeight="1" x14ac:dyDescent="0.25">
      <c r="A2823" s="1" t="s">
        <v>11395</v>
      </c>
      <c r="B2823" s="7" t="s">
        <v>11396</v>
      </c>
      <c r="C2823" s="7" t="s">
        <v>11362</v>
      </c>
      <c r="D2823" s="7" t="s">
        <v>11397</v>
      </c>
      <c r="E2823" s="7" t="s">
        <v>11373</v>
      </c>
      <c r="F2823" s="7" t="str">
        <f>HYPERLINK("http://www.fattoriasorbaiano.it/","www.fattoriasorbaiano.it")</f>
        <v>www.fattoriasorbaiano.it</v>
      </c>
    </row>
    <row r="2824" spans="1:6" ht="29.55" customHeight="1" x14ac:dyDescent="0.25">
      <c r="A2824" s="6" t="s">
        <v>11398</v>
      </c>
      <c r="B2824" s="5" t="s">
        <v>11399</v>
      </c>
      <c r="C2824" s="5" t="s">
        <v>11400</v>
      </c>
      <c r="D2824" s="5" t="s">
        <v>11401</v>
      </c>
      <c r="E2824" s="5" t="s">
        <v>11369</v>
      </c>
      <c r="F2824" s="5" t="str">
        <f>HYPERLINK("http://www.astialessandria.confcooperative.it/","www.astialessandria.confcooperative.it")</f>
        <v>www.astialessandria.confcooperative.it</v>
      </c>
    </row>
    <row r="2825" spans="1:6" ht="29.55" customHeight="1" x14ac:dyDescent="0.25">
      <c r="A2825" s="1" t="s">
        <v>11402</v>
      </c>
      <c r="B2825" s="7" t="s">
        <v>11403</v>
      </c>
      <c r="C2825" s="7" t="s">
        <v>11404</v>
      </c>
      <c r="D2825" s="7" t="s">
        <v>11377</v>
      </c>
      <c r="E2825" s="7" t="s">
        <v>11378</v>
      </c>
      <c r="F2825" s="7" t="str">
        <f>HYPERLINK("http://www.agriturismolegiarine.it/","www.agriturismolegiarine.it")</f>
        <v>www.agriturismolegiarine.it</v>
      </c>
    </row>
    <row r="2826" spans="1:6" ht="43.05" customHeight="1" x14ac:dyDescent="0.25">
      <c r="A2826" s="1" t="s">
        <v>11405</v>
      </c>
      <c r="B2826" s="7" t="s">
        <v>11406</v>
      </c>
      <c r="C2826" s="7" t="s">
        <v>11407</v>
      </c>
      <c r="D2826" s="7" t="s">
        <v>11408</v>
      </c>
      <c r="E2826" s="7" t="s">
        <v>11409</v>
      </c>
      <c r="F2826" s="7" t="str">
        <f>HYPERLINK("http://www.florovivaisticadellagomaggiore.it/","www.florovivaisticadellagomaggiore.it")</f>
        <v>www.florovivaisticadellagomaggiore.it</v>
      </c>
    </row>
    <row r="2827" spans="1:6" ht="29.55" customHeight="1" x14ac:dyDescent="0.25">
      <c r="A2827" s="1" t="s">
        <v>11410</v>
      </c>
      <c r="B2827" s="7" t="s">
        <v>11411</v>
      </c>
      <c r="C2827" s="7" t="s">
        <v>11412</v>
      </c>
      <c r="D2827" s="7" t="s">
        <v>11413</v>
      </c>
      <c r="E2827" s="7" t="s">
        <v>11414</v>
      </c>
      <c r="F2827" s="7" t="str">
        <f>HYPERLINK("http://www.montaiavini.it/","www.montaiavini.it")</f>
        <v>www.montaiavini.it</v>
      </c>
    </row>
    <row r="2828" spans="1:6" ht="29.55" customHeight="1" x14ac:dyDescent="0.25">
      <c r="A2828" s="1" t="s">
        <v>11420</v>
      </c>
      <c r="B2828" s="7" t="s">
        <v>11421</v>
      </c>
      <c r="C2828" s="7" t="s">
        <v>11422</v>
      </c>
      <c r="D2828" s="7" t="s">
        <v>11423</v>
      </c>
      <c r="E2828" s="7" t="s">
        <v>11416</v>
      </c>
      <c r="F2828" s="7" t="str">
        <f>HYPERLINK("http://www.tenutabellavistainsuese.it/","www.tenutabellavistainsuese.it")</f>
        <v>www.tenutabellavistainsuese.it</v>
      </c>
    </row>
    <row r="2829" spans="1:6" ht="29.55" customHeight="1" x14ac:dyDescent="0.25">
      <c r="A2829" s="6" t="s">
        <v>11424</v>
      </c>
      <c r="B2829" s="5" t="s">
        <v>11425</v>
      </c>
      <c r="C2829" s="5" t="s">
        <v>11426</v>
      </c>
      <c r="D2829" s="5" t="s">
        <v>11427</v>
      </c>
      <c r="E2829" s="5" t="s">
        <v>11428</v>
      </c>
      <c r="F2829" s="5" t="str">
        <f>HYPERLINK("http://www.cagianin.it/","www.cagianin.it")</f>
        <v>www.cagianin.it</v>
      </c>
    </row>
    <row r="2830" spans="1:6" ht="29.55" customHeight="1" x14ac:dyDescent="0.25">
      <c r="A2830" s="1" t="s">
        <v>11429</v>
      </c>
      <c r="B2830" s="7" t="s">
        <v>11430</v>
      </c>
      <c r="C2830" s="7" t="s">
        <v>11431</v>
      </c>
      <c r="D2830" s="7" t="s">
        <v>11432</v>
      </c>
      <c r="E2830" s="7" t="s">
        <v>11428</v>
      </c>
      <c r="F2830" s="7" t="str">
        <f>HYPERLINK("http://scuderiacastello.srl/","scuderiacastello.srl")</f>
        <v>scuderiacastello.srl</v>
      </c>
    </row>
    <row r="2831" spans="1:6" ht="81.75" customHeight="1" x14ac:dyDescent="0.25">
      <c r="A2831" s="1" t="s">
        <v>11433</v>
      </c>
      <c r="B2831" s="7" t="s">
        <v>11434</v>
      </c>
      <c r="C2831" s="7" t="s">
        <v>11412</v>
      </c>
      <c r="D2831" s="7" t="s">
        <v>11435</v>
      </c>
      <c r="E2831" s="7" t="s">
        <v>11436</v>
      </c>
      <c r="F2831" s="7" t="str">
        <f>HYPERLINK("http://www.ferrerivini.it/","www.ferrerivini.it")</f>
        <v>www.ferrerivini.it</v>
      </c>
    </row>
    <row r="2832" spans="1:6" ht="29.55" customHeight="1" x14ac:dyDescent="0.25">
      <c r="A2832" s="6" t="s">
        <v>11437</v>
      </c>
      <c r="B2832" s="5" t="s">
        <v>11438</v>
      </c>
      <c r="C2832" s="5" t="s">
        <v>11412</v>
      </c>
      <c r="D2832" s="5" t="s">
        <v>11439</v>
      </c>
      <c r="E2832" s="5" t="s">
        <v>11439</v>
      </c>
      <c r="F2832" s="5" t="str">
        <f>HYPERLINK("http://www.vinibaccu.com/","www.vinibaccu.com")</f>
        <v>www.vinibaccu.com</v>
      </c>
    </row>
    <row r="2833" spans="1:6" ht="68.099999999999994" customHeight="1" x14ac:dyDescent="0.25">
      <c r="A2833" s="1" t="s">
        <v>11440</v>
      </c>
      <c r="B2833" s="7" t="s">
        <v>11441</v>
      </c>
      <c r="C2833" s="7" t="s">
        <v>11442</v>
      </c>
      <c r="D2833" s="7" t="s">
        <v>11443</v>
      </c>
      <c r="E2833" s="7" t="s">
        <v>11444</v>
      </c>
      <c r="F2833" s="7" t="str">
        <f>HYPERLINK("http://www.haflinger.eu/","www.haflinger.eu")</f>
        <v>www.haflinger.eu</v>
      </c>
    </row>
    <row r="2834" spans="1:6" ht="16.95" customHeight="1" x14ac:dyDescent="0.25">
      <c r="A2834" s="1" t="s">
        <v>11445</v>
      </c>
      <c r="B2834" s="7" t="s">
        <v>11446</v>
      </c>
      <c r="C2834" s="7" t="s">
        <v>11415</v>
      </c>
      <c r="D2834" s="7" t="s">
        <v>11447</v>
      </c>
      <c r="E2834" s="7" t="s">
        <v>11428</v>
      </c>
      <c r="F2834" s="7" t="str">
        <f>HYPERLINK("http://www.ilgiardinodibeatrice.com/","www.ilgiardinodibeatrice.com")</f>
        <v>www.ilgiardinodibeatrice.com</v>
      </c>
    </row>
    <row r="2835" spans="1:6" ht="29.55" customHeight="1" x14ac:dyDescent="0.25">
      <c r="A2835" s="6" t="s">
        <v>11448</v>
      </c>
      <c r="B2835" s="5" t="s">
        <v>11449</v>
      </c>
      <c r="C2835" s="5" t="s">
        <v>11450</v>
      </c>
      <c r="D2835" s="5" t="s">
        <v>11451</v>
      </c>
      <c r="E2835" s="5" t="s">
        <v>11452</v>
      </c>
      <c r="F2835" s="5" t="str">
        <f>HYPERLINK("http://tenutaterraesole.it/","tenutaterraesole.it")</f>
        <v>tenutaterraesole.it</v>
      </c>
    </row>
    <row r="2836" spans="1:6" ht="16.95" customHeight="1" x14ac:dyDescent="0.25">
      <c r="A2836" s="6" t="s">
        <v>11453</v>
      </c>
      <c r="B2836" s="5" t="s">
        <v>11454</v>
      </c>
      <c r="C2836" s="5" t="s">
        <v>11417</v>
      </c>
      <c r="D2836" s="5" t="s">
        <v>11418</v>
      </c>
      <c r="E2836" s="5" t="s">
        <v>11419</v>
      </c>
      <c r="F2836" s="5" t="str">
        <f>HYPERLINK("http://www.aegimpianti.it/","www.aegimpianti.it")</f>
        <v>www.aegimpianti.it</v>
      </c>
    </row>
    <row r="2837" spans="1:6" ht="43.05" customHeight="1" x14ac:dyDescent="0.25">
      <c r="A2837" s="6" t="s">
        <v>11455</v>
      </c>
      <c r="B2837" s="5" t="s">
        <v>11456</v>
      </c>
      <c r="C2837" s="5" t="s">
        <v>11457</v>
      </c>
      <c r="D2837" s="5" t="s">
        <v>11458</v>
      </c>
      <c r="E2837" s="5" t="s">
        <v>11436</v>
      </c>
      <c r="F2837" s="5" t="str">
        <f>HYPERLINK("http://www.event-van.com/","www.event-van.com")</f>
        <v>www.event-van.com</v>
      </c>
    </row>
    <row r="2838" spans="1:6" ht="43.05" customHeight="1" x14ac:dyDescent="0.25">
      <c r="A2838" s="1" t="s">
        <v>11460</v>
      </c>
      <c r="B2838" s="7" t="s">
        <v>11461</v>
      </c>
      <c r="C2838" s="7" t="s">
        <v>11462</v>
      </c>
      <c r="D2838" s="7" t="s">
        <v>11463</v>
      </c>
      <c r="E2838" s="7" t="s">
        <v>11416</v>
      </c>
      <c r="F2838" s="7" t="str">
        <f>HYPERLINK("http://www.agriturismocignanrosso.com/","www.agriturismocignanrosso.com")</f>
        <v>www.agriturismocignanrosso.com</v>
      </c>
    </row>
    <row r="2839" spans="1:6" ht="29.55" customHeight="1" x14ac:dyDescent="0.25">
      <c r="A2839" s="6" t="s">
        <v>11464</v>
      </c>
      <c r="B2839" s="5" t="s">
        <v>11465</v>
      </c>
      <c r="C2839" s="5" t="s">
        <v>11466</v>
      </c>
      <c r="D2839" s="5" t="s">
        <v>11467</v>
      </c>
      <c r="E2839" s="5" t="s">
        <v>11468</v>
      </c>
      <c r="F2839" s="5" t="str">
        <f>HYPERLINK("http://www.marcofelluga.it/","www.marcofelluga.it")</f>
        <v>www.marcofelluga.it</v>
      </c>
    </row>
    <row r="2840" spans="1:6" ht="29.55" customHeight="1" x14ac:dyDescent="0.25">
      <c r="A2840" s="1" t="s">
        <v>11469</v>
      </c>
      <c r="B2840" s="7" t="s">
        <v>11470</v>
      </c>
      <c r="C2840" s="7" t="s">
        <v>11462</v>
      </c>
      <c r="D2840" s="7" t="s">
        <v>11459</v>
      </c>
      <c r="E2840" s="7" t="s">
        <v>11452</v>
      </c>
      <c r="F2840" s="7" t="str">
        <f>HYPERLINK("http://www.corterossa.com/","www.corterossa.com")</f>
        <v>www.corterossa.com</v>
      </c>
    </row>
    <row r="2841" spans="1:6" ht="16.95" customHeight="1" x14ac:dyDescent="0.25">
      <c r="A2841" s="1" t="s">
        <v>11472</v>
      </c>
      <c r="B2841" s="7" t="s">
        <v>11473</v>
      </c>
      <c r="C2841" s="7" t="s">
        <v>11412</v>
      </c>
      <c r="D2841" s="7" t="s">
        <v>11471</v>
      </c>
      <c r="E2841" s="7" t="s">
        <v>11419</v>
      </c>
      <c r="F2841" s="7" t="str">
        <f>HYPERLINK("http://www.vinieleva.it/","www.vinieleva.it")</f>
        <v>www.vinieleva.it</v>
      </c>
    </row>
    <row r="2842" spans="1:6" ht="43.05" customHeight="1" x14ac:dyDescent="0.25">
      <c r="A2842" s="1" t="s">
        <v>11476</v>
      </c>
      <c r="B2842" s="7" t="s">
        <v>11477</v>
      </c>
      <c r="C2842" s="7" t="s">
        <v>11478</v>
      </c>
      <c r="D2842" s="7" t="s">
        <v>11479</v>
      </c>
      <c r="E2842" s="7" t="s">
        <v>11480</v>
      </c>
      <c r="F2842" s="7" t="str">
        <f>HYPERLINK("http://www.larossapezzatafvg.it/","www.larossapezzatafvg.it")</f>
        <v>www.larossapezzatafvg.it</v>
      </c>
    </row>
    <row r="2843" spans="1:6" ht="43.05" customHeight="1" x14ac:dyDescent="0.25">
      <c r="A2843" s="6" t="s">
        <v>11481</v>
      </c>
      <c r="B2843" s="5" t="s">
        <v>11482</v>
      </c>
      <c r="C2843" s="5" t="s">
        <v>11474</v>
      </c>
      <c r="D2843" s="5" t="s">
        <v>11483</v>
      </c>
      <c r="E2843" s="5" t="s">
        <v>11484</v>
      </c>
      <c r="F2843" s="5" t="str">
        <f>HYPERLINK("http://www.colledibordocheo.com/","www.colledibordocheo.com")</f>
        <v>www.colledibordocheo.com</v>
      </c>
    </row>
    <row r="2844" spans="1:6" ht="29.55" customHeight="1" x14ac:dyDescent="0.25">
      <c r="A2844" s="6" t="s">
        <v>11486</v>
      </c>
      <c r="B2844" s="5" t="s">
        <v>11487</v>
      </c>
      <c r="C2844" s="5" t="s">
        <v>11488</v>
      </c>
      <c r="D2844" s="5" t="s">
        <v>11489</v>
      </c>
      <c r="E2844" s="5" t="s">
        <v>11490</v>
      </c>
      <c r="F2844" s="5" t="str">
        <f>HYPERLINK("http://www.acquedottoromanopoloclub.it/","www.acquedottoromanopoloclub.it")</f>
        <v>www.acquedottoromanopoloclub.it</v>
      </c>
    </row>
    <row r="2845" spans="1:6" ht="43.05" customHeight="1" x14ac:dyDescent="0.25">
      <c r="A2845" s="6" t="s">
        <v>11491</v>
      </c>
      <c r="B2845" s="5" t="s">
        <v>11492</v>
      </c>
      <c r="C2845" s="5" t="s">
        <v>11493</v>
      </c>
      <c r="D2845" s="5" t="s">
        <v>11494</v>
      </c>
      <c r="E2845" s="5" t="s">
        <v>11495</v>
      </c>
      <c r="F2845" s="5" t="str">
        <f>HYPERLINK("http://www.tenutadifassia.it/","www.tenutadifassia.it")</f>
        <v>www.tenutadifassia.it</v>
      </c>
    </row>
    <row r="2846" spans="1:6" ht="29.55" customHeight="1" x14ac:dyDescent="0.25">
      <c r="A2846" s="6" t="s">
        <v>11496</v>
      </c>
      <c r="B2846" s="5" t="s">
        <v>11497</v>
      </c>
      <c r="C2846" s="5" t="s">
        <v>11498</v>
      </c>
      <c r="D2846" s="5" t="s">
        <v>11499</v>
      </c>
      <c r="E2846" s="5" t="s">
        <v>11500</v>
      </c>
      <c r="F2846" s="5" t="str">
        <f>HYPERLINK("http://agricarli.it/","agricarli.it")</f>
        <v>agricarli.it</v>
      </c>
    </row>
    <row r="2847" spans="1:6" ht="43.05" customHeight="1" x14ac:dyDescent="0.25">
      <c r="A2847" s="6" t="s">
        <v>11501</v>
      </c>
      <c r="B2847" s="5" t="s">
        <v>11502</v>
      </c>
      <c r="C2847" s="5" t="s">
        <v>11475</v>
      </c>
      <c r="D2847" s="5" t="s">
        <v>11503</v>
      </c>
      <c r="E2847" s="5" t="s">
        <v>11484</v>
      </c>
      <c r="F2847" s="5" t="str">
        <f>HYPERLINK("http://agrimen.it/","agrimen.it")</f>
        <v>agrimen.it</v>
      </c>
    </row>
    <row r="2848" spans="1:6" ht="29.55" customHeight="1" x14ac:dyDescent="0.25">
      <c r="A2848" s="1" t="s">
        <v>11504</v>
      </c>
      <c r="B2848" s="7" t="s">
        <v>11505</v>
      </c>
      <c r="C2848" s="7" t="s">
        <v>11474</v>
      </c>
      <c r="D2848" s="7" t="s">
        <v>11506</v>
      </c>
      <c r="E2848" s="7" t="s">
        <v>11507</v>
      </c>
      <c r="F2848" s="7" t="str">
        <f>HYPERLINK("http://www.levignediclementinafabi.it/","www.levignediclementinafabi.it")</f>
        <v>www.levignediclementinafabi.it</v>
      </c>
    </row>
    <row r="2849" spans="1:6" ht="29.55" customHeight="1" x14ac:dyDescent="0.25">
      <c r="A2849" s="6" t="s">
        <v>11508</v>
      </c>
      <c r="B2849" s="5" t="s">
        <v>11509</v>
      </c>
      <c r="C2849" s="5" t="s">
        <v>11474</v>
      </c>
      <c r="D2849" s="5" t="s">
        <v>11510</v>
      </c>
      <c r="E2849" s="5" t="s">
        <v>11484</v>
      </c>
      <c r="F2849" s="5" t="str">
        <f>HYPERLINK("http://www.poderelachiesa.it/","www.poderelachiesa.it")</f>
        <v>www.poderelachiesa.it</v>
      </c>
    </row>
    <row r="2850" spans="1:6" ht="29.55" customHeight="1" x14ac:dyDescent="0.25">
      <c r="A2850" s="1" t="s">
        <v>11511</v>
      </c>
      <c r="B2850" s="7" t="s">
        <v>11512</v>
      </c>
      <c r="C2850" s="7" t="s">
        <v>11513</v>
      </c>
      <c r="D2850" s="7" t="s">
        <v>11514</v>
      </c>
      <c r="E2850" s="7" t="s">
        <v>11515</v>
      </c>
      <c r="F2850" s="7" t="str">
        <f>HYPERLINK("http://www.parcojalari.com/","www.parcojalari.com")</f>
        <v>www.parcojalari.com</v>
      </c>
    </row>
    <row r="2851" spans="1:6" ht="29.55" customHeight="1" x14ac:dyDescent="0.25">
      <c r="A2851" s="6" t="s">
        <v>11516</v>
      </c>
      <c r="B2851" s="5" t="s">
        <v>11517</v>
      </c>
      <c r="C2851" s="5" t="s">
        <v>11518</v>
      </c>
      <c r="D2851" s="5" t="s">
        <v>11519</v>
      </c>
      <c r="E2851" s="5" t="s">
        <v>11520</v>
      </c>
      <c r="F2851" s="5" t="str">
        <f>HYPERLINK("http://societaagricolamontana.it/","societaagricolamontana.it")</f>
        <v>societaagricolamontana.it</v>
      </c>
    </row>
    <row r="2852" spans="1:6" ht="29.55" customHeight="1" x14ac:dyDescent="0.25">
      <c r="A2852" s="1" t="s">
        <v>11521</v>
      </c>
      <c r="B2852" s="7" t="s">
        <v>11522</v>
      </c>
      <c r="C2852" s="7" t="s">
        <v>11523</v>
      </c>
      <c r="D2852" s="7" t="s">
        <v>11524</v>
      </c>
      <c r="E2852" s="7" t="s">
        <v>11525</v>
      </c>
      <c r="F2852" s="7" t="str">
        <f>HYPERLINK("http://spa.inghirios.it/","spa.inghirios.it")</f>
        <v>spa.inghirios.it</v>
      </c>
    </row>
    <row r="2853" spans="1:6" ht="16.95" customHeight="1" x14ac:dyDescent="0.25">
      <c r="A2853" s="6" t="s">
        <v>11526</v>
      </c>
      <c r="B2853" s="5" t="s">
        <v>11527</v>
      </c>
      <c r="C2853" s="5" t="s">
        <v>11478</v>
      </c>
      <c r="D2853" s="5" t="s">
        <v>11528</v>
      </c>
      <c r="E2853" s="5" t="s">
        <v>11485</v>
      </c>
      <c r="F2853" s="5" t="str">
        <f>HYPERLINK("http://horusitalia.net/","horusitalia.net")</f>
        <v>horusitalia.net</v>
      </c>
    </row>
    <row r="2854" spans="1:6" ht="16.95" customHeight="1" x14ac:dyDescent="0.25">
      <c r="A2854" s="6" t="s">
        <v>11532</v>
      </c>
      <c r="B2854" s="5" t="s">
        <v>11533</v>
      </c>
      <c r="C2854" s="5" t="s">
        <v>11534</v>
      </c>
      <c r="D2854" s="5" t="s">
        <v>11535</v>
      </c>
      <c r="E2854" s="5" t="s">
        <v>11536</v>
      </c>
      <c r="F2854" s="5" t="str">
        <f>HYPERLINK("http://www.tecnoverdesrl.it/","www.tecnoverdesrl.it")</f>
        <v>www.tecnoverdesrl.it</v>
      </c>
    </row>
    <row r="2855" spans="1:6" ht="29.55" customHeight="1" x14ac:dyDescent="0.25">
      <c r="A2855" s="1" t="s">
        <v>11538</v>
      </c>
      <c r="B2855" s="7" t="s">
        <v>11539</v>
      </c>
      <c r="C2855" s="7" t="s">
        <v>11540</v>
      </c>
      <c r="D2855" s="7" t="s">
        <v>11541</v>
      </c>
      <c r="E2855" s="7" t="s">
        <v>11542</v>
      </c>
      <c r="F2855" s="7" t="str">
        <f>HYPERLINK("http://www.fattorialepoggette.it/","www.fattorialepoggette.it")</f>
        <v>www.fattorialepoggette.it</v>
      </c>
    </row>
    <row r="2856" spans="1:6" ht="43.05" customHeight="1" x14ac:dyDescent="0.25">
      <c r="A2856" s="1" t="s">
        <v>11544</v>
      </c>
      <c r="B2856" s="7" t="s">
        <v>11545</v>
      </c>
      <c r="C2856" s="7" t="s">
        <v>11529</v>
      </c>
      <c r="D2856" s="7" t="s">
        <v>11546</v>
      </c>
      <c r="E2856" s="7" t="s">
        <v>11543</v>
      </c>
      <c r="F2856" s="7" t="str">
        <f>HYPERLINK("http://www.cantinesimonetti.it/","www.cantinesimonetti.it")</f>
        <v>www.cantinesimonetti.it</v>
      </c>
    </row>
    <row r="2857" spans="1:6" ht="29.55" customHeight="1" x14ac:dyDescent="0.25">
      <c r="A2857" s="1" t="s">
        <v>11548</v>
      </c>
      <c r="B2857" s="7" t="s">
        <v>11549</v>
      </c>
      <c r="C2857" s="7" t="s">
        <v>11550</v>
      </c>
      <c r="D2857" s="7" t="s">
        <v>11530</v>
      </c>
      <c r="E2857" s="7" t="s">
        <v>11531</v>
      </c>
      <c r="F2857" s="7" t="str">
        <f>HYPERLINK("http://coricelli.com/","coricelli.com")</f>
        <v>coricelli.com</v>
      </c>
    </row>
    <row r="2858" spans="1:6" ht="29.55" customHeight="1" x14ac:dyDescent="0.25">
      <c r="A2858" s="6" t="s">
        <v>11551</v>
      </c>
      <c r="B2858" s="5" t="s">
        <v>11552</v>
      </c>
      <c r="C2858" s="5" t="s">
        <v>11550</v>
      </c>
      <c r="D2858" s="5" t="s">
        <v>11553</v>
      </c>
      <c r="E2858" s="5" t="s">
        <v>11554</v>
      </c>
      <c r="F2858" s="5" t="str">
        <f>HYPERLINK("http://www.frantoiovalsanterno.it/","www.frantoiovalsanterno.it")</f>
        <v>www.frantoiovalsanterno.it</v>
      </c>
    </row>
    <row r="2859" spans="1:6" ht="29.55" customHeight="1" x14ac:dyDescent="0.25">
      <c r="A2859" s="6" t="s">
        <v>11555</v>
      </c>
      <c r="B2859" s="5" t="s">
        <v>11556</v>
      </c>
      <c r="C2859" s="5" t="s">
        <v>11529</v>
      </c>
      <c r="D2859" s="5" t="s">
        <v>11557</v>
      </c>
      <c r="E2859" s="5" t="s">
        <v>11547</v>
      </c>
      <c r="F2859" s="5" t="str">
        <f>HYPERLINK("http://www.famigliacecchi.it/","www.famigliacecchi.it")</f>
        <v>www.famigliacecchi.it</v>
      </c>
    </row>
    <row r="2860" spans="1:6" ht="29.55" customHeight="1" x14ac:dyDescent="0.25">
      <c r="A2860" s="1" t="s">
        <v>11558</v>
      </c>
      <c r="B2860" s="7" t="s">
        <v>11559</v>
      </c>
      <c r="C2860" s="7" t="s">
        <v>11560</v>
      </c>
      <c r="D2860" s="7" t="s">
        <v>11561</v>
      </c>
      <c r="E2860" s="7" t="s">
        <v>11562</v>
      </c>
      <c r="F2860" s="7" t="str">
        <f>HYPERLINK("http://www.platto.it/","www.platto.it")</f>
        <v>www.platto.it</v>
      </c>
    </row>
    <row r="2861" spans="1:6" ht="55.65" customHeight="1" x14ac:dyDescent="0.25">
      <c r="A2861" s="6" t="s">
        <v>11563</v>
      </c>
      <c r="B2861" s="5" t="s">
        <v>11564</v>
      </c>
      <c r="C2861" s="5" t="s">
        <v>11565</v>
      </c>
      <c r="D2861" s="5" t="s">
        <v>11566</v>
      </c>
      <c r="E2861" s="5" t="s">
        <v>11567</v>
      </c>
      <c r="F2861" s="5" t="str">
        <f>HYPERLINK("http://www.palagreen.it/","www.palagreen.it")</f>
        <v>www.palagreen.it</v>
      </c>
    </row>
    <row r="2862" spans="1:6" ht="29.55" customHeight="1" x14ac:dyDescent="0.25">
      <c r="A2862" s="6" t="s">
        <v>11568</v>
      </c>
      <c r="B2862" s="5" t="s">
        <v>11569</v>
      </c>
      <c r="C2862" s="5" t="s">
        <v>11565</v>
      </c>
      <c r="D2862" s="5" t="s">
        <v>11541</v>
      </c>
      <c r="E2862" s="5" t="s">
        <v>11542</v>
      </c>
      <c r="F2862" s="5" t="str">
        <f>HYPERLINK("http://www.agriturismosiena.travel/","www.agriturismosiena.travel")</f>
        <v>www.agriturismosiena.travel</v>
      </c>
    </row>
    <row r="2863" spans="1:6" ht="29.55" customHeight="1" x14ac:dyDescent="0.25">
      <c r="A2863" s="1" t="s">
        <v>11570</v>
      </c>
      <c r="B2863" s="7" t="s">
        <v>11571</v>
      </c>
      <c r="C2863" s="7" t="s">
        <v>11537</v>
      </c>
      <c r="D2863" s="7" t="s">
        <v>11572</v>
      </c>
      <c r="E2863" s="7" t="s">
        <v>11554</v>
      </c>
      <c r="F2863" s="7" t="str">
        <f>HYPERLINK("http://allesiepi.com/","allesiepi.com")</f>
        <v>allesiepi.com</v>
      </c>
    </row>
    <row r="2864" spans="1:6" ht="94.2" customHeight="1" x14ac:dyDescent="0.25">
      <c r="A2864" s="1" t="s">
        <v>11573</v>
      </c>
      <c r="B2864" s="7" t="s">
        <v>11574</v>
      </c>
      <c r="C2864" s="7" t="s">
        <v>11575</v>
      </c>
      <c r="D2864" s="7" t="s">
        <v>11576</v>
      </c>
      <c r="E2864" s="7" t="s">
        <v>11547</v>
      </c>
      <c r="F2864" s="7" t="str">
        <f>HYPERLINK("http://www.poggiomandorlo.it/","www.poggiomandorlo.it")</f>
        <v>www.poggiomandorlo.it</v>
      </c>
    </row>
    <row r="2865" spans="1:6" ht="29.55" customHeight="1" x14ac:dyDescent="0.25">
      <c r="A2865" s="1" t="s">
        <v>11577</v>
      </c>
      <c r="B2865" s="7" t="s">
        <v>11578</v>
      </c>
      <c r="C2865" s="7" t="s">
        <v>11529</v>
      </c>
      <c r="D2865" s="7" t="s">
        <v>11576</v>
      </c>
      <c r="E2865" s="7" t="s">
        <v>11547</v>
      </c>
      <c r="F2865" s="7" t="str">
        <f>HYPERLINK("http://www.erikbanti.com/","www.erikbanti.com")</f>
        <v>www.erikbanti.com</v>
      </c>
    </row>
    <row r="2866" spans="1:6" ht="43.05" customHeight="1" x14ac:dyDescent="0.25">
      <c r="A2866" s="6" t="s">
        <v>11579</v>
      </c>
      <c r="B2866" s="5" t="s">
        <v>11580</v>
      </c>
      <c r="C2866" s="5" t="s">
        <v>11537</v>
      </c>
      <c r="D2866" s="5" t="s">
        <v>11553</v>
      </c>
      <c r="E2866" s="5" t="s">
        <v>11554</v>
      </c>
      <c r="F2866" s="5" t="str">
        <f>HYPERLINK("http://www.agriconcura.it/","www.agriconcura.it")</f>
        <v>www.agriconcura.it</v>
      </c>
    </row>
    <row r="2867" spans="1:6" ht="43.05" customHeight="1" x14ac:dyDescent="0.25">
      <c r="A2867" s="1" t="s">
        <v>11581</v>
      </c>
      <c r="B2867" s="7" t="s">
        <v>11582</v>
      </c>
      <c r="C2867" s="7" t="s">
        <v>11583</v>
      </c>
      <c r="D2867" s="7" t="s">
        <v>11584</v>
      </c>
      <c r="E2867" s="7" t="s">
        <v>11585</v>
      </c>
      <c r="F2867" s="7" t="str">
        <f>HYPERLINK("http://www.pandittaino.info/it/pandittaino-oro-di-natura/","www.pandittaino.info/it/pandittaino-oro-di-natura/")</f>
        <v>www.pandittaino.info/it/pandittaino-oro-di-natura/</v>
      </c>
    </row>
    <row r="2868" spans="1:6" ht="29.55" customHeight="1" x14ac:dyDescent="0.25">
      <c r="A2868" s="6" t="s">
        <v>11587</v>
      </c>
      <c r="B2868" s="5" t="s">
        <v>11588</v>
      </c>
      <c r="C2868" s="5" t="s">
        <v>11586</v>
      </c>
      <c r="D2868" s="5" t="s">
        <v>11589</v>
      </c>
      <c r="E2868" s="5" t="s">
        <v>11590</v>
      </c>
      <c r="F2868" s="5" t="str">
        <f>HYPERLINK("http://www.masseriadelbosco.com/","www.masseriadelbosco.com")</f>
        <v>www.masseriadelbosco.com</v>
      </c>
    </row>
    <row r="2869" spans="1:6" ht="29.55" customHeight="1" x14ac:dyDescent="0.25">
      <c r="A2869" s="1" t="s">
        <v>11592</v>
      </c>
      <c r="B2869" s="7" t="s">
        <v>11593</v>
      </c>
      <c r="C2869" s="7" t="s">
        <v>11594</v>
      </c>
      <c r="D2869" s="7" t="s">
        <v>11595</v>
      </c>
      <c r="E2869" s="7" t="s">
        <v>11596</v>
      </c>
      <c r="F2869" s="7" t="str">
        <f>HYPERLINK("http://rienzflor-srl-societa-agricola-03051860215.quantofattura.com/","rienzflor-srl-societa-agricola-03051860215.quantofattura.com")</f>
        <v>rienzflor-srl-societa-agricola-03051860215.quantofattura.com</v>
      </c>
    </row>
    <row r="2870" spans="1:6" ht="29.55" customHeight="1" x14ac:dyDescent="0.25">
      <c r="A2870" s="6" t="s">
        <v>11597</v>
      </c>
      <c r="B2870" s="5" t="s">
        <v>11598</v>
      </c>
      <c r="C2870" s="5" t="s">
        <v>11599</v>
      </c>
      <c r="D2870" s="5" t="s">
        <v>11600</v>
      </c>
      <c r="E2870" s="5" t="s">
        <v>11585</v>
      </c>
      <c r="F2870" s="5" t="str">
        <f>HYPERLINK("http://www.terredibruca.it/","www.terredibruca.it")</f>
        <v>www.terredibruca.it</v>
      </c>
    </row>
    <row r="2871" spans="1:6" ht="43.05" customHeight="1" x14ac:dyDescent="0.25">
      <c r="A2871" s="6" t="s">
        <v>11601</v>
      </c>
      <c r="B2871" s="5" t="s">
        <v>11602</v>
      </c>
      <c r="C2871" s="5" t="s">
        <v>11583</v>
      </c>
      <c r="D2871" s="5" t="s">
        <v>11603</v>
      </c>
      <c r="E2871" s="5" t="s">
        <v>11604</v>
      </c>
      <c r="F2871" s="5" t="str">
        <f>HYPERLINK("http://www.fattoriadelparco.it/","www.fattoriadelparco.it")</f>
        <v>www.fattoriadelparco.it</v>
      </c>
    </row>
    <row r="2872" spans="1:6" ht="43.05" customHeight="1" x14ac:dyDescent="0.25">
      <c r="A2872" s="6" t="s">
        <v>11605</v>
      </c>
      <c r="B2872" s="5" t="s">
        <v>11606</v>
      </c>
      <c r="C2872" s="5" t="s">
        <v>11599</v>
      </c>
      <c r="D2872" s="5" t="s">
        <v>11607</v>
      </c>
      <c r="E2872" s="5" t="s">
        <v>11608</v>
      </c>
      <c r="F2872" s="5" t="str">
        <f>HYPERLINK("http://www.basiliscovini.it/","www.basiliscovini.it")</f>
        <v>www.basiliscovini.it</v>
      </c>
    </row>
    <row r="2873" spans="1:6" ht="29.55" customHeight="1" x14ac:dyDescent="0.25">
      <c r="A2873" s="1" t="s">
        <v>11609</v>
      </c>
      <c r="B2873" s="7" t="s">
        <v>11610</v>
      </c>
      <c r="C2873" s="7" t="s">
        <v>11611</v>
      </c>
      <c r="D2873" s="7" t="s">
        <v>11612</v>
      </c>
      <c r="E2873" s="7" t="s">
        <v>11613</v>
      </c>
      <c r="F2873" s="7" t="str">
        <f>HYPERLINK("http://agricando.it/","agricando.it")</f>
        <v>agricando.it</v>
      </c>
    </row>
    <row r="2874" spans="1:6" ht="29.55" customHeight="1" x14ac:dyDescent="0.25">
      <c r="A2874" s="6" t="s">
        <v>11614</v>
      </c>
      <c r="B2874" s="5" t="s">
        <v>11615</v>
      </c>
      <c r="C2874" s="5" t="s">
        <v>11599</v>
      </c>
      <c r="D2874" s="5" t="s">
        <v>11616</v>
      </c>
      <c r="E2874" s="5" t="s">
        <v>11617</v>
      </c>
      <c r="F2874" s="5" t="str">
        <f>HYPERLINK("http://www.davinum.it/","www.davinum.it")</f>
        <v>www.davinum.it</v>
      </c>
    </row>
    <row r="2875" spans="1:6" ht="29.55" customHeight="1" x14ac:dyDescent="0.25">
      <c r="A2875" s="1" t="s">
        <v>11618</v>
      </c>
      <c r="B2875" s="7" t="s">
        <v>11619</v>
      </c>
      <c r="C2875" s="7" t="s">
        <v>11599</v>
      </c>
      <c r="D2875" s="7" t="s">
        <v>11620</v>
      </c>
      <c r="E2875" s="7" t="s">
        <v>11591</v>
      </c>
      <c r="F2875" s="7" t="str">
        <f>HYPERLINK("http://www.demarchigiovanni.it/","www.demarchigiovanni.it")</f>
        <v>www.demarchigiovanni.it</v>
      </c>
    </row>
    <row r="2876" spans="1:6" ht="29.55" customHeight="1" x14ac:dyDescent="0.25">
      <c r="A2876" s="6" t="s">
        <v>11621</v>
      </c>
      <c r="B2876" s="5" t="s">
        <v>11622</v>
      </c>
      <c r="C2876" s="5" t="s">
        <v>11599</v>
      </c>
      <c r="D2876" s="5" t="s">
        <v>11623</v>
      </c>
      <c r="E2876" s="5" t="s">
        <v>11604</v>
      </c>
      <c r="F2876" s="5" t="str">
        <f>HYPERLINK("http://www.ilvignetoagriturismorimini.com/","www.ilvignetoagriturismorimini.com")</f>
        <v>www.ilvignetoagriturismorimini.com</v>
      </c>
    </row>
    <row r="2877" spans="1:6" ht="29.55" customHeight="1" x14ac:dyDescent="0.25">
      <c r="A2877" s="6" t="s">
        <v>11624</v>
      </c>
      <c r="B2877" s="5" t="s">
        <v>11625</v>
      </c>
      <c r="C2877" s="5" t="s">
        <v>11626</v>
      </c>
      <c r="D2877" s="5" t="s">
        <v>11584</v>
      </c>
      <c r="E2877" s="5" t="s">
        <v>11585</v>
      </c>
      <c r="F2877" s="5" t="str">
        <f>HYPERLINK("http://www.asdlacuadra.it/","www.asdlacuadra.it")</f>
        <v>www.asdlacuadra.it</v>
      </c>
    </row>
    <row r="2878" spans="1:6" ht="29.55" customHeight="1" x14ac:dyDescent="0.25">
      <c r="A2878" s="6" t="s">
        <v>11627</v>
      </c>
      <c r="B2878" s="5" t="s">
        <v>11628</v>
      </c>
      <c r="C2878" s="5" t="s">
        <v>11599</v>
      </c>
      <c r="D2878" s="5" t="s">
        <v>11629</v>
      </c>
      <c r="E2878" s="5" t="s">
        <v>11591</v>
      </c>
      <c r="F2878" s="5" t="str">
        <f>HYPERLINK("http://proseccobaldi.it/","proseccobaldi.it")</f>
        <v>proseccobaldi.it</v>
      </c>
    </row>
    <row r="2879" spans="1:6" ht="29.55" customHeight="1" x14ac:dyDescent="0.25">
      <c r="A2879" s="1" t="s">
        <v>11630</v>
      </c>
      <c r="B2879" s="7" t="s">
        <v>11631</v>
      </c>
      <c r="C2879" s="7" t="s">
        <v>11599</v>
      </c>
      <c r="D2879" s="7" t="s">
        <v>11632</v>
      </c>
      <c r="E2879" s="7" t="s">
        <v>11633</v>
      </c>
      <c r="F2879" s="7" t="str">
        <f>HYPERLINK("http://www.u-tabarka.it/","www.u-tabarka.it")</f>
        <v>www.u-tabarka.it</v>
      </c>
    </row>
    <row r="2880" spans="1:6" ht="29.55" customHeight="1" x14ac:dyDescent="0.25">
      <c r="A2880" s="1" t="s">
        <v>11636</v>
      </c>
      <c r="B2880" s="7" t="s">
        <v>11637</v>
      </c>
      <c r="C2880" s="7" t="s">
        <v>11638</v>
      </c>
      <c r="D2880" s="7" t="s">
        <v>11639</v>
      </c>
      <c r="E2880" s="7" t="s">
        <v>11640</v>
      </c>
      <c r="F2880" s="7" t="str">
        <f>HYPERLINK("http://www.tenutazuccarello.it/","www.tenutazuccarello.it")</f>
        <v>www.tenutazuccarello.it</v>
      </c>
    </row>
    <row r="2881" spans="1:6" ht="43.05" customHeight="1" x14ac:dyDescent="0.25">
      <c r="A2881" s="1" t="s">
        <v>11642</v>
      </c>
      <c r="B2881" s="7" t="s">
        <v>11643</v>
      </c>
      <c r="C2881" s="7" t="s">
        <v>11641</v>
      </c>
      <c r="D2881" s="7" t="s">
        <v>11644</v>
      </c>
      <c r="E2881" s="7" t="s">
        <v>11645</v>
      </c>
      <c r="F2881" s="7" t="str">
        <f>HYPERLINK("http://www.la-zerba.it/","www.la-zerba.it")</f>
        <v>www.la-zerba.it</v>
      </c>
    </row>
    <row r="2882" spans="1:6" ht="29.55" customHeight="1" x14ac:dyDescent="0.25">
      <c r="A2882" s="6" t="s">
        <v>11646</v>
      </c>
      <c r="B2882" s="5" t="s">
        <v>11647</v>
      </c>
      <c r="C2882" s="5" t="s">
        <v>11634</v>
      </c>
      <c r="D2882" s="5" t="s">
        <v>11648</v>
      </c>
      <c r="E2882" s="5" t="s">
        <v>11649</v>
      </c>
      <c r="F2882" s="5" t="str">
        <f>HYPERLINK("http://www.aziendaagricolapolline.it/","www.aziendaagricolapolline.it")</f>
        <v>www.aziendaagricolapolline.it</v>
      </c>
    </row>
    <row r="2883" spans="1:6" ht="29.55" customHeight="1" x14ac:dyDescent="0.25">
      <c r="A2883" s="1" t="s">
        <v>11650</v>
      </c>
      <c r="B2883" s="7" t="s">
        <v>11651</v>
      </c>
      <c r="C2883" s="7" t="s">
        <v>11641</v>
      </c>
      <c r="D2883" s="7" t="s">
        <v>11652</v>
      </c>
      <c r="E2883" s="7" t="s">
        <v>11653</v>
      </c>
      <c r="F2883" s="7" t="str">
        <f>HYPERLINK("http://claudiocipressi.it/","claudiocipressi.it")</f>
        <v>claudiocipressi.it</v>
      </c>
    </row>
    <row r="2884" spans="1:6" ht="29.55" customHeight="1" x14ac:dyDescent="0.25">
      <c r="A2884" s="1" t="s">
        <v>11654</v>
      </c>
      <c r="B2884" s="7" t="s">
        <v>11655</v>
      </c>
      <c r="C2884" s="7" t="s">
        <v>11656</v>
      </c>
      <c r="D2884" s="7" t="s">
        <v>11657</v>
      </c>
      <c r="E2884" s="7" t="s">
        <v>11658</v>
      </c>
      <c r="F2884" s="7" t="str">
        <f>HYPERLINK("http://www.bevedetta.com/","www.bevedetta.com")</f>
        <v>www.bevedetta.com</v>
      </c>
    </row>
    <row r="2885" spans="1:6" ht="29.55" customHeight="1" x14ac:dyDescent="0.25">
      <c r="A2885" s="6" t="s">
        <v>11659</v>
      </c>
      <c r="B2885" s="5" t="s">
        <v>11660</v>
      </c>
      <c r="C2885" s="5" t="s">
        <v>11635</v>
      </c>
      <c r="D2885" s="5" t="s">
        <v>11661</v>
      </c>
      <c r="E2885" s="5" t="s">
        <v>11662</v>
      </c>
      <c r="F2885" s="5" t="str">
        <f>HYPERLINK("http://www.vivaiazzato.it/","www.vivaiazzato.it")</f>
        <v>www.vivaiazzato.it</v>
      </c>
    </row>
    <row r="2886" spans="1:6" ht="29.55" customHeight="1" x14ac:dyDescent="0.25">
      <c r="A2886" s="1" t="s">
        <v>11663</v>
      </c>
      <c r="B2886" s="7" t="s">
        <v>11664</v>
      </c>
      <c r="C2886" s="7" t="s">
        <v>11634</v>
      </c>
      <c r="D2886" s="7" t="s">
        <v>11665</v>
      </c>
      <c r="E2886" s="7" t="s">
        <v>11658</v>
      </c>
      <c r="F2886" s="7" t="str">
        <f>HYPERLINK("http://www.tenutadellaselva.it/","www.tenutadellaselva.it")</f>
        <v>www.tenutadellaselva.it</v>
      </c>
    </row>
    <row r="2887" spans="1:6" ht="29.55" customHeight="1" x14ac:dyDescent="0.25">
      <c r="A2887" s="6" t="s">
        <v>11666</v>
      </c>
      <c r="B2887" s="5" t="s">
        <v>11667</v>
      </c>
      <c r="C2887" s="5" t="s">
        <v>11641</v>
      </c>
      <c r="D2887" s="5" t="s">
        <v>11668</v>
      </c>
      <c r="E2887" s="5" t="s">
        <v>11658</v>
      </c>
      <c r="F2887" s="5" t="str">
        <f>HYPERLINK("http://www.pievedepitti.it/","www.pievedepitti.it")</f>
        <v>www.pievedepitti.it</v>
      </c>
    </row>
    <row r="2888" spans="1:6" ht="16.95" customHeight="1" x14ac:dyDescent="0.25">
      <c r="A2888" s="1" t="s">
        <v>11669</v>
      </c>
      <c r="B2888" s="7" t="s">
        <v>11670</v>
      </c>
      <c r="C2888" s="7" t="s">
        <v>11671</v>
      </c>
      <c r="D2888" s="7" t="s">
        <v>11672</v>
      </c>
      <c r="E2888" s="7" t="s">
        <v>11673</v>
      </c>
      <c r="F2888" s="7" t="str">
        <f>HYPERLINK("http://www.muvit.it/fondazione/","www.muvit.it/fondazione/")</f>
        <v>www.muvit.it/fondazione/</v>
      </c>
    </row>
    <row r="2889" spans="1:6" ht="29.55" customHeight="1" x14ac:dyDescent="0.25">
      <c r="A2889" s="6" t="s">
        <v>11674</v>
      </c>
      <c r="B2889" s="5" t="s">
        <v>11675</v>
      </c>
      <c r="C2889" s="5" t="s">
        <v>11676</v>
      </c>
      <c r="D2889" s="5" t="s">
        <v>11677</v>
      </c>
      <c r="E2889" s="5" t="s">
        <v>11678</v>
      </c>
      <c r="F2889" s="5" t="str">
        <f>HYPERLINK("http://www.dallagrana.net/","www.dallagrana.net")</f>
        <v>www.dallagrana.net</v>
      </c>
    </row>
    <row r="2890" spans="1:6" ht="16.95" customHeight="1" x14ac:dyDescent="0.25">
      <c r="A2890" s="6" t="s">
        <v>11681</v>
      </c>
      <c r="B2890" s="5" t="s">
        <v>11682</v>
      </c>
      <c r="C2890" s="5" t="s">
        <v>11683</v>
      </c>
      <c r="D2890" s="5" t="s">
        <v>11684</v>
      </c>
      <c r="E2890" s="5" t="s">
        <v>11685</v>
      </c>
      <c r="F2890" s="5" t="str">
        <f>HYPERLINK("http://www.tabaccai.it/","www.tabaccai.it")</f>
        <v>www.tabaccai.it</v>
      </c>
    </row>
    <row r="2891" spans="1:6" ht="16.95" customHeight="1" x14ac:dyDescent="0.25">
      <c r="A2891" s="1" t="s">
        <v>11687</v>
      </c>
      <c r="B2891" s="7" t="s">
        <v>11688</v>
      </c>
      <c r="C2891" s="7" t="s">
        <v>11671</v>
      </c>
      <c r="D2891" s="7" t="s">
        <v>11689</v>
      </c>
      <c r="E2891" s="7" t="s">
        <v>11690</v>
      </c>
      <c r="F2891" s="7" t="str">
        <f>HYPERLINK("http://www.casaledoriapamphilj.it/","www.casaledoriapamphilj.it")</f>
        <v>www.casaledoriapamphilj.it</v>
      </c>
    </row>
    <row r="2892" spans="1:6" ht="29.55" customHeight="1" x14ac:dyDescent="0.25">
      <c r="A2892" s="6" t="s">
        <v>11693</v>
      </c>
      <c r="B2892" s="5" t="s">
        <v>11694</v>
      </c>
      <c r="C2892" s="5" t="s">
        <v>11695</v>
      </c>
      <c r="D2892" s="5" t="s">
        <v>11696</v>
      </c>
      <c r="E2892" s="5" t="s">
        <v>11680</v>
      </c>
      <c r="F2892" s="5" t="str">
        <f>HYPERLINK("http://www.hortosapiens.it/","www.hortosapiens.it")</f>
        <v>www.hortosapiens.it</v>
      </c>
    </row>
    <row r="2893" spans="1:6" ht="68.099999999999994" customHeight="1" x14ac:dyDescent="0.25">
      <c r="A2893" s="6" t="s">
        <v>11698</v>
      </c>
      <c r="B2893" s="5" t="s">
        <v>11699</v>
      </c>
      <c r="C2893" s="5" t="s">
        <v>11683</v>
      </c>
      <c r="D2893" s="5" t="s">
        <v>11700</v>
      </c>
      <c r="E2893" s="5" t="s">
        <v>11701</v>
      </c>
      <c r="F2893" s="5" t="str">
        <f>HYPERLINK("http://www.uggiano.it/","www.uggiano.it")</f>
        <v>www.uggiano.it</v>
      </c>
    </row>
    <row r="2894" spans="1:6" ht="29.55" customHeight="1" x14ac:dyDescent="0.25">
      <c r="A2894" s="6" t="s">
        <v>11703</v>
      </c>
      <c r="B2894" s="5" t="s">
        <v>11704</v>
      </c>
      <c r="C2894" s="5" t="s">
        <v>11705</v>
      </c>
      <c r="D2894" s="5" t="s">
        <v>11706</v>
      </c>
      <c r="E2894" s="5" t="s">
        <v>11690</v>
      </c>
      <c r="F2894" s="5" t="str">
        <f>HYPERLINK("http://www.campodata.it/","www.campodata.it")</f>
        <v>www.campodata.it</v>
      </c>
    </row>
    <row r="2895" spans="1:6" ht="29.55" customHeight="1" x14ac:dyDescent="0.25">
      <c r="A2895" s="1" t="s">
        <v>11707</v>
      </c>
      <c r="B2895" s="7" t="s">
        <v>11708</v>
      </c>
      <c r="C2895" s="7" t="s">
        <v>11709</v>
      </c>
      <c r="D2895" s="7" t="s">
        <v>11710</v>
      </c>
      <c r="E2895" s="7" t="s">
        <v>11711</v>
      </c>
      <c r="F2895" s="7" t="str">
        <f>HYPERLINK("http://www.agrivivasrl.it/","www.agrivivasrl.it")</f>
        <v>www.agrivivasrl.it</v>
      </c>
    </row>
    <row r="2896" spans="1:6" ht="29.55" customHeight="1" x14ac:dyDescent="0.25">
      <c r="A2896" s="6" t="s">
        <v>11712</v>
      </c>
      <c r="B2896" s="5" t="s">
        <v>11713</v>
      </c>
      <c r="C2896" s="5" t="s">
        <v>11683</v>
      </c>
      <c r="D2896" s="5" t="s">
        <v>11714</v>
      </c>
      <c r="E2896" s="5" t="s">
        <v>11678</v>
      </c>
      <c r="F2896" s="5" t="str">
        <f>HYPERLINK("http://www.prosecco-dufour.it/","www.prosecco-dufour.it")</f>
        <v>www.prosecco-dufour.it</v>
      </c>
    </row>
    <row r="2897" spans="1:6" ht="29.55" customHeight="1" x14ac:dyDescent="0.25">
      <c r="A2897" s="1" t="s">
        <v>11715</v>
      </c>
      <c r="B2897" s="7" t="s">
        <v>11716</v>
      </c>
      <c r="C2897" s="7" t="s">
        <v>11717</v>
      </c>
      <c r="D2897" s="7" t="s">
        <v>11718</v>
      </c>
      <c r="E2897" s="7" t="s">
        <v>11711</v>
      </c>
      <c r="F2897" s="7" t="str">
        <f>HYPERLINK("http://www.querceteshop.it/","www.querceteshop.it")</f>
        <v>www.querceteshop.it</v>
      </c>
    </row>
    <row r="2898" spans="1:6" ht="29.55" customHeight="1" x14ac:dyDescent="0.25">
      <c r="A2898" s="6" t="s">
        <v>11719</v>
      </c>
      <c r="B2898" s="5" t="s">
        <v>11720</v>
      </c>
      <c r="C2898" s="5" t="s">
        <v>11721</v>
      </c>
      <c r="D2898" s="5" t="s">
        <v>11722</v>
      </c>
      <c r="E2898" s="5" t="s">
        <v>11690</v>
      </c>
      <c r="F2898" s="5" t="str">
        <f>HYPERLINK("http://www.ferrarifarm.com/","www.ferrarifarm.com")</f>
        <v>www.ferrarifarm.com</v>
      </c>
    </row>
    <row r="2899" spans="1:6" ht="29.55" customHeight="1" x14ac:dyDescent="0.25">
      <c r="A2899" s="6" t="s">
        <v>11723</v>
      </c>
      <c r="B2899" s="5" t="s">
        <v>11724</v>
      </c>
      <c r="C2899" s="5" t="s">
        <v>11679</v>
      </c>
      <c r="D2899" s="5" t="s">
        <v>11702</v>
      </c>
      <c r="E2899" s="5" t="s">
        <v>11680</v>
      </c>
      <c r="F2899" s="5" t="str">
        <f>HYPERLINK("http://www.aranceinvendita.com/","www.aranceinvendita.com")</f>
        <v>www.aranceinvendita.com</v>
      </c>
    </row>
    <row r="2900" spans="1:6" ht="16.95" customHeight="1" x14ac:dyDescent="0.25">
      <c r="A2900" s="1" t="s">
        <v>11725</v>
      </c>
      <c r="B2900" s="7" t="s">
        <v>11726</v>
      </c>
      <c r="C2900" s="7" t="s">
        <v>11709</v>
      </c>
      <c r="D2900" s="7" t="s">
        <v>11727</v>
      </c>
      <c r="E2900" s="7" t="s">
        <v>11701</v>
      </c>
      <c r="F2900" s="7" t="str">
        <f>HYPERLINK("http://www.piantitalia.it/","www.piantitalia.it")</f>
        <v>www.piantitalia.it</v>
      </c>
    </row>
    <row r="2901" spans="1:6" ht="29.55" customHeight="1" x14ac:dyDescent="0.25">
      <c r="A2901" s="1" t="s">
        <v>11728</v>
      </c>
      <c r="B2901" s="7" t="s">
        <v>11729</v>
      </c>
      <c r="C2901" s="7" t="s">
        <v>11683</v>
      </c>
      <c r="D2901" s="7" t="s">
        <v>11686</v>
      </c>
      <c r="E2901" s="7" t="s">
        <v>11678</v>
      </c>
      <c r="F2901" s="7" t="str">
        <f>HYPERLINK("http://www.cantinacadeiconti.it/","www.cantinacadeiconti.it")</f>
        <v>www.cantinacadeiconti.it</v>
      </c>
    </row>
    <row r="2902" spans="1:6" ht="43.05" customHeight="1" x14ac:dyDescent="0.25">
      <c r="A2902" s="6" t="s">
        <v>11730</v>
      </c>
      <c r="B2902" s="5" t="s">
        <v>11731</v>
      </c>
      <c r="C2902" s="5" t="s">
        <v>11683</v>
      </c>
      <c r="D2902" s="5" t="s">
        <v>11691</v>
      </c>
      <c r="E2902" s="5" t="s">
        <v>11692</v>
      </c>
      <c r="F2902" s="5" t="str">
        <f>HYPERLINK("http://www.iperinelli.it/","www.iperinelli.it")</f>
        <v>www.iperinelli.it</v>
      </c>
    </row>
    <row r="2903" spans="1:6" ht="29.55" customHeight="1" x14ac:dyDescent="0.25">
      <c r="A2903" s="6" t="s">
        <v>11732</v>
      </c>
      <c r="B2903" s="5" t="s">
        <v>11733</v>
      </c>
      <c r="C2903" s="5" t="s">
        <v>11717</v>
      </c>
      <c r="D2903" s="5" t="s">
        <v>11734</v>
      </c>
      <c r="E2903" s="5" t="s">
        <v>11697</v>
      </c>
      <c r="F2903" s="5" t="str">
        <f>HYPERLINK("http://www.greenfantasy.info/","www.greenfantasy.info")</f>
        <v>www.greenfantasy.info</v>
      </c>
    </row>
    <row r="2904" spans="1:6" ht="29.55" customHeight="1" x14ac:dyDescent="0.25">
      <c r="A2904" s="1" t="s">
        <v>11735</v>
      </c>
      <c r="B2904" s="7" t="s">
        <v>11736</v>
      </c>
      <c r="C2904" s="7" t="s">
        <v>11737</v>
      </c>
      <c r="D2904" s="7" t="s">
        <v>11738</v>
      </c>
      <c r="E2904" s="7" t="s">
        <v>11739</v>
      </c>
      <c r="F2904" s="7" t="str">
        <f>HYPERLINK("http://www.rehabsolution.it/","www.rehabsolution.it")</f>
        <v>www.rehabsolution.it</v>
      </c>
    </row>
    <row r="2905" spans="1:6" ht="29.55" customHeight="1" x14ac:dyDescent="0.25">
      <c r="A2905" s="6" t="s">
        <v>11740</v>
      </c>
      <c r="B2905" s="5" t="s">
        <v>11741</v>
      </c>
      <c r="C2905" s="5" t="s">
        <v>11737</v>
      </c>
      <c r="D2905" s="5" t="s">
        <v>11742</v>
      </c>
      <c r="E2905" s="5" t="s">
        <v>11743</v>
      </c>
      <c r="F2905" s="5" t="str">
        <f>HYPERLINK("http://www.ilborgoincantato.com/","www.ilborgoincantato.com")</f>
        <v>www.ilborgoincantato.com</v>
      </c>
    </row>
    <row r="2906" spans="1:6" ht="29.55" customHeight="1" x14ac:dyDescent="0.25">
      <c r="A2906" s="6" t="s">
        <v>11746</v>
      </c>
      <c r="B2906" s="5" t="s">
        <v>11747</v>
      </c>
      <c r="C2906" s="5" t="s">
        <v>11748</v>
      </c>
      <c r="D2906" s="5" t="s">
        <v>11749</v>
      </c>
      <c r="E2906" s="5" t="s">
        <v>11750</v>
      </c>
      <c r="F2906" s="5" t="str">
        <f>HYPERLINK("http://www.borgodellamerluzza.it/","www.borgodellamerluzza.it")</f>
        <v>www.borgodellamerluzza.it</v>
      </c>
    </row>
    <row r="2907" spans="1:6" ht="29.55" customHeight="1" x14ac:dyDescent="0.25">
      <c r="A2907" s="1" t="s">
        <v>11751</v>
      </c>
      <c r="B2907" s="7" t="s">
        <v>11752</v>
      </c>
      <c r="C2907" s="7" t="s">
        <v>11753</v>
      </c>
      <c r="D2907" s="7" t="s">
        <v>11754</v>
      </c>
      <c r="E2907" s="7" t="s">
        <v>11755</v>
      </c>
      <c r="F2907" s="7" t="str">
        <f>HYPERLINK("http://duedelmonte.it/","duedelmonte.it")</f>
        <v>duedelmonte.it</v>
      </c>
    </row>
    <row r="2908" spans="1:6" ht="68.099999999999994" customHeight="1" x14ac:dyDescent="0.25">
      <c r="A2908" s="6" t="s">
        <v>11757</v>
      </c>
      <c r="B2908" s="5" t="s">
        <v>11758</v>
      </c>
      <c r="C2908" s="5" t="s">
        <v>11753</v>
      </c>
      <c r="D2908" s="5" t="s">
        <v>11759</v>
      </c>
      <c r="E2908" s="5" t="s">
        <v>11760</v>
      </c>
      <c r="F2908" s="5" t="str">
        <f>HYPERLINK("http://www.lalodola.it/","www.lalodola.it")</f>
        <v>www.lalodola.it</v>
      </c>
    </row>
    <row r="2909" spans="1:6" ht="43.05" customHeight="1" x14ac:dyDescent="0.25">
      <c r="A2909" s="1" t="s">
        <v>11762</v>
      </c>
      <c r="B2909" s="7" t="s">
        <v>11763</v>
      </c>
      <c r="C2909" s="7" t="s">
        <v>11753</v>
      </c>
      <c r="D2909" s="7" t="s">
        <v>11764</v>
      </c>
      <c r="E2909" s="7" t="s">
        <v>11739</v>
      </c>
      <c r="F2909" s="7" t="str">
        <f>HYPERLINK("http://www.canevel.it/","www.canevel.it")</f>
        <v>www.canevel.it</v>
      </c>
    </row>
    <row r="2910" spans="1:6" ht="55.65" customHeight="1" x14ac:dyDescent="0.25">
      <c r="A2910" s="1" t="s">
        <v>11766</v>
      </c>
      <c r="B2910" s="7" t="s">
        <v>11767</v>
      </c>
      <c r="C2910" s="7" t="s">
        <v>11753</v>
      </c>
      <c r="D2910" s="7" t="s">
        <v>11768</v>
      </c>
      <c r="E2910" s="7" t="s">
        <v>11755</v>
      </c>
      <c r="F2910" s="7" t="str">
        <f>HYPERLINK("http://www.lisfadis.com/","www.lisfadis.com")</f>
        <v>www.lisfadis.com</v>
      </c>
    </row>
    <row r="2911" spans="1:6" ht="29.55" customHeight="1" x14ac:dyDescent="0.25">
      <c r="A2911" s="1" t="s">
        <v>11769</v>
      </c>
      <c r="B2911" s="7" t="s">
        <v>11770</v>
      </c>
      <c r="C2911" s="7" t="s">
        <v>11771</v>
      </c>
      <c r="D2911" s="7" t="s">
        <v>11772</v>
      </c>
      <c r="E2911" s="7" t="s">
        <v>11773</v>
      </c>
      <c r="F2911" s="7" t="str">
        <f>HYPERLINK("http://www.fruttidellasalute.it/","www.fruttidellasalute.it")</f>
        <v>www.fruttidellasalute.it</v>
      </c>
    </row>
    <row r="2912" spans="1:6" ht="29.55" customHeight="1" x14ac:dyDescent="0.25">
      <c r="A2912" s="1" t="s">
        <v>11774</v>
      </c>
      <c r="B2912" s="7" t="s">
        <v>11775</v>
      </c>
      <c r="C2912" s="7" t="s">
        <v>11776</v>
      </c>
      <c r="D2912" s="7" t="s">
        <v>11777</v>
      </c>
      <c r="E2912" s="7" t="s">
        <v>11760</v>
      </c>
      <c r="F2912" s="7" t="str">
        <f>HYPERLINK("http://www.agriturismocastiglione.it/","www.agriturismocastiglione.it")</f>
        <v>www.agriturismocastiglione.it</v>
      </c>
    </row>
    <row r="2913" spans="1:6" ht="55.65" customHeight="1" x14ac:dyDescent="0.25">
      <c r="A2913" s="6" t="s">
        <v>11778</v>
      </c>
      <c r="B2913" s="5" t="s">
        <v>11779</v>
      </c>
      <c r="C2913" s="5" t="s">
        <v>11753</v>
      </c>
      <c r="D2913" s="5" t="s">
        <v>11780</v>
      </c>
      <c r="E2913" s="5" t="s">
        <v>11781</v>
      </c>
      <c r="F2913" s="5" t="str">
        <f>HYPERLINK("http://www.liedholm.com/","www.liedholm.com")</f>
        <v>www.liedholm.com</v>
      </c>
    </row>
    <row r="2914" spans="1:6" ht="29.55" customHeight="1" x14ac:dyDescent="0.25">
      <c r="A2914" s="1" t="s">
        <v>11782</v>
      </c>
      <c r="B2914" s="7" t="s">
        <v>11783</v>
      </c>
      <c r="C2914" s="7" t="s">
        <v>11784</v>
      </c>
      <c r="D2914" s="7" t="s">
        <v>11785</v>
      </c>
      <c r="E2914" s="7" t="s">
        <v>11786</v>
      </c>
      <c r="F2914" s="7" t="str">
        <f>HYPERLINK("http://www.arcolive.it/","www.arcolive.it")</f>
        <v>www.arcolive.it</v>
      </c>
    </row>
    <row r="2915" spans="1:6" ht="29.55" customHeight="1" x14ac:dyDescent="0.25">
      <c r="A2915" s="6" t="s">
        <v>11787</v>
      </c>
      <c r="B2915" s="5" t="s">
        <v>11788</v>
      </c>
      <c r="C2915" s="5" t="s">
        <v>11789</v>
      </c>
      <c r="D2915" s="5" t="s">
        <v>11790</v>
      </c>
      <c r="E2915" s="5" t="s">
        <v>11743</v>
      </c>
      <c r="F2915" s="5" t="str">
        <f>HYPERLINK("http://www.lachiona.it/","www.lachiona.it")</f>
        <v>www.lachiona.it</v>
      </c>
    </row>
    <row r="2916" spans="1:6" ht="43.05" customHeight="1" x14ac:dyDescent="0.25">
      <c r="A2916" s="6" t="s">
        <v>11791</v>
      </c>
      <c r="B2916" s="5" t="s">
        <v>11792</v>
      </c>
      <c r="C2916" s="5" t="s">
        <v>11784</v>
      </c>
      <c r="D2916" s="5" t="s">
        <v>11793</v>
      </c>
      <c r="E2916" s="5" t="s">
        <v>11750</v>
      </c>
      <c r="F2916" s="5" t="str">
        <f>HYPERLINK("http://www.olivocountryclub.it/","www.olivocountryclub.it")</f>
        <v>www.olivocountryclub.it</v>
      </c>
    </row>
    <row r="2917" spans="1:6" ht="29.55" customHeight="1" x14ac:dyDescent="0.25">
      <c r="A2917" s="1" t="s">
        <v>11794</v>
      </c>
      <c r="B2917" s="7" t="s">
        <v>11795</v>
      </c>
      <c r="C2917" s="7" t="s">
        <v>11761</v>
      </c>
      <c r="D2917" s="7" t="s">
        <v>11796</v>
      </c>
      <c r="E2917" s="7" t="s">
        <v>11773</v>
      </c>
      <c r="F2917" s="7" t="str">
        <f>HYPERLINK("http://www.caaldelmans.com/","www.caaldelmans.com")</f>
        <v>www.caaldelmans.com</v>
      </c>
    </row>
    <row r="2918" spans="1:6" ht="29.55" customHeight="1" x14ac:dyDescent="0.25">
      <c r="A2918" s="1" t="s">
        <v>11797</v>
      </c>
      <c r="B2918" s="7" t="s">
        <v>11798</v>
      </c>
      <c r="C2918" s="7" t="s">
        <v>11756</v>
      </c>
      <c r="D2918" s="7" t="s">
        <v>11744</v>
      </c>
      <c r="E2918" s="7" t="s">
        <v>11745</v>
      </c>
      <c r="F2918" s="7" t="str">
        <f>HYPERLINK("http://www.agribiotec.it/","www.agribiotec.it")</f>
        <v>www.agribiotec.it</v>
      </c>
    </row>
    <row r="2919" spans="1:6" ht="29.55" customHeight="1" x14ac:dyDescent="0.25">
      <c r="A2919" s="6" t="s">
        <v>11799</v>
      </c>
      <c r="B2919" s="5" t="s">
        <v>11800</v>
      </c>
      <c r="C2919" s="5" t="s">
        <v>11756</v>
      </c>
      <c r="D2919" s="5" t="s">
        <v>11801</v>
      </c>
      <c r="E2919" s="5" t="s">
        <v>11765</v>
      </c>
      <c r="F2919" s="5" t="str">
        <f>HYPERLINK("http://www.tenuteseniawine.it/","www.tenuteseniawine.it")</f>
        <v>www.tenuteseniawine.it</v>
      </c>
    </row>
    <row r="2920" spans="1:6" ht="29.55" customHeight="1" x14ac:dyDescent="0.25">
      <c r="A2920" s="6" t="s">
        <v>11804</v>
      </c>
      <c r="B2920" s="5" t="s">
        <v>11805</v>
      </c>
      <c r="C2920" s="5" t="s">
        <v>11806</v>
      </c>
      <c r="D2920" s="5" t="s">
        <v>11807</v>
      </c>
      <c r="E2920" s="5" t="s">
        <v>11808</v>
      </c>
      <c r="F2920" s="5" t="str">
        <f>HYPERLINK("http://www.ilparcorifugiocanino.it/","www.ilparcorifugiocanino.it")</f>
        <v>www.ilparcorifugiocanino.it</v>
      </c>
    </row>
    <row r="2921" spans="1:6" ht="29.55" customHeight="1" x14ac:dyDescent="0.25">
      <c r="A2921" s="6" t="s">
        <v>11811</v>
      </c>
      <c r="B2921" s="5" t="s">
        <v>11812</v>
      </c>
      <c r="C2921" s="5" t="s">
        <v>11813</v>
      </c>
      <c r="D2921" s="5" t="s">
        <v>11814</v>
      </c>
      <c r="E2921" s="5" t="s">
        <v>11815</v>
      </c>
      <c r="F2921" s="5" t="str">
        <f>HYPERLINK("http://www.piandiboccio.com/","www.piandiboccio.com")</f>
        <v>www.piandiboccio.com</v>
      </c>
    </row>
    <row r="2922" spans="1:6" ht="29.55" customHeight="1" x14ac:dyDescent="0.25">
      <c r="A2922" s="1" t="s">
        <v>11816</v>
      </c>
      <c r="B2922" s="7" t="s">
        <v>11817</v>
      </c>
      <c r="C2922" s="7" t="s">
        <v>11818</v>
      </c>
      <c r="D2922" s="7" t="s">
        <v>11819</v>
      </c>
      <c r="E2922" s="7" t="s">
        <v>11820</v>
      </c>
      <c r="F2922" s="7" t="str">
        <f>HYPERLINK("http://www.marianeddi.info/","www.marianeddi.info")</f>
        <v>www.marianeddi.info</v>
      </c>
    </row>
    <row r="2923" spans="1:6" ht="55.65" customHeight="1" x14ac:dyDescent="0.25">
      <c r="A2923" s="6" t="s">
        <v>11823</v>
      </c>
      <c r="B2923" s="5" t="s">
        <v>11824</v>
      </c>
      <c r="C2923" s="5" t="s">
        <v>11825</v>
      </c>
      <c r="D2923" s="5" t="s">
        <v>11826</v>
      </c>
      <c r="E2923" s="5" t="s">
        <v>11802</v>
      </c>
      <c r="F2923" s="5" t="str">
        <f>HYPERLINK("http://www.tempadizoe.it/","www.tempadizoe.it")</f>
        <v>www.tempadizoe.it</v>
      </c>
    </row>
    <row r="2924" spans="1:6" ht="43.05" customHeight="1" x14ac:dyDescent="0.25">
      <c r="A2924" s="1" t="s">
        <v>11828</v>
      </c>
      <c r="B2924" s="7" t="s">
        <v>11829</v>
      </c>
      <c r="C2924" s="7" t="s">
        <v>11830</v>
      </c>
      <c r="D2924" s="7" t="s">
        <v>11809</v>
      </c>
      <c r="E2924" s="7" t="s">
        <v>11810</v>
      </c>
      <c r="F2924" s="7" t="str">
        <f>HYPERLINK("http://www.agei.it/","www.agei.it")</f>
        <v>www.agei.it</v>
      </c>
    </row>
    <row r="2925" spans="1:6" ht="29.55" customHeight="1" x14ac:dyDescent="0.25">
      <c r="A2925" s="6" t="s">
        <v>11831</v>
      </c>
      <c r="B2925" s="5" t="s">
        <v>11832</v>
      </c>
      <c r="C2925" s="5" t="s">
        <v>11833</v>
      </c>
      <c r="D2925" s="5" t="s">
        <v>11834</v>
      </c>
      <c r="E2925" s="5" t="s">
        <v>11820</v>
      </c>
      <c r="F2925" s="5" t="str">
        <f>HYPERLINK("http://www.vivaiampolasrl.com/","www.vivaiampolasrl.com")</f>
        <v>www.vivaiampolasrl.com</v>
      </c>
    </row>
    <row r="2926" spans="1:6" ht="29.55" customHeight="1" x14ac:dyDescent="0.25">
      <c r="A2926" s="6" t="s">
        <v>11835</v>
      </c>
      <c r="B2926" s="5" t="s">
        <v>11836</v>
      </c>
      <c r="C2926" s="5" t="s">
        <v>11825</v>
      </c>
      <c r="D2926" s="5" t="s">
        <v>11837</v>
      </c>
      <c r="E2926" s="5" t="s">
        <v>11838</v>
      </c>
      <c r="F2926" s="5" t="str">
        <f>HYPERLINK("http://www.carvinea.com/","www.carvinea.com")</f>
        <v>www.carvinea.com</v>
      </c>
    </row>
    <row r="2927" spans="1:6" ht="43.05" customHeight="1" x14ac:dyDescent="0.25">
      <c r="A2927" s="1" t="s">
        <v>11839</v>
      </c>
      <c r="B2927" s="7" t="s">
        <v>11840</v>
      </c>
      <c r="C2927" s="7" t="s">
        <v>11825</v>
      </c>
      <c r="D2927" s="7" t="s">
        <v>11841</v>
      </c>
      <c r="E2927" s="7" t="s">
        <v>11842</v>
      </c>
      <c r="F2927" s="7" t="str">
        <f>HYPERLINK("http://www.ametsprosecco.com/","www.ametsprosecco.com")</f>
        <v>www.ametsprosecco.com</v>
      </c>
    </row>
    <row r="2928" spans="1:6" ht="29.55" customHeight="1" x14ac:dyDescent="0.25">
      <c r="A2928" s="1" t="s">
        <v>11844</v>
      </c>
      <c r="B2928" s="7" t="s">
        <v>11845</v>
      </c>
      <c r="C2928" s="7" t="s">
        <v>11843</v>
      </c>
      <c r="D2928" s="7" t="s">
        <v>11837</v>
      </c>
      <c r="E2928" s="7" t="s">
        <v>11838</v>
      </c>
      <c r="F2928" s="7" t="str">
        <f>HYPERLINK("http://cantinefrancescomastrangelo.com/","cantinefrancescomastrangelo.com")</f>
        <v>cantinefrancescomastrangelo.com</v>
      </c>
    </row>
    <row r="2929" spans="1:6" ht="29.55" customHeight="1" x14ac:dyDescent="0.25">
      <c r="A2929" s="1" t="s">
        <v>11846</v>
      </c>
      <c r="B2929" s="7" t="s">
        <v>11847</v>
      </c>
      <c r="C2929" s="7" t="s">
        <v>11825</v>
      </c>
      <c r="D2929" s="7" t="s">
        <v>11803</v>
      </c>
      <c r="E2929" s="7" t="s">
        <v>11803</v>
      </c>
      <c r="F2929" s="7" t="str">
        <f>HYPERLINK("http://www.argiolas.it/","www.argiolas.it")</f>
        <v>www.argiolas.it</v>
      </c>
    </row>
    <row r="2930" spans="1:6" ht="43.05" customHeight="1" x14ac:dyDescent="0.25">
      <c r="A2930" s="6" t="s">
        <v>11848</v>
      </c>
      <c r="B2930" s="5" t="s">
        <v>11849</v>
      </c>
      <c r="C2930" s="5" t="s">
        <v>11825</v>
      </c>
      <c r="D2930" s="5" t="s">
        <v>11821</v>
      </c>
      <c r="E2930" s="5" t="s">
        <v>11822</v>
      </c>
      <c r="F2930" s="5" t="str">
        <f>HYPERLINK("http://www.agriturismoloppiano.com/","www.agriturismoloppiano.com")</f>
        <v>www.agriturismoloppiano.com</v>
      </c>
    </row>
    <row r="2931" spans="1:6" ht="55.65" customHeight="1" x14ac:dyDescent="0.25">
      <c r="A2931" s="6" t="s">
        <v>11850</v>
      </c>
      <c r="B2931" s="5" t="s">
        <v>11851</v>
      </c>
      <c r="C2931" s="5" t="s">
        <v>11852</v>
      </c>
      <c r="D2931" s="5" t="s">
        <v>11827</v>
      </c>
      <c r="E2931" s="5" t="s">
        <v>11822</v>
      </c>
      <c r="F2931" s="5" t="str">
        <f>HYPERLINK("http://www.coopvallesingerna.it/","www.coopvallesingerna.it")</f>
        <v>www.coopvallesingerna.it</v>
      </c>
    </row>
    <row r="2932" spans="1:6" ht="29.55" customHeight="1" x14ac:dyDescent="0.25">
      <c r="A2932" s="1" t="s">
        <v>11853</v>
      </c>
      <c r="B2932" s="7" t="s">
        <v>11854</v>
      </c>
      <c r="C2932" s="7" t="s">
        <v>11806</v>
      </c>
      <c r="D2932" s="7" t="s">
        <v>11855</v>
      </c>
      <c r="E2932" s="7" t="s">
        <v>11808</v>
      </c>
      <c r="F2932" s="7" t="str">
        <f>HYPERLINK("http://www.molloaziende.it/","www.molloaziende.it")</f>
        <v>www.molloaziende.it</v>
      </c>
    </row>
    <row r="2933" spans="1:6" ht="29.55" customHeight="1" x14ac:dyDescent="0.25">
      <c r="A2933" s="1" t="s">
        <v>11866</v>
      </c>
      <c r="B2933" s="7" t="s">
        <v>11867</v>
      </c>
      <c r="C2933" s="7" t="s">
        <v>11868</v>
      </c>
      <c r="D2933" s="7" t="s">
        <v>11869</v>
      </c>
      <c r="E2933" s="7" t="s">
        <v>11870</v>
      </c>
      <c r="F2933" s="7" t="str">
        <f>HYPERLINK("http://www.vivaiagricolaraulli.it/","www.vivaiagricolaraulli.it")</f>
        <v>www.vivaiagricolaraulli.it</v>
      </c>
    </row>
    <row r="2934" spans="1:6" ht="29.55" customHeight="1" x14ac:dyDescent="0.25">
      <c r="A2934" s="1" t="s">
        <v>11872</v>
      </c>
      <c r="B2934" s="7" t="s">
        <v>11873</v>
      </c>
      <c r="C2934" s="7" t="s">
        <v>11858</v>
      </c>
      <c r="D2934" s="7" t="s">
        <v>11860</v>
      </c>
      <c r="E2934" s="7" t="s">
        <v>11861</v>
      </c>
      <c r="F2934" s="7" t="str">
        <f>HYPERLINK("http://www.viandantedelcielo.com/","www.viandantedelcielo.com")</f>
        <v>www.viandantedelcielo.com</v>
      </c>
    </row>
    <row r="2935" spans="1:6" ht="29.55" customHeight="1" x14ac:dyDescent="0.25">
      <c r="A2935" s="6" t="s">
        <v>11875</v>
      </c>
      <c r="B2935" s="5" t="s">
        <v>11876</v>
      </c>
      <c r="C2935" s="5" t="s">
        <v>11877</v>
      </c>
      <c r="D2935" s="5" t="s">
        <v>11878</v>
      </c>
      <c r="E2935" s="5" t="s">
        <v>11871</v>
      </c>
      <c r="F2935" s="5" t="str">
        <f>HYPERLINK("http://www.masserialacalcara.it/","www.masserialacalcara.it")</f>
        <v>www.masserialacalcara.it</v>
      </c>
    </row>
    <row r="2936" spans="1:6" ht="16.95" customHeight="1" x14ac:dyDescent="0.25">
      <c r="A2936" s="6" t="s">
        <v>11879</v>
      </c>
      <c r="B2936" s="5" t="s">
        <v>11880</v>
      </c>
      <c r="C2936" s="5" t="s">
        <v>11874</v>
      </c>
      <c r="D2936" s="5" t="s">
        <v>11865</v>
      </c>
      <c r="E2936" s="5" t="s">
        <v>11864</v>
      </c>
      <c r="F2936" s="5" t="str">
        <f>HYPERLINK("http://www.apamsirenetta.it/","www.apamsirenetta.it")</f>
        <v>www.apamsirenetta.it</v>
      </c>
    </row>
    <row r="2937" spans="1:6" ht="43.05" customHeight="1" x14ac:dyDescent="0.25">
      <c r="A2937" s="6" t="s">
        <v>11881</v>
      </c>
      <c r="B2937" s="5" t="s">
        <v>11882</v>
      </c>
      <c r="C2937" s="5" t="s">
        <v>11858</v>
      </c>
      <c r="D2937" s="5" t="s">
        <v>11856</v>
      </c>
      <c r="E2937" s="5" t="s">
        <v>11857</v>
      </c>
      <c r="F2937" s="5" t="str">
        <f>HYPERLINK("http://www.sguardiditerra.it/","www.sguardiditerra.it")</f>
        <v>www.sguardiditerra.it</v>
      </c>
    </row>
    <row r="2938" spans="1:6" ht="29.55" customHeight="1" x14ac:dyDescent="0.25">
      <c r="A2938" s="6" t="s">
        <v>11883</v>
      </c>
      <c r="B2938" s="5" t="s">
        <v>11884</v>
      </c>
      <c r="C2938" s="5" t="s">
        <v>11885</v>
      </c>
      <c r="D2938" s="5" t="s">
        <v>11886</v>
      </c>
      <c r="E2938" s="5" t="s">
        <v>11859</v>
      </c>
      <c r="F2938" s="5" t="str">
        <f>HYPERLINK("http://poggiocavallo.com/","poggiocavallo.com")</f>
        <v>poggiocavallo.com</v>
      </c>
    </row>
    <row r="2939" spans="1:6" ht="43.05" customHeight="1" x14ac:dyDescent="0.25">
      <c r="A2939" s="1" t="s">
        <v>11887</v>
      </c>
      <c r="B2939" s="7" t="s">
        <v>11888</v>
      </c>
      <c r="C2939" s="7" t="s">
        <v>11889</v>
      </c>
      <c r="D2939" s="7" t="s">
        <v>11890</v>
      </c>
      <c r="E2939" s="7" t="s">
        <v>11891</v>
      </c>
      <c r="F2939" s="7" t="str">
        <f>HYPERLINK("http://www.tenutacasateresa.it/","www.tenutacasateresa.it")</f>
        <v>www.tenutacasateresa.it</v>
      </c>
    </row>
    <row r="2940" spans="1:6" ht="16.95" customHeight="1" x14ac:dyDescent="0.25">
      <c r="A2940" s="6" t="s">
        <v>11892</v>
      </c>
      <c r="B2940" s="5" t="s">
        <v>11893</v>
      </c>
      <c r="C2940" s="5" t="s">
        <v>11894</v>
      </c>
      <c r="D2940" s="5" t="s">
        <v>11862</v>
      </c>
      <c r="E2940" s="5" t="s">
        <v>11863</v>
      </c>
      <c r="F2940" s="5" t="str">
        <f>HYPERLINK("http://www.manifatturacanapaitalia.com/","www.manifatturacanapaitalia.com")</f>
        <v>www.manifatturacanapaitalia.com</v>
      </c>
    </row>
    <row r="2941" spans="1:6" ht="29.55" customHeight="1" x14ac:dyDescent="0.25">
      <c r="A2941" s="1" t="s">
        <v>11895</v>
      </c>
      <c r="B2941" s="7" t="s">
        <v>11896</v>
      </c>
      <c r="C2941" s="7" t="s">
        <v>11889</v>
      </c>
      <c r="D2941" s="7" t="s">
        <v>11897</v>
      </c>
      <c r="E2941" s="7" t="s">
        <v>11898</v>
      </c>
      <c r="F2941" s="7" t="str">
        <f>HYPERLINK("http://agriturismolabisana.com/","agriturismolabisana.com")</f>
        <v>agriturismolabisana.com</v>
      </c>
    </row>
    <row r="2942" spans="1:6" ht="43.05" customHeight="1" x14ac:dyDescent="0.25">
      <c r="A2942" s="6" t="s">
        <v>11899</v>
      </c>
      <c r="B2942" s="5" t="s">
        <v>11900</v>
      </c>
      <c r="C2942" s="5" t="s">
        <v>11901</v>
      </c>
      <c r="D2942" s="5" t="s">
        <v>11856</v>
      </c>
      <c r="E2942" s="5" t="s">
        <v>11857</v>
      </c>
      <c r="F2942" s="5" t="str">
        <f>HYPERLINK("http://www.l-agricola.com/la-fattoria/","www.l-agricola.com/la-fattoria/")</f>
        <v>www.l-agricola.com/la-fattoria/</v>
      </c>
    </row>
    <row r="2943" spans="1:6" ht="29.55" customHeight="1" x14ac:dyDescent="0.25">
      <c r="A2943" s="1" t="s">
        <v>11903</v>
      </c>
      <c r="B2943" s="7" t="s">
        <v>11904</v>
      </c>
      <c r="C2943" s="7" t="s">
        <v>11905</v>
      </c>
      <c r="D2943" s="7" t="s">
        <v>11906</v>
      </c>
      <c r="E2943" s="7" t="s">
        <v>11907</v>
      </c>
      <c r="F2943" s="7" t="str">
        <f>HYPERLINK("http://www.oscarfrantoio.com/","www.oscarfrantoio.com")</f>
        <v>www.oscarfrantoio.com</v>
      </c>
    </row>
    <row r="2944" spans="1:6" ht="29.55" customHeight="1" x14ac:dyDescent="0.25">
      <c r="A2944" s="6" t="s">
        <v>11912</v>
      </c>
      <c r="B2944" s="5" t="s">
        <v>11913</v>
      </c>
      <c r="C2944" s="5" t="s">
        <v>11914</v>
      </c>
      <c r="D2944" s="5" t="s">
        <v>11915</v>
      </c>
      <c r="E2944" s="5" t="s">
        <v>11916</v>
      </c>
      <c r="F2944" s="5" t="str">
        <f>HYPERLINK("http://www.montecalvi.com/","www.montecalvi.com")</f>
        <v>www.montecalvi.com</v>
      </c>
    </row>
    <row r="2945" spans="1:6" ht="43.05" customHeight="1" x14ac:dyDescent="0.25">
      <c r="A2945" s="1" t="s">
        <v>11918</v>
      </c>
      <c r="B2945" s="7" t="s">
        <v>11919</v>
      </c>
      <c r="C2945" s="7" t="s">
        <v>11905</v>
      </c>
      <c r="D2945" s="7" t="s">
        <v>11920</v>
      </c>
      <c r="E2945" s="7" t="s">
        <v>11921</v>
      </c>
      <c r="F2945" s="7" t="str">
        <f>HYPERLINK("http://www.costadegliolivi.com/","www.costadegliolivi.com")</f>
        <v>www.costadegliolivi.com</v>
      </c>
    </row>
    <row r="2946" spans="1:6" ht="29.55" customHeight="1" x14ac:dyDescent="0.25">
      <c r="A2946" s="6" t="s">
        <v>11922</v>
      </c>
      <c r="B2946" s="5" t="s">
        <v>11923</v>
      </c>
      <c r="C2946" s="5" t="s">
        <v>11905</v>
      </c>
      <c r="D2946" s="5" t="s">
        <v>11924</v>
      </c>
      <c r="E2946" s="5" t="s">
        <v>11908</v>
      </c>
      <c r="F2946" s="5" t="str">
        <f>HYPERLINK("http://www.agricolaadamo.it/","www.agricolaadamo.it")</f>
        <v>www.agricolaadamo.it</v>
      </c>
    </row>
    <row r="2947" spans="1:6" ht="43.05" customHeight="1" x14ac:dyDescent="0.25">
      <c r="A2947" s="6" t="s">
        <v>11926</v>
      </c>
      <c r="B2947" s="5" t="s">
        <v>11927</v>
      </c>
      <c r="C2947" s="5" t="s">
        <v>11928</v>
      </c>
      <c r="D2947" s="5" t="s">
        <v>11929</v>
      </c>
      <c r="E2947" s="5" t="s">
        <v>11930</v>
      </c>
      <c r="F2947" s="5" t="str">
        <f>HYPERLINK("http://www.relaismagi.it/","www.relaismagi.it")</f>
        <v>www.relaismagi.it</v>
      </c>
    </row>
    <row r="2948" spans="1:6" ht="29.55" customHeight="1" x14ac:dyDescent="0.25">
      <c r="A2948" s="1" t="s">
        <v>11931</v>
      </c>
      <c r="B2948" s="7" t="s">
        <v>11932</v>
      </c>
      <c r="C2948" s="7" t="s">
        <v>11911</v>
      </c>
      <c r="D2948" s="7" t="s">
        <v>11933</v>
      </c>
      <c r="E2948" s="7" t="s">
        <v>11916</v>
      </c>
      <c r="F2948" s="7" t="str">
        <f>HYPERLINK("http://www.extravaganti.it/","www.extravaganti.it")</f>
        <v>www.extravaganti.it</v>
      </c>
    </row>
    <row r="2949" spans="1:6" ht="55.65" customHeight="1" x14ac:dyDescent="0.25">
      <c r="A2949" s="6" t="s">
        <v>11934</v>
      </c>
      <c r="B2949" s="5" t="s">
        <v>11935</v>
      </c>
      <c r="C2949" s="5" t="s">
        <v>11914</v>
      </c>
      <c r="D2949" s="5" t="s">
        <v>11936</v>
      </c>
      <c r="E2949" s="5" t="s">
        <v>11910</v>
      </c>
      <c r="F2949" s="5" t="str">
        <f>HYPERLINK("http://brolodeigiusti.cantinediverona.it/","brolodeigiusti.cantinediverona.it")</f>
        <v>brolodeigiusti.cantinediverona.it</v>
      </c>
    </row>
    <row r="2950" spans="1:6" ht="29.55" customHeight="1" x14ac:dyDescent="0.25">
      <c r="A2950" s="6" t="s">
        <v>11938</v>
      </c>
      <c r="B2950" s="5" t="s">
        <v>11939</v>
      </c>
      <c r="C2950" s="5" t="s">
        <v>11914</v>
      </c>
      <c r="D2950" s="5" t="s">
        <v>11940</v>
      </c>
      <c r="E2950" s="5" t="s">
        <v>11937</v>
      </c>
      <c r="F2950" s="5" t="str">
        <f>HYPERLINK("http://santopietro.it/","santopietro.it")</f>
        <v>santopietro.it</v>
      </c>
    </row>
    <row r="2951" spans="1:6" ht="29.55" customHeight="1" x14ac:dyDescent="0.25">
      <c r="A2951" s="6" t="s">
        <v>11941</v>
      </c>
      <c r="B2951" s="5" t="s">
        <v>11942</v>
      </c>
      <c r="C2951" s="5" t="s">
        <v>11902</v>
      </c>
      <c r="D2951" s="5" t="s">
        <v>11943</v>
      </c>
      <c r="E2951" s="5" t="s">
        <v>11925</v>
      </c>
      <c r="F2951" s="5" t="str">
        <f>HYPERLINK("http://www.locandacinquecerri.com/","www.locandacinquecerri.com")</f>
        <v>www.locandacinquecerri.com</v>
      </c>
    </row>
    <row r="2952" spans="1:6" ht="43.05" customHeight="1" x14ac:dyDescent="0.25">
      <c r="A2952" s="6" t="s">
        <v>11944</v>
      </c>
      <c r="B2952" s="5" t="s">
        <v>11945</v>
      </c>
      <c r="C2952" s="5" t="s">
        <v>11917</v>
      </c>
      <c r="D2952" s="5" t="s">
        <v>11946</v>
      </c>
      <c r="E2952" s="5" t="s">
        <v>11921</v>
      </c>
      <c r="F2952" s="5" t="str">
        <f>HYPERLINK("http://www.lortolanovalledoria.it/","www.lortolanovalledoria.it")</f>
        <v>www.lortolanovalledoria.it</v>
      </c>
    </row>
    <row r="2953" spans="1:6" ht="29.55" customHeight="1" x14ac:dyDescent="0.25">
      <c r="A2953" s="1" t="s">
        <v>11947</v>
      </c>
      <c r="B2953" s="7" t="s">
        <v>11948</v>
      </c>
      <c r="C2953" s="7" t="s">
        <v>11909</v>
      </c>
      <c r="D2953" s="7" t="s">
        <v>11949</v>
      </c>
      <c r="E2953" s="7" t="s">
        <v>11907</v>
      </c>
      <c r="F2953" s="7" t="str">
        <f>HYPERLINK("http://www.facebook.com/agriturismodelgelsomino","www.facebook.com/agriturismodelgelsomino")</f>
        <v>www.facebook.com/agriturismodelgelsomino</v>
      </c>
    </row>
    <row r="2954" spans="1:6" ht="16.95" customHeight="1" x14ac:dyDescent="0.25">
      <c r="A2954" s="6" t="s">
        <v>11950</v>
      </c>
      <c r="B2954" s="5" t="s">
        <v>11951</v>
      </c>
      <c r="C2954" s="5" t="s">
        <v>11928</v>
      </c>
      <c r="D2954" s="5" t="s">
        <v>11952</v>
      </c>
      <c r="E2954" s="5" t="s">
        <v>11908</v>
      </c>
      <c r="F2954" s="5" t="str">
        <f>HYPERLINK("http://ciliegiaitalia.it/","ciliegiaitalia.it")</f>
        <v>ciliegiaitalia.it</v>
      </c>
    </row>
    <row r="2955" spans="1:6" ht="29.55" customHeight="1" x14ac:dyDescent="0.25">
      <c r="A2955" s="1" t="s">
        <v>11953</v>
      </c>
      <c r="B2955" s="7" t="s">
        <v>11954</v>
      </c>
      <c r="C2955" s="7" t="s">
        <v>11955</v>
      </c>
      <c r="D2955" s="7" t="s">
        <v>11956</v>
      </c>
      <c r="E2955" s="7" t="s">
        <v>11957</v>
      </c>
      <c r="F2955" s="7" t="str">
        <f>HYPERLINK("http://www.poggiocagnano.it/","www.poggiocagnano.it")</f>
        <v>www.poggiocagnano.it</v>
      </c>
    </row>
    <row r="2956" spans="1:6" ht="29.55" customHeight="1" x14ac:dyDescent="0.25">
      <c r="A2956" s="1" t="s">
        <v>11963</v>
      </c>
      <c r="B2956" s="7" t="s">
        <v>11964</v>
      </c>
      <c r="C2956" s="7" t="s">
        <v>11958</v>
      </c>
      <c r="D2956" s="7" t="s">
        <v>11965</v>
      </c>
      <c r="E2956" s="7" t="s">
        <v>11959</v>
      </c>
      <c r="F2956" s="7" t="str">
        <f>HYPERLINK("http://www.cuoresalento.com/","www.cuoresalento.com")</f>
        <v>www.cuoresalento.com</v>
      </c>
    </row>
    <row r="2957" spans="1:6" ht="29.55" customHeight="1" x14ac:dyDescent="0.25">
      <c r="A2957" s="6" t="s">
        <v>11966</v>
      </c>
      <c r="B2957" s="5" t="s">
        <v>11967</v>
      </c>
      <c r="C2957" s="5" t="s">
        <v>11968</v>
      </c>
      <c r="D2957" s="5" t="s">
        <v>11969</v>
      </c>
      <c r="E2957" s="5" t="s">
        <v>11970</v>
      </c>
      <c r="F2957" s="5" t="str">
        <f>HYPERLINK("http://cantinalapone.com/","cantinalapone.com")</f>
        <v>cantinalapone.com</v>
      </c>
    </row>
    <row r="2958" spans="1:6" ht="55.65" customHeight="1" x14ac:dyDescent="0.25">
      <c r="A2958" s="1" t="s">
        <v>11972</v>
      </c>
      <c r="B2958" s="7" t="s">
        <v>11973</v>
      </c>
      <c r="C2958" s="7" t="s">
        <v>11974</v>
      </c>
      <c r="D2958" s="7" t="s">
        <v>11975</v>
      </c>
      <c r="E2958" s="7" t="s">
        <v>11957</v>
      </c>
      <c r="F2958" s="7" t="str">
        <f>HYPERLINK("http://www.giardino.toscana.it/","www.giardino.toscana.it")</f>
        <v>www.giardino.toscana.it</v>
      </c>
    </row>
    <row r="2959" spans="1:6" ht="29.55" customHeight="1" x14ac:dyDescent="0.25">
      <c r="A2959" s="6" t="s">
        <v>11976</v>
      </c>
      <c r="B2959" s="5" t="s">
        <v>11977</v>
      </c>
      <c r="C2959" s="5" t="s">
        <v>11978</v>
      </c>
      <c r="D2959" s="5" t="s">
        <v>11979</v>
      </c>
      <c r="E2959" s="5" t="s">
        <v>11971</v>
      </c>
      <c r="F2959" s="5" t="str">
        <f>HYPERLINK("http://www.costasovere.com/","www.costasovere.com")</f>
        <v>www.costasovere.com</v>
      </c>
    </row>
    <row r="2960" spans="1:6" ht="29.55" customHeight="1" x14ac:dyDescent="0.25">
      <c r="A2960" s="1" t="s">
        <v>11980</v>
      </c>
      <c r="B2960" s="7" t="s">
        <v>11981</v>
      </c>
      <c r="C2960" s="7" t="s">
        <v>11955</v>
      </c>
      <c r="D2960" s="7" t="s">
        <v>11982</v>
      </c>
      <c r="E2960" s="7" t="s">
        <v>11983</v>
      </c>
      <c r="F2960" s="7" t="str">
        <f>HYPERLINK("http://www.frantoiopriorelli.it/","www.frantoiopriorelli.it")</f>
        <v>www.frantoiopriorelli.it</v>
      </c>
    </row>
    <row r="2961" spans="1:6" ht="29.55" customHeight="1" x14ac:dyDescent="0.25">
      <c r="A2961" s="6" t="s">
        <v>11985</v>
      </c>
      <c r="B2961" s="5" t="s">
        <v>11986</v>
      </c>
      <c r="C2961" s="5" t="s">
        <v>11987</v>
      </c>
      <c r="D2961" s="5" t="s">
        <v>11988</v>
      </c>
      <c r="E2961" s="5" t="s">
        <v>11960</v>
      </c>
      <c r="F2961" s="5" t="str">
        <f>HYPERLINK("http://www.grigionedelmontefeltro.it/","www.grigionedelmontefeltro.it")</f>
        <v>www.grigionedelmontefeltro.it</v>
      </c>
    </row>
    <row r="2962" spans="1:6" ht="29.55" customHeight="1" x14ac:dyDescent="0.25">
      <c r="A2962" s="1" t="s">
        <v>11989</v>
      </c>
      <c r="B2962" s="7" t="s">
        <v>11990</v>
      </c>
      <c r="C2962" s="7" t="s">
        <v>11991</v>
      </c>
      <c r="D2962" s="7" t="s">
        <v>11961</v>
      </c>
      <c r="E2962" s="7" t="s">
        <v>11962</v>
      </c>
      <c r="F2962" s="7" t="str">
        <f>HYPERLINK("http://www.ilvecchiovile.it/","www.ilvecchiovile.it")</f>
        <v>www.ilvecchiovile.it</v>
      </c>
    </row>
    <row r="2963" spans="1:6" ht="29.55" customHeight="1" x14ac:dyDescent="0.25">
      <c r="A2963" s="6" t="s">
        <v>11992</v>
      </c>
      <c r="B2963" s="5" t="s">
        <v>11993</v>
      </c>
      <c r="C2963" s="5" t="s">
        <v>11968</v>
      </c>
      <c r="D2963" s="5" t="s">
        <v>11994</v>
      </c>
      <c r="E2963" s="5" t="s">
        <v>11995</v>
      </c>
      <c r="F2963" s="5" t="str">
        <f>HYPERLINK("http://www.vignaledicecilia.it/","www.vignaledicecilia.it")</f>
        <v>www.vignaledicecilia.it</v>
      </c>
    </row>
    <row r="2964" spans="1:6" ht="43.05" customHeight="1" x14ac:dyDescent="0.25">
      <c r="A2964" s="1" t="s">
        <v>11996</v>
      </c>
      <c r="B2964" s="7" t="s">
        <v>11997</v>
      </c>
      <c r="C2964" s="7" t="s">
        <v>11958</v>
      </c>
      <c r="D2964" s="7" t="s">
        <v>11998</v>
      </c>
      <c r="E2964" s="7" t="s">
        <v>11984</v>
      </c>
      <c r="F2964" s="7" t="str">
        <f>HYPERLINK("http://agriturismo-il-vulcano.albergatore.top/","agriturismo-il-vulcano.albergatore.top")</f>
        <v>agriturismo-il-vulcano.albergatore.top</v>
      </c>
    </row>
    <row r="2965" spans="1:6" ht="43.05" customHeight="1" x14ac:dyDescent="0.25">
      <c r="A2965" s="6" t="s">
        <v>11999</v>
      </c>
      <c r="B2965" s="5" t="s">
        <v>12000</v>
      </c>
      <c r="C2965" s="5" t="s">
        <v>11974</v>
      </c>
      <c r="D2965" s="5" t="s">
        <v>12001</v>
      </c>
      <c r="E2965" s="5" t="s">
        <v>11970</v>
      </c>
      <c r="F2965" s="5" t="str">
        <f>HYPERLINK("http://green-paradise-societa-a-responsabilita-limitata-01351770134.quantofattura.com/","green-paradise-societa-a-responsabilita-limitata-01351770134.quantofattura.com")</f>
        <v>green-paradise-societa-a-responsabilita-limitata-01351770134.quantofattura.com</v>
      </c>
    </row>
    <row r="2966" spans="1:6" ht="29.55" customHeight="1" x14ac:dyDescent="0.25">
      <c r="A2966" s="6" t="s">
        <v>12002</v>
      </c>
      <c r="B2966" s="5" t="s">
        <v>12003</v>
      </c>
      <c r="C2966" s="5" t="s">
        <v>11955</v>
      </c>
      <c r="D2966" s="5" t="s">
        <v>12004</v>
      </c>
      <c r="E2966" s="5" t="s">
        <v>11962</v>
      </c>
      <c r="F2966" s="5" t="str">
        <f>HYPERLINK("http://www.iandp.it/","www.iandp.it")</f>
        <v>www.iandp.it</v>
      </c>
    </row>
    <row r="2967" spans="1:6" ht="29.55" customHeight="1" x14ac:dyDescent="0.25">
      <c r="A2967" s="6" t="s">
        <v>12006</v>
      </c>
      <c r="B2967" s="5" t="s">
        <v>12007</v>
      </c>
      <c r="C2967" s="5" t="s">
        <v>12008</v>
      </c>
      <c r="D2967" s="5" t="s">
        <v>12009</v>
      </c>
      <c r="E2967" s="5" t="s">
        <v>12010</v>
      </c>
      <c r="F2967" s="5" t="str">
        <f>HYPERLINK("http://casatadellago.com/","casatadellago.com")</f>
        <v>casatadellago.com</v>
      </c>
    </row>
    <row r="2968" spans="1:6" ht="29.55" customHeight="1" x14ac:dyDescent="0.25">
      <c r="A2968" s="1" t="s">
        <v>12011</v>
      </c>
      <c r="B2968" s="7" t="s">
        <v>12012</v>
      </c>
      <c r="C2968" s="7" t="s">
        <v>12013</v>
      </c>
      <c r="D2968" s="7" t="s">
        <v>12009</v>
      </c>
      <c r="E2968" s="7" t="s">
        <v>12010</v>
      </c>
      <c r="F2968" s="7" t="str">
        <f>HYPERLINK("http://terramia.vacanzedolomitilucane.com/","terramia.vacanzedolomitilucane.com")</f>
        <v>terramia.vacanzedolomitilucane.com</v>
      </c>
    </row>
    <row r="2969" spans="1:6" ht="29.55" customHeight="1" x14ac:dyDescent="0.25">
      <c r="A2969" s="6" t="s">
        <v>12019</v>
      </c>
      <c r="B2969" s="5" t="s">
        <v>12020</v>
      </c>
      <c r="C2969" s="5" t="s">
        <v>12008</v>
      </c>
      <c r="D2969" s="5" t="s">
        <v>12021</v>
      </c>
      <c r="E2969" s="5" t="s">
        <v>12018</v>
      </c>
      <c r="F2969" s="5" t="str">
        <f>HYPERLINK("http://www.sangeminianocs.it/","www.sangeminianocs.it")</f>
        <v>www.sangeminianocs.it</v>
      </c>
    </row>
    <row r="2970" spans="1:6" ht="29.55" customHeight="1" x14ac:dyDescent="0.25">
      <c r="A2970" s="1" t="s">
        <v>12022</v>
      </c>
      <c r="B2970" s="7" t="s">
        <v>12023</v>
      </c>
      <c r="C2970" s="7" t="s">
        <v>12017</v>
      </c>
      <c r="D2970" s="7" t="s">
        <v>12014</v>
      </c>
      <c r="E2970" s="7" t="s">
        <v>12015</v>
      </c>
      <c r="F2970" s="7" t="str">
        <f>HYPERLINK("http://www.masseriacamarda.it/","www.masseriacamarda.it")</f>
        <v>www.masseriacamarda.it</v>
      </c>
    </row>
    <row r="2971" spans="1:6" ht="29.55" customHeight="1" x14ac:dyDescent="0.25">
      <c r="A2971" s="1" t="s">
        <v>12027</v>
      </c>
      <c r="B2971" s="7" t="s">
        <v>12028</v>
      </c>
      <c r="C2971" s="7" t="s">
        <v>12005</v>
      </c>
      <c r="D2971" s="7" t="s">
        <v>12025</v>
      </c>
      <c r="E2971" s="7" t="s">
        <v>12026</v>
      </c>
      <c r="F2971" s="7" t="str">
        <f>HYPERLINK("http://www.fulviatombolini.it/","www.fulviatombolini.it")</f>
        <v>www.fulviatombolini.it</v>
      </c>
    </row>
    <row r="2972" spans="1:6" ht="29.55" customHeight="1" x14ac:dyDescent="0.25">
      <c r="A2972" s="6" t="s">
        <v>12029</v>
      </c>
      <c r="B2972" s="5" t="s">
        <v>12030</v>
      </c>
      <c r="C2972" s="5" t="s">
        <v>12031</v>
      </c>
      <c r="D2972" s="5" t="s">
        <v>12032</v>
      </c>
      <c r="E2972" s="5" t="s">
        <v>12024</v>
      </c>
      <c r="F2972" s="5" t="str">
        <f>HYPERLINK("http://societaagricolamoldoi.it/","societaagricolamoldoi.it")</f>
        <v>societaagricolamoldoi.it</v>
      </c>
    </row>
    <row r="2973" spans="1:6" ht="29.55" customHeight="1" x14ac:dyDescent="0.25">
      <c r="A2973" s="6" t="s">
        <v>12033</v>
      </c>
      <c r="B2973" s="5" t="s">
        <v>12034</v>
      </c>
      <c r="C2973" s="5" t="s">
        <v>12016</v>
      </c>
      <c r="D2973" s="5" t="s">
        <v>12035</v>
      </c>
      <c r="E2973" s="5" t="s">
        <v>12026</v>
      </c>
      <c r="F2973" s="5" t="str">
        <f>HYPERLINK("http://www.facebook.com/verdevita.pesaro.1","www.facebook.com/verdevita.pesaro.1")</f>
        <v>www.facebook.com/verdevita.pesaro.1</v>
      </c>
    </row>
    <row r="2974" spans="1:6" ht="29.55" customHeight="1" x14ac:dyDescent="0.25">
      <c r="A2974" s="1" t="s">
        <v>12039</v>
      </c>
      <c r="B2974" s="7" t="s">
        <v>12040</v>
      </c>
      <c r="C2974" s="7" t="s">
        <v>12036</v>
      </c>
      <c r="D2974" s="7" t="s">
        <v>12037</v>
      </c>
      <c r="E2974" s="7" t="s">
        <v>12038</v>
      </c>
      <c r="F2974" s="7" t="str">
        <f>HYPERLINK("http://www.destrovini.com/","www.destrovini.com")</f>
        <v>www.destrovini.com</v>
      </c>
    </row>
    <row r="2975" spans="1:6" ht="29.55" customHeight="1" x14ac:dyDescent="0.25">
      <c r="A2975" s="6" t="s">
        <v>12041</v>
      </c>
      <c r="B2975" s="5" t="s">
        <v>12042</v>
      </c>
      <c r="C2975" s="5" t="s">
        <v>12036</v>
      </c>
      <c r="D2975" s="5" t="s">
        <v>12043</v>
      </c>
      <c r="E2975" s="5" t="s">
        <v>12038</v>
      </c>
      <c r="F2975" s="5" t="str">
        <f>HYPERLINK("http://www.nadore.it/","www.nadore.it")</f>
        <v>www.nadore.it</v>
      </c>
    </row>
    <row r="2976" spans="1:6" ht="16.95" customHeight="1" x14ac:dyDescent="0.25">
      <c r="A2976" s="6" t="s">
        <v>12045</v>
      </c>
      <c r="B2976" s="5" t="s">
        <v>12046</v>
      </c>
      <c r="C2976" s="5" t="s">
        <v>12036</v>
      </c>
      <c r="D2976" s="5" t="s">
        <v>12047</v>
      </c>
      <c r="E2976" s="5" t="s">
        <v>12048</v>
      </c>
      <c r="F2976" s="5" t="str">
        <f>HYPERLINK("http://terredisanrocco.it/","terredisanrocco.it")</f>
        <v>terredisanrocco.it</v>
      </c>
    </row>
    <row r="2977" spans="1:6" ht="43.05" customHeight="1" x14ac:dyDescent="0.25">
      <c r="A2977" s="1" t="s">
        <v>12049</v>
      </c>
      <c r="B2977" s="7" t="s">
        <v>12050</v>
      </c>
      <c r="C2977" s="7" t="s">
        <v>12036</v>
      </c>
      <c r="D2977" s="7" t="s">
        <v>12051</v>
      </c>
      <c r="E2977" s="7" t="s">
        <v>12052</v>
      </c>
      <c r="F2977" s="7" t="str">
        <f>HYPERLINK("http://www.poggiodelmoro.com/","www.poggiodelmoro.com")</f>
        <v>www.poggiodelmoro.com</v>
      </c>
    </row>
    <row r="2978" spans="1:6" ht="29.55" customHeight="1" x14ac:dyDescent="0.25">
      <c r="A2978" s="1" t="s">
        <v>12053</v>
      </c>
      <c r="B2978" s="7" t="s">
        <v>12054</v>
      </c>
      <c r="C2978" s="7" t="s">
        <v>12055</v>
      </c>
      <c r="D2978" s="7" t="s">
        <v>12056</v>
      </c>
      <c r="E2978" s="7" t="s">
        <v>12057</v>
      </c>
      <c r="F2978" s="7" t="str">
        <f>HYPERLINK("http://sabatino-qh.com/","sabatino-qh.com")</f>
        <v>sabatino-qh.com</v>
      </c>
    </row>
    <row r="2979" spans="1:6" ht="29.55" customHeight="1" x14ac:dyDescent="0.25">
      <c r="A2979" s="1" t="s">
        <v>12058</v>
      </c>
      <c r="B2979" s="7" t="s">
        <v>12059</v>
      </c>
      <c r="C2979" s="7" t="s">
        <v>12060</v>
      </c>
      <c r="D2979" s="7" t="s">
        <v>12061</v>
      </c>
      <c r="E2979" s="7" t="s">
        <v>12062</v>
      </c>
      <c r="F2979" s="7" t="str">
        <f>HYPERLINK("http://www.piantearomatichebiologiche.it/","www.piantearomatichebiologiche.it")</f>
        <v>www.piantearomatichebiologiche.it</v>
      </c>
    </row>
    <row r="2980" spans="1:6" ht="29.55" customHeight="1" x14ac:dyDescent="0.25">
      <c r="A2980" s="1" t="s">
        <v>12063</v>
      </c>
      <c r="B2980" s="7" t="s">
        <v>12064</v>
      </c>
      <c r="C2980" s="7" t="s">
        <v>12065</v>
      </c>
      <c r="D2980" s="7" t="s">
        <v>12066</v>
      </c>
      <c r="E2980" s="7" t="s">
        <v>12067</v>
      </c>
      <c r="F2980" s="7" t="str">
        <f>HYPERLINK("http://www.agriturismolacampana.it/","www.agriturismolacampana.it")</f>
        <v>www.agriturismolacampana.it</v>
      </c>
    </row>
    <row r="2981" spans="1:6" ht="68.099999999999994" customHeight="1" x14ac:dyDescent="0.25">
      <c r="A2981" s="6" t="s">
        <v>12068</v>
      </c>
      <c r="B2981" s="5" t="s">
        <v>12069</v>
      </c>
      <c r="C2981" s="5" t="s">
        <v>12070</v>
      </c>
      <c r="D2981" s="5" t="s">
        <v>12071</v>
      </c>
      <c r="E2981" s="5" t="s">
        <v>12044</v>
      </c>
      <c r="F2981" s="5" t="str">
        <f>HYPERLINK("http://www.aral.lom.it/","www.aral.lom.it")</f>
        <v>www.aral.lom.it</v>
      </c>
    </row>
    <row r="2982" spans="1:6" ht="43.05" customHeight="1" x14ac:dyDescent="0.25">
      <c r="A2982" s="6" t="s">
        <v>12073</v>
      </c>
      <c r="B2982" s="5" t="s">
        <v>12074</v>
      </c>
      <c r="C2982" s="5" t="s">
        <v>12072</v>
      </c>
      <c r="D2982" s="5" t="s">
        <v>12075</v>
      </c>
      <c r="E2982" s="5" t="s">
        <v>12038</v>
      </c>
      <c r="F2982" s="5" t="str">
        <f>HYPERLINK("http://www.apolivo.com/","www.apolivo.com")</f>
        <v>www.apolivo.com</v>
      </c>
    </row>
    <row r="2983" spans="1:6" ht="16.95" customHeight="1" x14ac:dyDescent="0.25">
      <c r="A2983" s="6" t="s">
        <v>12076</v>
      </c>
      <c r="B2983" s="5" t="s">
        <v>12077</v>
      </c>
      <c r="C2983" s="5" t="s">
        <v>12036</v>
      </c>
      <c r="D2983" s="5" t="s">
        <v>12078</v>
      </c>
      <c r="E2983" s="5" t="s">
        <v>12067</v>
      </c>
      <c r="F2983" s="5" t="str">
        <f>HYPERLINK("http://www.terredisanginesio.it/","www.terredisanginesio.it")</f>
        <v>www.terredisanginesio.it</v>
      </c>
    </row>
    <row r="2984" spans="1:6" ht="29.55" customHeight="1" x14ac:dyDescent="0.25">
      <c r="A2984" s="6" t="s">
        <v>12079</v>
      </c>
      <c r="B2984" s="5" t="s">
        <v>12080</v>
      </c>
      <c r="C2984" s="5" t="s">
        <v>12036</v>
      </c>
      <c r="D2984" s="5" t="s">
        <v>12081</v>
      </c>
      <c r="E2984" s="5" t="s">
        <v>12052</v>
      </c>
      <c r="F2984" s="5" t="str">
        <f>HYPERLINK("http://www.lunardiwine.com/","www.lunardiwine.com")</f>
        <v>www.lunardiwine.com</v>
      </c>
    </row>
    <row r="2985" spans="1:6" ht="55.65" customHeight="1" x14ac:dyDescent="0.25">
      <c r="A2985" s="1" t="s">
        <v>12082</v>
      </c>
      <c r="B2985" s="7" t="s">
        <v>12083</v>
      </c>
      <c r="C2985" s="7" t="s">
        <v>12036</v>
      </c>
      <c r="D2985" s="7" t="s">
        <v>12051</v>
      </c>
      <c r="E2985" s="7" t="s">
        <v>12052</v>
      </c>
      <c r="F2985" s="7" t="str">
        <f>HYPERLINK("http://castagnoliwine.com/","castagnoliwine.com")</f>
        <v>castagnoliwine.com</v>
      </c>
    </row>
    <row r="2986" spans="1:6" ht="29.55" customHeight="1" x14ac:dyDescent="0.25">
      <c r="A2986" s="1" t="s">
        <v>12084</v>
      </c>
      <c r="B2986" s="7" t="s">
        <v>12085</v>
      </c>
      <c r="C2986" s="7" t="s">
        <v>12086</v>
      </c>
      <c r="D2986" s="7" t="s">
        <v>12087</v>
      </c>
      <c r="E2986" s="7" t="s">
        <v>12088</v>
      </c>
      <c r="F2986" s="7" t="str">
        <f>HYPERLINK("http://www.lebertille.com/","www.lebertille.com")</f>
        <v>www.lebertille.com</v>
      </c>
    </row>
    <row r="2987" spans="1:6" ht="29.55" customHeight="1" x14ac:dyDescent="0.25">
      <c r="A2987" s="6" t="s">
        <v>12089</v>
      </c>
      <c r="B2987" s="5" t="s">
        <v>12090</v>
      </c>
      <c r="C2987" s="5" t="s">
        <v>12091</v>
      </c>
      <c r="D2987" s="5" t="s">
        <v>12092</v>
      </c>
      <c r="E2987" s="5" t="s">
        <v>12088</v>
      </c>
      <c r="F2987" s="5" t="str">
        <f>HYPERLINK("http://lacorsawine.it/","lacorsawine.it")</f>
        <v>lacorsawine.it</v>
      </c>
    </row>
    <row r="2988" spans="1:6" ht="29.55" customHeight="1" x14ac:dyDescent="0.25">
      <c r="A2988" s="1" t="s">
        <v>12093</v>
      </c>
      <c r="B2988" s="7" t="s">
        <v>12094</v>
      </c>
      <c r="C2988" s="7" t="s">
        <v>12095</v>
      </c>
      <c r="D2988" s="7" t="s">
        <v>12096</v>
      </c>
      <c r="E2988" s="7" t="s">
        <v>12088</v>
      </c>
      <c r="F2988" s="7" t="str">
        <f>HYPERLINK("http://lacommendaconcordia.com/","lacommendaconcordia.com")</f>
        <v>lacommendaconcordia.com</v>
      </c>
    </row>
    <row r="2989" spans="1:6" ht="43.05" customHeight="1" x14ac:dyDescent="0.25">
      <c r="A2989" s="6" t="s">
        <v>12097</v>
      </c>
      <c r="B2989" s="5" t="s">
        <v>12098</v>
      </c>
      <c r="C2989" s="5" t="s">
        <v>12099</v>
      </c>
      <c r="D2989" s="5" t="s">
        <v>12100</v>
      </c>
      <c r="E2989" s="5" t="s">
        <v>12101</v>
      </c>
      <c r="F2989" s="5" t="str">
        <f>HYPERLINK("http://coopoliomontecchio.it/","coopoliomontecchio.it")</f>
        <v>coopoliomontecchio.it</v>
      </c>
    </row>
    <row r="2990" spans="1:6" ht="29.55" customHeight="1" x14ac:dyDescent="0.25">
      <c r="A2990" s="1" t="s">
        <v>12105</v>
      </c>
      <c r="B2990" s="7" t="s">
        <v>12106</v>
      </c>
      <c r="C2990" s="7" t="s">
        <v>12107</v>
      </c>
      <c r="D2990" s="7" t="s">
        <v>12103</v>
      </c>
      <c r="E2990" s="7" t="s">
        <v>12104</v>
      </c>
      <c r="F2990" s="7" t="str">
        <f>HYPERLINK("http://lacanapalegale.it/","lacanapalegale.it")</f>
        <v>lacanapalegale.it</v>
      </c>
    </row>
    <row r="2991" spans="1:6" ht="29.55" customHeight="1" x14ac:dyDescent="0.25">
      <c r="A2991" s="6" t="s">
        <v>12108</v>
      </c>
      <c r="B2991" s="5" t="s">
        <v>12109</v>
      </c>
      <c r="C2991" s="5" t="s">
        <v>12102</v>
      </c>
      <c r="D2991" s="5" t="s">
        <v>12110</v>
      </c>
      <c r="E2991" s="5" t="s">
        <v>12111</v>
      </c>
      <c r="F2991" s="5" t="str">
        <f>HYPERLINK("http://www.villasantacristina.it/","www.villasantacristina.it")</f>
        <v>www.villasantacristina.it</v>
      </c>
    </row>
    <row r="2992" spans="1:6" ht="29.55" customHeight="1" x14ac:dyDescent="0.25">
      <c r="A2992" s="1" t="s">
        <v>12113</v>
      </c>
      <c r="B2992" s="7" t="s">
        <v>12114</v>
      </c>
      <c r="C2992" s="7" t="s">
        <v>12115</v>
      </c>
      <c r="D2992" s="7" t="s">
        <v>12116</v>
      </c>
      <c r="E2992" s="7" t="s">
        <v>12117</v>
      </c>
      <c r="F2992" s="7" t="str">
        <f>HYPERLINK("http://cooperativalevionlus.it/","cooperativalevionlus.it")</f>
        <v>cooperativalevionlus.it</v>
      </c>
    </row>
    <row r="2993" spans="1:6" ht="29.55" customHeight="1" x14ac:dyDescent="0.25">
      <c r="A2993" s="6" t="s">
        <v>12118</v>
      </c>
      <c r="B2993" s="5" t="s">
        <v>12119</v>
      </c>
      <c r="C2993" s="5" t="s">
        <v>12120</v>
      </c>
      <c r="D2993" s="5" t="s">
        <v>12121</v>
      </c>
      <c r="E2993" s="5" t="s">
        <v>12122</v>
      </c>
      <c r="F2993" s="5" t="str">
        <f>HYPERLINK("http://www.campagnamicacosenza.com/","www.campagnamicacosenza.com")</f>
        <v>www.campagnamicacosenza.com</v>
      </c>
    </row>
    <row r="2994" spans="1:6" ht="43.05" customHeight="1" x14ac:dyDescent="0.25">
      <c r="A2994" s="1" t="s">
        <v>12123</v>
      </c>
      <c r="B2994" s="7" t="s">
        <v>12124</v>
      </c>
      <c r="C2994" s="7" t="s">
        <v>12125</v>
      </c>
      <c r="D2994" s="7" t="s">
        <v>12126</v>
      </c>
      <c r="E2994" s="7" t="s">
        <v>12112</v>
      </c>
      <c r="F2994" s="7" t="str">
        <f>HYPERLINK("http://www.agriturismolasfruscia.com/","www.agriturismolasfruscia.com")</f>
        <v>www.agriturismolasfruscia.com</v>
      </c>
    </row>
    <row r="2995" spans="1:6" ht="68.099999999999994" customHeight="1" x14ac:dyDescent="0.25">
      <c r="A2995" s="1" t="s">
        <v>12127</v>
      </c>
      <c r="B2995" s="7" t="s">
        <v>12128</v>
      </c>
      <c r="C2995" s="7" t="s">
        <v>12129</v>
      </c>
      <c r="D2995" s="7" t="s">
        <v>12130</v>
      </c>
      <c r="E2995" s="7" t="s">
        <v>12131</v>
      </c>
      <c r="F2995" s="7" t="str">
        <f>HYPERLINK("http://www.trefratelli.it/","www.trefratelli.it")</f>
        <v>www.trefratelli.it</v>
      </c>
    </row>
    <row r="2996" spans="1:6" ht="16.95" customHeight="1" x14ac:dyDescent="0.25">
      <c r="A2996" s="1" t="s">
        <v>12132</v>
      </c>
      <c r="B2996" s="7" t="s">
        <v>12133</v>
      </c>
      <c r="C2996" s="7" t="s">
        <v>12134</v>
      </c>
      <c r="D2996" s="7" t="s">
        <v>12135</v>
      </c>
      <c r="E2996" s="7" t="s">
        <v>12136</v>
      </c>
      <c r="F2996" s="7" t="str">
        <f>HYPERLINK("http://www.inesdisalerno.it/","www.inesdisalerno.it")</f>
        <v>www.inesdisalerno.it</v>
      </c>
    </row>
    <row r="2997" spans="1:6" ht="29.55" customHeight="1" x14ac:dyDescent="0.25">
      <c r="A2997" s="6" t="s">
        <v>12138</v>
      </c>
      <c r="B2997" s="5" t="s">
        <v>12139</v>
      </c>
      <c r="C2997" s="5" t="s">
        <v>12140</v>
      </c>
      <c r="D2997" s="5" t="s">
        <v>12141</v>
      </c>
      <c r="E2997" s="5" t="s">
        <v>12142</v>
      </c>
      <c r="F2997" s="5" t="str">
        <f>HYPERLINK("http://www.agrisolarsrl.it/","www.agrisolarsrl.it")</f>
        <v>www.agrisolarsrl.it</v>
      </c>
    </row>
    <row r="2998" spans="1:6" ht="43.05" customHeight="1" x14ac:dyDescent="0.25">
      <c r="A2998" s="1" t="s">
        <v>12143</v>
      </c>
      <c r="B2998" s="7" t="s">
        <v>12144</v>
      </c>
      <c r="C2998" s="7" t="s">
        <v>12145</v>
      </c>
      <c r="D2998" s="7" t="s">
        <v>12146</v>
      </c>
      <c r="E2998" s="7" t="s">
        <v>12136</v>
      </c>
      <c r="F2998" s="7" t="str">
        <f>HYPERLINK("http://www.pantalicaranch.com/","www.pantalicaranch.com")</f>
        <v>www.pantalicaranch.com</v>
      </c>
    </row>
    <row r="2999" spans="1:6" ht="55.65" customHeight="1" x14ac:dyDescent="0.25">
      <c r="A2999" s="6" t="s">
        <v>12147</v>
      </c>
      <c r="B2999" s="5" t="s">
        <v>12148</v>
      </c>
      <c r="C2999" s="5" t="s">
        <v>12137</v>
      </c>
      <c r="D2999" s="5" t="s">
        <v>12149</v>
      </c>
      <c r="E2999" s="5" t="s">
        <v>12150</v>
      </c>
      <c r="F2999" s="5" t="str">
        <f>HYPERLINK("http://www.soridellasorba.com/","www.soridellasorba.com")</f>
        <v>www.soridellasorba.com</v>
      </c>
    </row>
    <row r="3000" spans="1:6" ht="29.55" customHeight="1" x14ac:dyDescent="0.25">
      <c r="A3000" s="1" t="s">
        <v>12151</v>
      </c>
      <c r="B3000" s="7" t="s">
        <v>12152</v>
      </c>
      <c r="C3000" s="7" t="s">
        <v>12153</v>
      </c>
      <c r="D3000" s="7" t="s">
        <v>12154</v>
      </c>
      <c r="E3000" s="7" t="s">
        <v>12155</v>
      </c>
      <c r="F3000" s="7" t="str">
        <f>HYPERLINK("http://iskra.coop/","iskra.coop")</f>
        <v>iskra.coop</v>
      </c>
    </row>
    <row r="3001" spans="1:6" ht="29.55" customHeight="1" x14ac:dyDescent="0.25">
      <c r="A3001" s="6" t="s">
        <v>12156</v>
      </c>
      <c r="B3001" s="5" t="s">
        <v>12157</v>
      </c>
      <c r="C3001" s="5" t="s">
        <v>12137</v>
      </c>
      <c r="D3001" s="5" t="s">
        <v>12158</v>
      </c>
      <c r="E3001" s="5" t="s">
        <v>12159</v>
      </c>
      <c r="F3001" s="5" t="str">
        <f>HYPERLINK("http://www.chidera.it/","www.chidera.it")</f>
        <v>www.chidera.it</v>
      </c>
    </row>
    <row r="3002" spans="1:6" ht="29.55" customHeight="1" x14ac:dyDescent="0.25">
      <c r="A3002" s="1" t="s">
        <v>12161</v>
      </c>
      <c r="B3002" s="7" t="s">
        <v>12162</v>
      </c>
      <c r="C3002" s="7" t="s">
        <v>12137</v>
      </c>
      <c r="D3002" s="7" t="s">
        <v>12163</v>
      </c>
      <c r="E3002" s="7" t="s">
        <v>12164</v>
      </c>
      <c r="F3002" s="7" t="str">
        <f>HYPERLINK("http://shop.passodelletortore.it/","shop.passodelletortore.it")</f>
        <v>shop.passodelletortore.it</v>
      </c>
    </row>
    <row r="3003" spans="1:6" ht="29.55" customHeight="1" x14ac:dyDescent="0.25">
      <c r="A3003" s="1" t="s">
        <v>12165</v>
      </c>
      <c r="B3003" s="7" t="s">
        <v>12166</v>
      </c>
      <c r="C3003" s="7" t="s">
        <v>12167</v>
      </c>
      <c r="D3003" s="7" t="s">
        <v>12168</v>
      </c>
      <c r="E3003" s="7" t="s">
        <v>12150</v>
      </c>
      <c r="F3003" s="7" t="str">
        <f>HYPERLINK("http://www.italiancricketfarm.com/","www.italiancricketfarm.com")</f>
        <v>www.italiancricketfarm.com</v>
      </c>
    </row>
    <row r="3004" spans="1:6" ht="29.55" customHeight="1" x14ac:dyDescent="0.25">
      <c r="A3004" s="1" t="s">
        <v>12169</v>
      </c>
      <c r="B3004" s="7" t="s">
        <v>12170</v>
      </c>
      <c r="C3004" s="7" t="s">
        <v>12160</v>
      </c>
      <c r="D3004" s="7" t="s">
        <v>12171</v>
      </c>
      <c r="E3004" s="7" t="s">
        <v>12172</v>
      </c>
      <c r="F3004" s="7" t="str">
        <f>HYPERLINK("http://www.agriturismodueterre.com/","www.agriturismodueterre.com")</f>
        <v>www.agriturismodueterre.com</v>
      </c>
    </row>
    <row r="3005" spans="1:6" ht="43.05" customHeight="1" x14ac:dyDescent="0.25">
      <c r="A3005" s="1" t="s">
        <v>12173</v>
      </c>
      <c r="B3005" s="7" t="s">
        <v>12174</v>
      </c>
      <c r="C3005" s="7" t="s">
        <v>12175</v>
      </c>
      <c r="D3005" s="7" t="s">
        <v>12171</v>
      </c>
      <c r="E3005" s="7" t="s">
        <v>12172</v>
      </c>
      <c r="F3005" s="7" t="str">
        <f>HYPERLINK("http://www.ilfrantoiodimontepulciano.com/","www.ilfrantoiodimontepulciano.com")</f>
        <v>www.ilfrantoiodimontepulciano.com</v>
      </c>
    </row>
    <row r="3006" spans="1:6" ht="43.05" customHeight="1" x14ac:dyDescent="0.25">
      <c r="A3006" s="6" t="s">
        <v>12176</v>
      </c>
      <c r="B3006" s="5" t="s">
        <v>12177</v>
      </c>
      <c r="C3006" s="5" t="s">
        <v>12175</v>
      </c>
      <c r="D3006" s="5" t="s">
        <v>12163</v>
      </c>
      <c r="E3006" s="5" t="s">
        <v>12164</v>
      </c>
      <c r="F3006" s="5" t="str">
        <f>HYPERLINK("http://www.agricolamontuori.it/","www.agricolamontuori.it")</f>
        <v>www.agricolamontuori.it</v>
      </c>
    </row>
    <row r="3007" spans="1:6" ht="29.55" customHeight="1" x14ac:dyDescent="0.25">
      <c r="A3007" s="1" t="s">
        <v>12178</v>
      </c>
      <c r="B3007" s="7" t="s">
        <v>12179</v>
      </c>
      <c r="C3007" s="7" t="s">
        <v>12180</v>
      </c>
      <c r="D3007" s="7" t="s">
        <v>12181</v>
      </c>
      <c r="E3007" s="7" t="s">
        <v>12150</v>
      </c>
      <c r="F3007" s="7" t="str">
        <f>HYPERLINK("http://greenland-toso-andrea.business.site/","greenland-toso-andrea.business.site")</f>
        <v>greenland-toso-andrea.business.site</v>
      </c>
    </row>
    <row r="3008" spans="1:6" ht="16.95" customHeight="1" x14ac:dyDescent="0.25">
      <c r="A3008" s="6" t="s">
        <v>12182</v>
      </c>
      <c r="B3008" s="5" t="s">
        <v>12183</v>
      </c>
      <c r="C3008" s="5" t="s">
        <v>12153</v>
      </c>
      <c r="D3008" s="5" t="s">
        <v>12184</v>
      </c>
      <c r="E3008" s="5" t="s">
        <v>12185</v>
      </c>
      <c r="F3008" s="5" t="str">
        <f>HYPERLINK("http://www.agrileisuretime.com/","www.agrileisuretime.com")</f>
        <v>www.agrileisuretime.com</v>
      </c>
    </row>
    <row r="3009" spans="1:6" ht="43.05" customHeight="1" x14ac:dyDescent="0.25">
      <c r="A3009" s="6" t="s">
        <v>12186</v>
      </c>
      <c r="B3009" s="5" t="s">
        <v>12187</v>
      </c>
      <c r="C3009" s="5" t="s">
        <v>12160</v>
      </c>
      <c r="D3009" s="5" t="s">
        <v>12154</v>
      </c>
      <c r="E3009" s="5" t="s">
        <v>12155</v>
      </c>
      <c r="F3009" s="5" t="str">
        <f>HYPERLINK("http://www.tenutaponziani.it/","www.tenutaponziani.it")</f>
        <v>www.tenutaponziani.it</v>
      </c>
    </row>
    <row r="3010" spans="1:6" ht="94.2" customHeight="1" x14ac:dyDescent="0.25">
      <c r="A3010" s="6" t="s">
        <v>12188</v>
      </c>
      <c r="B3010" s="5" t="s">
        <v>12189</v>
      </c>
      <c r="C3010" s="5" t="s">
        <v>12137</v>
      </c>
      <c r="D3010" s="5" t="s">
        <v>12190</v>
      </c>
      <c r="E3010" s="5" t="s">
        <v>12150</v>
      </c>
      <c r="F3010" s="5" t="str">
        <f>HYPERLINK("http://frascawine.com/","frascawine.com")</f>
        <v>frascawine.com</v>
      </c>
    </row>
    <row r="3011" spans="1:6" ht="43.05" customHeight="1" x14ac:dyDescent="0.25">
      <c r="A3011" s="1" t="s">
        <v>12196</v>
      </c>
      <c r="B3011" s="7" t="s">
        <v>12197</v>
      </c>
      <c r="C3011" s="7" t="s">
        <v>12198</v>
      </c>
      <c r="D3011" s="7" t="s">
        <v>12199</v>
      </c>
      <c r="E3011" s="7" t="s">
        <v>12200</v>
      </c>
      <c r="F3011" s="7" t="str">
        <f>HYPERLINK("http://www.ilcastagno.net/","www.ilcastagno.net")</f>
        <v>www.ilcastagno.net</v>
      </c>
    </row>
    <row r="3012" spans="1:6" ht="55.65" customHeight="1" x14ac:dyDescent="0.25">
      <c r="A3012" s="6" t="s">
        <v>12202</v>
      </c>
      <c r="B3012" s="5" t="s">
        <v>12203</v>
      </c>
      <c r="C3012" s="5" t="s">
        <v>12191</v>
      </c>
      <c r="D3012" s="5" t="s">
        <v>12204</v>
      </c>
      <c r="E3012" s="5" t="s">
        <v>12193</v>
      </c>
      <c r="F3012" s="5" t="str">
        <f>HYPERLINK("http://www.segestano.com/","www.segestano.com")</f>
        <v>www.segestano.com</v>
      </c>
    </row>
    <row r="3013" spans="1:6" ht="29.55" customHeight="1" x14ac:dyDescent="0.25">
      <c r="A3013" s="6" t="s">
        <v>12207</v>
      </c>
      <c r="B3013" s="5" t="s">
        <v>12208</v>
      </c>
      <c r="C3013" s="5" t="s">
        <v>12209</v>
      </c>
      <c r="D3013" s="5" t="s">
        <v>12210</v>
      </c>
      <c r="E3013" s="5" t="s">
        <v>12201</v>
      </c>
      <c r="F3013" s="5" t="str">
        <f>HYPERLINK("http://ilferrorosso.it/","ilferrorosso.it")</f>
        <v>ilferrorosso.it</v>
      </c>
    </row>
    <row r="3014" spans="1:6" ht="43.05" customHeight="1" x14ac:dyDescent="0.25">
      <c r="A3014" s="6" t="s">
        <v>12212</v>
      </c>
      <c r="B3014" s="5" t="s">
        <v>12213</v>
      </c>
      <c r="C3014" s="5" t="s">
        <v>12211</v>
      </c>
      <c r="D3014" s="5" t="s">
        <v>12214</v>
      </c>
      <c r="E3014" s="5" t="s">
        <v>12195</v>
      </c>
      <c r="F3014" s="5" t="str">
        <f>HYPERLINK("http://www.hotelsitalic.com/agriturismo-cerrolungo/","www.hotelsitalic.com/agriturismo-cerrolungo/")</f>
        <v>www.hotelsitalic.com/agriturismo-cerrolungo/</v>
      </c>
    </row>
    <row r="3015" spans="1:6" ht="29.55" customHeight="1" x14ac:dyDescent="0.25">
      <c r="A3015" s="6" t="s">
        <v>12215</v>
      </c>
      <c r="B3015" s="5" t="s">
        <v>12216</v>
      </c>
      <c r="C3015" s="5" t="s">
        <v>12191</v>
      </c>
      <c r="D3015" s="5" t="s">
        <v>12204</v>
      </c>
      <c r="E3015" s="5" t="s">
        <v>12193</v>
      </c>
      <c r="F3015" s="5" t="str">
        <f>HYPERLINK("http://agriturismoalencio.it/","agriturismoalencio.it")</f>
        <v>agriturismoalencio.it</v>
      </c>
    </row>
    <row r="3016" spans="1:6" ht="29.55" customHeight="1" x14ac:dyDescent="0.25">
      <c r="A3016" s="1" t="s">
        <v>12217</v>
      </c>
      <c r="B3016" s="7" t="s">
        <v>12218</v>
      </c>
      <c r="C3016" s="7" t="s">
        <v>12192</v>
      </c>
      <c r="D3016" s="7" t="s">
        <v>12219</v>
      </c>
      <c r="E3016" s="7" t="s">
        <v>12220</v>
      </c>
      <c r="F3016" s="7" t="str">
        <f>HYPERLINK("http://agriturismo-lecanfore.worhot.com/","agriturismo-lecanfore.worhot.com")</f>
        <v>agriturismo-lecanfore.worhot.com</v>
      </c>
    </row>
    <row r="3017" spans="1:6" ht="16.95" customHeight="1" x14ac:dyDescent="0.25">
      <c r="A3017" s="1" t="s">
        <v>12221</v>
      </c>
      <c r="B3017" s="7" t="s">
        <v>12222</v>
      </c>
      <c r="C3017" s="7" t="s">
        <v>12194</v>
      </c>
      <c r="D3017" s="7" t="s">
        <v>12223</v>
      </c>
      <c r="E3017" s="7" t="s">
        <v>12205</v>
      </c>
      <c r="F3017" s="7" t="str">
        <f>HYPERLINK("http://fratellidelia.wixsite.com/oleificiodelia","fratellidelia.wixsite.com/oleificiodelia")</f>
        <v>fratellidelia.wixsite.com/oleificiodelia</v>
      </c>
    </row>
    <row r="3018" spans="1:6" ht="55.65" customHeight="1" x14ac:dyDescent="0.25">
      <c r="A3018" s="6" t="s">
        <v>12224</v>
      </c>
      <c r="B3018" s="5" t="s">
        <v>12225</v>
      </c>
      <c r="C3018" s="5" t="s">
        <v>12206</v>
      </c>
      <c r="D3018" s="5" t="s">
        <v>12226</v>
      </c>
      <c r="E3018" s="5" t="s">
        <v>12201</v>
      </c>
      <c r="F3018" s="5" t="str">
        <f>HYPERLINK("http://www.castelcerreto.com/","www.castelcerreto.com")</f>
        <v>www.castelcerreto.com</v>
      </c>
    </row>
    <row r="3019" spans="1:6" ht="29.55" customHeight="1" x14ac:dyDescent="0.25">
      <c r="A3019" s="1" t="s">
        <v>12227</v>
      </c>
      <c r="B3019" s="7" t="s">
        <v>12228</v>
      </c>
      <c r="C3019" s="7" t="s">
        <v>12229</v>
      </c>
      <c r="D3019" s="7" t="s">
        <v>12230</v>
      </c>
      <c r="E3019" s="7" t="s">
        <v>12231</v>
      </c>
      <c r="F3019" s="7" t="str">
        <f>HYPERLINK("http://www.melagorai.it/","www.melagorai.it")</f>
        <v>www.melagorai.it</v>
      </c>
    </row>
    <row r="3020" spans="1:6" ht="68.099999999999994" customHeight="1" x14ac:dyDescent="0.25">
      <c r="A3020" s="6" t="s">
        <v>12232</v>
      </c>
      <c r="B3020" s="5" t="s">
        <v>12233</v>
      </c>
      <c r="C3020" s="5" t="s">
        <v>12234</v>
      </c>
      <c r="D3020" s="5" t="s">
        <v>12235</v>
      </c>
      <c r="E3020" s="5" t="s">
        <v>12236</v>
      </c>
      <c r="F3020" s="5" t="str">
        <f>HYPERLINK("http://via-1.impresarosso.it/","via-1.impresarosso.it")</f>
        <v>via-1.impresarosso.it</v>
      </c>
    </row>
    <row r="3021" spans="1:6" ht="43.05" customHeight="1" x14ac:dyDescent="0.25">
      <c r="A3021" s="1" t="s">
        <v>12238</v>
      </c>
      <c r="B3021" s="7" t="s">
        <v>12239</v>
      </c>
      <c r="C3021" s="7" t="s">
        <v>12237</v>
      </c>
      <c r="D3021" s="7" t="s">
        <v>12240</v>
      </c>
      <c r="E3021" s="7" t="s">
        <v>12241</v>
      </c>
      <c r="F3021" s="7" t="str">
        <f>HYPERLINK("http://centovignali.it/","centovignali.it")</f>
        <v>centovignali.it</v>
      </c>
    </row>
    <row r="3022" spans="1:6" ht="55.65" customHeight="1" x14ac:dyDescent="0.25">
      <c r="A3022" s="1" t="s">
        <v>12243</v>
      </c>
      <c r="B3022" s="7" t="s">
        <v>12244</v>
      </c>
      <c r="C3022" s="7" t="s">
        <v>12237</v>
      </c>
      <c r="D3022" s="7" t="s">
        <v>12245</v>
      </c>
      <c r="E3022" s="7" t="s">
        <v>12246</v>
      </c>
      <c r="F3022" s="7" t="str">
        <f>HYPERLINK("http://www.laviranda.it/","www.laviranda.it")</f>
        <v>www.laviranda.it</v>
      </c>
    </row>
    <row r="3023" spans="1:6" ht="29.55" customHeight="1" x14ac:dyDescent="0.25">
      <c r="A3023" s="6" t="s">
        <v>12248</v>
      </c>
      <c r="B3023" s="5" t="s">
        <v>12249</v>
      </c>
      <c r="C3023" s="5" t="s">
        <v>12237</v>
      </c>
      <c r="D3023" s="5" t="s">
        <v>12250</v>
      </c>
      <c r="E3023" s="5" t="s">
        <v>12251</v>
      </c>
      <c r="F3023" s="5" t="str">
        <f>HYPERLINK("http://www.martinellifranciacorta.it/","www.martinellifranciacorta.it")</f>
        <v>www.martinellifranciacorta.it</v>
      </c>
    </row>
    <row r="3024" spans="1:6" ht="55.65" customHeight="1" x14ac:dyDescent="0.25">
      <c r="A3024" s="1" t="s">
        <v>12252</v>
      </c>
      <c r="B3024" s="7" t="s">
        <v>12253</v>
      </c>
      <c r="C3024" s="7" t="s">
        <v>12234</v>
      </c>
      <c r="D3024" s="7" t="s">
        <v>12240</v>
      </c>
      <c r="E3024" s="7" t="s">
        <v>12241</v>
      </c>
      <c r="F3024" s="7" t="str">
        <f>HYPERLINK("http://www.opopugliesi.it/","www.opopugliesi.it")</f>
        <v>www.opopugliesi.it</v>
      </c>
    </row>
    <row r="3025" spans="1:6" ht="29.55" customHeight="1" x14ac:dyDescent="0.25">
      <c r="A3025" s="6" t="s">
        <v>12255</v>
      </c>
      <c r="B3025" s="5" t="s">
        <v>12256</v>
      </c>
      <c r="C3025" s="5" t="s">
        <v>12242</v>
      </c>
      <c r="D3025" s="5" t="s">
        <v>12250</v>
      </c>
      <c r="E3025" s="5" t="s">
        <v>12251</v>
      </c>
      <c r="F3025" s="5" t="str">
        <f>HYPERLINK("http://www.consorzioforestaleterratraiduelaghi.com/","www.consorzioforestaleterratraiduelaghi.com")</f>
        <v>www.consorzioforestaleterratraiduelaghi.com</v>
      </c>
    </row>
    <row r="3026" spans="1:6" ht="29.55" customHeight="1" x14ac:dyDescent="0.25">
      <c r="A3026" s="1" t="s">
        <v>12257</v>
      </c>
      <c r="B3026" s="7" t="s">
        <v>12258</v>
      </c>
      <c r="C3026" s="7" t="s">
        <v>12259</v>
      </c>
      <c r="D3026" s="7" t="s">
        <v>12260</v>
      </c>
      <c r="E3026" s="7" t="s">
        <v>12247</v>
      </c>
      <c r="F3026" s="7" t="str">
        <f>HYPERLINK("http://www.deaterra.it/","www.deaterra.it")</f>
        <v>www.deaterra.it</v>
      </c>
    </row>
    <row r="3027" spans="1:6" ht="43.05" customHeight="1" x14ac:dyDescent="0.25">
      <c r="A3027" s="1" t="s">
        <v>12261</v>
      </c>
      <c r="B3027" s="7" t="s">
        <v>12262</v>
      </c>
      <c r="C3027" s="7" t="s">
        <v>12263</v>
      </c>
      <c r="D3027" s="7" t="s">
        <v>12264</v>
      </c>
      <c r="E3027" s="7" t="s">
        <v>12251</v>
      </c>
      <c r="F3027" s="7" t="str">
        <f>HYPERLINK("http://www.pharmapuglia.com/","www.pharmapuglia.com")</f>
        <v>www.pharmapuglia.com</v>
      </c>
    </row>
    <row r="3028" spans="1:6" ht="29.55" customHeight="1" x14ac:dyDescent="0.25">
      <c r="A3028" s="1" t="s">
        <v>12265</v>
      </c>
      <c r="B3028" s="7" t="s">
        <v>12266</v>
      </c>
      <c r="C3028" s="7" t="s">
        <v>12237</v>
      </c>
      <c r="D3028" s="7" t="s">
        <v>12267</v>
      </c>
      <c r="E3028" s="7" t="s">
        <v>12254</v>
      </c>
      <c r="F3028" s="7" t="str">
        <f>HYPERLINK("http://www.aquiladeltorre.it/","www.aquiladeltorre.it")</f>
        <v>www.aquiladeltorre.it</v>
      </c>
    </row>
    <row r="3029" spans="1:6" ht="29.55" customHeight="1" x14ac:dyDescent="0.25">
      <c r="A3029" s="1" t="s">
        <v>12268</v>
      </c>
      <c r="B3029" s="7" t="s">
        <v>12269</v>
      </c>
      <c r="C3029" s="7" t="s">
        <v>12237</v>
      </c>
      <c r="D3029" s="7" t="s">
        <v>12270</v>
      </c>
      <c r="E3029" s="7" t="s">
        <v>12271</v>
      </c>
      <c r="F3029" s="7" t="str">
        <f>HYPERLINK("http://www.tenuteperdarubia.com/","www.tenuteperdarubia.com")</f>
        <v>www.tenuteperdarubia.com</v>
      </c>
    </row>
    <row r="3030" spans="1:6" ht="29.55" customHeight="1" x14ac:dyDescent="0.25">
      <c r="A3030" s="6" t="s">
        <v>12275</v>
      </c>
      <c r="B3030" s="5" t="s">
        <v>12276</v>
      </c>
      <c r="C3030" s="5" t="s">
        <v>12277</v>
      </c>
      <c r="D3030" s="5" t="s">
        <v>12278</v>
      </c>
      <c r="E3030" s="5" t="s">
        <v>12274</v>
      </c>
      <c r="F3030" s="5" t="str">
        <f>HYPERLINK("http://www.pievedisantostefano.com/","www.pievedisantostefano.com")</f>
        <v>www.pievedisantostefano.com</v>
      </c>
    </row>
    <row r="3031" spans="1:6" ht="43.05" customHeight="1" x14ac:dyDescent="0.25">
      <c r="A3031" s="1" t="s">
        <v>12279</v>
      </c>
      <c r="B3031" s="7" t="s">
        <v>12280</v>
      </c>
      <c r="C3031" s="7" t="s">
        <v>12281</v>
      </c>
      <c r="D3031" s="7" t="s">
        <v>12282</v>
      </c>
      <c r="E3031" s="7" t="s">
        <v>12283</v>
      </c>
      <c r="F3031" s="7" t="str">
        <f>HYPERLINK("http://www.agriturismogalenzana.it/","www.agriturismogalenzana.it")</f>
        <v>www.agriturismogalenzana.it</v>
      </c>
    </row>
    <row r="3032" spans="1:6" ht="29.55" customHeight="1" x14ac:dyDescent="0.25">
      <c r="A3032" s="1" t="s">
        <v>12286</v>
      </c>
      <c r="B3032" s="7" t="s">
        <v>12287</v>
      </c>
      <c r="C3032" s="7" t="s">
        <v>12288</v>
      </c>
      <c r="D3032" s="7" t="s">
        <v>12289</v>
      </c>
      <c r="E3032" s="7" t="s">
        <v>12285</v>
      </c>
      <c r="F3032" s="7" t="str">
        <f>HYPERLINK("http://www.terredaione.it/","www.terredaione.it")</f>
        <v>www.terredaione.it</v>
      </c>
    </row>
    <row r="3033" spans="1:6" ht="68.099999999999994" customHeight="1" x14ac:dyDescent="0.25">
      <c r="A3033" s="1" t="s">
        <v>12290</v>
      </c>
      <c r="B3033" s="7" t="s">
        <v>12291</v>
      </c>
      <c r="C3033" s="7" t="s">
        <v>12292</v>
      </c>
      <c r="D3033" s="7" t="s">
        <v>12293</v>
      </c>
      <c r="E3033" s="7" t="s">
        <v>12294</v>
      </c>
      <c r="F3033" s="7" t="str">
        <f>HYPERLINK("http://www.nellavecchiafattoriamentana.it/","www.nellavecchiafattoriamentana.it")</f>
        <v>www.nellavecchiafattoriamentana.it</v>
      </c>
    </row>
    <row r="3034" spans="1:6" ht="16.95" customHeight="1" x14ac:dyDescent="0.25">
      <c r="A3034" s="6" t="s">
        <v>12295</v>
      </c>
      <c r="B3034" s="5" t="s">
        <v>12296</v>
      </c>
      <c r="C3034" s="5" t="s">
        <v>12297</v>
      </c>
      <c r="D3034" s="5" t="s">
        <v>12298</v>
      </c>
      <c r="E3034" s="5" t="s">
        <v>12299</v>
      </c>
      <c r="F3034" s="5" t="str">
        <f>HYPERLINK("http://www.ifarming.it/","www.ifarming.it")</f>
        <v>www.ifarming.it</v>
      </c>
    </row>
    <row r="3035" spans="1:6" ht="29.55" customHeight="1" x14ac:dyDescent="0.25">
      <c r="A3035" s="1" t="s">
        <v>12300</v>
      </c>
      <c r="B3035" s="7" t="s">
        <v>12301</v>
      </c>
      <c r="C3035" s="7" t="s">
        <v>12292</v>
      </c>
      <c r="D3035" s="7" t="s">
        <v>12302</v>
      </c>
      <c r="E3035" s="7" t="s">
        <v>12294</v>
      </c>
      <c r="F3035" s="7" t="str">
        <f>HYPERLINK("http://www.universalvivaio.it/","www.universalvivaio.it")</f>
        <v>www.universalvivaio.it</v>
      </c>
    </row>
    <row r="3036" spans="1:6" ht="43.05" customHeight="1" x14ac:dyDescent="0.25">
      <c r="A3036" s="6" t="s">
        <v>12305</v>
      </c>
      <c r="B3036" s="5" t="s">
        <v>12306</v>
      </c>
      <c r="C3036" s="5" t="s">
        <v>12284</v>
      </c>
      <c r="D3036" s="5" t="s">
        <v>12307</v>
      </c>
      <c r="E3036" s="5" t="s">
        <v>12294</v>
      </c>
      <c r="F3036" s="5" t="str">
        <f>HYPERLINK("http://shop.florindabolkan.com/","shop.florindabolkan.com")</f>
        <v>shop.florindabolkan.com</v>
      </c>
    </row>
    <row r="3037" spans="1:6" ht="29.55" customHeight="1" x14ac:dyDescent="0.25">
      <c r="A3037" s="1" t="s">
        <v>12308</v>
      </c>
      <c r="B3037" s="7" t="s">
        <v>12309</v>
      </c>
      <c r="C3037" s="7" t="s">
        <v>12288</v>
      </c>
      <c r="D3037" s="7" t="s">
        <v>12273</v>
      </c>
      <c r="E3037" s="7" t="s">
        <v>12274</v>
      </c>
      <c r="F3037" s="7" t="str">
        <f>HYPERLINK("http://www.leguardiole.it/","www.leguardiole.it")</f>
        <v>www.leguardiole.it</v>
      </c>
    </row>
    <row r="3038" spans="1:6" ht="29.55" customHeight="1" x14ac:dyDescent="0.25">
      <c r="A3038" s="1" t="s">
        <v>12310</v>
      </c>
      <c r="B3038" s="7" t="s">
        <v>12311</v>
      </c>
      <c r="C3038" s="7" t="s">
        <v>12312</v>
      </c>
      <c r="D3038" s="7" t="s">
        <v>12313</v>
      </c>
      <c r="E3038" s="7" t="s">
        <v>12314</v>
      </c>
      <c r="F3038" s="7" t="str">
        <f>HYPERLINK("http://www.casaporcara.it/","www.casaporcara.it")</f>
        <v>www.casaporcara.it</v>
      </c>
    </row>
    <row r="3039" spans="1:6" ht="29.55" customHeight="1" x14ac:dyDescent="0.25">
      <c r="A3039" s="6" t="s">
        <v>12316</v>
      </c>
      <c r="B3039" s="5" t="s">
        <v>12317</v>
      </c>
      <c r="C3039" s="5" t="s">
        <v>12318</v>
      </c>
      <c r="D3039" s="5" t="s">
        <v>12319</v>
      </c>
      <c r="E3039" s="5" t="s">
        <v>12320</v>
      </c>
      <c r="F3039" s="5" t="str">
        <f>HYPERLINK("http://agriturismo-le-quattro-stagioni.guideditalia.top/","agriturismo-le-quattro-stagioni.guideditalia.top")</f>
        <v>agriturismo-le-quattro-stagioni.guideditalia.top</v>
      </c>
    </row>
    <row r="3040" spans="1:6" ht="29.55" customHeight="1" x14ac:dyDescent="0.25">
      <c r="A3040" s="1" t="s">
        <v>12321</v>
      </c>
      <c r="B3040" s="7" t="s">
        <v>12322</v>
      </c>
      <c r="C3040" s="7" t="s">
        <v>12288</v>
      </c>
      <c r="D3040" s="7" t="s">
        <v>12323</v>
      </c>
      <c r="E3040" s="7" t="s">
        <v>12324</v>
      </c>
      <c r="F3040" s="7" t="str">
        <f>HYPERLINK("http://tallarini.com/","tallarini.com")</f>
        <v>tallarini.com</v>
      </c>
    </row>
    <row r="3041" spans="1:6" ht="29.55" customHeight="1" x14ac:dyDescent="0.25">
      <c r="A3041" s="6" t="s">
        <v>12325</v>
      </c>
      <c r="B3041" s="5" t="s">
        <v>12326</v>
      </c>
      <c r="C3041" s="5" t="s">
        <v>12288</v>
      </c>
      <c r="D3041" s="5" t="s">
        <v>12327</v>
      </c>
      <c r="E3041" s="5" t="s">
        <v>12315</v>
      </c>
      <c r="F3041" s="5" t="str">
        <f>HYPERLINK("http://www.facebook.com/aziendaagricolaleave/","www.facebook.com/aziendaagricolaleave/")</f>
        <v>www.facebook.com/aziendaagricolaleave/</v>
      </c>
    </row>
    <row r="3042" spans="1:6" ht="43.05" customHeight="1" x14ac:dyDescent="0.25">
      <c r="A3042" s="1" t="s">
        <v>12328</v>
      </c>
      <c r="B3042" s="7" t="s">
        <v>12329</v>
      </c>
      <c r="C3042" s="7" t="s">
        <v>12288</v>
      </c>
      <c r="D3042" s="7" t="s">
        <v>12330</v>
      </c>
      <c r="E3042" s="7" t="s">
        <v>12299</v>
      </c>
      <c r="F3042" s="7" t="str">
        <f>HYPERLINK("http://www.poderefrancesco.com/","www.poderefrancesco.com")</f>
        <v>www.poderefrancesco.com</v>
      </c>
    </row>
    <row r="3043" spans="1:6" ht="43.05" customHeight="1" x14ac:dyDescent="0.25">
      <c r="A3043" s="6" t="s">
        <v>12331</v>
      </c>
      <c r="B3043" s="5" t="s">
        <v>12332</v>
      </c>
      <c r="C3043" s="5" t="s">
        <v>12303</v>
      </c>
      <c r="D3043" s="5" t="s">
        <v>12333</v>
      </c>
      <c r="E3043" s="5" t="s">
        <v>12314</v>
      </c>
      <c r="F3043" s="5" t="str">
        <f>HYPERLINK("http://pietrasantaaltosalento.it/","pietrasantaaltosalento.it")</f>
        <v>pietrasantaaltosalento.it</v>
      </c>
    </row>
    <row r="3044" spans="1:6" ht="29.55" customHeight="1" x14ac:dyDescent="0.25">
      <c r="A3044" s="6" t="s">
        <v>12334</v>
      </c>
      <c r="B3044" s="5" t="s">
        <v>12335</v>
      </c>
      <c r="C3044" s="5" t="s">
        <v>12272</v>
      </c>
      <c r="D3044" s="5" t="s">
        <v>12336</v>
      </c>
      <c r="E3044" s="5" t="s">
        <v>12324</v>
      </c>
      <c r="F3044" s="5" t="str">
        <f>HYPERLINK("http://www.termoflora.it/","www.termoflora.it")</f>
        <v>www.termoflora.it</v>
      </c>
    </row>
    <row r="3045" spans="1:6" ht="43.05" customHeight="1" x14ac:dyDescent="0.25">
      <c r="A3045" s="1" t="s">
        <v>12337</v>
      </c>
      <c r="B3045" s="7" t="s">
        <v>12338</v>
      </c>
      <c r="C3045" s="7" t="s">
        <v>12339</v>
      </c>
      <c r="D3045" s="7" t="s">
        <v>12304</v>
      </c>
      <c r="E3045" s="7" t="s">
        <v>12304</v>
      </c>
      <c r="F3045" s="7" t="str">
        <f>HYPERLINK("http://www.samitzaesorcu.it/","www.samitzaesorcu.it")</f>
        <v>www.samitzaesorcu.it</v>
      </c>
    </row>
    <row r="3046" spans="1:6" ht="43.05" customHeight="1" x14ac:dyDescent="0.25">
      <c r="A3046" s="6" t="s">
        <v>12340</v>
      </c>
      <c r="B3046" s="5" t="s">
        <v>12341</v>
      </c>
      <c r="C3046" s="5" t="s">
        <v>12292</v>
      </c>
      <c r="D3046" s="5" t="s">
        <v>12273</v>
      </c>
      <c r="E3046" s="5" t="s">
        <v>12274</v>
      </c>
      <c r="F3046" s="5" t="str">
        <f>HYPERLINK("http://www.agriturismoilsolengo.it/","www.agriturismoilsolengo.it")</f>
        <v>www.agriturismoilsolengo.it</v>
      </c>
    </row>
    <row r="3047" spans="1:6" ht="81.75" customHeight="1" x14ac:dyDescent="0.25">
      <c r="A3047" s="6" t="s">
        <v>12343</v>
      </c>
      <c r="B3047" s="5" t="s">
        <v>12344</v>
      </c>
      <c r="C3047" s="5" t="s">
        <v>12345</v>
      </c>
      <c r="D3047" s="5" t="s">
        <v>12346</v>
      </c>
      <c r="E3047" s="5" t="s">
        <v>12347</v>
      </c>
      <c r="F3047" s="5" t="str">
        <f>HYPERLINK("http://www.bertonefratelli.it/","www.bertonefratelli.it")</f>
        <v>www.bertonefratelli.it</v>
      </c>
    </row>
    <row r="3048" spans="1:6" ht="16.95" customHeight="1" x14ac:dyDescent="0.25">
      <c r="A3048" s="6" t="s">
        <v>12348</v>
      </c>
      <c r="B3048" s="5" t="s">
        <v>12349</v>
      </c>
      <c r="C3048" s="5" t="s">
        <v>12350</v>
      </c>
      <c r="D3048" s="5" t="s">
        <v>12351</v>
      </c>
      <c r="E3048" s="5" t="s">
        <v>12352</v>
      </c>
      <c r="F3048" s="5" t="str">
        <f>HYPERLINK("http://www.greenservice.biz/","www.greenservice.biz")</f>
        <v>www.greenservice.biz</v>
      </c>
    </row>
    <row r="3049" spans="1:6" ht="29.55" customHeight="1" x14ac:dyDescent="0.25">
      <c r="A3049" s="1" t="s">
        <v>12355</v>
      </c>
      <c r="B3049" s="7" t="s">
        <v>12356</v>
      </c>
      <c r="C3049" s="7" t="s">
        <v>12357</v>
      </c>
      <c r="D3049" s="7" t="s">
        <v>12358</v>
      </c>
      <c r="E3049" s="7" t="s">
        <v>12354</v>
      </c>
      <c r="F3049" s="7" t="str">
        <f>HYPERLINK("http://www.palazzoriama.com/","www.palazzoriama.com")</f>
        <v>www.palazzoriama.com</v>
      </c>
    </row>
    <row r="3050" spans="1:6" ht="29.55" customHeight="1" x14ac:dyDescent="0.25">
      <c r="A3050" s="6" t="s">
        <v>12359</v>
      </c>
      <c r="B3050" s="5" t="s">
        <v>12360</v>
      </c>
      <c r="C3050" s="5" t="s">
        <v>12353</v>
      </c>
      <c r="D3050" s="5" t="s">
        <v>12361</v>
      </c>
      <c r="E3050" s="5" t="s">
        <v>12347</v>
      </c>
      <c r="F3050" s="5" t="str">
        <f>HYPERLINK("http://www.valleelvoforest.it/","www.valleelvoforest.it")</f>
        <v>www.valleelvoforest.it</v>
      </c>
    </row>
    <row r="3051" spans="1:6" ht="29.55" customHeight="1" x14ac:dyDescent="0.25">
      <c r="A3051" s="1" t="s">
        <v>12362</v>
      </c>
      <c r="B3051" s="7" t="s">
        <v>12363</v>
      </c>
      <c r="C3051" s="7" t="s">
        <v>12357</v>
      </c>
      <c r="D3051" s="7" t="s">
        <v>12364</v>
      </c>
      <c r="E3051" s="7" t="s">
        <v>12365</v>
      </c>
      <c r="F3051" s="7" t="str">
        <f>HYPERLINK("http://agricolavillacanali.com/","agricolavillacanali.com")</f>
        <v>agricolavillacanali.com</v>
      </c>
    </row>
    <row r="3052" spans="1:6" ht="29.55" customHeight="1" x14ac:dyDescent="0.25">
      <c r="A3052" s="1" t="s">
        <v>12367</v>
      </c>
      <c r="B3052" s="7" t="s">
        <v>12368</v>
      </c>
      <c r="C3052" s="7" t="s">
        <v>12366</v>
      </c>
      <c r="D3052" s="7" t="s">
        <v>12369</v>
      </c>
      <c r="E3052" s="7" t="s">
        <v>12352</v>
      </c>
      <c r="F3052" s="7" t="str">
        <f>HYPERLINK("http://www.poderelapace.com/","www.poderelapace.com")</f>
        <v>www.poderelapace.com</v>
      </c>
    </row>
    <row r="3053" spans="1:6" ht="43.05" customHeight="1" x14ac:dyDescent="0.25">
      <c r="A3053" s="6" t="s">
        <v>12370</v>
      </c>
      <c r="B3053" s="5" t="s">
        <v>12371</v>
      </c>
      <c r="C3053" s="5" t="s">
        <v>12353</v>
      </c>
      <c r="D3053" s="5" t="s">
        <v>12346</v>
      </c>
      <c r="E3053" s="5" t="s">
        <v>12347</v>
      </c>
      <c r="F3053" s="5" t="str">
        <f>HYPERLINK("http://www.elicuneo.com/","www.elicuneo.com")</f>
        <v>www.elicuneo.com</v>
      </c>
    </row>
    <row r="3054" spans="1:6" ht="55.65" customHeight="1" x14ac:dyDescent="0.25">
      <c r="A3054" s="1" t="s">
        <v>12372</v>
      </c>
      <c r="B3054" s="7" t="s">
        <v>12373</v>
      </c>
      <c r="C3054" s="7" t="s">
        <v>12345</v>
      </c>
      <c r="D3054" s="7" t="s">
        <v>12374</v>
      </c>
      <c r="E3054" s="7" t="s">
        <v>12375</v>
      </c>
      <c r="F3054" s="7" t="str">
        <f>HYPERLINK("http://www.codipe.it/","www.codipe.it")</f>
        <v>www.codipe.it</v>
      </c>
    </row>
    <row r="3055" spans="1:6" ht="43.05" customHeight="1" x14ac:dyDescent="0.25">
      <c r="A3055" s="6" t="s">
        <v>12376</v>
      </c>
      <c r="B3055" s="5" t="s">
        <v>12377</v>
      </c>
      <c r="C3055" s="5" t="s">
        <v>12366</v>
      </c>
      <c r="D3055" s="5" t="s">
        <v>12378</v>
      </c>
      <c r="E3055" s="5" t="s">
        <v>12379</v>
      </c>
      <c r="F3055" s="5" t="str">
        <f>HYPERLINK("http://www.tenutaferrata.it/","www.tenutaferrata.it")</f>
        <v>www.tenutaferrata.it</v>
      </c>
    </row>
    <row r="3056" spans="1:6" ht="29.55" customHeight="1" x14ac:dyDescent="0.25">
      <c r="A3056" s="1" t="s">
        <v>12381</v>
      </c>
      <c r="B3056" s="7" t="s">
        <v>12382</v>
      </c>
      <c r="C3056" s="7" t="s">
        <v>12380</v>
      </c>
      <c r="D3056" s="7" t="s">
        <v>12383</v>
      </c>
      <c r="E3056" s="7" t="s">
        <v>12342</v>
      </c>
      <c r="F3056" s="7" t="str">
        <f>HYPERLINK("http://www.mywlife.it/","www.mywlife.it")</f>
        <v>www.mywlife.it</v>
      </c>
    </row>
    <row r="3057" spans="1:6" ht="29.55" customHeight="1" x14ac:dyDescent="0.25">
      <c r="A3057" s="1" t="s">
        <v>12384</v>
      </c>
      <c r="B3057" s="7" t="s">
        <v>12385</v>
      </c>
      <c r="C3057" s="7" t="s">
        <v>12386</v>
      </c>
      <c r="D3057" s="7" t="s">
        <v>12387</v>
      </c>
      <c r="E3057" s="7" t="s">
        <v>12365</v>
      </c>
      <c r="F3057" s="7" t="str">
        <f>HYPERLINK("http://www.cd-horses.com/","www.cd-horses.com")</f>
        <v>www.cd-horses.com</v>
      </c>
    </row>
    <row r="3058" spans="1:6" ht="29.55" customHeight="1" x14ac:dyDescent="0.25">
      <c r="A3058" s="6" t="s">
        <v>12391</v>
      </c>
      <c r="B3058" s="5" t="s">
        <v>12392</v>
      </c>
      <c r="C3058" s="5" t="s">
        <v>12393</v>
      </c>
      <c r="D3058" s="5" t="s">
        <v>12394</v>
      </c>
      <c r="E3058" s="5" t="s">
        <v>12395</v>
      </c>
      <c r="F3058" s="5" t="str">
        <f>HYPERLINK("http://www.trebalate.it/","www.trebalate.it")</f>
        <v>www.trebalate.it</v>
      </c>
    </row>
    <row r="3059" spans="1:6" ht="43.05" customHeight="1" x14ac:dyDescent="0.25">
      <c r="A3059" s="6" t="s">
        <v>12398</v>
      </c>
      <c r="B3059" s="5" t="s">
        <v>12399</v>
      </c>
      <c r="C3059" s="5" t="s">
        <v>12400</v>
      </c>
      <c r="D3059" s="5" t="s">
        <v>12401</v>
      </c>
      <c r="E3059" s="5" t="s">
        <v>12401</v>
      </c>
      <c r="F3059" s="5" t="str">
        <f>HYPERLINK("http://www.rit.edu/","www.rit.edu")</f>
        <v>www.rit.edu</v>
      </c>
    </row>
    <row r="3060" spans="1:6" ht="29.55" customHeight="1" x14ac:dyDescent="0.25">
      <c r="A3060" s="1" t="s">
        <v>12402</v>
      </c>
      <c r="B3060" s="7" t="s">
        <v>12403</v>
      </c>
      <c r="C3060" s="7" t="s">
        <v>12404</v>
      </c>
      <c r="D3060" s="7" t="s">
        <v>12405</v>
      </c>
      <c r="E3060" s="7" t="s">
        <v>12406</v>
      </c>
      <c r="F3060" s="7" t="str">
        <f>HYPERLINK("http://lemasseriezucaro.it/","lemasseriezucaro.it")</f>
        <v>lemasseriezucaro.it</v>
      </c>
    </row>
    <row r="3061" spans="1:6" ht="68.099999999999994" customHeight="1" x14ac:dyDescent="0.25">
      <c r="A3061" s="6" t="s">
        <v>12407</v>
      </c>
      <c r="B3061" s="5" t="s">
        <v>12408</v>
      </c>
      <c r="C3061" s="5" t="s">
        <v>12409</v>
      </c>
      <c r="D3061" s="5" t="s">
        <v>12410</v>
      </c>
      <c r="E3061" s="5" t="s">
        <v>12410</v>
      </c>
      <c r="F3061" s="5" t="str">
        <f>HYPERLINK("http://www.iosonosardo.com/","www.iosonosardo.com")</f>
        <v>www.iosonosardo.com</v>
      </c>
    </row>
    <row r="3062" spans="1:6" ht="29.55" customHeight="1" x14ac:dyDescent="0.25">
      <c r="A3062" s="6" t="s">
        <v>12411</v>
      </c>
      <c r="B3062" s="5" t="s">
        <v>12412</v>
      </c>
      <c r="C3062" s="5" t="s">
        <v>12396</v>
      </c>
      <c r="D3062" s="5" t="s">
        <v>12413</v>
      </c>
      <c r="E3062" s="5" t="s">
        <v>12414</v>
      </c>
      <c r="F3062" s="5" t="str">
        <f>HYPERLINK("http://www.akrengroup.com/","www.akrengroup.com")</f>
        <v>www.akrengroup.com</v>
      </c>
    </row>
    <row r="3063" spans="1:6" ht="29.55" customHeight="1" x14ac:dyDescent="0.25">
      <c r="A3063" s="1" t="s">
        <v>12415</v>
      </c>
      <c r="B3063" s="7" t="s">
        <v>12416</v>
      </c>
      <c r="C3063" s="7" t="s">
        <v>12417</v>
      </c>
      <c r="D3063" s="7" t="s">
        <v>12418</v>
      </c>
      <c r="E3063" s="7" t="s">
        <v>12419</v>
      </c>
      <c r="F3063" s="7" t="str">
        <f>HYPERLINK("http://www.santandreavini.it/","www.santandreavini.it")</f>
        <v>www.santandreavini.it</v>
      </c>
    </row>
    <row r="3064" spans="1:6" ht="29.55" customHeight="1" x14ac:dyDescent="0.25">
      <c r="A3064" s="6" t="s">
        <v>12420</v>
      </c>
      <c r="B3064" s="5" t="s">
        <v>12421</v>
      </c>
      <c r="C3064" s="5" t="s">
        <v>12388</v>
      </c>
      <c r="D3064" s="5" t="s">
        <v>12422</v>
      </c>
      <c r="E3064" s="5" t="s">
        <v>12397</v>
      </c>
      <c r="F3064" s="5" t="str">
        <f>HYPERLINK("http://www.campriano.com/","www.campriano.com")</f>
        <v>www.campriano.com</v>
      </c>
    </row>
    <row r="3065" spans="1:6" ht="16.95" customHeight="1" x14ac:dyDescent="0.25">
      <c r="A3065" s="1" t="s">
        <v>12423</v>
      </c>
      <c r="B3065" s="7" t="s">
        <v>12424</v>
      </c>
      <c r="C3065" s="7" t="s">
        <v>12425</v>
      </c>
      <c r="D3065" s="7" t="s">
        <v>12426</v>
      </c>
      <c r="E3065" s="7" t="s">
        <v>12397</v>
      </c>
      <c r="F3065" s="7" t="str">
        <f>HYPERLINK("http://colleoli.it/","colleoli.it/")</f>
        <v>colleoli.it/</v>
      </c>
    </row>
    <row r="3066" spans="1:6" ht="29.55" customHeight="1" x14ac:dyDescent="0.25">
      <c r="A3066" s="6" t="s">
        <v>12428</v>
      </c>
      <c r="B3066" s="5" t="s">
        <v>12429</v>
      </c>
      <c r="C3066" s="5" t="s">
        <v>12396</v>
      </c>
      <c r="D3066" s="5" t="s">
        <v>12430</v>
      </c>
      <c r="E3066" s="5" t="s">
        <v>12419</v>
      </c>
      <c r="F3066" s="5" t="str">
        <f>HYPERLINK("http://www.tironeenergia.it/","www.tironeenergia.it")</f>
        <v>www.tironeenergia.it</v>
      </c>
    </row>
    <row r="3067" spans="1:6" ht="29.55" customHeight="1" x14ac:dyDescent="0.25">
      <c r="A3067" s="1" t="s">
        <v>12431</v>
      </c>
      <c r="B3067" s="7" t="s">
        <v>12432</v>
      </c>
      <c r="C3067" s="7" t="s">
        <v>12396</v>
      </c>
      <c r="D3067" s="7" t="s">
        <v>12389</v>
      </c>
      <c r="E3067" s="7" t="s">
        <v>12390</v>
      </c>
      <c r="F3067" s="7" t="str">
        <f>HYPERLINK("http://www.yesifood.eu/","www.yesifood.eu")</f>
        <v>www.yesifood.eu</v>
      </c>
    </row>
    <row r="3068" spans="1:6" ht="29.55" customHeight="1" x14ac:dyDescent="0.25">
      <c r="A3068" s="6" t="s">
        <v>12433</v>
      </c>
      <c r="B3068" s="5" t="s">
        <v>12434</v>
      </c>
      <c r="C3068" s="5" t="s">
        <v>12388</v>
      </c>
      <c r="D3068" s="5" t="s">
        <v>12435</v>
      </c>
      <c r="E3068" s="5" t="s">
        <v>12436</v>
      </c>
      <c r="F3068" s="5" t="str">
        <f>HYPERLINK("http://www.levignedisanpietro.it/","www.levignedisanpietro.it/")</f>
        <v>www.levignedisanpietro.it/</v>
      </c>
    </row>
    <row r="3069" spans="1:6" ht="43.05" customHeight="1" x14ac:dyDescent="0.25">
      <c r="A3069" s="1" t="s">
        <v>12437</v>
      </c>
      <c r="B3069" s="7" t="s">
        <v>12438</v>
      </c>
      <c r="C3069" s="7" t="s">
        <v>12400</v>
      </c>
      <c r="D3069" s="7" t="s">
        <v>12427</v>
      </c>
      <c r="E3069" s="7" t="s">
        <v>12406</v>
      </c>
      <c r="F3069" s="7" t="str">
        <f>HYPERLINK("http://www.caseificiomasi.it/","www.caseificiomasi.it")</f>
        <v>www.caseificiomasi.it</v>
      </c>
    </row>
    <row r="3070" spans="1:6" ht="29.55" customHeight="1" x14ac:dyDescent="0.25">
      <c r="A3070" s="1" t="s">
        <v>12439</v>
      </c>
      <c r="B3070" s="7" t="s">
        <v>12440</v>
      </c>
      <c r="C3070" s="7" t="s">
        <v>12441</v>
      </c>
      <c r="D3070" s="7" t="s">
        <v>12442</v>
      </c>
      <c r="E3070" s="7" t="s">
        <v>12443</v>
      </c>
      <c r="F3070" s="7" t="str">
        <f>HYPERLINK("http://www.mariniellofiume.it/","www.mariniellofiume.it")</f>
        <v>www.mariniellofiume.it</v>
      </c>
    </row>
    <row r="3071" spans="1:6" ht="29.55" customHeight="1" x14ac:dyDescent="0.25">
      <c r="A3071" s="1" t="s">
        <v>12447</v>
      </c>
      <c r="B3071" s="7" t="s">
        <v>12448</v>
      </c>
      <c r="C3071" s="7" t="s">
        <v>12449</v>
      </c>
      <c r="D3071" s="7" t="s">
        <v>12450</v>
      </c>
      <c r="E3071" s="7" t="s">
        <v>12451</v>
      </c>
      <c r="F3071" s="7" t="str">
        <f>HYPERLINK("http://www.coldicorte.it/","www.coldicorte.it")</f>
        <v>www.coldicorte.it</v>
      </c>
    </row>
    <row r="3072" spans="1:6" ht="29.55" customHeight="1" x14ac:dyDescent="0.25">
      <c r="A3072" s="6" t="s">
        <v>12452</v>
      </c>
      <c r="B3072" s="5" t="s">
        <v>12453</v>
      </c>
      <c r="C3072" s="5" t="s">
        <v>12449</v>
      </c>
      <c r="D3072" s="5" t="s">
        <v>12454</v>
      </c>
      <c r="E3072" s="5" t="s">
        <v>12455</v>
      </c>
      <c r="F3072" s="5" t="str">
        <f>HYPERLINK("http://www.paganidemarchi.com/","www.paganidemarchi.com")</f>
        <v>www.paganidemarchi.com</v>
      </c>
    </row>
    <row r="3073" spans="1:6" ht="29.55" customHeight="1" x14ac:dyDescent="0.25">
      <c r="A3073" s="6" t="s">
        <v>12458</v>
      </c>
      <c r="B3073" s="5" t="s">
        <v>12459</v>
      </c>
      <c r="C3073" s="5" t="s">
        <v>12445</v>
      </c>
      <c r="D3073" s="5" t="s">
        <v>12460</v>
      </c>
      <c r="E3073" s="5" t="s">
        <v>12457</v>
      </c>
      <c r="F3073" s="5" t="str">
        <f>HYPERLINK("http://padanafunghi.business.site/","padanafunghi.business.site/")</f>
        <v>padanafunghi.business.site/</v>
      </c>
    </row>
    <row r="3074" spans="1:6" ht="29.55" customHeight="1" x14ac:dyDescent="0.25">
      <c r="A3074" s="1" t="s">
        <v>12461</v>
      </c>
      <c r="B3074" s="7" t="s">
        <v>12462</v>
      </c>
      <c r="C3074" s="7" t="s">
        <v>12463</v>
      </c>
      <c r="D3074" s="7" t="s">
        <v>12464</v>
      </c>
      <c r="E3074" s="7" t="s">
        <v>12446</v>
      </c>
      <c r="F3074" s="7" t="str">
        <f>HYPERLINK("http://www.trapanipiante.com/","www.trapanipiante.com")</f>
        <v>www.trapanipiante.com</v>
      </c>
    </row>
    <row r="3075" spans="1:6" ht="29.55" customHeight="1" x14ac:dyDescent="0.25">
      <c r="A3075" s="6" t="s">
        <v>12465</v>
      </c>
      <c r="B3075" s="5" t="s">
        <v>12466</v>
      </c>
      <c r="C3075" s="5" t="s">
        <v>12449</v>
      </c>
      <c r="D3075" s="5" t="s">
        <v>12467</v>
      </c>
      <c r="E3075" s="5" t="s">
        <v>12457</v>
      </c>
      <c r="F3075" s="5" t="str">
        <f>HYPERLINK("http://www.fattoriasocialelacosta.com/","www.fattoriasocialelacosta.com")</f>
        <v>www.fattoriasocialelacosta.com</v>
      </c>
    </row>
    <row r="3076" spans="1:6" ht="29.55" customHeight="1" x14ac:dyDescent="0.25">
      <c r="A3076" s="1" t="s">
        <v>12469</v>
      </c>
      <c r="B3076" s="7" t="s">
        <v>12470</v>
      </c>
      <c r="C3076" s="7" t="s">
        <v>12449</v>
      </c>
      <c r="D3076" s="7" t="s">
        <v>12460</v>
      </c>
      <c r="E3076" s="7" t="s">
        <v>12457</v>
      </c>
      <c r="F3076" s="7" t="str">
        <f>HYPERLINK("http://www.cesari.it/","www.cesari.it")</f>
        <v>www.cesari.it</v>
      </c>
    </row>
    <row r="3077" spans="1:6" ht="29.55" customHeight="1" x14ac:dyDescent="0.25">
      <c r="A3077" s="1" t="s">
        <v>12471</v>
      </c>
      <c r="B3077" s="7" t="s">
        <v>12472</v>
      </c>
      <c r="C3077" s="7" t="s">
        <v>12473</v>
      </c>
      <c r="D3077" s="7" t="s">
        <v>12468</v>
      </c>
      <c r="E3077" s="7" t="s">
        <v>12455</v>
      </c>
      <c r="F3077" s="7" t="str">
        <f>HYPERLINK("http://www.villazelma.it/","www.villazelma.it")</f>
        <v>www.villazelma.it</v>
      </c>
    </row>
    <row r="3078" spans="1:6" ht="29.55" customHeight="1" x14ac:dyDescent="0.25">
      <c r="A3078" s="6" t="s">
        <v>12474</v>
      </c>
      <c r="B3078" s="5" t="s">
        <v>12475</v>
      </c>
      <c r="C3078" s="5" t="s">
        <v>12473</v>
      </c>
      <c r="D3078" s="5" t="s">
        <v>12476</v>
      </c>
      <c r="E3078" s="5" t="s">
        <v>12444</v>
      </c>
      <c r="F3078" s="5" t="str">
        <f>HYPERLINK("http://contesalentino.it/","contesalentino.it")</f>
        <v>contesalentino.it</v>
      </c>
    </row>
    <row r="3079" spans="1:6" ht="43.05" customHeight="1" x14ac:dyDescent="0.25">
      <c r="A3079" s="1" t="s">
        <v>12477</v>
      </c>
      <c r="B3079" s="7" t="s">
        <v>12478</v>
      </c>
      <c r="C3079" s="7" t="s">
        <v>12456</v>
      </c>
      <c r="D3079" s="7" t="s">
        <v>12479</v>
      </c>
      <c r="E3079" s="7" t="s">
        <v>12480</v>
      </c>
      <c r="F3079" s="7" t="str">
        <f>HYPERLINK("http://www.facebook.com/murazzanopenta/","www.facebook.com/murazzanopenta/")</f>
        <v>www.facebook.com/murazzanopenta/</v>
      </c>
    </row>
    <row r="3080" spans="1:6" ht="55.65" customHeight="1" x14ac:dyDescent="0.25">
      <c r="A3080" s="1" t="s">
        <v>12481</v>
      </c>
      <c r="B3080" s="7" t="s">
        <v>12482</v>
      </c>
      <c r="C3080" s="7" t="s">
        <v>12473</v>
      </c>
      <c r="D3080" s="7" t="s">
        <v>12483</v>
      </c>
      <c r="E3080" s="7" t="s">
        <v>12484</v>
      </c>
      <c r="F3080" s="7" t="str">
        <f>HYPERLINK("http://oleificioguardea.it/","oleificioguardea.it")</f>
        <v>oleificioguardea.it</v>
      </c>
    </row>
    <row r="3081" spans="1:6" ht="16.95" customHeight="1" x14ac:dyDescent="0.25">
      <c r="A3081" s="6" t="s">
        <v>12485</v>
      </c>
      <c r="B3081" s="5" t="s">
        <v>12486</v>
      </c>
      <c r="C3081" s="5" t="s">
        <v>12449</v>
      </c>
      <c r="D3081" s="5" t="s">
        <v>12454</v>
      </c>
      <c r="E3081" s="5" t="s">
        <v>12455</v>
      </c>
      <c r="F3081" s="5" t="str">
        <f>HYPERLINK("http://www.varramista.it/","www.varramista.it")</f>
        <v>www.varramista.it</v>
      </c>
    </row>
    <row r="3082" spans="1:6" ht="29.55" customHeight="1" x14ac:dyDescent="0.25">
      <c r="A3082" s="6" t="s">
        <v>12493</v>
      </c>
      <c r="B3082" s="5" t="s">
        <v>12494</v>
      </c>
      <c r="C3082" s="5" t="s">
        <v>12495</v>
      </c>
      <c r="D3082" s="5" t="s">
        <v>12496</v>
      </c>
      <c r="E3082" s="5" t="s">
        <v>12497</v>
      </c>
      <c r="F3082" s="5" t="str">
        <f>HYPERLINK("http://www.lebanzole.it/","www.lebanzole.it")</f>
        <v>www.lebanzole.it</v>
      </c>
    </row>
    <row r="3083" spans="1:6" ht="29.55" customHeight="1" x14ac:dyDescent="0.25">
      <c r="A3083" s="1" t="s">
        <v>12500</v>
      </c>
      <c r="B3083" s="7" t="s">
        <v>12501</v>
      </c>
      <c r="C3083" s="7" t="s">
        <v>12489</v>
      </c>
      <c r="D3083" s="7" t="s">
        <v>12502</v>
      </c>
      <c r="E3083" s="7" t="s">
        <v>12488</v>
      </c>
      <c r="F3083" s="7" t="str">
        <f>HYPERLINK("http://naturaiblea.it/","naturaiblea.it")</f>
        <v>naturaiblea.it</v>
      </c>
    </row>
    <row r="3084" spans="1:6" ht="43.05" customHeight="1" x14ac:dyDescent="0.25">
      <c r="A3084" s="1" t="s">
        <v>12504</v>
      </c>
      <c r="B3084" s="7" t="s">
        <v>12505</v>
      </c>
      <c r="C3084" s="7" t="s">
        <v>12499</v>
      </c>
      <c r="D3084" s="7" t="s">
        <v>12506</v>
      </c>
      <c r="E3084" s="7" t="s">
        <v>12507</v>
      </c>
      <c r="F3084" s="7" t="str">
        <f>HYPERLINK("http://www.broccolofiolaro-fioi.it/","www.broccolofiolaro-fioi.it")</f>
        <v>www.broccolofiolaro-fioi.it</v>
      </c>
    </row>
    <row r="3085" spans="1:6" ht="43.05" customHeight="1" x14ac:dyDescent="0.25">
      <c r="A3085" s="6" t="s">
        <v>12508</v>
      </c>
      <c r="B3085" s="5" t="s">
        <v>12509</v>
      </c>
      <c r="C3085" s="5" t="s">
        <v>12510</v>
      </c>
      <c r="D3085" s="5" t="s">
        <v>12511</v>
      </c>
      <c r="E3085" s="5" t="s">
        <v>12492</v>
      </c>
      <c r="F3085" s="5" t="str">
        <f>HYPERLINK("http://www.casacomerci.it/","www.casacomerci.it")</f>
        <v>www.casacomerci.it</v>
      </c>
    </row>
    <row r="3086" spans="1:6" ht="29.55" customHeight="1" x14ac:dyDescent="0.25">
      <c r="A3086" s="1" t="s">
        <v>12513</v>
      </c>
      <c r="B3086" s="7" t="s">
        <v>12514</v>
      </c>
      <c r="C3086" s="7" t="s">
        <v>12510</v>
      </c>
      <c r="D3086" s="7" t="s">
        <v>12515</v>
      </c>
      <c r="E3086" s="7" t="s">
        <v>12516</v>
      </c>
      <c r="F3086" s="7" t="str">
        <f>HYPERLINK("http://sassaia.com/","sassaia.com")</f>
        <v>sassaia.com</v>
      </c>
    </row>
    <row r="3087" spans="1:6" ht="29.55" customHeight="1" x14ac:dyDescent="0.25">
      <c r="A3087" s="6" t="s">
        <v>12517</v>
      </c>
      <c r="B3087" s="5" t="s">
        <v>12518</v>
      </c>
      <c r="C3087" s="5" t="s">
        <v>12510</v>
      </c>
      <c r="D3087" s="5" t="s">
        <v>12503</v>
      </c>
      <c r="E3087" s="5" t="s">
        <v>12488</v>
      </c>
      <c r="F3087" s="5" t="str">
        <f>HYPERLINK("http://gagliovignaioli.com/","gagliovignaioli.com")</f>
        <v>gagliovignaioli.com</v>
      </c>
    </row>
    <row r="3088" spans="1:6" ht="81.75" customHeight="1" x14ac:dyDescent="0.25">
      <c r="A3088" s="6" t="s">
        <v>12519</v>
      </c>
      <c r="B3088" s="5" t="s">
        <v>12520</v>
      </c>
      <c r="C3088" s="5" t="s">
        <v>12487</v>
      </c>
      <c r="D3088" s="5" t="s">
        <v>12521</v>
      </c>
      <c r="E3088" s="5" t="s">
        <v>12522</v>
      </c>
      <c r="F3088" s="5" t="str">
        <f>HYPERLINK("http://oroliguria.com/","oroliguria.com")</f>
        <v>oroliguria.com</v>
      </c>
    </row>
    <row r="3089" spans="1:6" ht="29.55" customHeight="1" x14ac:dyDescent="0.25">
      <c r="A3089" s="1" t="s">
        <v>12523</v>
      </c>
      <c r="B3089" s="7" t="s">
        <v>12524</v>
      </c>
      <c r="C3089" s="7" t="s">
        <v>12525</v>
      </c>
      <c r="D3089" s="7" t="s">
        <v>12512</v>
      </c>
      <c r="E3089" s="7" t="s">
        <v>12498</v>
      </c>
      <c r="F3089" s="7" t="str">
        <f>HYPERLINK("http://www.vivaioianniello.it/","www.vivaioianniello.it")</f>
        <v>www.vivaioianniello.it</v>
      </c>
    </row>
    <row r="3090" spans="1:6" ht="29.55" customHeight="1" x14ac:dyDescent="0.25">
      <c r="A3090" s="6" t="s">
        <v>12526</v>
      </c>
      <c r="B3090" s="5" t="s">
        <v>12527</v>
      </c>
      <c r="C3090" s="5" t="s">
        <v>12510</v>
      </c>
      <c r="D3090" s="5" t="s">
        <v>12528</v>
      </c>
      <c r="E3090" s="5" t="s">
        <v>12488</v>
      </c>
      <c r="F3090" s="5" t="str">
        <f>HYPERLINK("http://www.masseriadelfeudo.it/","www.masseriadelfeudo.it")</f>
        <v>www.masseriadelfeudo.it</v>
      </c>
    </row>
    <row r="3091" spans="1:6" ht="29.55" customHeight="1" x14ac:dyDescent="0.25">
      <c r="A3091" s="1" t="s">
        <v>12529</v>
      </c>
      <c r="B3091" s="7" t="s">
        <v>12530</v>
      </c>
      <c r="C3091" s="7" t="s">
        <v>12495</v>
      </c>
      <c r="D3091" s="7" t="s">
        <v>12531</v>
      </c>
      <c r="E3091" s="7" t="s">
        <v>12516</v>
      </c>
      <c r="F3091" s="7" t="str">
        <f>HYPERLINK("http://www.fontanacervo.it/","www.fontanacervo.it")</f>
        <v>www.fontanacervo.it</v>
      </c>
    </row>
    <row r="3092" spans="1:6" ht="43.05" customHeight="1" x14ac:dyDescent="0.25">
      <c r="A3092" s="6" t="s">
        <v>12532</v>
      </c>
      <c r="B3092" s="5" t="s">
        <v>12533</v>
      </c>
      <c r="C3092" s="5" t="s">
        <v>12534</v>
      </c>
      <c r="D3092" s="5" t="s">
        <v>12512</v>
      </c>
      <c r="E3092" s="5" t="s">
        <v>12498</v>
      </c>
      <c r="F3092" s="5" t="str">
        <f>HYPERLINK("http://agricando.it/","agricando.it")</f>
        <v>agricando.it</v>
      </c>
    </row>
    <row r="3093" spans="1:6" ht="29.55" customHeight="1" x14ac:dyDescent="0.25">
      <c r="A3093" s="1" t="s">
        <v>12535</v>
      </c>
      <c r="B3093" s="7" t="s">
        <v>12536</v>
      </c>
      <c r="C3093" s="7" t="s">
        <v>12510</v>
      </c>
      <c r="D3093" s="7" t="s">
        <v>12537</v>
      </c>
      <c r="E3093" s="7" t="s">
        <v>12538</v>
      </c>
      <c r="F3093" s="7" t="str">
        <f>HYPERLINK("http://en.thevinumwinery.com/","en.thevinumwinery.com")</f>
        <v>en.thevinumwinery.com</v>
      </c>
    </row>
    <row r="3094" spans="1:6" ht="16.95" customHeight="1" x14ac:dyDescent="0.25">
      <c r="A3094" s="6" t="s">
        <v>12539</v>
      </c>
      <c r="B3094" s="5" t="s">
        <v>12540</v>
      </c>
      <c r="C3094" s="5" t="s">
        <v>12541</v>
      </c>
      <c r="D3094" s="5" t="s">
        <v>12490</v>
      </c>
      <c r="E3094" s="5" t="s">
        <v>12491</v>
      </c>
      <c r="F3094" s="5" t="str">
        <f>HYPERLINK("http://www.pizzogallo.it/","www.pizzogallo.it")</f>
        <v>www.pizzogallo.it</v>
      </c>
    </row>
    <row r="3095" spans="1:6" ht="81.75" customHeight="1" x14ac:dyDescent="0.25">
      <c r="A3095" s="1" t="s">
        <v>12546</v>
      </c>
      <c r="B3095" s="7" t="s">
        <v>12547</v>
      </c>
      <c r="C3095" s="7" t="s">
        <v>12542</v>
      </c>
      <c r="D3095" s="7" t="s">
        <v>12548</v>
      </c>
      <c r="E3095" s="7" t="s">
        <v>12549</v>
      </c>
      <c r="F3095" s="7" t="str">
        <f>HYPERLINK("http://www.labadiola.it/","www.labadiola.it")</f>
        <v>www.labadiola.it</v>
      </c>
    </row>
    <row r="3096" spans="1:6" ht="29.55" customHeight="1" x14ac:dyDescent="0.25">
      <c r="A3096" s="6" t="s">
        <v>12551</v>
      </c>
      <c r="B3096" s="5" t="s">
        <v>12552</v>
      </c>
      <c r="C3096" s="5" t="s">
        <v>12542</v>
      </c>
      <c r="D3096" s="5" t="s">
        <v>12553</v>
      </c>
      <c r="E3096" s="5" t="s">
        <v>12545</v>
      </c>
      <c r="F3096" s="5" t="str">
        <f>HYPERLINK("http://www.cantinevilladora.com/","www.cantinevilladora.com")</f>
        <v>www.cantinevilladora.com</v>
      </c>
    </row>
    <row r="3097" spans="1:6" ht="43.05" customHeight="1" x14ac:dyDescent="0.25">
      <c r="A3097" s="1" t="s">
        <v>12555</v>
      </c>
      <c r="B3097" s="7" t="s">
        <v>12556</v>
      </c>
      <c r="C3097" s="7" t="s">
        <v>12543</v>
      </c>
      <c r="D3097" s="7" t="s">
        <v>12557</v>
      </c>
      <c r="E3097" s="7" t="s">
        <v>12544</v>
      </c>
      <c r="F3097" s="7" t="str">
        <f>HYPERLINK("http://linktr.ee/agricolabergamina","linktr.ee/agricolabergamina")</f>
        <v>linktr.ee/agricolabergamina</v>
      </c>
    </row>
    <row r="3098" spans="1:6" ht="29.55" customHeight="1" x14ac:dyDescent="0.25">
      <c r="A3098" s="1" t="s">
        <v>12559</v>
      </c>
      <c r="B3098" s="7" t="s">
        <v>12560</v>
      </c>
      <c r="C3098" s="7" t="s">
        <v>12554</v>
      </c>
      <c r="D3098" s="7" t="s">
        <v>12561</v>
      </c>
      <c r="E3098" s="7" t="s">
        <v>12562</v>
      </c>
      <c r="F3098" s="7" t="str">
        <f>HYPERLINK("http://www.aziendaagricolaterraesole.com/","www.aziendaagricolaterraesole.com")</f>
        <v>www.aziendaagricolaterraesole.com</v>
      </c>
    </row>
    <row r="3099" spans="1:6" ht="16.95" customHeight="1" x14ac:dyDescent="0.25">
      <c r="A3099" s="1" t="s">
        <v>12563</v>
      </c>
      <c r="B3099" s="7" t="s">
        <v>12564</v>
      </c>
      <c r="C3099" s="7" t="s">
        <v>12542</v>
      </c>
      <c r="D3099" s="7" t="s">
        <v>12565</v>
      </c>
      <c r="E3099" s="7" t="s">
        <v>12558</v>
      </c>
      <c r="F3099" s="7" t="str">
        <f>HYPERLINK("http://alparcoagriturismo.it/","alparcoagriturismo.it")</f>
        <v>alparcoagriturismo.it</v>
      </c>
    </row>
    <row r="3100" spans="1:6" ht="16.95" customHeight="1" x14ac:dyDescent="0.25">
      <c r="A3100" s="6" t="s">
        <v>12566</v>
      </c>
      <c r="B3100" s="5" t="s">
        <v>12567</v>
      </c>
      <c r="C3100" s="5" t="s">
        <v>12568</v>
      </c>
      <c r="D3100" s="5" t="s">
        <v>12569</v>
      </c>
      <c r="E3100" s="5" t="s">
        <v>12550</v>
      </c>
      <c r="F3100" s="5" t="str">
        <f>HYPERLINK("http://www.primeevolution.com/","www.primeevolution.com")</f>
        <v>www.primeevolution.com</v>
      </c>
    </row>
    <row r="3101" spans="1:6" ht="29.55" customHeight="1" x14ac:dyDescent="0.25">
      <c r="A3101" s="6" t="s">
        <v>12575</v>
      </c>
      <c r="B3101" s="5" t="s">
        <v>12576</v>
      </c>
      <c r="C3101" s="5" t="s">
        <v>12570</v>
      </c>
      <c r="D3101" s="5" t="s">
        <v>12577</v>
      </c>
      <c r="E3101" s="5" t="s">
        <v>12578</v>
      </c>
      <c r="F3101" s="5" t="str">
        <f>HYPERLINK("http://www.caseificiodionisi.it/","www.caseificiodionisi.it")</f>
        <v>www.caseificiodionisi.it</v>
      </c>
    </row>
    <row r="3102" spans="1:6" ht="29.55" customHeight="1" x14ac:dyDescent="0.25">
      <c r="A3102" s="6" t="s">
        <v>12585</v>
      </c>
      <c r="B3102" s="5" t="s">
        <v>12586</v>
      </c>
      <c r="C3102" s="5" t="s">
        <v>12587</v>
      </c>
      <c r="D3102" s="5" t="s">
        <v>12588</v>
      </c>
      <c r="E3102" s="5" t="s">
        <v>12580</v>
      </c>
      <c r="F3102" s="5" t="str">
        <f>HYPERLINK("http://perscelta.it/","perscelta.it")</f>
        <v>perscelta.it</v>
      </c>
    </row>
    <row r="3103" spans="1:6" ht="29.55" customHeight="1" x14ac:dyDescent="0.25">
      <c r="A3103" s="1" t="s">
        <v>12589</v>
      </c>
      <c r="B3103" s="7" t="s">
        <v>12590</v>
      </c>
      <c r="C3103" s="7" t="s">
        <v>12572</v>
      </c>
      <c r="D3103" s="7" t="s">
        <v>12591</v>
      </c>
      <c r="E3103" s="7" t="s">
        <v>12571</v>
      </c>
      <c r="F3103" s="7" t="str">
        <f>HYPERLINK("http://www.ilcastagne.it/","www.ilcastagne.it")</f>
        <v>www.ilcastagne.it</v>
      </c>
    </row>
    <row r="3104" spans="1:6" ht="29.55" customHeight="1" x14ac:dyDescent="0.25">
      <c r="A3104" s="1" t="s">
        <v>12592</v>
      </c>
      <c r="B3104" s="7" t="s">
        <v>12593</v>
      </c>
      <c r="C3104" s="7" t="s">
        <v>12594</v>
      </c>
      <c r="D3104" s="7" t="s">
        <v>12581</v>
      </c>
      <c r="E3104" s="7" t="s">
        <v>12582</v>
      </c>
      <c r="F3104" s="7" t="str">
        <f>HYPERLINK("http://www.tenutadifassia.it/","www.tenutadifassia.it")</f>
        <v>www.tenutadifassia.it</v>
      </c>
    </row>
    <row r="3105" spans="1:6" ht="29.55" customHeight="1" x14ac:dyDescent="0.25">
      <c r="A3105" s="6" t="s">
        <v>12595</v>
      </c>
      <c r="B3105" s="5" t="s">
        <v>12596</v>
      </c>
      <c r="C3105" s="5" t="s">
        <v>12597</v>
      </c>
      <c r="D3105" s="5" t="s">
        <v>12591</v>
      </c>
      <c r="E3105" s="5" t="s">
        <v>12571</v>
      </c>
      <c r="F3105" s="5" t="str">
        <f>HYPERLINK("http://cantinadei5sogni.com/","cantinadei5sogni.com")</f>
        <v>cantinadei5sogni.com</v>
      </c>
    </row>
    <row r="3106" spans="1:6" ht="29.55" customHeight="1" x14ac:dyDescent="0.25">
      <c r="A3106" s="6" t="s">
        <v>12598</v>
      </c>
      <c r="B3106" s="5" t="s">
        <v>12599</v>
      </c>
      <c r="C3106" s="5" t="s">
        <v>12597</v>
      </c>
      <c r="D3106" s="5" t="s">
        <v>12600</v>
      </c>
      <c r="E3106" s="5" t="s">
        <v>12600</v>
      </c>
      <c r="F3106" s="5" t="str">
        <f>HYPERLINK("http://www.tenutesmeralda.it/","www.tenutesmeralda.it")</f>
        <v>www.tenutesmeralda.it</v>
      </c>
    </row>
    <row r="3107" spans="1:6" ht="29.55" customHeight="1" x14ac:dyDescent="0.25">
      <c r="A3107" s="1" t="s">
        <v>12601</v>
      </c>
      <c r="B3107" s="7" t="s">
        <v>12602</v>
      </c>
      <c r="C3107" s="7" t="s">
        <v>12584</v>
      </c>
      <c r="D3107" s="7" t="s">
        <v>12574</v>
      </c>
      <c r="E3107" s="7" t="s">
        <v>12573</v>
      </c>
      <c r="F3107" s="7" t="str">
        <f>HYPERLINK("http://www.ortofrutta-milellasrl.it/","www.ortofrutta-milellasrl.it")</f>
        <v>www.ortofrutta-milellasrl.it</v>
      </c>
    </row>
    <row r="3108" spans="1:6" ht="43.05" customHeight="1" x14ac:dyDescent="0.25">
      <c r="A3108" s="1" t="s">
        <v>12603</v>
      </c>
      <c r="B3108" s="7" t="s">
        <v>12604</v>
      </c>
      <c r="C3108" s="7" t="s">
        <v>12583</v>
      </c>
      <c r="D3108" s="7" t="s">
        <v>12579</v>
      </c>
      <c r="E3108" s="7" t="s">
        <v>12580</v>
      </c>
      <c r="F3108" s="7" t="str">
        <f>HYPERLINK("http://www.calesuore.it/","www.calesuore.it")</f>
        <v>www.calesuore.it</v>
      </c>
    </row>
    <row r="3109" spans="1:6" ht="29.55" customHeight="1" x14ac:dyDescent="0.25">
      <c r="A3109" s="1" t="s">
        <v>12606</v>
      </c>
      <c r="B3109" s="7" t="s">
        <v>12607</v>
      </c>
      <c r="C3109" s="7" t="s">
        <v>12608</v>
      </c>
      <c r="D3109" s="7" t="s">
        <v>12609</v>
      </c>
      <c r="E3109" s="7" t="s">
        <v>12605</v>
      </c>
      <c r="F3109" s="7" t="str">
        <f>HYPERLINK("http://www.agriturismovalleverde.com/","www.agriturismovalleverde.com")</f>
        <v>www.agriturismovalleverde.com</v>
      </c>
    </row>
    <row r="3110" spans="1:6" ht="43.05" customHeight="1" x14ac:dyDescent="0.25">
      <c r="A3110" s="1" t="s">
        <v>12614</v>
      </c>
      <c r="B3110" s="7" t="s">
        <v>12615</v>
      </c>
      <c r="C3110" s="7" t="s">
        <v>12616</v>
      </c>
      <c r="D3110" s="7" t="s">
        <v>12617</v>
      </c>
      <c r="E3110" s="7" t="s">
        <v>12618</v>
      </c>
      <c r="F3110" s="7" t="str">
        <f>HYPERLINK("http://www.puntoverdevivai.it/","www.puntoverdevivai.it")</f>
        <v>www.puntoverdevivai.it</v>
      </c>
    </row>
    <row r="3111" spans="1:6" ht="29.55" customHeight="1" x14ac:dyDescent="0.25">
      <c r="A3111" s="6" t="s">
        <v>12619</v>
      </c>
      <c r="B3111" s="5" t="s">
        <v>12620</v>
      </c>
      <c r="C3111" s="5" t="s">
        <v>12610</v>
      </c>
      <c r="D3111" s="5" t="s">
        <v>12621</v>
      </c>
      <c r="E3111" s="5" t="s">
        <v>12622</v>
      </c>
      <c r="F3111" s="5" t="str">
        <f>HYPERLINK("http://www.laferriera.it/","www.laferriera.it")</f>
        <v>www.laferriera.it</v>
      </c>
    </row>
    <row r="3112" spans="1:6" ht="29.55" customHeight="1" x14ac:dyDescent="0.25">
      <c r="A3112" s="1" t="s">
        <v>12623</v>
      </c>
      <c r="B3112" s="7" t="s">
        <v>12624</v>
      </c>
      <c r="C3112" s="7" t="s">
        <v>12625</v>
      </c>
      <c r="D3112" s="7" t="s">
        <v>12626</v>
      </c>
      <c r="E3112" s="7" t="s">
        <v>12627</v>
      </c>
      <c r="F3112" s="7" t="str">
        <f>HYPERLINK("http://www.scequiric.it/","www.scequiric.it")</f>
        <v>www.scequiric.it</v>
      </c>
    </row>
    <row r="3113" spans="1:6" ht="68.099999999999994" customHeight="1" x14ac:dyDescent="0.25">
      <c r="A3113" s="6" t="s">
        <v>12628</v>
      </c>
      <c r="B3113" s="5" t="s">
        <v>12629</v>
      </c>
      <c r="C3113" s="5" t="s">
        <v>12613</v>
      </c>
      <c r="D3113" s="5" t="s">
        <v>12630</v>
      </c>
      <c r="E3113" s="5" t="s">
        <v>12622</v>
      </c>
      <c r="F3113" s="5" t="str">
        <f>HYPERLINK("http://www.terrasabina.it/","www.terrasabina.it")</f>
        <v>www.terrasabina.it</v>
      </c>
    </row>
    <row r="3114" spans="1:6" ht="29.55" customHeight="1" x14ac:dyDescent="0.25">
      <c r="A3114" s="6" t="s">
        <v>12633</v>
      </c>
      <c r="B3114" s="5" t="s">
        <v>12634</v>
      </c>
      <c r="C3114" s="5" t="s">
        <v>12635</v>
      </c>
      <c r="D3114" s="5" t="s">
        <v>12611</v>
      </c>
      <c r="E3114" s="5" t="s">
        <v>12612</v>
      </c>
      <c r="F3114" s="5" t="str">
        <f>HYPERLINK("http://www.confcooperative.net/","www.confcooperative.net")</f>
        <v>www.confcooperative.net</v>
      </c>
    </row>
    <row r="3115" spans="1:6" ht="29.55" customHeight="1" x14ac:dyDescent="0.25">
      <c r="A3115" s="6" t="s">
        <v>12637</v>
      </c>
      <c r="B3115" s="5" t="s">
        <v>12638</v>
      </c>
      <c r="C3115" s="5" t="s">
        <v>12610</v>
      </c>
      <c r="D3115" s="5" t="s">
        <v>12639</v>
      </c>
      <c r="E3115" s="5" t="s">
        <v>12612</v>
      </c>
      <c r="F3115" s="5" t="str">
        <f>HYPERLINK("http://www.feudoluparello.com/","www.feudoluparello.com")</f>
        <v>www.feudoluparello.com</v>
      </c>
    </row>
    <row r="3116" spans="1:6" ht="29.55" customHeight="1" x14ac:dyDescent="0.25">
      <c r="A3116" s="1" t="s">
        <v>12640</v>
      </c>
      <c r="B3116" s="7" t="s">
        <v>12641</v>
      </c>
      <c r="C3116" s="7" t="s">
        <v>12610</v>
      </c>
      <c r="D3116" s="7" t="s">
        <v>12642</v>
      </c>
      <c r="E3116" s="7" t="s">
        <v>12643</v>
      </c>
      <c r="F3116" s="7" t="str">
        <f>HYPERLINK("http://www.poderedellangelo.eu/","www.poderedellangelo.eu")</f>
        <v>www.poderedellangelo.eu</v>
      </c>
    </row>
    <row r="3117" spans="1:6" ht="81.75" customHeight="1" x14ac:dyDescent="0.25">
      <c r="A3117" s="6" t="s">
        <v>12644</v>
      </c>
      <c r="B3117" s="5" t="s">
        <v>12645</v>
      </c>
      <c r="C3117" s="5" t="s">
        <v>12636</v>
      </c>
      <c r="D3117" s="5" t="s">
        <v>12632</v>
      </c>
      <c r="E3117" s="5" t="s">
        <v>12631</v>
      </c>
      <c r="F3117" s="5" t="str">
        <f>HYPERLINK("http://www.ridolla.com/","www.ridolla.com")</f>
        <v>www.ridolla.com</v>
      </c>
    </row>
    <row r="3118" spans="1:6" ht="29.55" customHeight="1" x14ac:dyDescent="0.25">
      <c r="A3118" s="1" t="s">
        <v>12646</v>
      </c>
      <c r="B3118" s="7" t="s">
        <v>12647</v>
      </c>
      <c r="C3118" s="7" t="s">
        <v>12648</v>
      </c>
      <c r="D3118" s="7" t="s">
        <v>12649</v>
      </c>
      <c r="E3118" s="7" t="s">
        <v>12612</v>
      </c>
      <c r="F3118" s="7" t="str">
        <f>HYPERLINK("http://www.agriturismocarbona.it/","www.agriturismocarbona.it")</f>
        <v>www.agriturismocarbona.it</v>
      </c>
    </row>
    <row r="3119" spans="1:6" ht="29.55" customHeight="1" x14ac:dyDescent="0.25">
      <c r="A3119" s="6" t="s">
        <v>12650</v>
      </c>
      <c r="B3119" s="5" t="s">
        <v>12651</v>
      </c>
      <c r="C3119" s="5" t="s">
        <v>12652</v>
      </c>
      <c r="D3119" s="5" t="s">
        <v>12626</v>
      </c>
      <c r="E3119" s="5" t="s">
        <v>12627</v>
      </c>
      <c r="F3119" s="5" t="str">
        <f>HYPERLINK("http://www.carpinaia.it/","www.carpinaia.it")</f>
        <v>www.carpinaia.it</v>
      </c>
    </row>
    <row r="3120" spans="1:6" ht="29.55" customHeight="1" x14ac:dyDescent="0.25">
      <c r="A3120" s="1" t="s">
        <v>12653</v>
      </c>
      <c r="B3120" s="7" t="s">
        <v>12654</v>
      </c>
      <c r="C3120" s="7" t="s">
        <v>12610</v>
      </c>
      <c r="D3120" s="7" t="s">
        <v>12655</v>
      </c>
      <c r="E3120" s="7" t="s">
        <v>12656</v>
      </c>
      <c r="F3120" s="7" t="str">
        <f>HYPERLINK("http://www.lacanosaagricola.it/","www.lacanosaagricola.it")</f>
        <v>www.lacanosaagricola.it</v>
      </c>
    </row>
    <row r="3121" spans="1:6" ht="43.05" customHeight="1" x14ac:dyDescent="0.25">
      <c r="A3121" s="6" t="s">
        <v>12657</v>
      </c>
      <c r="B3121" s="5" t="s">
        <v>12658</v>
      </c>
      <c r="C3121" s="5" t="s">
        <v>12610</v>
      </c>
      <c r="D3121" s="5" t="s">
        <v>12659</v>
      </c>
      <c r="E3121" s="5" t="s">
        <v>12627</v>
      </c>
      <c r="F3121" s="5" t="str">
        <f>HYPERLINK("http://www.fattoriaillago.com/","www.fattoriaillago.com")</f>
        <v>www.fattoriaillago.com</v>
      </c>
    </row>
    <row r="3122" spans="1:6" ht="29.55" customHeight="1" x14ac:dyDescent="0.25">
      <c r="A3122" s="6" t="s">
        <v>12663</v>
      </c>
      <c r="B3122" s="5" t="s">
        <v>12664</v>
      </c>
      <c r="C3122" s="5" t="s">
        <v>12665</v>
      </c>
      <c r="D3122" s="5" t="s">
        <v>12666</v>
      </c>
      <c r="E3122" s="5" t="s">
        <v>12667</v>
      </c>
      <c r="F3122" s="5" t="str">
        <f>HYPERLINK("http://pomario.it/","pomario.it")</f>
        <v>pomario.it</v>
      </c>
    </row>
    <row r="3123" spans="1:6" ht="68.099999999999994" customHeight="1" x14ac:dyDescent="0.25">
      <c r="A3123" s="6" t="s">
        <v>12671</v>
      </c>
      <c r="B3123" s="5" t="s">
        <v>12672</v>
      </c>
      <c r="C3123" s="5" t="s">
        <v>12669</v>
      </c>
      <c r="D3123" s="5" t="s">
        <v>12673</v>
      </c>
      <c r="E3123" s="5" t="s">
        <v>12670</v>
      </c>
      <c r="F3123" s="5" t="str">
        <f>HYPERLINK("http://www.bancacentroemilia.it/annuario","www.bancacentroemilia.it/annuario")</f>
        <v>www.bancacentroemilia.it/annuario</v>
      </c>
    </row>
    <row r="3124" spans="1:6" ht="29.55" customHeight="1" x14ac:dyDescent="0.25">
      <c r="A3124" s="6" t="s">
        <v>12674</v>
      </c>
      <c r="B3124" s="5" t="s">
        <v>12675</v>
      </c>
      <c r="C3124" s="5" t="s">
        <v>12668</v>
      </c>
      <c r="D3124" s="5" t="s">
        <v>12673</v>
      </c>
      <c r="E3124" s="5" t="s">
        <v>12670</v>
      </c>
      <c r="F3124" s="5" t="str">
        <f>HYPERLINK("http://www.arvaia.it/","www.arvaia.it")</f>
        <v>www.arvaia.it</v>
      </c>
    </row>
    <row r="3125" spans="1:6" ht="43.05" customHeight="1" x14ac:dyDescent="0.25">
      <c r="A3125" s="6" t="s">
        <v>12676</v>
      </c>
      <c r="B3125" s="5" t="s">
        <v>12677</v>
      </c>
      <c r="C3125" s="5" t="s">
        <v>12665</v>
      </c>
      <c r="D3125" s="5" t="s">
        <v>12666</v>
      </c>
      <c r="E3125" s="5" t="s">
        <v>12667</v>
      </c>
      <c r="F3125" s="5" t="str">
        <f>HYPERLINK("http://www.giansantigioiellerie.it/","www.giansantigioiellerie.it")</f>
        <v>www.giansantigioiellerie.it</v>
      </c>
    </row>
    <row r="3126" spans="1:6" ht="29.55" customHeight="1" x14ac:dyDescent="0.25">
      <c r="A3126" s="1" t="s">
        <v>12679</v>
      </c>
      <c r="B3126" s="7" t="s">
        <v>12680</v>
      </c>
      <c r="C3126" s="7" t="s">
        <v>12678</v>
      </c>
      <c r="D3126" s="7" t="s">
        <v>12681</v>
      </c>
      <c r="E3126" s="7" t="s">
        <v>12660</v>
      </c>
      <c r="F3126" s="7" t="str">
        <f>HYPERLINK("http://www.villapane.com/","www.villapane.com")</f>
        <v>www.villapane.com</v>
      </c>
    </row>
    <row r="3127" spans="1:6" ht="29.55" customHeight="1" x14ac:dyDescent="0.25">
      <c r="A3127" s="6" t="s">
        <v>12682</v>
      </c>
      <c r="B3127" s="5" t="s">
        <v>12683</v>
      </c>
      <c r="C3127" s="5" t="s">
        <v>12662</v>
      </c>
      <c r="D3127" s="5" t="s">
        <v>12684</v>
      </c>
      <c r="E3127" s="5" t="s">
        <v>12661</v>
      </c>
      <c r="F3127" s="5" t="str">
        <f>HYPERLINK("http://www.letorri.net/","www.letorri.net")</f>
        <v>www.letorri.net</v>
      </c>
    </row>
    <row r="3128" spans="1:6" ht="43.05" customHeight="1" x14ac:dyDescent="0.25">
      <c r="A3128" s="1" t="s">
        <v>12685</v>
      </c>
      <c r="B3128" s="7" t="s">
        <v>12686</v>
      </c>
      <c r="C3128" s="7" t="s">
        <v>12687</v>
      </c>
      <c r="D3128" s="7" t="s">
        <v>12688</v>
      </c>
      <c r="E3128" s="7" t="s">
        <v>12689</v>
      </c>
      <c r="F3128" s="7" t="str">
        <f>HYPERLINK("http://cooparcobaleno.com/","cooparcobaleno.com")</f>
        <v>cooparcobaleno.com</v>
      </c>
    </row>
    <row r="3129" spans="1:6" ht="43.05" customHeight="1" x14ac:dyDescent="0.25">
      <c r="A3129" s="1" t="s">
        <v>12695</v>
      </c>
      <c r="B3129" s="7" t="s">
        <v>12696</v>
      </c>
      <c r="C3129" s="7" t="s">
        <v>12697</v>
      </c>
      <c r="D3129" s="7" t="s">
        <v>12698</v>
      </c>
      <c r="E3129" s="7" t="s">
        <v>12699</v>
      </c>
      <c r="F3129" s="7" t="str">
        <f>HYPERLINK("http://www.agrisemi.com/azienda/","www.agrisemi.com/azienda/")</f>
        <v>www.agrisemi.com/azienda/</v>
      </c>
    </row>
    <row r="3130" spans="1:6" ht="29.55" customHeight="1" x14ac:dyDescent="0.25">
      <c r="A3130" s="1" t="s">
        <v>12700</v>
      </c>
      <c r="B3130" s="7" t="s">
        <v>12701</v>
      </c>
      <c r="C3130" s="7" t="s">
        <v>12694</v>
      </c>
      <c r="D3130" s="7" t="s">
        <v>12702</v>
      </c>
      <c r="E3130" s="7" t="s">
        <v>12689</v>
      </c>
      <c r="F3130" s="7" t="str">
        <f>HYPERLINK("http://www.poderearizzi.it/","www.poderearizzi.it")</f>
        <v>www.poderearizzi.it</v>
      </c>
    </row>
    <row r="3131" spans="1:6" ht="29.55" customHeight="1" x14ac:dyDescent="0.25">
      <c r="A3131" s="6" t="s">
        <v>12703</v>
      </c>
      <c r="B3131" s="5" t="s">
        <v>12704</v>
      </c>
      <c r="C3131" s="5" t="s">
        <v>12694</v>
      </c>
      <c r="D3131" s="5" t="s">
        <v>12705</v>
      </c>
      <c r="E3131" s="5" t="s">
        <v>12692</v>
      </c>
      <c r="F3131" s="5" t="str">
        <f>HYPERLINK("http://www.agrildcsrl.it/","www.agrildcsrl.it")</f>
        <v>www.agrildcsrl.it</v>
      </c>
    </row>
    <row r="3132" spans="1:6" ht="29.55" customHeight="1" x14ac:dyDescent="0.25">
      <c r="A3132" s="1" t="s">
        <v>12706</v>
      </c>
      <c r="B3132" s="7" t="s">
        <v>12707</v>
      </c>
      <c r="C3132" s="7" t="s">
        <v>12708</v>
      </c>
      <c r="D3132" s="7" t="s">
        <v>12709</v>
      </c>
      <c r="E3132" s="7" t="s">
        <v>12691</v>
      </c>
      <c r="F3132" s="7" t="str">
        <f>HYPERLINK("http://www.aziendaagricolatripi.it/","www.aziendaagricolatripi.it")</f>
        <v>www.aziendaagricolatripi.it</v>
      </c>
    </row>
    <row r="3133" spans="1:6" ht="43.05" customHeight="1" x14ac:dyDescent="0.25">
      <c r="A3133" s="6" t="s">
        <v>12710</v>
      </c>
      <c r="B3133" s="5" t="s">
        <v>12711</v>
      </c>
      <c r="C3133" s="5" t="s">
        <v>12708</v>
      </c>
      <c r="D3133" s="5" t="s">
        <v>12712</v>
      </c>
      <c r="E3133" s="5" t="s">
        <v>12691</v>
      </c>
      <c r="F3133" s="5" t="str">
        <f>HYPERLINK("http://www.fratantonio.eu/","www.fratantonio.eu")</f>
        <v>www.fratantonio.eu</v>
      </c>
    </row>
    <row r="3134" spans="1:6" ht="29.55" customHeight="1" x14ac:dyDescent="0.25">
      <c r="A3134" s="6" t="s">
        <v>12717</v>
      </c>
      <c r="B3134" s="5" t="s">
        <v>12718</v>
      </c>
      <c r="C3134" s="5" t="s">
        <v>12719</v>
      </c>
      <c r="D3134" s="5" t="s">
        <v>12720</v>
      </c>
      <c r="E3134" s="5" t="s">
        <v>12721</v>
      </c>
      <c r="F3134" s="5" t="str">
        <f>HYPERLINK("http://www.veridia.it/","www.veridia.it")</f>
        <v>www.veridia.it</v>
      </c>
    </row>
    <row r="3135" spans="1:6" ht="43.05" customHeight="1" x14ac:dyDescent="0.25">
      <c r="A3135" s="1" t="s">
        <v>12722</v>
      </c>
      <c r="B3135" s="7" t="s">
        <v>12723</v>
      </c>
      <c r="C3135" s="7" t="s">
        <v>12694</v>
      </c>
      <c r="D3135" s="7" t="s">
        <v>12724</v>
      </c>
      <c r="E3135" s="7" t="s">
        <v>12725</v>
      </c>
      <c r="F3135" s="7" t="str">
        <f>HYPERLINK("http://www.suinodivino.it/","www.suinodivino.it")</f>
        <v>www.suinodivino.it</v>
      </c>
    </row>
    <row r="3136" spans="1:6" ht="43.05" customHeight="1" x14ac:dyDescent="0.25">
      <c r="A3136" s="6" t="s">
        <v>12726</v>
      </c>
      <c r="B3136" s="5" t="s">
        <v>12727</v>
      </c>
      <c r="C3136" s="5" t="s">
        <v>12694</v>
      </c>
      <c r="D3136" s="5" t="s">
        <v>12728</v>
      </c>
      <c r="E3136" s="5" t="s">
        <v>12716</v>
      </c>
      <c r="F3136" s="5" t="str">
        <f>HYPERLINK("http://www.ilpaganello.com/","www.ilpaganello.com")</f>
        <v>www.ilpaganello.com</v>
      </c>
    </row>
    <row r="3137" spans="1:6" ht="29.55" customHeight="1" x14ac:dyDescent="0.25">
      <c r="A3137" s="1" t="s">
        <v>12729</v>
      </c>
      <c r="B3137" s="7" t="s">
        <v>12730</v>
      </c>
      <c r="C3137" s="7" t="s">
        <v>12694</v>
      </c>
      <c r="D3137" s="7" t="s">
        <v>12731</v>
      </c>
      <c r="E3137" s="7" t="s">
        <v>12732</v>
      </c>
      <c r="F3137" s="7" t="str">
        <f>HYPERLINK("http://www.cantinaimperatori.it/","www.cantinaimperatori.it")</f>
        <v>www.cantinaimperatori.it</v>
      </c>
    </row>
    <row r="3138" spans="1:6" ht="29.55" customHeight="1" x14ac:dyDescent="0.25">
      <c r="A3138" s="1" t="s">
        <v>12733</v>
      </c>
      <c r="B3138" s="7" t="s">
        <v>12734</v>
      </c>
      <c r="C3138" s="7" t="s">
        <v>12693</v>
      </c>
      <c r="D3138" s="7" t="s">
        <v>12713</v>
      </c>
      <c r="E3138" s="7" t="s">
        <v>12714</v>
      </c>
      <c r="F3138" s="7" t="str">
        <f>HYPERLINK("http://www.umbriaverde.it/","www.umbriaverde.it")</f>
        <v>www.umbriaverde.it</v>
      </c>
    </row>
    <row r="3139" spans="1:6" ht="81.75" customHeight="1" x14ac:dyDescent="0.25">
      <c r="A3139" s="6" t="s">
        <v>12735</v>
      </c>
      <c r="B3139" s="5" t="s">
        <v>12736</v>
      </c>
      <c r="C3139" s="5" t="s">
        <v>12715</v>
      </c>
      <c r="D3139" s="5" t="s">
        <v>12728</v>
      </c>
      <c r="E3139" s="5" t="s">
        <v>12716</v>
      </c>
      <c r="F3139" s="5" t="str">
        <f>HYPERLINK("http://azienda-agricola-casamatta.business.site/","azienda-agricola-casamatta.business.site/")</f>
        <v>azienda-agricola-casamatta.business.site/</v>
      </c>
    </row>
    <row r="3140" spans="1:6" ht="29.55" customHeight="1" x14ac:dyDescent="0.25">
      <c r="A3140" s="1" t="s">
        <v>12737</v>
      </c>
      <c r="B3140" s="7" t="s">
        <v>12738</v>
      </c>
      <c r="C3140" s="7" t="s">
        <v>12697</v>
      </c>
      <c r="D3140" s="7" t="s">
        <v>12728</v>
      </c>
      <c r="E3140" s="7" t="s">
        <v>12716</v>
      </c>
      <c r="F3140" s="7" t="str">
        <f>HYPERLINK("http://lalupinella.com/","lalupinella.com")</f>
        <v>lalupinella.com</v>
      </c>
    </row>
    <row r="3141" spans="1:6" ht="29.55" customHeight="1" x14ac:dyDescent="0.25">
      <c r="A3141" s="6" t="s">
        <v>12739</v>
      </c>
      <c r="B3141" s="5" t="s">
        <v>12740</v>
      </c>
      <c r="C3141" s="5" t="s">
        <v>12694</v>
      </c>
      <c r="D3141" s="5" t="s">
        <v>12690</v>
      </c>
      <c r="E3141" s="5" t="s">
        <v>12691</v>
      </c>
      <c r="F3141" s="5" t="str">
        <f>HYPERLINK("http://www.lunasicana.it/","www.lunasicana.it")</f>
        <v>www.lunasicana.it</v>
      </c>
    </row>
    <row r="3142" spans="1:6" ht="29.55" customHeight="1" x14ac:dyDescent="0.25">
      <c r="A3142" s="1" t="s">
        <v>12743</v>
      </c>
      <c r="B3142" s="7" t="s">
        <v>12744</v>
      </c>
      <c r="C3142" s="7" t="s">
        <v>12745</v>
      </c>
      <c r="D3142" s="7" t="s">
        <v>12746</v>
      </c>
      <c r="E3142" s="7" t="s">
        <v>12747</v>
      </c>
      <c r="F3142" s="7" t="str">
        <f>HYPERLINK("http://www.cadelbric.it/","www.cadelbric.it")</f>
        <v>www.cadelbric.it</v>
      </c>
    </row>
    <row r="3143" spans="1:6" ht="29.55" customHeight="1" x14ac:dyDescent="0.25">
      <c r="A3143" s="1" t="s">
        <v>12748</v>
      </c>
      <c r="B3143" s="7" t="s">
        <v>12749</v>
      </c>
      <c r="C3143" s="7" t="s">
        <v>12750</v>
      </c>
      <c r="D3143" s="7" t="s">
        <v>12751</v>
      </c>
      <c r="E3143" s="7" t="s">
        <v>12742</v>
      </c>
      <c r="F3143" s="7" t="str">
        <f>HYPERLINK("http://www.costadila.it/","www.costadila.it")</f>
        <v>www.costadila.it</v>
      </c>
    </row>
    <row r="3144" spans="1:6" ht="29.55" customHeight="1" x14ac:dyDescent="0.25">
      <c r="A3144" s="1" t="s">
        <v>12754</v>
      </c>
      <c r="B3144" s="7" t="s">
        <v>12755</v>
      </c>
      <c r="C3144" s="7" t="s">
        <v>12756</v>
      </c>
      <c r="D3144" s="7" t="s">
        <v>12757</v>
      </c>
      <c r="E3144" s="7" t="s">
        <v>12758</v>
      </c>
      <c r="F3144" s="7" t="str">
        <f>HYPERLINK("http://behabrewing.com/","behabrewing.com")</f>
        <v>behabrewing.com</v>
      </c>
    </row>
    <row r="3145" spans="1:6" ht="29.55" customHeight="1" x14ac:dyDescent="0.25">
      <c r="A3145" s="1" t="s">
        <v>12759</v>
      </c>
      <c r="B3145" s="7" t="s">
        <v>12760</v>
      </c>
      <c r="C3145" s="7" t="s">
        <v>12761</v>
      </c>
      <c r="D3145" s="7" t="s">
        <v>12762</v>
      </c>
      <c r="E3145" s="7" t="s">
        <v>12741</v>
      </c>
      <c r="F3145" s="7" t="str">
        <f>HYPERLINK("http://vivaimdb.it/","vivaimdb.it")</f>
        <v>vivaimdb.it</v>
      </c>
    </row>
    <row r="3146" spans="1:6" ht="29.55" customHeight="1" x14ac:dyDescent="0.25">
      <c r="A3146" s="1" t="s">
        <v>12765</v>
      </c>
      <c r="B3146" s="7" t="s">
        <v>12766</v>
      </c>
      <c r="C3146" s="7" t="s">
        <v>12763</v>
      </c>
      <c r="D3146" s="7" t="s">
        <v>12767</v>
      </c>
      <c r="E3146" s="7" t="s">
        <v>12753</v>
      </c>
      <c r="F3146" s="7" t="str">
        <f>HYPERLINK("http://www.macelleriacostanzo.com/","www.macelleriacostanzo.com")</f>
        <v>www.macelleriacostanzo.com</v>
      </c>
    </row>
    <row r="3147" spans="1:6" ht="29.55" customHeight="1" x14ac:dyDescent="0.25">
      <c r="A3147" s="6" t="s">
        <v>12768</v>
      </c>
      <c r="B3147" s="5" t="s">
        <v>12769</v>
      </c>
      <c r="C3147" s="5" t="s">
        <v>12764</v>
      </c>
      <c r="D3147" s="5" t="s">
        <v>12770</v>
      </c>
      <c r="E3147" s="5" t="s">
        <v>12771</v>
      </c>
      <c r="F3147" s="5" t="str">
        <f>HYPERLINK("http://www.villadicampolungo.com/","www.villadicampolungo.com")</f>
        <v>www.villadicampolungo.com</v>
      </c>
    </row>
    <row r="3148" spans="1:6" ht="29.55" customHeight="1" x14ac:dyDescent="0.25">
      <c r="A3148" s="6" t="s">
        <v>12772</v>
      </c>
      <c r="B3148" s="5" t="s">
        <v>12773</v>
      </c>
      <c r="C3148" s="5" t="s">
        <v>12774</v>
      </c>
      <c r="D3148" s="5" t="s">
        <v>12775</v>
      </c>
      <c r="E3148" s="5" t="s">
        <v>12753</v>
      </c>
      <c r="F3148" s="5" t="str">
        <f>HYPERLINK("http://www.femadue.it/","www.femadue.it")</f>
        <v>www.femadue.it</v>
      </c>
    </row>
    <row r="3149" spans="1:6" ht="16.95" customHeight="1" x14ac:dyDescent="0.25">
      <c r="A3149" s="1" t="s">
        <v>12776</v>
      </c>
      <c r="B3149" s="7" t="s">
        <v>12777</v>
      </c>
      <c r="C3149" s="7" t="s">
        <v>12764</v>
      </c>
      <c r="D3149" s="7" t="s">
        <v>12778</v>
      </c>
      <c r="E3149" s="7" t="s">
        <v>12752</v>
      </c>
      <c r="F3149" s="7" t="str">
        <f>HYPERLINK("http://www.masseriatutosa.it/","www.masseriatutosa.it")</f>
        <v>www.masseriatutosa.it</v>
      </c>
    </row>
    <row r="3150" spans="1:6" ht="43.05" customHeight="1" x14ac:dyDescent="0.25">
      <c r="A3150" s="6" t="s">
        <v>12779</v>
      </c>
      <c r="B3150" s="5" t="s">
        <v>12780</v>
      </c>
      <c r="C3150" s="5" t="s">
        <v>12781</v>
      </c>
      <c r="D3150" s="5" t="s">
        <v>12782</v>
      </c>
      <c r="E3150" s="5" t="s">
        <v>12758</v>
      </c>
      <c r="F3150" s="5" t="str">
        <f>HYPERLINK("http://www.lacollinara.it/","www.lacollinara.it")</f>
        <v>www.lacollinara.it</v>
      </c>
    </row>
    <row r="3151" spans="1:6" ht="16.95" customHeight="1" x14ac:dyDescent="0.25">
      <c r="A3151" s="1" t="s">
        <v>12783</v>
      </c>
      <c r="B3151" s="7" t="s">
        <v>12784</v>
      </c>
      <c r="C3151" s="7" t="s">
        <v>12785</v>
      </c>
      <c r="D3151" s="7" t="s">
        <v>12786</v>
      </c>
      <c r="E3151" s="7" t="s">
        <v>12771</v>
      </c>
      <c r="F3151" s="7" t="str">
        <f>HYPERLINK("http://www.lapiaggia.eu/","www.lapiaggia.eu")</f>
        <v>www.lapiaggia.eu</v>
      </c>
    </row>
    <row r="3152" spans="1:6" ht="16.95" customHeight="1" x14ac:dyDescent="0.25">
      <c r="A3152" s="1" t="s">
        <v>12792</v>
      </c>
      <c r="B3152" s="7" t="s">
        <v>12793</v>
      </c>
      <c r="C3152" s="7" t="s">
        <v>12787</v>
      </c>
      <c r="D3152" s="7" t="s">
        <v>12794</v>
      </c>
      <c r="E3152" s="7" t="s">
        <v>12791</v>
      </c>
      <c r="F3152" s="7" t="str">
        <f>HYPERLINK("http://www.agrytech2002.it/","www.agrytech2002.it")</f>
        <v>www.agrytech2002.it</v>
      </c>
    </row>
    <row r="3153" spans="1:6" ht="29.55" customHeight="1" x14ac:dyDescent="0.25">
      <c r="A3153" s="6" t="s">
        <v>12795</v>
      </c>
      <c r="B3153" s="5" t="s">
        <v>12796</v>
      </c>
      <c r="C3153" s="5" t="s">
        <v>12797</v>
      </c>
      <c r="D3153" s="5" t="s">
        <v>12798</v>
      </c>
      <c r="E3153" s="5" t="s">
        <v>12799</v>
      </c>
      <c r="F3153" s="5" t="str">
        <f>HYPERLINK("http://www.borgodellarocca.com/","www.borgodellarocca.com")</f>
        <v>www.borgodellarocca.com</v>
      </c>
    </row>
    <row r="3154" spans="1:6" ht="16.95" customHeight="1" x14ac:dyDescent="0.25">
      <c r="A3154" s="1" t="s">
        <v>12800</v>
      </c>
      <c r="B3154" s="7" t="s">
        <v>12801</v>
      </c>
      <c r="C3154" s="7" t="s">
        <v>12802</v>
      </c>
      <c r="D3154" s="7" t="s">
        <v>12803</v>
      </c>
      <c r="E3154" s="7" t="s">
        <v>12804</v>
      </c>
      <c r="F3154" s="7" t="str">
        <f>HYPERLINK("http://www.tunnogreendesign.com/","www.tunnogreendesign.com")</f>
        <v>www.tunnogreendesign.com</v>
      </c>
    </row>
    <row r="3155" spans="1:6" ht="29.55" customHeight="1" x14ac:dyDescent="0.25">
      <c r="A3155" s="1" t="s">
        <v>12805</v>
      </c>
      <c r="B3155" s="7" t="s">
        <v>12806</v>
      </c>
      <c r="C3155" s="7" t="s">
        <v>12807</v>
      </c>
      <c r="D3155" s="7" t="s">
        <v>12790</v>
      </c>
      <c r="E3155" s="7" t="s">
        <v>12791</v>
      </c>
      <c r="F3155" s="7" t="str">
        <f>HYPERLINK("http://www.villaagostoli.it/","www.villaagostoli.it")</f>
        <v>www.villaagostoli.it</v>
      </c>
    </row>
    <row r="3156" spans="1:6" ht="29.55" customHeight="1" x14ac:dyDescent="0.25">
      <c r="A3156" s="1" t="s">
        <v>12812</v>
      </c>
      <c r="B3156" s="7" t="s">
        <v>12813</v>
      </c>
      <c r="C3156" s="7" t="s">
        <v>12802</v>
      </c>
      <c r="D3156" s="7" t="s">
        <v>12814</v>
      </c>
      <c r="E3156" s="7" t="s">
        <v>12804</v>
      </c>
      <c r="F3156" s="7" t="str">
        <f>HYPERLINK("http://www.cantinespelonga.com/","www.cantinespelonga.com")</f>
        <v>www.cantinespelonga.com</v>
      </c>
    </row>
    <row r="3157" spans="1:6" ht="29.55" customHeight="1" x14ac:dyDescent="0.25">
      <c r="A3157" s="6" t="s">
        <v>12815</v>
      </c>
      <c r="B3157" s="5" t="s">
        <v>12816</v>
      </c>
      <c r="C3157" s="5" t="s">
        <v>12817</v>
      </c>
      <c r="D3157" s="5" t="s">
        <v>12818</v>
      </c>
      <c r="E3157" s="5" t="s">
        <v>12819</v>
      </c>
      <c r="F3157" s="5" t="str">
        <f>HYPERLINK("http://www.bioverdess.com/","www.bioverdess.com")</f>
        <v>www.bioverdess.com</v>
      </c>
    </row>
    <row r="3158" spans="1:6" ht="43.05" customHeight="1" x14ac:dyDescent="0.25">
      <c r="A3158" s="1" t="s">
        <v>12820</v>
      </c>
      <c r="B3158" s="7" t="s">
        <v>12821</v>
      </c>
      <c r="C3158" s="7" t="s">
        <v>12822</v>
      </c>
      <c r="D3158" s="7" t="s">
        <v>12788</v>
      </c>
      <c r="E3158" s="7" t="s">
        <v>12789</v>
      </c>
      <c r="F3158" s="7" t="str">
        <f>HYPERLINK("http://www.pensolato.it/","www.pensolato.it")</f>
        <v>www.pensolato.it</v>
      </c>
    </row>
    <row r="3159" spans="1:6" ht="29.55" customHeight="1" x14ac:dyDescent="0.25">
      <c r="A3159" s="6" t="s">
        <v>12823</v>
      </c>
      <c r="B3159" s="5" t="s">
        <v>12824</v>
      </c>
      <c r="C3159" s="5" t="s">
        <v>12825</v>
      </c>
      <c r="D3159" s="5" t="s">
        <v>12826</v>
      </c>
      <c r="E3159" s="5" t="s">
        <v>12799</v>
      </c>
      <c r="F3159" s="5" t="str">
        <f>HYPERLINK("http://www.energiagreenvalle.it/","www.energiagreenvalle.it")</f>
        <v>www.energiagreenvalle.it</v>
      </c>
    </row>
    <row r="3160" spans="1:6" ht="29.55" customHeight="1" x14ac:dyDescent="0.25">
      <c r="A3160" s="1" t="s">
        <v>12827</v>
      </c>
      <c r="B3160" s="7" t="s">
        <v>12828</v>
      </c>
      <c r="C3160" s="7" t="s">
        <v>12829</v>
      </c>
      <c r="D3160" s="7" t="s">
        <v>12830</v>
      </c>
      <c r="E3160" s="7" t="s">
        <v>12791</v>
      </c>
      <c r="F3160" s="7" t="str">
        <f>HYPERLINK("http://www.pratello.it/","www.pratello.it")</f>
        <v>www.pratello.it</v>
      </c>
    </row>
    <row r="3161" spans="1:6" ht="29.55" customHeight="1" x14ac:dyDescent="0.25">
      <c r="A3161" s="1" t="s">
        <v>12831</v>
      </c>
      <c r="B3161" s="7" t="s">
        <v>12832</v>
      </c>
      <c r="C3161" s="7" t="s">
        <v>12807</v>
      </c>
      <c r="D3161" s="7" t="s">
        <v>12810</v>
      </c>
      <c r="E3161" s="7" t="s">
        <v>12811</v>
      </c>
      <c r="F3161" s="7" t="str">
        <f>HYPERLINK("http://www.colacino.it/","www.colacino.it")</f>
        <v>www.colacino.it</v>
      </c>
    </row>
    <row r="3162" spans="1:6" ht="29.55" customHeight="1" x14ac:dyDescent="0.25">
      <c r="A3162" s="6" t="s">
        <v>12833</v>
      </c>
      <c r="B3162" s="5" t="s">
        <v>12834</v>
      </c>
      <c r="C3162" s="5" t="s">
        <v>12822</v>
      </c>
      <c r="D3162" s="5" t="s">
        <v>12808</v>
      </c>
      <c r="E3162" s="5" t="s">
        <v>12809</v>
      </c>
      <c r="F3162" s="5" t="str">
        <f>HYPERLINK("http://terranostratordei.it/","terranostratordei.it")</f>
        <v>terranostratordei.it</v>
      </c>
    </row>
    <row r="3163" spans="1:6" ht="29.55" customHeight="1" x14ac:dyDescent="0.25">
      <c r="A3163" s="6" t="s">
        <v>12838</v>
      </c>
      <c r="B3163" s="5" t="s">
        <v>12839</v>
      </c>
      <c r="C3163" s="5" t="s">
        <v>12840</v>
      </c>
      <c r="D3163" s="5" t="s">
        <v>12841</v>
      </c>
      <c r="E3163" s="5" t="s">
        <v>12842</v>
      </c>
      <c r="F3163" s="5" t="str">
        <f>HYPERLINK("http://www.euroliburia.com/","www.euroliburia.com")</f>
        <v>www.euroliburia.com</v>
      </c>
    </row>
    <row r="3164" spans="1:6" ht="29.55" customHeight="1" x14ac:dyDescent="0.25">
      <c r="A3164" s="6" t="s">
        <v>12844</v>
      </c>
      <c r="B3164" s="5" t="s">
        <v>12845</v>
      </c>
      <c r="C3164" s="5" t="s">
        <v>12846</v>
      </c>
      <c r="D3164" s="5" t="s">
        <v>12847</v>
      </c>
      <c r="E3164" s="5" t="s">
        <v>12848</v>
      </c>
      <c r="F3164" s="5" t="str">
        <f>HYPERLINK("http://www.poderesantalucia.it/","www.poderesantalucia.it")</f>
        <v>www.poderesantalucia.it</v>
      </c>
    </row>
    <row r="3165" spans="1:6" ht="43.05" customHeight="1" x14ac:dyDescent="0.25">
      <c r="A3165" s="1" t="s">
        <v>12851</v>
      </c>
      <c r="B3165" s="7" t="s">
        <v>12852</v>
      </c>
      <c r="C3165" s="7" t="s">
        <v>12835</v>
      </c>
      <c r="D3165" s="7" t="s">
        <v>12853</v>
      </c>
      <c r="E3165" s="7" t="s">
        <v>12843</v>
      </c>
      <c r="F3165" s="7" t="str">
        <f>HYPERLINK("http://www.cascinaalcolle.it/","www.cascinaalcolle.it")</f>
        <v>www.cascinaalcolle.it</v>
      </c>
    </row>
    <row r="3166" spans="1:6" ht="16.95" customHeight="1" x14ac:dyDescent="0.25">
      <c r="A3166" s="6" t="s">
        <v>12857</v>
      </c>
      <c r="B3166" s="5" t="s">
        <v>12858</v>
      </c>
      <c r="C3166" s="5" t="s">
        <v>12836</v>
      </c>
      <c r="D3166" s="5" t="s">
        <v>12859</v>
      </c>
      <c r="E3166" s="5" t="s">
        <v>12837</v>
      </c>
      <c r="F3166" s="5" t="str">
        <f>HYPERLINK("http://www.agrofarmaweb.it/","www.agrofarmaweb.it")</f>
        <v>www.agrofarmaweb.it</v>
      </c>
    </row>
    <row r="3167" spans="1:6" ht="16.95" customHeight="1" x14ac:dyDescent="0.25">
      <c r="A3167" s="1" t="s">
        <v>12860</v>
      </c>
      <c r="B3167" s="7" t="s">
        <v>12861</v>
      </c>
      <c r="C3167" s="7" t="s">
        <v>12862</v>
      </c>
      <c r="D3167" s="7" t="s">
        <v>12859</v>
      </c>
      <c r="E3167" s="7" t="s">
        <v>12837</v>
      </c>
      <c r="F3167" s="7" t="str">
        <f>HYPERLINK("http://www.farmecodauna.it/","www.farmecodauna.it")</f>
        <v>www.farmecodauna.it</v>
      </c>
    </row>
    <row r="3168" spans="1:6" ht="29.55" customHeight="1" x14ac:dyDescent="0.25">
      <c r="A3168" s="1" t="s">
        <v>12863</v>
      </c>
      <c r="B3168" s="7" t="s">
        <v>12864</v>
      </c>
      <c r="C3168" s="7" t="s">
        <v>12865</v>
      </c>
      <c r="D3168" s="7" t="s">
        <v>12866</v>
      </c>
      <c r="E3168" s="7" t="s">
        <v>12856</v>
      </c>
      <c r="F3168" s="7" t="str">
        <f>HYPERLINK("http://www.eccellenzasostenibile.it/","www.eccellenzasostenibile.it")</f>
        <v>www.eccellenzasostenibile.it</v>
      </c>
    </row>
    <row r="3169" spans="1:6" ht="43.05" customHeight="1" x14ac:dyDescent="0.25">
      <c r="A3169" s="6" t="s">
        <v>12867</v>
      </c>
      <c r="B3169" s="5" t="s">
        <v>12868</v>
      </c>
      <c r="C3169" s="5" t="s">
        <v>12869</v>
      </c>
      <c r="D3169" s="5" t="s">
        <v>12870</v>
      </c>
      <c r="E3169" s="5" t="s">
        <v>12854</v>
      </c>
      <c r="F3169" s="5" t="str">
        <f>HYPERLINK("http://www.colombarda.it/","www.colombarda.it")</f>
        <v>www.colombarda.it</v>
      </c>
    </row>
    <row r="3170" spans="1:6" ht="43.05" customHeight="1" x14ac:dyDescent="0.25">
      <c r="A3170" s="1" t="s">
        <v>12871</v>
      </c>
      <c r="B3170" s="7" t="s">
        <v>12872</v>
      </c>
      <c r="C3170" s="7" t="s">
        <v>12873</v>
      </c>
      <c r="D3170" s="7" t="s">
        <v>12874</v>
      </c>
      <c r="E3170" s="7" t="s">
        <v>12850</v>
      </c>
      <c r="F3170" s="7" t="str">
        <f>HYPERLINK("http://www.facebook.com/agrumi-di-sicilia-i-cummari-az-agr-380957482021456/","www.facebook.com/agrumi-di-sicilia-i-cummari-az-agr-380957482021456/")</f>
        <v>www.facebook.com/agrumi-di-sicilia-i-cummari-az-agr-380957482021456/</v>
      </c>
    </row>
    <row r="3171" spans="1:6" ht="29.55" customHeight="1" x14ac:dyDescent="0.25">
      <c r="A3171" s="1" t="s">
        <v>12875</v>
      </c>
      <c r="B3171" s="7" t="s">
        <v>12876</v>
      </c>
      <c r="C3171" s="7" t="s">
        <v>12840</v>
      </c>
      <c r="D3171" s="7" t="s">
        <v>12877</v>
      </c>
      <c r="E3171" s="7" t="s">
        <v>12849</v>
      </c>
      <c r="F3171" s="7" t="str">
        <f>HYPERLINK("http://www.fattoriasansebastiano.it/","www.fattoriasansebastiano.it")</f>
        <v>www.fattoriasansebastiano.it</v>
      </c>
    </row>
    <row r="3172" spans="1:6" ht="29.55" customHeight="1" x14ac:dyDescent="0.25">
      <c r="A3172" s="6" t="s">
        <v>12878</v>
      </c>
      <c r="B3172" s="5" t="s">
        <v>12879</v>
      </c>
      <c r="C3172" s="5" t="s">
        <v>12869</v>
      </c>
      <c r="D3172" s="5" t="s">
        <v>12880</v>
      </c>
      <c r="E3172" s="5" t="s">
        <v>12843</v>
      </c>
      <c r="F3172" s="5" t="str">
        <f>HYPERLINK("http://cortebenedetto.it/","cortebenedetto.it")</f>
        <v>cortebenedetto.it</v>
      </c>
    </row>
    <row r="3173" spans="1:6" ht="29.55" customHeight="1" x14ac:dyDescent="0.25">
      <c r="A3173" s="1" t="s">
        <v>12881</v>
      </c>
      <c r="B3173" s="7" t="s">
        <v>12882</v>
      </c>
      <c r="C3173" s="7" t="s">
        <v>12869</v>
      </c>
      <c r="D3173" s="7" t="s">
        <v>12855</v>
      </c>
      <c r="E3173" s="7" t="s">
        <v>12856</v>
      </c>
      <c r="F3173" s="7" t="str">
        <f>HYPERLINK("http://www.agribioenergia.eu/","www.agribioenergia.eu")</f>
        <v>www.agribioenergia.eu</v>
      </c>
    </row>
    <row r="3174" spans="1:6" ht="16.95" customHeight="1" x14ac:dyDescent="0.25">
      <c r="A3174" s="6" t="s">
        <v>12883</v>
      </c>
      <c r="B3174" s="5" t="s">
        <v>12884</v>
      </c>
      <c r="C3174" s="5" t="s">
        <v>12836</v>
      </c>
      <c r="D3174" s="5" t="s">
        <v>12885</v>
      </c>
      <c r="E3174" s="5" t="s">
        <v>12843</v>
      </c>
      <c r="F3174" s="5" t="str">
        <f>HYPERLINK("http://www.lebbio.it/","www.lebbio.it")</f>
        <v>www.lebbio.it</v>
      </c>
    </row>
    <row r="3175" spans="1:6" ht="29.55" customHeight="1" x14ac:dyDescent="0.25">
      <c r="A3175" s="1" t="s">
        <v>12886</v>
      </c>
      <c r="B3175" s="7" t="s">
        <v>12887</v>
      </c>
      <c r="C3175" s="7" t="s">
        <v>12869</v>
      </c>
      <c r="D3175" s="7" t="s">
        <v>12888</v>
      </c>
      <c r="E3175" s="7" t="s">
        <v>12889</v>
      </c>
      <c r="F3175" s="7" t="str">
        <f>HYPERLINK("http://www.cantinapolenta.it/","www.cantinapolenta.it")</f>
        <v>www.cantinapolenta.it</v>
      </c>
    </row>
    <row r="3176" spans="1:6" ht="29.55" customHeight="1" x14ac:dyDescent="0.25">
      <c r="A3176" s="6" t="s">
        <v>12891</v>
      </c>
      <c r="B3176" s="5" t="s">
        <v>12892</v>
      </c>
      <c r="C3176" s="5" t="s">
        <v>12893</v>
      </c>
      <c r="D3176" s="5" t="s">
        <v>12894</v>
      </c>
      <c r="E3176" s="5" t="s">
        <v>12895</v>
      </c>
      <c r="F3176" s="5" t="str">
        <f>HYPERLINK("http://www.birramaremmana.it/","www.birramaremmana.it")</f>
        <v>www.birramaremmana.it</v>
      </c>
    </row>
    <row r="3177" spans="1:6" ht="29.55" customHeight="1" x14ac:dyDescent="0.25">
      <c r="A3177" s="1" t="s">
        <v>12898</v>
      </c>
      <c r="B3177" s="7" t="s">
        <v>12899</v>
      </c>
      <c r="C3177" s="7" t="s">
        <v>12900</v>
      </c>
      <c r="D3177" s="7" t="s">
        <v>12901</v>
      </c>
      <c r="E3177" s="7" t="s">
        <v>12902</v>
      </c>
      <c r="F3177" s="7" t="str">
        <f>HYPERLINK("http://lusvardi.it/","lusvardi.it")</f>
        <v>lusvardi.it</v>
      </c>
    </row>
    <row r="3178" spans="1:6" ht="29.55" customHeight="1" x14ac:dyDescent="0.25">
      <c r="A3178" s="6" t="s">
        <v>12903</v>
      </c>
      <c r="B3178" s="5" t="s">
        <v>12904</v>
      </c>
      <c r="C3178" s="5" t="s">
        <v>12905</v>
      </c>
      <c r="D3178" s="5" t="s">
        <v>12906</v>
      </c>
      <c r="E3178" s="5" t="s">
        <v>12896</v>
      </c>
      <c r="F3178" s="5" t="str">
        <f>HYPERLINK("http://tenuteluspada.it/","tenuteluspada.it")</f>
        <v>tenuteluspada.it</v>
      </c>
    </row>
    <row r="3179" spans="1:6" ht="43.05" customHeight="1" x14ac:dyDescent="0.25">
      <c r="A3179" s="1" t="s">
        <v>12907</v>
      </c>
      <c r="B3179" s="7" t="s">
        <v>12908</v>
      </c>
      <c r="C3179" s="7" t="s">
        <v>12909</v>
      </c>
      <c r="D3179" s="7" t="s">
        <v>12910</v>
      </c>
      <c r="E3179" s="7" t="s">
        <v>12890</v>
      </c>
      <c r="F3179" s="7" t="str">
        <f>HYPERLINK("http://servizieassistenza.it/","servizieassistenza.it")</f>
        <v>servizieassistenza.it</v>
      </c>
    </row>
    <row r="3180" spans="1:6" ht="43.05" customHeight="1" x14ac:dyDescent="0.25">
      <c r="A3180" s="1" t="s">
        <v>12911</v>
      </c>
      <c r="B3180" s="7" t="s">
        <v>12912</v>
      </c>
      <c r="C3180" s="7" t="s">
        <v>12900</v>
      </c>
      <c r="D3180" s="7" t="s">
        <v>12913</v>
      </c>
      <c r="E3180" s="7" t="s">
        <v>12914</v>
      </c>
      <c r="F3180" s="7" t="str">
        <f>HYPERLINK("http://www.levieangarano.com/","www.levieangarano.com")</f>
        <v>www.levieangarano.com</v>
      </c>
    </row>
    <row r="3181" spans="1:6" ht="29.55" customHeight="1" x14ac:dyDescent="0.25">
      <c r="A3181" s="1" t="s">
        <v>12918</v>
      </c>
      <c r="B3181" s="7" t="s">
        <v>12919</v>
      </c>
      <c r="C3181" s="7" t="s">
        <v>12917</v>
      </c>
      <c r="D3181" s="7" t="s">
        <v>12920</v>
      </c>
      <c r="E3181" s="7" t="s">
        <v>12916</v>
      </c>
      <c r="F3181" s="7" t="str">
        <f>HYPERLINK("http://www.agricolacalina.it/","www.agricolacalina.it")</f>
        <v>www.agricolacalina.it</v>
      </c>
    </row>
    <row r="3182" spans="1:6" ht="16.95" customHeight="1" x14ac:dyDescent="0.25">
      <c r="A3182" s="1" t="s">
        <v>12921</v>
      </c>
      <c r="B3182" s="7" t="s">
        <v>12922</v>
      </c>
      <c r="C3182" s="7" t="s">
        <v>12897</v>
      </c>
      <c r="D3182" s="7" t="s">
        <v>12915</v>
      </c>
      <c r="E3182" s="7" t="s">
        <v>12895</v>
      </c>
      <c r="F3182" s="7" t="str">
        <f>HYPERLINK("http://delpasqua.com/","delpasqua.com")</f>
        <v>delpasqua.com</v>
      </c>
    </row>
    <row r="3183" spans="1:6" ht="81.75" customHeight="1" x14ac:dyDescent="0.25">
      <c r="A3183" s="6" t="s">
        <v>12923</v>
      </c>
      <c r="B3183" s="5" t="s">
        <v>12924</v>
      </c>
      <c r="C3183" s="5" t="s">
        <v>12917</v>
      </c>
      <c r="D3183" s="5" t="s">
        <v>12925</v>
      </c>
      <c r="E3183" s="5" t="s">
        <v>12895</v>
      </c>
      <c r="F3183" s="5" t="str">
        <f>HYPERLINK("http://castellodicafaggiolo.com/","castellodicafaggiolo.com")</f>
        <v>castellodicafaggiolo.com</v>
      </c>
    </row>
    <row r="3184" spans="1:6" ht="29.55" customHeight="1" x14ac:dyDescent="0.25">
      <c r="A3184" s="1" t="s">
        <v>12926</v>
      </c>
      <c r="B3184" s="7" t="s">
        <v>12927</v>
      </c>
      <c r="C3184" s="7" t="s">
        <v>12928</v>
      </c>
      <c r="D3184" s="7" t="s">
        <v>12929</v>
      </c>
      <c r="E3184" s="7" t="s">
        <v>12930</v>
      </c>
      <c r="F3184" s="7" t="str">
        <f>HYPERLINK("http://www.nous-vinonuovo.it/","www.nous-vinonuovo.it")</f>
        <v>www.nous-vinonuovo.it</v>
      </c>
    </row>
    <row r="3185" spans="1:6" ht="43.05" customHeight="1" x14ac:dyDescent="0.25">
      <c r="A3185" s="6" t="s">
        <v>12931</v>
      </c>
      <c r="B3185" s="5" t="s">
        <v>12932</v>
      </c>
      <c r="C3185" s="5" t="s">
        <v>12928</v>
      </c>
      <c r="D3185" s="5" t="s">
        <v>12933</v>
      </c>
      <c r="E3185" s="5" t="s">
        <v>12934</v>
      </c>
      <c r="F3185" s="5" t="str">
        <f>HYPERLINK("http://www.tenutadimorzano.it/","www.tenutadimorzano.it")</f>
        <v>www.tenutadimorzano.it</v>
      </c>
    </row>
    <row r="3186" spans="1:6" ht="29.55" customHeight="1" x14ac:dyDescent="0.25">
      <c r="A3186" s="6" t="s">
        <v>12936</v>
      </c>
      <c r="B3186" s="5" t="s">
        <v>12937</v>
      </c>
      <c r="C3186" s="5" t="s">
        <v>12938</v>
      </c>
      <c r="D3186" s="5" t="s">
        <v>12939</v>
      </c>
      <c r="E3186" s="5" t="s">
        <v>12940</v>
      </c>
      <c r="F3186" s="5" t="str">
        <f>HYPERLINK("http://www.agricolafina.com/","www.agricolafina.com")</f>
        <v>www.agricolafina.com</v>
      </c>
    </row>
    <row r="3187" spans="1:6" ht="29.55" customHeight="1" x14ac:dyDescent="0.25">
      <c r="A3187" s="1" t="s">
        <v>12944</v>
      </c>
      <c r="B3187" s="7" t="s">
        <v>12945</v>
      </c>
      <c r="C3187" s="7" t="s">
        <v>12946</v>
      </c>
      <c r="D3187" s="7" t="s">
        <v>12947</v>
      </c>
      <c r="E3187" s="7" t="s">
        <v>12948</v>
      </c>
      <c r="F3187" s="7" t="str">
        <f>HYPERLINK("http://www.anidagri.it/","www.anidagri.it")</f>
        <v>www.anidagri.it</v>
      </c>
    </row>
    <row r="3188" spans="1:6" ht="29.55" customHeight="1" x14ac:dyDescent="0.25">
      <c r="A3188" s="6" t="s">
        <v>12950</v>
      </c>
      <c r="B3188" s="5" t="s">
        <v>12951</v>
      </c>
      <c r="C3188" s="5" t="s">
        <v>12952</v>
      </c>
      <c r="D3188" s="5" t="s">
        <v>12953</v>
      </c>
      <c r="E3188" s="5" t="s">
        <v>12949</v>
      </c>
      <c r="F3188" s="5" t="str">
        <f>HYPERLINK("http://www.allevamentobologna.it/","www.allevamentobologna.it")</f>
        <v>www.allevamentobologna.it</v>
      </c>
    </row>
    <row r="3189" spans="1:6" ht="29.55" customHeight="1" x14ac:dyDescent="0.25">
      <c r="A3189" s="6" t="s">
        <v>12956</v>
      </c>
      <c r="B3189" s="5" t="s">
        <v>12957</v>
      </c>
      <c r="C3189" s="5" t="s">
        <v>12958</v>
      </c>
      <c r="D3189" s="5" t="s">
        <v>12959</v>
      </c>
      <c r="E3189" s="5" t="s">
        <v>12941</v>
      </c>
      <c r="F3189" s="5" t="str">
        <f>HYPERLINK("http://www.agriplantech.it/","www.agriplantech.it")</f>
        <v>www.agriplantech.it</v>
      </c>
    </row>
    <row r="3190" spans="1:6" ht="43.05" customHeight="1" x14ac:dyDescent="0.25">
      <c r="A3190" s="1" t="s">
        <v>12960</v>
      </c>
      <c r="B3190" s="7" t="s">
        <v>12961</v>
      </c>
      <c r="C3190" s="7" t="s">
        <v>12962</v>
      </c>
      <c r="D3190" s="7" t="s">
        <v>12963</v>
      </c>
      <c r="E3190" s="7" t="s">
        <v>12964</v>
      </c>
      <c r="F3190" s="7" t="str">
        <f>HYPERLINK("http://www.relaisparadisoumbria.com/","www.relaisparadisoumbria.com")</f>
        <v>www.relaisparadisoumbria.com</v>
      </c>
    </row>
    <row r="3191" spans="1:6" ht="29.55" customHeight="1" x14ac:dyDescent="0.25">
      <c r="A3191" s="6" t="s">
        <v>12965</v>
      </c>
      <c r="B3191" s="5" t="s">
        <v>12966</v>
      </c>
      <c r="C3191" s="5" t="s">
        <v>12962</v>
      </c>
      <c r="D3191" s="5" t="s">
        <v>12967</v>
      </c>
      <c r="E3191" s="5" t="s">
        <v>12935</v>
      </c>
      <c r="F3191" s="5" t="str">
        <f>HYPERLINK("http://familyfarmvairano.com/","familyfarmvairano.com")</f>
        <v>familyfarmvairano.com</v>
      </c>
    </row>
    <row r="3192" spans="1:6" ht="16.95" customHeight="1" x14ac:dyDescent="0.25">
      <c r="A3192" s="1" t="s">
        <v>12968</v>
      </c>
      <c r="B3192" s="7" t="s">
        <v>12969</v>
      </c>
      <c r="C3192" s="7" t="s">
        <v>12970</v>
      </c>
      <c r="D3192" s="7" t="s">
        <v>12971</v>
      </c>
      <c r="E3192" s="7" t="s">
        <v>12949</v>
      </c>
      <c r="F3192" s="7" t="str">
        <f>HYPERLINK("http://www.fiorebacca.it/","www.fiorebacca.it")</f>
        <v>www.fiorebacca.it</v>
      </c>
    </row>
    <row r="3193" spans="1:6" ht="43.05" customHeight="1" x14ac:dyDescent="0.25">
      <c r="A3193" s="1" t="s">
        <v>12972</v>
      </c>
      <c r="B3193" s="7" t="s">
        <v>12973</v>
      </c>
      <c r="C3193" s="7" t="s">
        <v>12958</v>
      </c>
      <c r="D3193" s="7" t="s">
        <v>12942</v>
      </c>
      <c r="E3193" s="7" t="s">
        <v>12943</v>
      </c>
      <c r="F3193" s="7" t="str">
        <f>HYPERLINK("http://www.paniefunghi.it/","www.paniefunghi.it")</f>
        <v>www.paniefunghi.it</v>
      </c>
    </row>
    <row r="3194" spans="1:6" ht="29.55" customHeight="1" x14ac:dyDescent="0.25">
      <c r="A3194" s="6" t="s">
        <v>12974</v>
      </c>
      <c r="B3194" s="5" t="s">
        <v>12975</v>
      </c>
      <c r="C3194" s="5" t="s">
        <v>12976</v>
      </c>
      <c r="D3194" s="5" t="s">
        <v>12954</v>
      </c>
      <c r="E3194" s="5" t="s">
        <v>12955</v>
      </c>
      <c r="F3194" s="5" t="str">
        <f>HYPERLINK("http://gervasiogarden.com/","gervasiogarden.com")</f>
        <v>gervasiogarden.com</v>
      </c>
    </row>
    <row r="3195" spans="1:6" ht="16.95" customHeight="1" x14ac:dyDescent="0.25">
      <c r="A3195" s="6" t="s">
        <v>12980</v>
      </c>
      <c r="B3195" s="5" t="s">
        <v>12981</v>
      </c>
      <c r="C3195" s="5" t="s">
        <v>12982</v>
      </c>
      <c r="D3195" s="5" t="s">
        <v>12977</v>
      </c>
      <c r="E3195" s="5" t="s">
        <v>12978</v>
      </c>
      <c r="F3195" s="5" t="str">
        <f>HYPERLINK("http://www.studioverdeandrea.it/","www.studioverdeandrea.it")</f>
        <v>www.studioverdeandrea.it</v>
      </c>
    </row>
    <row r="3196" spans="1:6" ht="43.05" customHeight="1" x14ac:dyDescent="0.25">
      <c r="A3196" s="1" t="s">
        <v>12986</v>
      </c>
      <c r="B3196" s="7" t="s">
        <v>12987</v>
      </c>
      <c r="C3196" s="7" t="s">
        <v>12983</v>
      </c>
      <c r="D3196" s="7" t="s">
        <v>12988</v>
      </c>
      <c r="E3196" s="7" t="s">
        <v>12989</v>
      </c>
      <c r="F3196" s="7" t="str">
        <f>HYPERLINK("http://www.assogullo.it/","www.assogullo.it")</f>
        <v>www.assogullo.it</v>
      </c>
    </row>
    <row r="3197" spans="1:6" ht="55.65" customHeight="1" x14ac:dyDescent="0.25">
      <c r="A3197" s="6" t="s">
        <v>12990</v>
      </c>
      <c r="B3197" s="5" t="s">
        <v>12991</v>
      </c>
      <c r="C3197" s="5" t="s">
        <v>12983</v>
      </c>
      <c r="D3197" s="5" t="s">
        <v>12992</v>
      </c>
      <c r="E3197" s="5" t="s">
        <v>12993</v>
      </c>
      <c r="F3197" s="5" t="str">
        <f>HYPERLINK("http://oliocolledelmarchese.it/","oliocolledelmarchese.it")</f>
        <v>oliocolledelmarchese.it</v>
      </c>
    </row>
    <row r="3198" spans="1:6" ht="43.05" customHeight="1" x14ac:dyDescent="0.25">
      <c r="A3198" s="1" t="s">
        <v>12994</v>
      </c>
      <c r="B3198" s="7" t="s">
        <v>12995</v>
      </c>
      <c r="C3198" s="7" t="s">
        <v>12996</v>
      </c>
      <c r="D3198" s="7" t="s">
        <v>12997</v>
      </c>
      <c r="E3198" s="7" t="s">
        <v>12985</v>
      </c>
      <c r="F3198" s="7" t="str">
        <f>HYPERLINK("http://www.fattoriatolomei.com/","www.fattoriatolomei.com")</f>
        <v>www.fattoriatolomei.com</v>
      </c>
    </row>
    <row r="3199" spans="1:6" ht="29.55" customHeight="1" x14ac:dyDescent="0.25">
      <c r="A3199" s="6" t="s">
        <v>12998</v>
      </c>
      <c r="B3199" s="5" t="s">
        <v>12999</v>
      </c>
      <c r="C3199" s="5" t="s">
        <v>12979</v>
      </c>
      <c r="D3199" s="5" t="s">
        <v>13000</v>
      </c>
      <c r="E3199" s="5" t="s">
        <v>13001</v>
      </c>
      <c r="F3199" s="5" t="str">
        <f>HYPERLINK("http://agricosimo.it/","agricosimo.it")</f>
        <v>agricosimo.it</v>
      </c>
    </row>
    <row r="3200" spans="1:6" ht="29.55" customHeight="1" x14ac:dyDescent="0.25">
      <c r="A3200" s="1" t="s">
        <v>13002</v>
      </c>
      <c r="B3200" s="7" t="s">
        <v>13003</v>
      </c>
      <c r="C3200" s="7" t="s">
        <v>13004</v>
      </c>
      <c r="D3200" s="7" t="s">
        <v>12984</v>
      </c>
      <c r="E3200" s="7" t="s">
        <v>12985</v>
      </c>
      <c r="F3200" s="7" t="str">
        <f>HYPERLINK("http://www.villabellaria.it/","www.villabellaria.it")</f>
        <v>www.villabellaria.it</v>
      </c>
    </row>
    <row r="3201" spans="1:6" ht="29.55" customHeight="1" x14ac:dyDescent="0.25">
      <c r="A3201" s="6" t="s">
        <v>13010</v>
      </c>
      <c r="B3201" s="5" t="s">
        <v>13011</v>
      </c>
      <c r="C3201" s="5" t="s">
        <v>13012</v>
      </c>
      <c r="D3201" s="5" t="s">
        <v>13013</v>
      </c>
      <c r="E3201" s="5" t="s">
        <v>13014</v>
      </c>
      <c r="F3201" s="5" t="str">
        <f>HYPERLINK("http://torreghiotta.it/","torreghiotta.it")</f>
        <v>torreghiotta.it</v>
      </c>
    </row>
    <row r="3202" spans="1:6" ht="29.55" customHeight="1" x14ac:dyDescent="0.25">
      <c r="A3202" s="6" t="s">
        <v>13016</v>
      </c>
      <c r="B3202" s="5" t="s">
        <v>13017</v>
      </c>
      <c r="C3202" s="5" t="s">
        <v>13018</v>
      </c>
      <c r="D3202" s="5" t="s">
        <v>13019</v>
      </c>
      <c r="E3202" s="5" t="s">
        <v>13005</v>
      </c>
      <c r="F3202" s="5" t="str">
        <f>HYPERLINK("http://www.agricereal.it/","www.agricereal.it")</f>
        <v>www.agricereal.it</v>
      </c>
    </row>
    <row r="3203" spans="1:6" ht="29.55" customHeight="1" x14ac:dyDescent="0.25">
      <c r="A3203" s="1" t="s">
        <v>13020</v>
      </c>
      <c r="B3203" s="7" t="s">
        <v>13021</v>
      </c>
      <c r="C3203" s="7" t="s">
        <v>13006</v>
      </c>
      <c r="D3203" s="7" t="s">
        <v>13022</v>
      </c>
      <c r="E3203" s="7" t="s">
        <v>13023</v>
      </c>
      <c r="F3203" s="7" t="str">
        <f>HYPERLINK("http://www.mettola.it/","www.mettola.it")</f>
        <v>www.mettola.it</v>
      </c>
    </row>
    <row r="3204" spans="1:6" ht="43.05" customHeight="1" x14ac:dyDescent="0.25">
      <c r="A3204" s="1" t="s">
        <v>13026</v>
      </c>
      <c r="B3204" s="7" t="s">
        <v>13027</v>
      </c>
      <c r="C3204" s="7" t="s">
        <v>13025</v>
      </c>
      <c r="D3204" s="7" t="s">
        <v>13015</v>
      </c>
      <c r="E3204" s="7" t="s">
        <v>13009</v>
      </c>
      <c r="F3204" s="7" t="str">
        <f>HYPERLINK("http://contadini-delle-alpi.business.site/","contadini-delle-alpi.business.site/")</f>
        <v>contadini-delle-alpi.business.site/</v>
      </c>
    </row>
    <row r="3205" spans="1:6" ht="29.55" customHeight="1" x14ac:dyDescent="0.25">
      <c r="A3205" s="6" t="s">
        <v>13028</v>
      </c>
      <c r="B3205" s="5" t="s">
        <v>13029</v>
      </c>
      <c r="C3205" s="5" t="s">
        <v>13008</v>
      </c>
      <c r="D3205" s="5" t="s">
        <v>13030</v>
      </c>
      <c r="E3205" s="5" t="s">
        <v>13031</v>
      </c>
      <c r="F3205" s="5" t="str">
        <f>HYPERLINK("http://www.fonteserraterme.it/","www.fonteserraterme.it")</f>
        <v>www.fonteserraterme.it</v>
      </c>
    </row>
    <row r="3206" spans="1:6" ht="16.95" customHeight="1" x14ac:dyDescent="0.25">
      <c r="A3206" s="1" t="s">
        <v>13032</v>
      </c>
      <c r="B3206" s="7" t="s">
        <v>13033</v>
      </c>
      <c r="C3206" s="7" t="s">
        <v>13007</v>
      </c>
      <c r="D3206" s="7" t="s">
        <v>13034</v>
      </c>
      <c r="E3206" s="7" t="s">
        <v>13009</v>
      </c>
      <c r="F3206" s="7" t="str">
        <f>HYPERLINK("http://www.agrinntec.it/","www.agrinntec.it")</f>
        <v>www.agrinntec.it</v>
      </c>
    </row>
    <row r="3207" spans="1:6" ht="29.55" customHeight="1" x14ac:dyDescent="0.25">
      <c r="A3207" s="6" t="s">
        <v>13035</v>
      </c>
      <c r="B3207" s="5" t="s">
        <v>13036</v>
      </c>
      <c r="C3207" s="5" t="s">
        <v>13024</v>
      </c>
      <c r="D3207" s="5" t="s">
        <v>13037</v>
      </c>
      <c r="E3207" s="5" t="s">
        <v>13023</v>
      </c>
      <c r="F3207" s="5" t="str">
        <f>HYPERLINK("http://www.cascinaduc.it/","www.cascinaduc.it")</f>
        <v>www.cascinaduc.it</v>
      </c>
    </row>
    <row r="3208" spans="1:6" ht="29.55" customHeight="1" x14ac:dyDescent="0.25">
      <c r="A3208" s="6" t="s">
        <v>13043</v>
      </c>
      <c r="B3208" s="5" t="s">
        <v>13044</v>
      </c>
      <c r="C3208" s="5" t="s">
        <v>13045</v>
      </c>
      <c r="D3208" s="5" t="s">
        <v>13046</v>
      </c>
      <c r="E3208" s="5" t="s">
        <v>13047</v>
      </c>
      <c r="F3208" s="5" t="str">
        <f>HYPERLINK("http://www.agricolaguarisco.it/","www.agricolaguarisco.it")</f>
        <v>www.agricolaguarisco.it</v>
      </c>
    </row>
    <row r="3209" spans="1:6" ht="29.55" customHeight="1" x14ac:dyDescent="0.25">
      <c r="A3209" s="1" t="s">
        <v>13048</v>
      </c>
      <c r="B3209" s="7" t="s">
        <v>13049</v>
      </c>
      <c r="C3209" s="7" t="s">
        <v>13039</v>
      </c>
      <c r="D3209" s="7" t="s">
        <v>13050</v>
      </c>
      <c r="E3209" s="7" t="s">
        <v>13051</v>
      </c>
      <c r="F3209" s="7" t="str">
        <f>HYPERLINK("http://inaltovinidaltura.it/","inaltovinidaltura.it")</f>
        <v>inaltovinidaltura.it</v>
      </c>
    </row>
    <row r="3210" spans="1:6" ht="29.55" customHeight="1" x14ac:dyDescent="0.25">
      <c r="A3210" s="6" t="s">
        <v>13053</v>
      </c>
      <c r="B3210" s="5" t="s">
        <v>13054</v>
      </c>
      <c r="C3210" s="5" t="s">
        <v>13055</v>
      </c>
      <c r="D3210" s="5" t="s">
        <v>13056</v>
      </c>
      <c r="E3210" s="5" t="s">
        <v>13041</v>
      </c>
      <c r="F3210" s="5" t="str">
        <f>HYPERLINK("http://www.sangalgano.it/riserva-di-caccia.html","www.sangalgano.it/riserva-di-caccia.html")</f>
        <v>www.sangalgano.it/riserva-di-caccia.html</v>
      </c>
    </row>
    <row r="3211" spans="1:6" ht="29.55" customHeight="1" x14ac:dyDescent="0.25">
      <c r="A3211" s="1" t="s">
        <v>13057</v>
      </c>
      <c r="B3211" s="7" t="s">
        <v>13058</v>
      </c>
      <c r="C3211" s="7" t="s">
        <v>13039</v>
      </c>
      <c r="D3211" s="7" t="s">
        <v>13059</v>
      </c>
      <c r="E3211" s="7" t="s">
        <v>13060</v>
      </c>
      <c r="F3211" s="7" t="str">
        <f>HYPERLINK("http://www.nuovatenutaparadiso.com/","www.nuovatenutaparadiso.com")</f>
        <v>www.nuovatenutaparadiso.com</v>
      </c>
    </row>
    <row r="3212" spans="1:6" ht="55.65" customHeight="1" x14ac:dyDescent="0.25">
      <c r="A3212" s="6" t="s">
        <v>13061</v>
      </c>
      <c r="B3212" s="5" t="s">
        <v>13062</v>
      </c>
      <c r="C3212" s="5" t="s">
        <v>13038</v>
      </c>
      <c r="D3212" s="5" t="s">
        <v>13063</v>
      </c>
      <c r="E3212" s="5" t="s">
        <v>13042</v>
      </c>
      <c r="F3212" s="5" t="str">
        <f>HYPERLINK("http://agriturismo.bracciano.roma.it/","agriturismo.bracciano.roma.it")</f>
        <v>agriturismo.bracciano.roma.it</v>
      </c>
    </row>
    <row r="3213" spans="1:6" ht="29.55" customHeight="1" x14ac:dyDescent="0.25">
      <c r="A3213" s="6" t="s">
        <v>13065</v>
      </c>
      <c r="B3213" s="5" t="s">
        <v>13066</v>
      </c>
      <c r="C3213" s="5" t="s">
        <v>13067</v>
      </c>
      <c r="D3213" s="5" t="s">
        <v>13068</v>
      </c>
      <c r="E3213" s="5" t="s">
        <v>13069</v>
      </c>
      <c r="F3213" s="5" t="str">
        <f>HYPERLINK("http://www.acconiaantica.it/","www.acconiaantica.it")</f>
        <v>www.acconiaantica.it</v>
      </c>
    </row>
    <row r="3214" spans="1:6" ht="43.05" customHeight="1" x14ac:dyDescent="0.25">
      <c r="A3214" s="1" t="s">
        <v>13070</v>
      </c>
      <c r="B3214" s="7" t="s">
        <v>13071</v>
      </c>
      <c r="C3214" s="7" t="s">
        <v>13064</v>
      </c>
      <c r="D3214" s="7" t="s">
        <v>13072</v>
      </c>
      <c r="E3214" s="7" t="s">
        <v>13047</v>
      </c>
      <c r="F3214" s="7" t="str">
        <f>HYPERLINK("http://www.jumpingviadana.it/","www.jumpingviadana.it")</f>
        <v>www.jumpingviadana.it</v>
      </c>
    </row>
    <row r="3215" spans="1:6" ht="29.55" customHeight="1" x14ac:dyDescent="0.25">
      <c r="A3215" s="6" t="s">
        <v>13073</v>
      </c>
      <c r="B3215" s="5" t="s">
        <v>13074</v>
      </c>
      <c r="C3215" s="5" t="s">
        <v>13045</v>
      </c>
      <c r="D3215" s="5" t="s">
        <v>13075</v>
      </c>
      <c r="E3215" s="5" t="s">
        <v>13052</v>
      </c>
      <c r="F3215" s="5" t="str">
        <f>HYPERLINK("http://www.naturrabio.it/","www.naturrabio.it")</f>
        <v>www.naturrabio.it</v>
      </c>
    </row>
    <row r="3216" spans="1:6" ht="29.55" customHeight="1" x14ac:dyDescent="0.25">
      <c r="A3216" s="1" t="s">
        <v>13076</v>
      </c>
      <c r="B3216" s="7" t="s">
        <v>13077</v>
      </c>
      <c r="C3216" s="7" t="s">
        <v>13064</v>
      </c>
      <c r="D3216" s="7" t="s">
        <v>13078</v>
      </c>
      <c r="E3216" s="7" t="s">
        <v>13047</v>
      </c>
      <c r="F3216" s="7" t="str">
        <f>HYPERLINK("http://www.fmhorsedreamfarm.it/","www.fmhorsedreamfarm.it")</f>
        <v>www.fmhorsedreamfarm.it</v>
      </c>
    </row>
    <row r="3217" spans="1:6" ht="29.55" customHeight="1" x14ac:dyDescent="0.25">
      <c r="A3217" s="1" t="s">
        <v>13079</v>
      </c>
      <c r="B3217" s="7" t="s">
        <v>13080</v>
      </c>
      <c r="C3217" s="7" t="s">
        <v>13039</v>
      </c>
      <c r="D3217" s="7" t="s">
        <v>13081</v>
      </c>
      <c r="E3217" s="7" t="s">
        <v>13082</v>
      </c>
      <c r="F3217" s="7" t="str">
        <f>HYPERLINK("http://shop.goriagricola.it/","shop.goriagricola.it")</f>
        <v>shop.goriagricola.it</v>
      </c>
    </row>
    <row r="3218" spans="1:6" ht="29.55" customHeight="1" x14ac:dyDescent="0.25">
      <c r="A3218" s="1" t="s">
        <v>13083</v>
      </c>
      <c r="B3218" s="7" t="s">
        <v>13084</v>
      </c>
      <c r="C3218" s="7" t="s">
        <v>13067</v>
      </c>
      <c r="D3218" s="7" t="s">
        <v>13040</v>
      </c>
      <c r="E3218" s="7" t="s">
        <v>13041</v>
      </c>
      <c r="F3218" s="7" t="str">
        <f>HYPERLINK("http://relais-pugliano.business.site/","relais-pugliano.business.site")</f>
        <v>relais-pugliano.business.site</v>
      </c>
    </row>
    <row r="3219" spans="1:6" ht="29.55" customHeight="1" x14ac:dyDescent="0.25">
      <c r="A3219" s="6" t="s">
        <v>13085</v>
      </c>
      <c r="B3219" s="5" t="s">
        <v>13086</v>
      </c>
      <c r="C3219" s="5" t="s">
        <v>13039</v>
      </c>
      <c r="D3219" s="5" t="s">
        <v>13087</v>
      </c>
      <c r="E3219" s="5" t="s">
        <v>13082</v>
      </c>
      <c r="F3219" s="5" t="str">
        <f>HYPERLINK("http://www.poderedellangelo.eu/","www.poderedellangelo.eu")</f>
        <v>www.poderedellangelo.eu</v>
      </c>
    </row>
    <row r="3220" spans="1:6" ht="29.55" customHeight="1" x14ac:dyDescent="0.25">
      <c r="A3220" s="1" t="s">
        <v>13088</v>
      </c>
      <c r="B3220" s="7" t="s">
        <v>13089</v>
      </c>
      <c r="C3220" s="7" t="s">
        <v>13090</v>
      </c>
      <c r="D3220" s="7" t="s">
        <v>13091</v>
      </c>
      <c r="E3220" s="7" t="s">
        <v>13092</v>
      </c>
      <c r="F3220" s="7" t="str">
        <f>HYPERLINK("http://www.saves-alimenti.it/","www.saves-alimenti.it")</f>
        <v>www.saves-alimenti.it</v>
      </c>
    </row>
    <row r="3221" spans="1:6" ht="29.55" customHeight="1" x14ac:dyDescent="0.25">
      <c r="A3221" s="1" t="s">
        <v>13100</v>
      </c>
      <c r="B3221" s="7" t="s">
        <v>13101</v>
      </c>
      <c r="C3221" s="7" t="s">
        <v>13090</v>
      </c>
      <c r="D3221" s="7" t="s">
        <v>13102</v>
      </c>
      <c r="E3221" s="7" t="s">
        <v>13103</v>
      </c>
      <c r="F3221" s="7" t="str">
        <f>HYPERLINK("http://agricastelvecchio.upcom5.it/","agricastelvecchio.upcom5.it")</f>
        <v>agricastelvecchio.upcom5.it</v>
      </c>
    </row>
    <row r="3222" spans="1:6" ht="29.55" customHeight="1" x14ac:dyDescent="0.25">
      <c r="A3222" s="6" t="s">
        <v>13104</v>
      </c>
      <c r="B3222" s="5" t="s">
        <v>13105</v>
      </c>
      <c r="C3222" s="5" t="s">
        <v>13090</v>
      </c>
      <c r="D3222" s="5" t="s">
        <v>13106</v>
      </c>
      <c r="E3222" s="5" t="s">
        <v>13107</v>
      </c>
      <c r="F3222" s="5" t="str">
        <f>HYPERLINK("http://www.sodesantangelo.com/","www.sodesantangelo.com")</f>
        <v>www.sodesantangelo.com</v>
      </c>
    </row>
    <row r="3223" spans="1:6" ht="29.55" customHeight="1" x14ac:dyDescent="0.25">
      <c r="A3223" s="1" t="s">
        <v>13108</v>
      </c>
      <c r="B3223" s="7" t="s">
        <v>13109</v>
      </c>
      <c r="C3223" s="7" t="s">
        <v>13110</v>
      </c>
      <c r="D3223" s="7" t="s">
        <v>13099</v>
      </c>
      <c r="E3223" s="7" t="s">
        <v>13097</v>
      </c>
      <c r="F3223" s="7" t="str">
        <f>HYPERLINK("http://www.villalalimonaia.it/","www.villalalimonaia.it")</f>
        <v>www.villalalimonaia.it</v>
      </c>
    </row>
    <row r="3224" spans="1:6" ht="29.55" customHeight="1" x14ac:dyDescent="0.25">
      <c r="A3224" s="1" t="s">
        <v>13111</v>
      </c>
      <c r="B3224" s="7" t="s">
        <v>13112</v>
      </c>
      <c r="C3224" s="7" t="s">
        <v>13090</v>
      </c>
      <c r="D3224" s="7" t="s">
        <v>13093</v>
      </c>
      <c r="E3224" s="7" t="s">
        <v>13094</v>
      </c>
      <c r="F3224" s="7" t="str">
        <f>HYPERLINK("http://www.fattorialbamarina.com/","www.fattorialbamarina.com")</f>
        <v>www.fattorialbamarina.com</v>
      </c>
    </row>
    <row r="3225" spans="1:6" ht="29.55" customHeight="1" x14ac:dyDescent="0.25">
      <c r="A3225" s="1" t="s">
        <v>13113</v>
      </c>
      <c r="B3225" s="7" t="s">
        <v>13114</v>
      </c>
      <c r="C3225" s="7" t="s">
        <v>13090</v>
      </c>
      <c r="D3225" s="7" t="s">
        <v>13115</v>
      </c>
      <c r="E3225" s="7" t="s">
        <v>13103</v>
      </c>
      <c r="F3225" s="7" t="str">
        <f>HYPERLINK("http://www.agriturismoscannano.it/","www.agriturismoscannano.it")</f>
        <v>www.agriturismoscannano.it</v>
      </c>
    </row>
    <row r="3226" spans="1:6" ht="29.55" customHeight="1" x14ac:dyDescent="0.25">
      <c r="A3226" s="6" t="s">
        <v>13116</v>
      </c>
      <c r="B3226" s="5" t="s">
        <v>13117</v>
      </c>
      <c r="C3226" s="5" t="s">
        <v>13118</v>
      </c>
      <c r="D3226" s="5" t="s">
        <v>13119</v>
      </c>
      <c r="E3226" s="5" t="s">
        <v>13097</v>
      </c>
      <c r="F3226" s="5" t="str">
        <f>HYPERLINK("http://www.solleone.org/","www.solleone.org")</f>
        <v>www.solleone.org</v>
      </c>
    </row>
    <row r="3227" spans="1:6" ht="43.05" customHeight="1" x14ac:dyDescent="0.25">
      <c r="A3227" s="6" t="s">
        <v>13120</v>
      </c>
      <c r="B3227" s="5" t="s">
        <v>13121</v>
      </c>
      <c r="C3227" s="5" t="s">
        <v>13095</v>
      </c>
      <c r="D3227" s="5" t="s">
        <v>13122</v>
      </c>
      <c r="E3227" s="5" t="s">
        <v>13123</v>
      </c>
      <c r="F3227" s="5" t="str">
        <f>HYPERLINK("http://reteagricoltura.it/","reteagricoltura.it")</f>
        <v>reteagricoltura.it</v>
      </c>
    </row>
    <row r="3228" spans="1:6" ht="29.55" customHeight="1" x14ac:dyDescent="0.25">
      <c r="A3228" s="6" t="s">
        <v>13124</v>
      </c>
      <c r="B3228" s="5" t="s">
        <v>13125</v>
      </c>
      <c r="C3228" s="5" t="s">
        <v>13098</v>
      </c>
      <c r="D3228" s="5" t="s">
        <v>13126</v>
      </c>
      <c r="E3228" s="5" t="s">
        <v>13096</v>
      </c>
      <c r="F3228" s="5" t="str">
        <f>HYPERLINK("http://www.orodelsalento.com/","www.orodelsalento.com")</f>
        <v>www.orodelsalento.com</v>
      </c>
    </row>
    <row r="3229" spans="1:6" ht="29.55" customHeight="1" x14ac:dyDescent="0.25">
      <c r="A3229" s="1" t="s">
        <v>13127</v>
      </c>
      <c r="B3229" s="7" t="s">
        <v>13128</v>
      </c>
      <c r="C3229" s="7" t="s">
        <v>13129</v>
      </c>
      <c r="D3229" s="7" t="s">
        <v>13106</v>
      </c>
      <c r="E3229" s="7" t="s">
        <v>13107</v>
      </c>
      <c r="F3229" s="7" t="str">
        <f>HYPERLINK("http://www.orodigiano.it/","www.orodigiano.it")</f>
        <v>www.orodigiano.it</v>
      </c>
    </row>
    <row r="3230" spans="1:6" ht="29.55" customHeight="1" x14ac:dyDescent="0.25">
      <c r="A3230" s="1" t="s">
        <v>13130</v>
      </c>
      <c r="B3230" s="7" t="s">
        <v>13131</v>
      </c>
      <c r="C3230" s="7" t="s">
        <v>13132</v>
      </c>
      <c r="D3230" s="7" t="s">
        <v>13133</v>
      </c>
      <c r="E3230" s="7" t="s">
        <v>13134</v>
      </c>
      <c r="F3230" s="7" t="str">
        <f>HYPERLINK("http://www.antichisaporicamuni.it/","www.antichisaporicamuni.it")</f>
        <v>www.antichisaporicamuni.it</v>
      </c>
    </row>
    <row r="3231" spans="1:6" ht="29.55" customHeight="1" x14ac:dyDescent="0.25">
      <c r="A3231" s="6" t="s">
        <v>13137</v>
      </c>
      <c r="B3231" s="5" t="s">
        <v>13138</v>
      </c>
      <c r="C3231" s="5" t="s">
        <v>13139</v>
      </c>
      <c r="D3231" s="5" t="s">
        <v>13140</v>
      </c>
      <c r="E3231" s="5" t="s">
        <v>13141</v>
      </c>
      <c r="F3231" s="5" t="str">
        <f>HYPERLINK("http://orodipugliacalia.it/","orodipugliacalia.it")</f>
        <v>orodipugliacalia.it</v>
      </c>
    </row>
    <row r="3232" spans="1:6" ht="43.05" customHeight="1" x14ac:dyDescent="0.25">
      <c r="A3232" s="6" t="s">
        <v>13143</v>
      </c>
      <c r="B3232" s="5" t="s">
        <v>13144</v>
      </c>
      <c r="C3232" s="5" t="s">
        <v>13145</v>
      </c>
      <c r="D3232" s="5" t="s">
        <v>13146</v>
      </c>
      <c r="E3232" s="5" t="s">
        <v>13147</v>
      </c>
      <c r="F3232" s="5" t="str">
        <f>HYPERLINK("http://www.ilmolinaccio.com/","www.ilmolinaccio.com")</f>
        <v>www.ilmolinaccio.com</v>
      </c>
    </row>
    <row r="3233" spans="1:6" ht="29.55" customHeight="1" x14ac:dyDescent="0.25">
      <c r="A3233" s="6" t="s">
        <v>13150</v>
      </c>
      <c r="B3233" s="5" t="s">
        <v>13151</v>
      </c>
      <c r="C3233" s="5" t="s">
        <v>13132</v>
      </c>
      <c r="D3233" s="5" t="s">
        <v>13152</v>
      </c>
      <c r="E3233" s="5" t="s">
        <v>13147</v>
      </c>
      <c r="F3233" s="5" t="str">
        <f>HYPERLINK("http://www.blumescosmetics.it/","www.blumescosmetics.it")</f>
        <v>www.blumescosmetics.it</v>
      </c>
    </row>
    <row r="3234" spans="1:6" ht="29.55" customHeight="1" x14ac:dyDescent="0.25">
      <c r="A3234" s="6" t="s">
        <v>13153</v>
      </c>
      <c r="B3234" s="5" t="s">
        <v>13154</v>
      </c>
      <c r="C3234" s="5" t="s">
        <v>13142</v>
      </c>
      <c r="D3234" s="5" t="s">
        <v>13155</v>
      </c>
      <c r="E3234" s="5" t="s">
        <v>13156</v>
      </c>
      <c r="F3234" s="5" t="str">
        <f>HYPERLINK("http://www.agricolaserenissima.it/","www.agricolaserenissima.it")</f>
        <v>www.agricolaserenissima.it</v>
      </c>
    </row>
    <row r="3235" spans="1:6" ht="29.55" customHeight="1" x14ac:dyDescent="0.25">
      <c r="A3235" s="1" t="s">
        <v>13157</v>
      </c>
      <c r="B3235" s="7" t="s">
        <v>13158</v>
      </c>
      <c r="C3235" s="7" t="s">
        <v>13159</v>
      </c>
      <c r="D3235" s="7" t="s">
        <v>13160</v>
      </c>
      <c r="E3235" s="7" t="s">
        <v>13149</v>
      </c>
      <c r="F3235" s="7" t="str">
        <f>HYPERLINK("http://www.risodossi.it/","www.risodossi.it")</f>
        <v>www.risodossi.it</v>
      </c>
    </row>
    <row r="3236" spans="1:6" ht="43.05" customHeight="1" x14ac:dyDescent="0.25">
      <c r="A3236" s="6" t="s">
        <v>13161</v>
      </c>
      <c r="B3236" s="5" t="s">
        <v>13162</v>
      </c>
      <c r="C3236" s="5" t="s">
        <v>13139</v>
      </c>
      <c r="D3236" s="5" t="s">
        <v>13163</v>
      </c>
      <c r="E3236" s="5" t="s">
        <v>13164</v>
      </c>
      <c r="F3236" s="5" t="str">
        <f>HYPERLINK("http://www.oliopignatelli.it/","www.oliopignatelli.it")</f>
        <v>www.oliopignatelli.it</v>
      </c>
    </row>
    <row r="3237" spans="1:6" ht="29.55" customHeight="1" x14ac:dyDescent="0.25">
      <c r="A3237" s="1" t="s">
        <v>13165</v>
      </c>
      <c r="B3237" s="7" t="s">
        <v>13166</v>
      </c>
      <c r="C3237" s="7" t="s">
        <v>13145</v>
      </c>
      <c r="D3237" s="7" t="s">
        <v>13167</v>
      </c>
      <c r="E3237" s="7" t="s">
        <v>13136</v>
      </c>
      <c r="F3237" s="7" t="str">
        <f>HYPERLINK("http://www.crespaia.it/","www.crespaia.it")</f>
        <v>www.crespaia.it</v>
      </c>
    </row>
    <row r="3238" spans="1:6" ht="29.55" customHeight="1" x14ac:dyDescent="0.25">
      <c r="A3238" s="6" t="s">
        <v>13168</v>
      </c>
      <c r="B3238" s="5" t="s">
        <v>13169</v>
      </c>
      <c r="C3238" s="5" t="s">
        <v>13135</v>
      </c>
      <c r="D3238" s="5" t="s">
        <v>13170</v>
      </c>
      <c r="E3238" s="5" t="s">
        <v>13148</v>
      </c>
      <c r="F3238" s="5" t="str">
        <f>HYPERLINK("http://greendogbrewery.it/","greendogbrewery.it")</f>
        <v>greendogbrewery.it</v>
      </c>
    </row>
    <row r="3239" spans="1:6" ht="29.55" customHeight="1" x14ac:dyDescent="0.25">
      <c r="A3239" s="1" t="s">
        <v>13171</v>
      </c>
      <c r="B3239" s="7" t="s">
        <v>13172</v>
      </c>
      <c r="C3239" s="7" t="s">
        <v>13145</v>
      </c>
      <c r="D3239" s="7" t="s">
        <v>13146</v>
      </c>
      <c r="E3239" s="7" t="s">
        <v>13147</v>
      </c>
      <c r="F3239" s="7" t="str">
        <f>HYPERLINK("http://ilgreppo.it/","ilgreppo.it")</f>
        <v>ilgreppo.it</v>
      </c>
    </row>
    <row r="3240" spans="1:6" ht="43.05" customHeight="1" x14ac:dyDescent="0.25">
      <c r="A3240" s="6" t="s">
        <v>13173</v>
      </c>
      <c r="B3240" s="5" t="s">
        <v>13174</v>
      </c>
      <c r="C3240" s="5" t="s">
        <v>13175</v>
      </c>
      <c r="D3240" s="5" t="s">
        <v>13176</v>
      </c>
      <c r="E3240" s="5" t="s">
        <v>13147</v>
      </c>
      <c r="F3240" s="5" t="str">
        <f>HYPERLINK("http://www.fabbrivivai.it/","www.fabbrivivai.it")</f>
        <v>www.fabbrivivai.it</v>
      </c>
    </row>
    <row r="3241" spans="1:6" ht="43.05" customHeight="1" x14ac:dyDescent="0.25">
      <c r="A3241" s="1" t="s">
        <v>13177</v>
      </c>
      <c r="B3241" s="7" t="s">
        <v>13178</v>
      </c>
      <c r="C3241" s="7" t="s">
        <v>13179</v>
      </c>
      <c r="D3241" s="7" t="s">
        <v>13180</v>
      </c>
      <c r="E3241" s="7" t="s">
        <v>13181</v>
      </c>
      <c r="F3241" s="7" t="str">
        <f>HYPERLINK("http://tenutadelgallo.com/","tenutadelgallo.com")</f>
        <v>tenutadelgallo.com</v>
      </c>
    </row>
    <row r="3242" spans="1:6" ht="29.55" customHeight="1" x14ac:dyDescent="0.25">
      <c r="A3242" s="1" t="s">
        <v>13182</v>
      </c>
      <c r="B3242" s="7" t="s">
        <v>13183</v>
      </c>
      <c r="C3242" s="7" t="s">
        <v>13184</v>
      </c>
      <c r="D3242" s="7" t="s">
        <v>13185</v>
      </c>
      <c r="E3242" s="7" t="s">
        <v>13186</v>
      </c>
      <c r="F3242" s="7" t="str">
        <f>HYPERLINK("http://www.societaagricolabillotto.com/","www.societaagricolabillotto.com")</f>
        <v>www.societaagricolabillotto.com</v>
      </c>
    </row>
    <row r="3243" spans="1:6" ht="29.55" customHeight="1" x14ac:dyDescent="0.25">
      <c r="A3243" s="6" t="s">
        <v>13187</v>
      </c>
      <c r="B3243" s="5" t="s">
        <v>13188</v>
      </c>
      <c r="C3243" s="5" t="s">
        <v>13184</v>
      </c>
      <c r="D3243" s="5" t="s">
        <v>13189</v>
      </c>
      <c r="E3243" s="5" t="s">
        <v>13190</v>
      </c>
      <c r="F3243" s="5" t="str">
        <f>HYPERLINK("http://www.labiologica.com/","www.labiologica.com")</f>
        <v>www.labiologica.com</v>
      </c>
    </row>
    <row r="3244" spans="1:6" ht="29.55" customHeight="1" x14ac:dyDescent="0.25">
      <c r="A3244" s="1" t="s">
        <v>13194</v>
      </c>
      <c r="B3244" s="7" t="s">
        <v>13195</v>
      </c>
      <c r="C3244" s="7" t="s">
        <v>13191</v>
      </c>
      <c r="D3244" s="7" t="s">
        <v>13196</v>
      </c>
      <c r="E3244" s="7" t="s">
        <v>13192</v>
      </c>
      <c r="F3244" s="7" t="str">
        <f>HYPERLINK("http://lerote.it/","lerote.it")</f>
        <v>lerote.it</v>
      </c>
    </row>
    <row r="3245" spans="1:6" ht="43.05" customHeight="1" x14ac:dyDescent="0.25">
      <c r="A3245" s="6" t="s">
        <v>13198</v>
      </c>
      <c r="B3245" s="5" t="s">
        <v>13199</v>
      </c>
      <c r="C3245" s="5" t="s">
        <v>13184</v>
      </c>
      <c r="D3245" s="5" t="s">
        <v>13200</v>
      </c>
      <c r="E3245" s="5" t="s">
        <v>13192</v>
      </c>
      <c r="F3245" s="5" t="str">
        <f>HYPERLINK("http://www.aziendavillaliana.com/","www.aziendavillaliana.com")</f>
        <v>www.aziendavillaliana.com</v>
      </c>
    </row>
    <row r="3246" spans="1:6" ht="43.05" customHeight="1" x14ac:dyDescent="0.25">
      <c r="A3246" s="6" t="s">
        <v>13201</v>
      </c>
      <c r="B3246" s="5" t="s">
        <v>13202</v>
      </c>
      <c r="C3246" s="5" t="s">
        <v>13203</v>
      </c>
      <c r="D3246" s="5" t="s">
        <v>13197</v>
      </c>
      <c r="E3246" s="5" t="s">
        <v>13193</v>
      </c>
      <c r="F3246" s="5" t="str">
        <f>HYPERLINK("http://www.apedoro.com/","www.apedoro.com")</f>
        <v>www.apedoro.com</v>
      </c>
    </row>
    <row r="3247" spans="1:6" ht="29.55" customHeight="1" x14ac:dyDescent="0.25">
      <c r="A3247" s="1" t="s">
        <v>13204</v>
      </c>
      <c r="B3247" s="7" t="s">
        <v>13205</v>
      </c>
      <c r="C3247" s="7" t="s">
        <v>13206</v>
      </c>
      <c r="D3247" s="7" t="s">
        <v>13207</v>
      </c>
      <c r="E3247" s="7" t="s">
        <v>13208</v>
      </c>
      <c r="F3247" s="7" t="str">
        <f>HYPERLINK("http://www.cantinedeluca.it/","www.cantinedeluca.it")</f>
        <v>www.cantinedeluca.it</v>
      </c>
    </row>
    <row r="3248" spans="1:6" ht="43.05" customHeight="1" x14ac:dyDescent="0.25">
      <c r="A3248" s="6" t="s">
        <v>13209</v>
      </c>
      <c r="B3248" s="5" t="s">
        <v>13210</v>
      </c>
      <c r="C3248" s="5" t="s">
        <v>13206</v>
      </c>
      <c r="D3248" s="5" t="s">
        <v>13211</v>
      </c>
      <c r="E3248" s="5" t="s">
        <v>13212</v>
      </c>
      <c r="F3248" s="5" t="str">
        <f>HYPERLINK("http://www.des-mediofriuli.it/","www.des-mediofriuli.it")</f>
        <v>www.des-mediofriuli.it</v>
      </c>
    </row>
    <row r="3249" spans="1:6" ht="43.05" customHeight="1" x14ac:dyDescent="0.25">
      <c r="A3249" s="6" t="s">
        <v>13213</v>
      </c>
      <c r="B3249" s="5" t="s">
        <v>13214</v>
      </c>
      <c r="C3249" s="5" t="s">
        <v>13215</v>
      </c>
      <c r="D3249" s="5" t="s">
        <v>13180</v>
      </c>
      <c r="E3249" s="5" t="s">
        <v>13181</v>
      </c>
      <c r="F3249" s="5" t="str">
        <f>HYPERLINK("http://www.cetmusicbook.it/","www.cetmusicbook.it")</f>
        <v>www.cetmusicbook.it</v>
      </c>
    </row>
    <row r="3250" spans="1:6" ht="29.55" customHeight="1" x14ac:dyDescent="0.25">
      <c r="A3250" s="1" t="s">
        <v>13216</v>
      </c>
      <c r="B3250" s="7" t="s">
        <v>13217</v>
      </c>
      <c r="C3250" s="7" t="s">
        <v>13218</v>
      </c>
      <c r="D3250" s="7" t="s">
        <v>13197</v>
      </c>
      <c r="E3250" s="7" t="s">
        <v>13193</v>
      </c>
      <c r="F3250" s="7" t="str">
        <f>HYPERLINK("http://www.briplant.it/","www.briplant.it")</f>
        <v>www.briplant.it</v>
      </c>
    </row>
    <row r="3251" spans="1:6" ht="29.55" customHeight="1" x14ac:dyDescent="0.25">
      <c r="A3251" s="1" t="s">
        <v>13219</v>
      </c>
      <c r="B3251" s="7" t="s">
        <v>13220</v>
      </c>
      <c r="C3251" s="7" t="s">
        <v>13191</v>
      </c>
      <c r="D3251" s="7" t="s">
        <v>13221</v>
      </c>
      <c r="E3251" s="7" t="s">
        <v>13222</v>
      </c>
      <c r="F3251" s="7" t="str">
        <f>HYPERLINK("http://www.terracalo.it/","www.terracalo.it")</f>
        <v>www.terracalo.it</v>
      </c>
    </row>
    <row r="3252" spans="1:6" ht="29.55" customHeight="1" x14ac:dyDescent="0.25">
      <c r="A3252" s="6" t="s">
        <v>13224</v>
      </c>
      <c r="B3252" s="5" t="s">
        <v>13225</v>
      </c>
      <c r="C3252" s="5" t="s">
        <v>13179</v>
      </c>
      <c r="D3252" s="5" t="s">
        <v>13180</v>
      </c>
      <c r="E3252" s="5" t="s">
        <v>13181</v>
      </c>
      <c r="F3252" s="5" t="str">
        <f>HYPERLINK("http://www.agriturismopoggiodellerocche.it/","www.agriturismopoggiodellerocche.it")</f>
        <v>www.agriturismopoggiodellerocche.it</v>
      </c>
    </row>
    <row r="3253" spans="1:6" ht="29.55" customHeight="1" x14ac:dyDescent="0.25">
      <c r="A3253" s="1" t="s">
        <v>13226</v>
      </c>
      <c r="B3253" s="7" t="s">
        <v>13227</v>
      </c>
      <c r="C3253" s="7" t="s">
        <v>13191</v>
      </c>
      <c r="D3253" s="7" t="s">
        <v>13228</v>
      </c>
      <c r="E3253" s="7" t="s">
        <v>13223</v>
      </c>
      <c r="F3253" s="7" t="str">
        <f>HYPERLINK("http://www.bacchanalis.it/","www.bacchanalis.it")</f>
        <v>www.bacchanalis.it</v>
      </c>
    </row>
    <row r="3254" spans="1:6" ht="16.95" customHeight="1" x14ac:dyDescent="0.25">
      <c r="A3254" s="1" t="s">
        <v>13229</v>
      </c>
      <c r="B3254" s="7" t="s">
        <v>13230</v>
      </c>
      <c r="C3254" s="7" t="s">
        <v>13231</v>
      </c>
      <c r="D3254" s="7" t="s">
        <v>13232</v>
      </c>
      <c r="E3254" s="7" t="s">
        <v>13223</v>
      </c>
      <c r="F3254" s="7" t="str">
        <f>HYPERLINK("http://www.insolentinn.it/","www.insolentinn.it")</f>
        <v>www.insolentinn.it</v>
      </c>
    </row>
    <row r="3255" spans="1:6" ht="29.55" customHeight="1" x14ac:dyDescent="0.25">
      <c r="A3255" s="6" t="s">
        <v>13235</v>
      </c>
      <c r="B3255" s="5" t="s">
        <v>13236</v>
      </c>
      <c r="C3255" s="5" t="s">
        <v>13237</v>
      </c>
      <c r="D3255" s="5" t="s">
        <v>13238</v>
      </c>
      <c r="E3255" s="5" t="s">
        <v>13239</v>
      </c>
      <c r="F3255" s="5" t="str">
        <f>HYPERLINK("http://www.valledifiordimonte.it/","www.valledifiordimonte.it")</f>
        <v>www.valledifiordimonte.it</v>
      </c>
    </row>
    <row r="3256" spans="1:6" ht="55.65" customHeight="1" x14ac:dyDescent="0.25">
      <c r="A3256" s="1" t="s">
        <v>13240</v>
      </c>
      <c r="B3256" s="7" t="s">
        <v>13241</v>
      </c>
      <c r="C3256" s="7" t="s">
        <v>13242</v>
      </c>
      <c r="D3256" s="7" t="s">
        <v>13243</v>
      </c>
      <c r="E3256" s="7" t="s">
        <v>13234</v>
      </c>
      <c r="F3256" s="7" t="str">
        <f>HYPERLINK("http://www.agriturismoricciardelli.it/","www.agriturismoricciardelli.it")</f>
        <v>www.agriturismoricciardelli.it</v>
      </c>
    </row>
    <row r="3257" spans="1:6" ht="43.05" customHeight="1" x14ac:dyDescent="0.25">
      <c r="A3257" s="6" t="s">
        <v>13244</v>
      </c>
      <c r="B3257" s="5" t="s">
        <v>13245</v>
      </c>
      <c r="C3257" s="5" t="s">
        <v>13246</v>
      </c>
      <c r="D3257" s="5" t="s">
        <v>13247</v>
      </c>
      <c r="E3257" s="5" t="s">
        <v>13248</v>
      </c>
      <c r="F3257" s="5" t="str">
        <f>HYPERLINK("http://tenutafavorita.com/","tenutafavorita.com")</f>
        <v>tenutafavorita.com</v>
      </c>
    </row>
    <row r="3258" spans="1:6" ht="43.05" customHeight="1" x14ac:dyDescent="0.25">
      <c r="A3258" s="1" t="s">
        <v>13256</v>
      </c>
      <c r="B3258" s="7" t="s">
        <v>13257</v>
      </c>
      <c r="C3258" s="7" t="s">
        <v>13233</v>
      </c>
      <c r="D3258" s="7" t="s">
        <v>13258</v>
      </c>
      <c r="E3258" s="7" t="s">
        <v>13259</v>
      </c>
      <c r="F3258" s="7" t="str">
        <f>HYPERLINK("http://www.bbdormire.com/","www.bbdormire.com")</f>
        <v>www.bbdormire.com</v>
      </c>
    </row>
    <row r="3259" spans="1:6" ht="55.65" customHeight="1" x14ac:dyDescent="0.25">
      <c r="A3259" s="1" t="s">
        <v>13260</v>
      </c>
      <c r="B3259" s="7" t="s">
        <v>13261</v>
      </c>
      <c r="C3259" s="7" t="s">
        <v>13254</v>
      </c>
      <c r="D3259" s="7" t="s">
        <v>13252</v>
      </c>
      <c r="E3259" s="7" t="s">
        <v>13253</v>
      </c>
      <c r="F3259" s="7" t="str">
        <f>HYPERLINK("http://de.sangiacomohorses.it/","de.sangiacomohorses.it")</f>
        <v>de.sangiacomohorses.it</v>
      </c>
    </row>
    <row r="3260" spans="1:6" ht="16.95" customHeight="1" x14ac:dyDescent="0.25">
      <c r="A3260" s="6" t="s">
        <v>13262</v>
      </c>
      <c r="B3260" s="5" t="s">
        <v>13263</v>
      </c>
      <c r="C3260" s="5" t="s">
        <v>13264</v>
      </c>
      <c r="D3260" s="5" t="s">
        <v>13265</v>
      </c>
      <c r="E3260" s="5" t="s">
        <v>13266</v>
      </c>
      <c r="F3260" s="5" t="str">
        <f>HYPERLINK("http://www.aquaponicdesign.it/","www.aquaponicdesign.it")</f>
        <v>www.aquaponicdesign.it</v>
      </c>
    </row>
    <row r="3261" spans="1:6" ht="43.05" customHeight="1" x14ac:dyDescent="0.25">
      <c r="A3261" s="1" t="s">
        <v>13267</v>
      </c>
      <c r="B3261" s="7" t="s">
        <v>13268</v>
      </c>
      <c r="C3261" s="7" t="s">
        <v>13269</v>
      </c>
      <c r="D3261" s="7" t="s">
        <v>13270</v>
      </c>
      <c r="E3261" s="7" t="s">
        <v>13255</v>
      </c>
      <c r="F3261" s="7" t="str">
        <f>HYPERLINK("http://www.unfiorepertutti.it/","www.unfiorepertutti.it")</f>
        <v>www.unfiorepertutti.it</v>
      </c>
    </row>
    <row r="3262" spans="1:6" ht="16.95" customHeight="1" x14ac:dyDescent="0.25">
      <c r="A3262" s="6" t="s">
        <v>13271</v>
      </c>
      <c r="B3262" s="5" t="s">
        <v>13272</v>
      </c>
      <c r="C3262" s="5" t="s">
        <v>13254</v>
      </c>
      <c r="D3262" s="5" t="s">
        <v>13273</v>
      </c>
      <c r="E3262" s="5" t="s">
        <v>13274</v>
      </c>
      <c r="F3262" s="5" t="str">
        <f>HYPERLINK("http://www.nizzi.com/","www.nizzi.com")</f>
        <v>www.nizzi.com</v>
      </c>
    </row>
    <row r="3263" spans="1:6" ht="29.55" customHeight="1" x14ac:dyDescent="0.25">
      <c r="A3263" s="6" t="s">
        <v>13275</v>
      </c>
      <c r="B3263" s="5" t="s">
        <v>13276</v>
      </c>
      <c r="C3263" s="5" t="s">
        <v>13242</v>
      </c>
      <c r="D3263" s="5" t="s">
        <v>13258</v>
      </c>
      <c r="E3263" s="5" t="s">
        <v>13259</v>
      </c>
      <c r="F3263" s="5" t="str">
        <f>HYPERLINK("http://www.tenutailmelograno.it/","www.tenutailmelograno.it")</f>
        <v>www.tenutailmelograno.it</v>
      </c>
    </row>
    <row r="3264" spans="1:6" ht="16.95" customHeight="1" x14ac:dyDescent="0.25">
      <c r="A3264" s="1" t="s">
        <v>13277</v>
      </c>
      <c r="B3264" s="7" t="s">
        <v>13278</v>
      </c>
      <c r="C3264" s="7" t="s">
        <v>13264</v>
      </c>
      <c r="D3264" s="7" t="s">
        <v>13279</v>
      </c>
      <c r="E3264" s="7" t="s">
        <v>13251</v>
      </c>
      <c r="F3264" s="7" t="str">
        <f>HYPERLINK("http://www.rotellaoli.com/","http://www.rotellaoli.com")</f>
        <v>http://www.rotellaoli.com</v>
      </c>
    </row>
    <row r="3265" spans="1:6" ht="29.55" customHeight="1" x14ac:dyDescent="0.25">
      <c r="A3265" s="6" t="s">
        <v>13280</v>
      </c>
      <c r="B3265" s="5" t="s">
        <v>13281</v>
      </c>
      <c r="C3265" s="5" t="s">
        <v>13282</v>
      </c>
      <c r="D3265" s="5" t="s">
        <v>13283</v>
      </c>
      <c r="E3265" s="5" t="s">
        <v>13259</v>
      </c>
      <c r="F3265" s="5" t="str">
        <f>HYPERLINK("http://tenutacalissonibulgari.it/","tenutacalissonibulgari.it")</f>
        <v>tenutacalissonibulgari.it</v>
      </c>
    </row>
    <row r="3266" spans="1:6" ht="29.55" customHeight="1" x14ac:dyDescent="0.25">
      <c r="A3266" s="6" t="s">
        <v>13284</v>
      </c>
      <c r="B3266" s="5" t="s">
        <v>13285</v>
      </c>
      <c r="C3266" s="5" t="s">
        <v>13282</v>
      </c>
      <c r="D3266" s="5" t="s">
        <v>13249</v>
      </c>
      <c r="E3266" s="5" t="s">
        <v>13234</v>
      </c>
      <c r="F3266" s="5" t="str">
        <f>HYPERLINK("http://nuovavalcalore.com/","nuovavalcalore.com")</f>
        <v>nuovavalcalore.com</v>
      </c>
    </row>
    <row r="3267" spans="1:6" ht="29.55" customHeight="1" x14ac:dyDescent="0.25">
      <c r="A3267" s="1" t="s">
        <v>13286</v>
      </c>
      <c r="B3267" s="7" t="s">
        <v>13287</v>
      </c>
      <c r="C3267" s="7" t="s">
        <v>13254</v>
      </c>
      <c r="D3267" s="7" t="s">
        <v>13250</v>
      </c>
      <c r="E3267" s="7" t="s">
        <v>13251</v>
      </c>
      <c r="F3267" s="7" t="str">
        <f>HYPERLINK("http://calabrianfood.webnode.it/l/galluzzogroupsrl/","calabrianfood.webnode.it/l/galluzzogroupsrl/")</f>
        <v>calabrianfood.webnode.it/l/galluzzogroupsrl/</v>
      </c>
    </row>
    <row r="3268" spans="1:6" ht="29.55" customHeight="1" x14ac:dyDescent="0.25">
      <c r="A3268" s="6" t="s">
        <v>13288</v>
      </c>
      <c r="B3268" s="5" t="s">
        <v>13289</v>
      </c>
      <c r="C3268" s="5" t="s">
        <v>13290</v>
      </c>
      <c r="D3268" s="5" t="s">
        <v>13291</v>
      </c>
      <c r="E3268" s="5" t="s">
        <v>13292</v>
      </c>
      <c r="F3268" s="5" t="str">
        <f>HYPERLINK("http://www.bagliobonsignore.com/","www.bagliobonsignore.com")</f>
        <v>www.bagliobonsignore.com</v>
      </c>
    </row>
    <row r="3269" spans="1:6" ht="29.55" customHeight="1" x14ac:dyDescent="0.25">
      <c r="A3269" s="6" t="s">
        <v>13293</v>
      </c>
      <c r="B3269" s="5" t="s">
        <v>13294</v>
      </c>
      <c r="C3269" s="5" t="s">
        <v>13295</v>
      </c>
      <c r="D3269" s="5" t="s">
        <v>13296</v>
      </c>
      <c r="E3269" s="5" t="s">
        <v>13292</v>
      </c>
      <c r="F3269" s="5" t="str">
        <f>HYPERLINK("http://merlinosettimo.wixsite.com/vivaigiacomomannone","merlinosettimo.wixsite.com/vivaigiacomomannone")</f>
        <v>merlinosettimo.wixsite.com/vivaigiacomomannone</v>
      </c>
    </row>
    <row r="3270" spans="1:6" ht="29.55" customHeight="1" x14ac:dyDescent="0.25">
      <c r="A3270" s="1" t="s">
        <v>13298</v>
      </c>
      <c r="B3270" s="7" t="s">
        <v>13299</v>
      </c>
      <c r="C3270" s="7" t="s">
        <v>13300</v>
      </c>
      <c r="D3270" s="7" t="s">
        <v>13301</v>
      </c>
      <c r="E3270" s="7" t="s">
        <v>13302</v>
      </c>
      <c r="F3270" s="7" t="str">
        <f>HYPERLINK("http://lemagnolieagriturismo.it/","lemagnolieagriturismo.it")</f>
        <v>lemagnolieagriturismo.it</v>
      </c>
    </row>
    <row r="3271" spans="1:6" ht="29.55" customHeight="1" x14ac:dyDescent="0.25">
      <c r="A3271" s="1" t="s">
        <v>13305</v>
      </c>
      <c r="B3271" s="7" t="s">
        <v>13306</v>
      </c>
      <c r="C3271" s="7" t="s">
        <v>13307</v>
      </c>
      <c r="D3271" s="7" t="s">
        <v>13308</v>
      </c>
      <c r="E3271" s="7" t="s">
        <v>13302</v>
      </c>
      <c r="F3271" s="7" t="str">
        <f>HYPERLINK("http://agriturismomonteroseo.com/","agriturismomonteroseo.com")</f>
        <v>agriturismomonteroseo.com</v>
      </c>
    </row>
    <row r="3272" spans="1:6" ht="29.55" customHeight="1" x14ac:dyDescent="0.25">
      <c r="A3272" s="1" t="s">
        <v>13309</v>
      </c>
      <c r="B3272" s="7" t="s">
        <v>13310</v>
      </c>
      <c r="C3272" s="7" t="s">
        <v>13290</v>
      </c>
      <c r="D3272" s="7" t="s">
        <v>13311</v>
      </c>
      <c r="E3272" s="7" t="s">
        <v>13304</v>
      </c>
      <c r="F3272" s="7" t="str">
        <f>HYPERLINK("http://www.tenutalapazzaglia.it/","www.tenutalapazzaglia.it")</f>
        <v>www.tenutalapazzaglia.it</v>
      </c>
    </row>
    <row r="3273" spans="1:6" ht="29.55" customHeight="1" x14ac:dyDescent="0.25">
      <c r="A3273" s="1" t="s">
        <v>13312</v>
      </c>
      <c r="B3273" s="7" t="s">
        <v>13313</v>
      </c>
      <c r="C3273" s="7" t="s">
        <v>13297</v>
      </c>
      <c r="D3273" s="7" t="s">
        <v>13308</v>
      </c>
      <c r="E3273" s="7" t="s">
        <v>13302</v>
      </c>
      <c r="F3273" s="7" t="str">
        <f>HYPERLINK("http://lecasedifarnera.it/","lecasedifarnera.it")</f>
        <v>lecasedifarnera.it</v>
      </c>
    </row>
    <row r="3274" spans="1:6" ht="43.05" customHeight="1" x14ac:dyDescent="0.25">
      <c r="A3274" s="6" t="s">
        <v>13314</v>
      </c>
      <c r="B3274" s="5" t="s">
        <v>13315</v>
      </c>
      <c r="C3274" s="5" t="s">
        <v>13300</v>
      </c>
      <c r="D3274" s="5" t="s">
        <v>13303</v>
      </c>
      <c r="E3274" s="5" t="s">
        <v>13304</v>
      </c>
      <c r="F3274" s="5" t="str">
        <f>HYPERLINK("http://www.sanpastore.it/","www.sanpastore.it")</f>
        <v>www.sanpastore.it</v>
      </c>
    </row>
    <row r="3275" spans="1:6" ht="43.05" customHeight="1" x14ac:dyDescent="0.25">
      <c r="A3275" s="1" t="s">
        <v>13317</v>
      </c>
      <c r="B3275" s="7" t="s">
        <v>13318</v>
      </c>
      <c r="C3275" s="7" t="s">
        <v>13319</v>
      </c>
      <c r="D3275" s="7" t="s">
        <v>13320</v>
      </c>
      <c r="E3275" s="7" t="s">
        <v>13316</v>
      </c>
      <c r="F3275" s="7" t="str">
        <f>HYPERLINK("http://florapulia.it/","florapulia.it")</f>
        <v>florapulia.it</v>
      </c>
    </row>
    <row r="3276" spans="1:6" ht="29.55" customHeight="1" x14ac:dyDescent="0.25">
      <c r="A3276" s="1" t="s">
        <v>13321</v>
      </c>
      <c r="B3276" s="7" t="s">
        <v>13322</v>
      </c>
      <c r="C3276" s="7" t="s">
        <v>13323</v>
      </c>
      <c r="D3276" s="7" t="s">
        <v>13324</v>
      </c>
      <c r="E3276" s="7" t="s">
        <v>13325</v>
      </c>
      <c r="F3276" s="7" t="str">
        <f>HYPERLINK("http://www.fattoriavallelunga.it/","www.fattoriavallelunga.it")</f>
        <v>www.fattoriavallelunga.it</v>
      </c>
    </row>
    <row r="3277" spans="1:6" ht="29.55" customHeight="1" x14ac:dyDescent="0.25">
      <c r="A3277" s="1" t="s">
        <v>13327</v>
      </c>
      <c r="B3277" s="7" t="s">
        <v>13328</v>
      </c>
      <c r="C3277" s="7" t="s">
        <v>13329</v>
      </c>
      <c r="D3277" s="7" t="s">
        <v>13330</v>
      </c>
      <c r="E3277" s="7" t="s">
        <v>13331</v>
      </c>
      <c r="F3277" s="7" t="str">
        <f>HYPERLINK("http://www.lalocandadibaccalamanza.com/","www.lalocandadibaccalamanza.com")</f>
        <v>www.lalocandadibaccalamanza.com</v>
      </c>
    </row>
    <row r="3278" spans="1:6" ht="29.55" customHeight="1" x14ac:dyDescent="0.25">
      <c r="A3278" s="6" t="s">
        <v>13333</v>
      </c>
      <c r="B3278" s="5" t="s">
        <v>13334</v>
      </c>
      <c r="C3278" s="5" t="s">
        <v>13335</v>
      </c>
      <c r="D3278" s="5" t="s">
        <v>13336</v>
      </c>
      <c r="E3278" s="5" t="s">
        <v>13332</v>
      </c>
      <c r="F3278" s="5" t="str">
        <f>HYPERLINK("http://www.vincenzocaputosrl.it/","www.vincenzocaputosrl.it")</f>
        <v>www.vincenzocaputosrl.it</v>
      </c>
    </row>
    <row r="3279" spans="1:6" ht="29.55" customHeight="1" x14ac:dyDescent="0.25">
      <c r="A3279" s="1" t="s">
        <v>13337</v>
      </c>
      <c r="B3279" s="7" t="s">
        <v>13338</v>
      </c>
      <c r="C3279" s="7" t="s">
        <v>13339</v>
      </c>
      <c r="D3279" s="7" t="s">
        <v>13340</v>
      </c>
      <c r="E3279" s="7" t="s">
        <v>13325</v>
      </c>
      <c r="F3279" s="7" t="str">
        <f>HYPERLINK("http://www.agriturismoilcalesse.it/","www.agriturismoilcalesse.it")</f>
        <v>www.agriturismoilcalesse.it</v>
      </c>
    </row>
    <row r="3280" spans="1:6" ht="43.05" customHeight="1" x14ac:dyDescent="0.25">
      <c r="A3280" s="1" t="s">
        <v>13341</v>
      </c>
      <c r="B3280" s="7" t="s">
        <v>13342</v>
      </c>
      <c r="C3280" s="7" t="s">
        <v>13329</v>
      </c>
      <c r="D3280" s="7" t="s">
        <v>13343</v>
      </c>
      <c r="E3280" s="7" t="s">
        <v>13344</v>
      </c>
      <c r="F3280" s="7" t="str">
        <f>HYPERLINK("http://www.maramao-bio.it/","www.maramao-bio.it")</f>
        <v>www.maramao-bio.it</v>
      </c>
    </row>
    <row r="3281" spans="1:6" ht="68.099999999999994" customHeight="1" x14ac:dyDescent="0.25">
      <c r="A3281" s="6" t="s">
        <v>13345</v>
      </c>
      <c r="B3281" s="5" t="s">
        <v>13346</v>
      </c>
      <c r="C3281" s="5" t="s">
        <v>13335</v>
      </c>
      <c r="D3281" s="5" t="s">
        <v>13347</v>
      </c>
      <c r="E3281" s="5" t="s">
        <v>13326</v>
      </c>
      <c r="F3281" s="5" t="str">
        <f>HYPERLINK("http://www.martamaria.org/","www.martamaria.org")</f>
        <v>www.martamaria.org</v>
      </c>
    </row>
    <row r="3282" spans="1:6" ht="43.05" customHeight="1" x14ac:dyDescent="0.25">
      <c r="A3282" s="1" t="s">
        <v>13348</v>
      </c>
      <c r="B3282" s="7" t="s">
        <v>13349</v>
      </c>
      <c r="C3282" s="7" t="s">
        <v>13350</v>
      </c>
      <c r="D3282" s="7" t="s">
        <v>13351</v>
      </c>
      <c r="E3282" s="7" t="s">
        <v>13326</v>
      </c>
      <c r="F3282" s="7" t="str">
        <f>HYPERLINK("http://www.futurelab.red/","www.futurelab.red")</f>
        <v>www.futurelab.red</v>
      </c>
    </row>
    <row r="3283" spans="1:6" ht="29.55" customHeight="1" x14ac:dyDescent="0.25">
      <c r="A3283" s="1" t="s">
        <v>13352</v>
      </c>
      <c r="B3283" s="7" t="s">
        <v>13353</v>
      </c>
      <c r="C3283" s="7" t="s">
        <v>13354</v>
      </c>
      <c r="D3283" s="7" t="s">
        <v>13355</v>
      </c>
      <c r="E3283" s="7" t="s">
        <v>13356</v>
      </c>
      <c r="F3283" s="7" t="str">
        <f>HYPERLINK("http://www.severinobecagli.it/","www.severinobecagli.it")</f>
        <v>www.severinobecagli.it</v>
      </c>
    </row>
    <row r="3284" spans="1:6" ht="29.55" customHeight="1" x14ac:dyDescent="0.25">
      <c r="A3284" s="1" t="s">
        <v>13359</v>
      </c>
      <c r="B3284" s="7" t="s">
        <v>13360</v>
      </c>
      <c r="C3284" s="7" t="s">
        <v>13361</v>
      </c>
      <c r="D3284" s="7" t="s">
        <v>13362</v>
      </c>
      <c r="E3284" s="7" t="s">
        <v>13356</v>
      </c>
      <c r="F3284" s="7" t="str">
        <f>HYPERLINK("http://shop.lorticello.it/","shop.lorticello.it")</f>
        <v>shop.lorticello.it</v>
      </c>
    </row>
    <row r="3285" spans="1:6" ht="29.55" customHeight="1" x14ac:dyDescent="0.25">
      <c r="A3285" s="6" t="s">
        <v>13363</v>
      </c>
      <c r="B3285" s="5" t="s">
        <v>13364</v>
      </c>
      <c r="C3285" s="5" t="s">
        <v>13365</v>
      </c>
      <c r="D3285" s="5" t="s">
        <v>13366</v>
      </c>
      <c r="E3285" s="5" t="s">
        <v>13357</v>
      </c>
      <c r="F3285" s="5" t="str">
        <f>HYPERLINK("http://www.tenutadonmonaco.it/","www.tenutadonmonaco.it")</f>
        <v>www.tenutadonmonaco.it</v>
      </c>
    </row>
    <row r="3286" spans="1:6" ht="29.55" customHeight="1" x14ac:dyDescent="0.25">
      <c r="A3286" s="1" t="s">
        <v>13367</v>
      </c>
      <c r="B3286" s="7" t="s">
        <v>13368</v>
      </c>
      <c r="C3286" s="7" t="s">
        <v>13365</v>
      </c>
      <c r="D3286" s="7" t="s">
        <v>13369</v>
      </c>
      <c r="E3286" s="7" t="s">
        <v>13370</v>
      </c>
      <c r="F3286" s="7" t="str">
        <f>HYPERLINK("http://www.amaraterra.it/","www.amaraterra.it")</f>
        <v>www.amaraterra.it</v>
      </c>
    </row>
    <row r="3287" spans="1:6" ht="29.55" customHeight="1" x14ac:dyDescent="0.25">
      <c r="A3287" s="1" t="s">
        <v>13371</v>
      </c>
      <c r="B3287" s="7" t="s">
        <v>13372</v>
      </c>
      <c r="C3287" s="7" t="s">
        <v>13358</v>
      </c>
      <c r="D3287" s="7" t="s">
        <v>13373</v>
      </c>
      <c r="E3287" s="7" t="s">
        <v>13370</v>
      </c>
      <c r="F3287" s="7" t="str">
        <f>HYPERLINK("http://www.viniminardi.it/","www.viniminardi.it")</f>
        <v>www.viniminardi.it</v>
      </c>
    </row>
    <row r="3288" spans="1:6" ht="29.55" customHeight="1" x14ac:dyDescent="0.25">
      <c r="A3288" s="6" t="s">
        <v>13374</v>
      </c>
      <c r="B3288" s="5" t="s">
        <v>13375</v>
      </c>
      <c r="C3288" s="5" t="s">
        <v>13358</v>
      </c>
      <c r="D3288" s="5" t="s">
        <v>13376</v>
      </c>
      <c r="E3288" s="5" t="s">
        <v>13377</v>
      </c>
      <c r="F3288" s="5" t="str">
        <f>HYPERLINK("http://www.poderemarella.com/","www.poderemarella.com")</f>
        <v>www.poderemarella.com</v>
      </c>
    </row>
    <row r="3289" spans="1:6" ht="29.55" customHeight="1" x14ac:dyDescent="0.25">
      <c r="A3289" s="6" t="s">
        <v>13378</v>
      </c>
      <c r="B3289" s="5" t="s">
        <v>13379</v>
      </c>
      <c r="C3289" s="5" t="s">
        <v>13380</v>
      </c>
      <c r="D3289" s="5" t="s">
        <v>13381</v>
      </c>
      <c r="E3289" s="5" t="s">
        <v>13382</v>
      </c>
      <c r="F3289" s="5" t="str">
        <f>HYPERLINK("http://www.vergiano.it/","www.vergiano.it")</f>
        <v>www.vergiano.it</v>
      </c>
    </row>
    <row r="3290" spans="1:6" ht="43.05" customHeight="1" x14ac:dyDescent="0.25">
      <c r="A3290" s="6" t="s">
        <v>13384</v>
      </c>
      <c r="B3290" s="5" t="s">
        <v>13385</v>
      </c>
      <c r="C3290" s="5" t="s">
        <v>13358</v>
      </c>
      <c r="D3290" s="5" t="s">
        <v>13386</v>
      </c>
      <c r="E3290" s="5" t="s">
        <v>13383</v>
      </c>
      <c r="F3290" s="5" t="str">
        <f>HYPERLINK("http://selvadipaliano.com/","selvadipaliano.com")</f>
        <v>selvadipaliano.com</v>
      </c>
    </row>
    <row r="3291" spans="1:6" ht="29.55" customHeight="1" x14ac:dyDescent="0.25">
      <c r="A3291" s="1" t="s">
        <v>13387</v>
      </c>
      <c r="B3291" s="7" t="s">
        <v>13388</v>
      </c>
      <c r="C3291" s="7" t="s">
        <v>13358</v>
      </c>
      <c r="D3291" s="7" t="s">
        <v>13389</v>
      </c>
      <c r="E3291" s="7" t="s">
        <v>13390</v>
      </c>
      <c r="F3291" s="7" t="str">
        <f>HYPERLINK("http://subidadimonte.it/","subidadimonte.it")</f>
        <v>subidadimonte.it</v>
      </c>
    </row>
    <row r="3292" spans="1:6" ht="29.55" customHeight="1" x14ac:dyDescent="0.25">
      <c r="A3292" s="6" t="s">
        <v>13391</v>
      </c>
      <c r="B3292" s="5" t="s">
        <v>13392</v>
      </c>
      <c r="C3292" s="5" t="s">
        <v>13361</v>
      </c>
      <c r="D3292" s="5" t="s">
        <v>13393</v>
      </c>
      <c r="E3292" s="5" t="s">
        <v>13370</v>
      </c>
      <c r="F3292" s="5" t="str">
        <f>HYPERLINK("http://www.misteralfredo.it/","www.misteralfredo.it")</f>
        <v>www.misteralfredo.it</v>
      </c>
    </row>
    <row r="3293" spans="1:6" ht="29.55" customHeight="1" x14ac:dyDescent="0.25">
      <c r="A3293" s="1" t="s">
        <v>13394</v>
      </c>
      <c r="B3293" s="7" t="s">
        <v>13395</v>
      </c>
      <c r="C3293" s="7" t="s">
        <v>13358</v>
      </c>
      <c r="D3293" s="7" t="s">
        <v>13396</v>
      </c>
      <c r="E3293" s="7" t="s">
        <v>13397</v>
      </c>
      <c r="F3293" s="7" t="str">
        <f>HYPERLINK("http://www.baronedecles.it/","www.baronedecles.it")</f>
        <v>www.baronedecles.it</v>
      </c>
    </row>
    <row r="3294" spans="1:6" ht="29.55" customHeight="1" x14ac:dyDescent="0.25">
      <c r="A3294" s="6" t="s">
        <v>13398</v>
      </c>
      <c r="B3294" s="5" t="s">
        <v>13399</v>
      </c>
      <c r="C3294" s="5" t="s">
        <v>13400</v>
      </c>
      <c r="D3294" s="5" t="s">
        <v>13401</v>
      </c>
      <c r="E3294" s="5" t="s">
        <v>13402</v>
      </c>
      <c r="F3294" s="5" t="str">
        <f>HYPERLINK("http://www.nuovocastellocrisilio.net/","www.nuovocastellocrisilio.net")</f>
        <v>www.nuovocastellocrisilio.net</v>
      </c>
    </row>
    <row r="3295" spans="1:6" ht="29.55" customHeight="1" x14ac:dyDescent="0.25">
      <c r="A3295" s="6" t="s">
        <v>13403</v>
      </c>
      <c r="B3295" s="5" t="s">
        <v>13404</v>
      </c>
      <c r="C3295" s="5" t="s">
        <v>13405</v>
      </c>
      <c r="D3295" s="5" t="s">
        <v>13406</v>
      </c>
      <c r="E3295" s="5" t="s">
        <v>13402</v>
      </c>
      <c r="F3295" s="5" t="str">
        <f>HYPERLINK("http://it.wikipedia.org/wiki/valle_dell'oreto","it.wikipedia.org/wiki/valle_dell'oreto")</f>
        <v>it.wikipedia.org/wiki/valle_dell'oreto</v>
      </c>
    </row>
    <row r="3296" spans="1:6" ht="29.55" customHeight="1" x14ac:dyDescent="0.25">
      <c r="A3296" s="1" t="s">
        <v>13408</v>
      </c>
      <c r="B3296" s="7" t="s">
        <v>13409</v>
      </c>
      <c r="C3296" s="7" t="s">
        <v>13410</v>
      </c>
      <c r="D3296" s="7" t="s">
        <v>13411</v>
      </c>
      <c r="E3296" s="7" t="s">
        <v>13412</v>
      </c>
      <c r="F3296" s="7" t="str">
        <f>HYPERLINK("http://www.residenzaruraleincartata.it/","www.residenzaruraleincartata.it")</f>
        <v>www.residenzaruraleincartata.it</v>
      </c>
    </row>
    <row r="3297" spans="1:6" ht="29.55" customHeight="1" x14ac:dyDescent="0.25">
      <c r="A3297" s="1" t="s">
        <v>13415</v>
      </c>
      <c r="B3297" s="7" t="s">
        <v>13416</v>
      </c>
      <c r="C3297" s="7" t="s">
        <v>13417</v>
      </c>
      <c r="D3297" s="7" t="s">
        <v>13418</v>
      </c>
      <c r="E3297" s="7" t="s">
        <v>13419</v>
      </c>
      <c r="F3297" s="7" t="str">
        <f>HYPERLINK("http://www.formaggiostagionato.it/","www.formaggiostagionato.it")</f>
        <v>www.formaggiostagionato.it</v>
      </c>
    </row>
    <row r="3298" spans="1:6" ht="29.55" customHeight="1" x14ac:dyDescent="0.25">
      <c r="A3298" s="1" t="s">
        <v>13421</v>
      </c>
      <c r="B3298" s="7" t="s">
        <v>13422</v>
      </c>
      <c r="C3298" s="7" t="s">
        <v>13423</v>
      </c>
      <c r="D3298" s="7" t="s">
        <v>13424</v>
      </c>
      <c r="E3298" s="7" t="s">
        <v>13425</v>
      </c>
      <c r="F3298" s="7" t="str">
        <f>HYPERLINK("http://www.beagledicasagherdovich.it/","www.beagledicasagherdovich.it")</f>
        <v>www.beagledicasagherdovich.it</v>
      </c>
    </row>
    <row r="3299" spans="1:6" ht="29.55" customHeight="1" x14ac:dyDescent="0.25">
      <c r="A3299" s="1" t="s">
        <v>13426</v>
      </c>
      <c r="B3299" s="7" t="s">
        <v>13427</v>
      </c>
      <c r="C3299" s="7" t="s">
        <v>13407</v>
      </c>
      <c r="D3299" s="7" t="s">
        <v>13414</v>
      </c>
      <c r="E3299" s="7" t="s">
        <v>13413</v>
      </c>
      <c r="F3299" s="7" t="str">
        <f>HYPERLINK("http://www.quvestra.it/","www.quvestra.it")</f>
        <v>www.quvestra.it</v>
      </c>
    </row>
    <row r="3300" spans="1:6" ht="55.65" customHeight="1" x14ac:dyDescent="0.25">
      <c r="A3300" s="1" t="s">
        <v>13428</v>
      </c>
      <c r="B3300" s="7" t="s">
        <v>13429</v>
      </c>
      <c r="C3300" s="7" t="s">
        <v>13420</v>
      </c>
      <c r="D3300" s="7" t="s">
        <v>13430</v>
      </c>
      <c r="E3300" s="7" t="s">
        <v>13431</v>
      </c>
      <c r="F3300" s="7" t="str">
        <f>HYPERLINK("http://www.lamorciola.it/","www.lamorciola.it")</f>
        <v>www.lamorciola.it</v>
      </c>
    </row>
    <row r="3301" spans="1:6" ht="55.65" customHeight="1" x14ac:dyDescent="0.25">
      <c r="A3301" s="6" t="s">
        <v>13437</v>
      </c>
      <c r="B3301" s="5" t="s">
        <v>13438</v>
      </c>
      <c r="C3301" s="5" t="s">
        <v>13439</v>
      </c>
      <c r="D3301" s="5" t="s">
        <v>13440</v>
      </c>
      <c r="E3301" s="5" t="s">
        <v>13434</v>
      </c>
      <c r="F3301" s="5" t="str">
        <f>HYPERLINK("http://www.coopbeppemontana.org/","www.coopbeppemontana.org")</f>
        <v>www.coopbeppemontana.org</v>
      </c>
    </row>
    <row r="3302" spans="1:6" ht="29.55" customHeight="1" x14ac:dyDescent="0.25">
      <c r="A3302" s="6" t="s">
        <v>13443</v>
      </c>
      <c r="B3302" s="5" t="s">
        <v>13444</v>
      </c>
      <c r="C3302" s="5" t="s">
        <v>13433</v>
      </c>
      <c r="D3302" s="5" t="s">
        <v>13445</v>
      </c>
      <c r="E3302" s="5" t="s">
        <v>13432</v>
      </c>
      <c r="F3302" s="5" t="str">
        <f>HYPERLINK("http://www.borgodangelo.it/","www.borgodangelo.it")</f>
        <v>www.borgodangelo.it</v>
      </c>
    </row>
    <row r="3303" spans="1:6" ht="29.55" customHeight="1" x14ac:dyDescent="0.25">
      <c r="A3303" s="1" t="s">
        <v>13446</v>
      </c>
      <c r="B3303" s="7" t="s">
        <v>13447</v>
      </c>
      <c r="C3303" s="7" t="s">
        <v>13448</v>
      </c>
      <c r="D3303" s="7" t="s">
        <v>13449</v>
      </c>
      <c r="E3303" s="7" t="s">
        <v>13442</v>
      </c>
      <c r="F3303" s="7" t="str">
        <f>HYPERLINK("http://www.passopisciaro.com/","www.passopisciaro.com")</f>
        <v>www.passopisciaro.com</v>
      </c>
    </row>
    <row r="3304" spans="1:6" ht="29.55" customHeight="1" x14ac:dyDescent="0.25">
      <c r="A3304" s="1" t="s">
        <v>13450</v>
      </c>
      <c r="B3304" s="7" t="s">
        <v>13451</v>
      </c>
      <c r="C3304" s="7" t="s">
        <v>13441</v>
      </c>
      <c r="D3304" s="7" t="s">
        <v>13452</v>
      </c>
      <c r="E3304" s="7" t="s">
        <v>13435</v>
      </c>
      <c r="F3304" s="7" t="str">
        <f>HYPERLINK("http://www.agricolacorleto.com/","www.agricolacorleto.com")</f>
        <v>www.agricolacorleto.com</v>
      </c>
    </row>
    <row r="3305" spans="1:6" ht="29.55" customHeight="1" x14ac:dyDescent="0.25">
      <c r="A3305" s="1" t="s">
        <v>13453</v>
      </c>
      <c r="B3305" s="7" t="s">
        <v>13454</v>
      </c>
      <c r="C3305" s="7" t="s">
        <v>13439</v>
      </c>
      <c r="D3305" s="7" t="s">
        <v>13455</v>
      </c>
      <c r="E3305" s="7" t="s">
        <v>13442</v>
      </c>
      <c r="F3305" s="7" t="str">
        <f>HYPERLINK("http://www.guadaluperesort.it/","www.guadaluperesort.it")</f>
        <v>www.guadaluperesort.it</v>
      </c>
    </row>
    <row r="3306" spans="1:6" ht="29.55" customHeight="1" x14ac:dyDescent="0.25">
      <c r="A3306" s="1" t="s">
        <v>13456</v>
      </c>
      <c r="B3306" s="7" t="s">
        <v>13457</v>
      </c>
      <c r="C3306" s="7" t="s">
        <v>13439</v>
      </c>
      <c r="D3306" s="7" t="s">
        <v>13458</v>
      </c>
      <c r="E3306" s="7" t="s">
        <v>13459</v>
      </c>
      <c r="F3306" s="7" t="str">
        <f>HYPERLINK("http://www.borgochiasalp.it/","www.borgochiasalp.it")</f>
        <v>www.borgochiasalp.it</v>
      </c>
    </row>
    <row r="3307" spans="1:6" ht="55.65" customHeight="1" x14ac:dyDescent="0.25">
      <c r="A3307" s="6" t="s">
        <v>13460</v>
      </c>
      <c r="B3307" s="5" t="s">
        <v>13461</v>
      </c>
      <c r="C3307" s="5" t="s">
        <v>13436</v>
      </c>
      <c r="D3307" s="5" t="s">
        <v>13462</v>
      </c>
      <c r="E3307" s="5" t="s">
        <v>13463</v>
      </c>
      <c r="F3307" s="5" t="str">
        <f>HYPERLINK("http://www.sorellesalerno.it/","www.sorellesalerno.it")</f>
        <v>www.sorellesalerno.it</v>
      </c>
    </row>
    <row r="3308" spans="1:6" ht="43.05" customHeight="1" x14ac:dyDescent="0.25">
      <c r="A3308" s="1" t="s">
        <v>13464</v>
      </c>
      <c r="B3308" s="7" t="s">
        <v>13465</v>
      </c>
      <c r="C3308" s="7" t="s">
        <v>13466</v>
      </c>
      <c r="D3308" s="7" t="s">
        <v>13455</v>
      </c>
      <c r="E3308" s="7" t="s">
        <v>13442</v>
      </c>
      <c r="F3308" s="7" t="str">
        <f>HYPERLINK("http://www.frantoiodelparco.com/","www.frantoiodelparco.com")</f>
        <v>www.frantoiodelparco.com</v>
      </c>
    </row>
    <row r="3309" spans="1:6" ht="29.55" customHeight="1" x14ac:dyDescent="0.25">
      <c r="A3309" s="6" t="s">
        <v>13467</v>
      </c>
      <c r="B3309" s="5" t="s">
        <v>13468</v>
      </c>
      <c r="C3309" s="5" t="s">
        <v>13469</v>
      </c>
      <c r="D3309" s="5" t="s">
        <v>13470</v>
      </c>
      <c r="E3309" s="5" t="s">
        <v>13434</v>
      </c>
      <c r="F3309" s="5" t="str">
        <f>HYPERLINK("http://www.merid.net/","www.merid.net")</f>
        <v>www.merid.net</v>
      </c>
    </row>
    <row r="3310" spans="1:6" ht="43.05" customHeight="1" x14ac:dyDescent="0.25">
      <c r="A3310" s="6" t="s">
        <v>13471</v>
      </c>
      <c r="B3310" s="5" t="s">
        <v>13472</v>
      </c>
      <c r="C3310" s="5" t="s">
        <v>13473</v>
      </c>
      <c r="D3310" s="5" t="s">
        <v>13474</v>
      </c>
      <c r="E3310" s="5" t="s">
        <v>13475</v>
      </c>
      <c r="F3310" s="5" t="str">
        <f>HYPERLINK("http://fietri.com/","fietri.com")</f>
        <v>fietri.com</v>
      </c>
    </row>
    <row r="3311" spans="1:6" ht="29.55" customHeight="1" x14ac:dyDescent="0.25">
      <c r="A3311" s="1" t="s">
        <v>13478</v>
      </c>
      <c r="B3311" s="7" t="s">
        <v>13479</v>
      </c>
      <c r="C3311" s="7" t="s">
        <v>13480</v>
      </c>
      <c r="D3311" s="7" t="s">
        <v>13481</v>
      </c>
      <c r="E3311" s="7" t="s">
        <v>13477</v>
      </c>
      <c r="F3311" s="7" t="str">
        <f>HYPERLINK("http://www.ilpinogrande.com/","www.ilpinogrande.com")</f>
        <v>www.ilpinogrande.com</v>
      </c>
    </row>
    <row r="3312" spans="1:6" ht="43.05" customHeight="1" x14ac:dyDescent="0.25">
      <c r="A3312" s="1" t="s">
        <v>13482</v>
      </c>
      <c r="B3312" s="7" t="s">
        <v>13483</v>
      </c>
      <c r="C3312" s="7" t="s">
        <v>13473</v>
      </c>
      <c r="D3312" s="7" t="s">
        <v>13474</v>
      </c>
      <c r="E3312" s="7" t="s">
        <v>13475</v>
      </c>
      <c r="F3312" s="7" t="str">
        <f>HYPERLINK("http://www.agricolamevante.com/","www.agricolamevante.com")</f>
        <v>www.agricolamevante.com</v>
      </c>
    </row>
    <row r="3313" spans="1:6" ht="29.55" customHeight="1" x14ac:dyDescent="0.25">
      <c r="A3313" s="1" t="s">
        <v>13485</v>
      </c>
      <c r="B3313" s="7" t="s">
        <v>13486</v>
      </c>
      <c r="C3313" s="7" t="s">
        <v>13476</v>
      </c>
      <c r="D3313" s="7" t="s">
        <v>13474</v>
      </c>
      <c r="E3313" s="7" t="s">
        <v>13475</v>
      </c>
      <c r="F3313" s="7" t="str">
        <f>HYPERLINK("http://www.trecolli.it/","www.trecolli.it")</f>
        <v>www.trecolli.it</v>
      </c>
    </row>
    <row r="3314" spans="1:6" ht="29.55" customHeight="1" x14ac:dyDescent="0.25">
      <c r="A3314" s="1" t="s">
        <v>13490</v>
      </c>
      <c r="B3314" s="7" t="s">
        <v>13491</v>
      </c>
      <c r="C3314" s="7" t="s">
        <v>13473</v>
      </c>
      <c r="D3314" s="7" t="s">
        <v>13492</v>
      </c>
      <c r="E3314" s="7" t="s">
        <v>13487</v>
      </c>
      <c r="F3314" s="7" t="str">
        <f>HYPERLINK("http://www.colleregina.com/","www.colleregina.com")</f>
        <v>www.colleregina.com</v>
      </c>
    </row>
    <row r="3315" spans="1:6" ht="29.55" customHeight="1" x14ac:dyDescent="0.25">
      <c r="A3315" s="6" t="s">
        <v>13493</v>
      </c>
      <c r="B3315" s="5" t="s">
        <v>13494</v>
      </c>
      <c r="C3315" s="5" t="s">
        <v>13495</v>
      </c>
      <c r="D3315" s="5" t="s">
        <v>13496</v>
      </c>
      <c r="E3315" s="5" t="s">
        <v>13477</v>
      </c>
      <c r="F3315" s="5" t="str">
        <f>HYPERLINK("http://www.masseriagalatea.it/","www.masseriagalatea.it")</f>
        <v>www.masseriagalatea.it</v>
      </c>
    </row>
    <row r="3316" spans="1:6" ht="29.55" customHeight="1" x14ac:dyDescent="0.25">
      <c r="A3316" s="1" t="s">
        <v>13497</v>
      </c>
      <c r="B3316" s="7" t="s">
        <v>13498</v>
      </c>
      <c r="C3316" s="7" t="s">
        <v>13499</v>
      </c>
      <c r="D3316" s="7" t="s">
        <v>13488</v>
      </c>
      <c r="E3316" s="7" t="s">
        <v>13484</v>
      </c>
      <c r="F3316" s="7" t="str">
        <f>HYPERLINK("http://bedandbreakfastsanbruno.it/","bedandbreakfastsanbruno.it")</f>
        <v>bedandbreakfastsanbruno.it</v>
      </c>
    </row>
    <row r="3317" spans="1:6" ht="55.65" customHeight="1" x14ac:dyDescent="0.25">
      <c r="A3317" s="1" t="s">
        <v>13500</v>
      </c>
      <c r="B3317" s="7" t="s">
        <v>13501</v>
      </c>
      <c r="C3317" s="7" t="s">
        <v>13473</v>
      </c>
      <c r="D3317" s="7" t="s">
        <v>13502</v>
      </c>
      <c r="E3317" s="7" t="s">
        <v>13489</v>
      </c>
      <c r="F3317" s="7" t="str">
        <f>HYPERLINK("http://www.lapianacapraia.it/","www.lapianacapraia.it")</f>
        <v>www.lapianacapraia.it</v>
      </c>
    </row>
    <row r="3318" spans="1:6" ht="43.05" customHeight="1" x14ac:dyDescent="0.25">
      <c r="A3318" s="6" t="s">
        <v>13504</v>
      </c>
      <c r="B3318" s="5" t="s">
        <v>13505</v>
      </c>
      <c r="C3318" s="5" t="s">
        <v>13506</v>
      </c>
      <c r="D3318" s="5" t="s">
        <v>13507</v>
      </c>
      <c r="E3318" s="5" t="s">
        <v>13508</v>
      </c>
      <c r="F3318" s="5" t="str">
        <f>HYPERLINK("http://macchiacupa.it/","macchiacupa.it")</f>
        <v>macchiacupa.it</v>
      </c>
    </row>
    <row r="3319" spans="1:6" ht="29.55" customHeight="1" x14ac:dyDescent="0.25">
      <c r="A3319" s="1" t="s">
        <v>13509</v>
      </c>
      <c r="B3319" s="7" t="s">
        <v>13510</v>
      </c>
      <c r="C3319" s="7" t="s">
        <v>13511</v>
      </c>
      <c r="D3319" s="7" t="s">
        <v>13512</v>
      </c>
      <c r="E3319" s="7" t="s">
        <v>13513</v>
      </c>
      <c r="F3319" s="7" t="str">
        <f>HYPERLINK("http://www.serrette.it/","www.serrette.it")</f>
        <v>www.serrette.it</v>
      </c>
    </row>
    <row r="3320" spans="1:6" ht="29.55" customHeight="1" x14ac:dyDescent="0.25">
      <c r="A3320" s="1" t="s">
        <v>13514</v>
      </c>
      <c r="B3320" s="7" t="s">
        <v>13515</v>
      </c>
      <c r="C3320" s="7" t="s">
        <v>13506</v>
      </c>
      <c r="D3320" s="7" t="s">
        <v>13516</v>
      </c>
      <c r="E3320" s="7" t="s">
        <v>13517</v>
      </c>
      <c r="F3320" s="7" t="str">
        <f>HYPERLINK("http://www.birracanenero.com/","www.birracanenero.com")</f>
        <v>www.birracanenero.com</v>
      </c>
    </row>
    <row r="3321" spans="1:6" ht="55.65" customHeight="1" x14ac:dyDescent="0.25">
      <c r="A3321" s="1" t="s">
        <v>13518</v>
      </c>
      <c r="B3321" s="7" t="s">
        <v>13519</v>
      </c>
      <c r="C3321" s="7" t="s">
        <v>13520</v>
      </c>
      <c r="D3321" s="7" t="s">
        <v>13521</v>
      </c>
      <c r="E3321" s="7" t="s">
        <v>13522</v>
      </c>
      <c r="F3321" s="7" t="str">
        <f>HYPERLINK("http://www.oleificioscandriglia.it/","www.oleificioscandriglia.it")</f>
        <v>www.oleificioscandriglia.it</v>
      </c>
    </row>
    <row r="3322" spans="1:6" ht="29.55" customHeight="1" x14ac:dyDescent="0.25">
      <c r="A3322" s="6" t="s">
        <v>13523</v>
      </c>
      <c r="B3322" s="5" t="s">
        <v>13524</v>
      </c>
      <c r="C3322" s="5" t="s">
        <v>13503</v>
      </c>
      <c r="D3322" s="5" t="s">
        <v>13525</v>
      </c>
      <c r="E3322" s="5" t="s">
        <v>13526</v>
      </c>
      <c r="F3322" s="5" t="str">
        <f>HYPERLINK("http://www.tenutacampanino.com/","www.tenutacampanino.com")</f>
        <v>www.tenutacampanino.com</v>
      </c>
    </row>
    <row r="3323" spans="1:6" ht="43.05" customHeight="1" x14ac:dyDescent="0.25">
      <c r="A3323" s="6" t="s">
        <v>13527</v>
      </c>
      <c r="B3323" s="5" t="s">
        <v>13528</v>
      </c>
      <c r="C3323" s="5" t="s">
        <v>13529</v>
      </c>
      <c r="D3323" s="5" t="s">
        <v>13530</v>
      </c>
      <c r="E3323" s="5" t="s">
        <v>13517</v>
      </c>
      <c r="F3323" s="5" t="str">
        <f>HYPERLINK("http://barbialla.com/","barbialla.com")</f>
        <v>barbialla.com</v>
      </c>
    </row>
    <row r="3324" spans="1:6" ht="43.05" customHeight="1" x14ac:dyDescent="0.25">
      <c r="A3324" s="1" t="s">
        <v>13533</v>
      </c>
      <c r="B3324" s="7" t="s">
        <v>13534</v>
      </c>
      <c r="C3324" s="7" t="s">
        <v>13535</v>
      </c>
      <c r="D3324" s="7" t="s">
        <v>13536</v>
      </c>
      <c r="E3324" s="7" t="s">
        <v>13537</v>
      </c>
      <c r="F3324" s="7" t="str">
        <f>HYPERLINK("http://www.agriturismoilcanneto.com/","www.agriturismoilcanneto.com")</f>
        <v>www.agriturismoilcanneto.com</v>
      </c>
    </row>
    <row r="3325" spans="1:6" ht="43.05" customHeight="1" x14ac:dyDescent="0.25">
      <c r="A3325" s="1" t="s">
        <v>13538</v>
      </c>
      <c r="B3325" s="7" t="s">
        <v>13539</v>
      </c>
      <c r="C3325" s="7" t="s">
        <v>13531</v>
      </c>
      <c r="D3325" s="7" t="s">
        <v>13540</v>
      </c>
      <c r="E3325" s="7" t="s">
        <v>13541</v>
      </c>
      <c r="F3325" s="7" t="str">
        <f>HYPERLINK("http://www.facebook.com/fratellimarcantonio/","www.facebook.com/fratellimarcantonio/")</f>
        <v>www.facebook.com/fratellimarcantonio/</v>
      </c>
    </row>
    <row r="3326" spans="1:6" ht="29.55" customHeight="1" x14ac:dyDescent="0.25">
      <c r="A3326" s="1" t="s">
        <v>13543</v>
      </c>
      <c r="B3326" s="7" t="s">
        <v>13544</v>
      </c>
      <c r="C3326" s="7" t="s">
        <v>13545</v>
      </c>
      <c r="D3326" s="7" t="s">
        <v>13546</v>
      </c>
      <c r="E3326" s="7" t="s">
        <v>13547</v>
      </c>
      <c r="F3326" s="7" t="str">
        <f>HYPERLINK("http://www.kandea.it/","www.kandea.it")</f>
        <v>www.kandea.it</v>
      </c>
    </row>
    <row r="3327" spans="1:6" ht="55.65" customHeight="1" x14ac:dyDescent="0.25">
      <c r="A3327" s="1" t="s">
        <v>13548</v>
      </c>
      <c r="B3327" s="7" t="s">
        <v>13549</v>
      </c>
      <c r="C3327" s="7" t="s">
        <v>13535</v>
      </c>
      <c r="D3327" s="7" t="s">
        <v>13550</v>
      </c>
      <c r="E3327" s="7" t="s">
        <v>13532</v>
      </c>
      <c r="F3327" s="7" t="str">
        <f>HYPERLINK("http://podere676.com/","podere676.com")</f>
        <v>podere676.com</v>
      </c>
    </row>
    <row r="3328" spans="1:6" ht="43.05" customHeight="1" x14ac:dyDescent="0.25">
      <c r="A3328" s="6" t="s">
        <v>13552</v>
      </c>
      <c r="B3328" s="5" t="s">
        <v>13553</v>
      </c>
      <c r="C3328" s="5" t="s">
        <v>13551</v>
      </c>
      <c r="D3328" s="5" t="s">
        <v>13554</v>
      </c>
      <c r="E3328" s="5" t="s">
        <v>13555</v>
      </c>
      <c r="F3328" s="5" t="str">
        <f>HYPERLINK("http://solidarietatv.altervista.org/la-rete/topinambur","solidarietatv.altervista.org/la-rete/topinambur")</f>
        <v>solidarietatv.altervista.org/la-rete/topinambur</v>
      </c>
    </row>
    <row r="3329" spans="1:6" ht="16.95" customHeight="1" x14ac:dyDescent="0.25">
      <c r="A3329" s="1" t="s">
        <v>13556</v>
      </c>
      <c r="B3329" s="7" t="s">
        <v>13557</v>
      </c>
      <c r="C3329" s="7" t="s">
        <v>13545</v>
      </c>
      <c r="D3329" s="7" t="s">
        <v>13558</v>
      </c>
      <c r="E3329" s="7" t="s">
        <v>13542</v>
      </c>
      <c r="F3329" s="7" t="str">
        <f>HYPERLINK("http://www.fradiles.it/","www.fradiles.it")</f>
        <v>www.fradiles.it</v>
      </c>
    </row>
    <row r="3330" spans="1:6" ht="29.55" customHeight="1" x14ac:dyDescent="0.25">
      <c r="A3330" s="6" t="s">
        <v>13559</v>
      </c>
      <c r="B3330" s="5" t="s">
        <v>13560</v>
      </c>
      <c r="C3330" s="5" t="s">
        <v>13561</v>
      </c>
      <c r="D3330" s="5" t="s">
        <v>13536</v>
      </c>
      <c r="E3330" s="5" t="s">
        <v>13537</v>
      </c>
      <c r="F3330" s="5" t="str">
        <f>HYPERLINK("http://www.pancolina.com/","www.pancolina.com")</f>
        <v>www.pancolina.com</v>
      </c>
    </row>
    <row r="3331" spans="1:6" ht="29.55" customHeight="1" x14ac:dyDescent="0.25">
      <c r="A3331" s="1" t="s">
        <v>13562</v>
      </c>
      <c r="B3331" s="7" t="s">
        <v>13563</v>
      </c>
      <c r="C3331" s="7" t="s">
        <v>13561</v>
      </c>
      <c r="D3331" s="7" t="s">
        <v>13564</v>
      </c>
      <c r="E3331" s="7" t="s">
        <v>13565</v>
      </c>
      <c r="F3331" s="7" t="str">
        <f>HYPERLINK("http://landing.borgopiazza.it/","landing.borgopiazza.it")</f>
        <v>landing.borgopiazza.it</v>
      </c>
    </row>
    <row r="3332" spans="1:6" ht="29.55" customHeight="1" x14ac:dyDescent="0.25">
      <c r="A3332" s="6" t="s">
        <v>13566</v>
      </c>
      <c r="B3332" s="5" t="s">
        <v>13567</v>
      </c>
      <c r="C3332" s="5" t="s">
        <v>13568</v>
      </c>
      <c r="D3332" s="5" t="s">
        <v>13569</v>
      </c>
      <c r="E3332" s="5" t="s">
        <v>13541</v>
      </c>
      <c r="F3332" s="5" t="str">
        <f>HYPERLINK("http://www.facebook.com/antonuccigarden","www.facebook.com/antonuccigarden")</f>
        <v>www.facebook.com/antonuccigarden</v>
      </c>
    </row>
    <row r="3333" spans="1:6" ht="29.55" customHeight="1" x14ac:dyDescent="0.25">
      <c r="A3333" s="6" t="s">
        <v>13570</v>
      </c>
      <c r="B3333" s="5" t="s">
        <v>13571</v>
      </c>
      <c r="C3333" s="5" t="s">
        <v>13561</v>
      </c>
      <c r="D3333" s="5" t="s">
        <v>13572</v>
      </c>
      <c r="E3333" s="5" t="s">
        <v>13547</v>
      </c>
      <c r="F3333" s="5" t="str">
        <f>HYPERLINK("http://www.relaismasseriadellacolomba.com/","www.relaismasseriadellacolomba.com")</f>
        <v>www.relaismasseriadellacolomba.com</v>
      </c>
    </row>
    <row r="3334" spans="1:6" ht="29.55" customHeight="1" x14ac:dyDescent="0.25">
      <c r="A3334" s="1" t="s">
        <v>13580</v>
      </c>
      <c r="B3334" s="7" t="s">
        <v>13581</v>
      </c>
      <c r="C3334" s="7" t="s">
        <v>13573</v>
      </c>
      <c r="D3334" s="7" t="s">
        <v>13582</v>
      </c>
      <c r="E3334" s="7" t="s">
        <v>13576</v>
      </c>
      <c r="F3334" s="7" t="str">
        <f>HYPERLINK("http://www.oliomarina.it/","www.oliomarina.it")</f>
        <v>www.oliomarina.it</v>
      </c>
    </row>
    <row r="3335" spans="1:6" ht="29.55" customHeight="1" x14ac:dyDescent="0.25">
      <c r="A3335" s="1" t="s">
        <v>13583</v>
      </c>
      <c r="B3335" s="7" t="s">
        <v>13584</v>
      </c>
      <c r="C3335" s="7" t="s">
        <v>13578</v>
      </c>
      <c r="D3335" s="7" t="s">
        <v>13585</v>
      </c>
      <c r="E3335" s="7" t="s">
        <v>13586</v>
      </c>
      <c r="F3335" s="7" t="str">
        <f>HYPERLINK("http://www.coronaruia.it/","www.coronaruia.it")</f>
        <v>www.coronaruia.it</v>
      </c>
    </row>
    <row r="3336" spans="1:6" ht="16.95" customHeight="1" x14ac:dyDescent="0.25">
      <c r="A3336" s="6" t="s">
        <v>13587</v>
      </c>
      <c r="B3336" s="5" t="s">
        <v>13588</v>
      </c>
      <c r="C3336" s="5" t="s">
        <v>13589</v>
      </c>
      <c r="D3336" s="5" t="s">
        <v>13590</v>
      </c>
      <c r="E3336" s="5" t="s">
        <v>13591</v>
      </c>
      <c r="F3336" s="5" t="str">
        <f>HYPERLINK("http://www.pimpicks.com/","www.pimpicks.com")</f>
        <v>www.pimpicks.com</v>
      </c>
    </row>
    <row r="3337" spans="1:6" ht="43.05" customHeight="1" x14ac:dyDescent="0.25">
      <c r="A3337" s="1" t="s">
        <v>13593</v>
      </c>
      <c r="B3337" s="7" t="s">
        <v>13594</v>
      </c>
      <c r="C3337" s="7" t="s">
        <v>13577</v>
      </c>
      <c r="D3337" s="7" t="s">
        <v>13595</v>
      </c>
      <c r="E3337" s="7" t="s">
        <v>13576</v>
      </c>
      <c r="F3337" s="7" t="str">
        <f>HYPERLINK("http://violati.it/azienda/","violati.it/azienda/")</f>
        <v>violati.it/azienda/</v>
      </c>
    </row>
    <row r="3338" spans="1:6" ht="55.65" customHeight="1" x14ac:dyDescent="0.25">
      <c r="A3338" s="1" t="s">
        <v>13596</v>
      </c>
      <c r="B3338" s="7" t="s">
        <v>13597</v>
      </c>
      <c r="C3338" s="7" t="s">
        <v>13573</v>
      </c>
      <c r="D3338" s="7" t="s">
        <v>13595</v>
      </c>
      <c r="E3338" s="7" t="s">
        <v>13576</v>
      </c>
      <c r="F3338" s="7" t="str">
        <f>HYPERLINK("http://www.agriaromi.it/","www.agriaromi.it")</f>
        <v>www.agriaromi.it</v>
      </c>
    </row>
    <row r="3339" spans="1:6" ht="43.05" customHeight="1" x14ac:dyDescent="0.25">
      <c r="A3339" s="1" t="s">
        <v>13601</v>
      </c>
      <c r="B3339" s="7" t="s">
        <v>13602</v>
      </c>
      <c r="C3339" s="7" t="s">
        <v>13592</v>
      </c>
      <c r="D3339" s="7" t="s">
        <v>13600</v>
      </c>
      <c r="E3339" s="7" t="s">
        <v>13579</v>
      </c>
      <c r="F3339" s="7" t="str">
        <f>HYPERLINK("http://mpconse.it/","mpconse.it")</f>
        <v>mpconse.it</v>
      </c>
    </row>
    <row r="3340" spans="1:6" ht="29.55" customHeight="1" x14ac:dyDescent="0.25">
      <c r="A3340" s="6" t="s">
        <v>13603</v>
      </c>
      <c r="B3340" s="5" t="s">
        <v>13604</v>
      </c>
      <c r="C3340" s="5" t="s">
        <v>13578</v>
      </c>
      <c r="D3340" s="5" t="s">
        <v>13605</v>
      </c>
      <c r="E3340" s="5" t="s">
        <v>13606</v>
      </c>
      <c r="F3340" s="5" t="str">
        <f>HYPERLINK("http://www.magnagraeciavini.it/","www.magnagraeciavini.it")</f>
        <v>www.magnagraeciavini.it</v>
      </c>
    </row>
    <row r="3341" spans="1:6" ht="43.05" customHeight="1" x14ac:dyDescent="0.25">
      <c r="A3341" s="1" t="s">
        <v>13607</v>
      </c>
      <c r="B3341" s="7" t="s">
        <v>13608</v>
      </c>
      <c r="C3341" s="7" t="s">
        <v>13598</v>
      </c>
      <c r="D3341" s="7" t="s">
        <v>13609</v>
      </c>
      <c r="E3341" s="7" t="s">
        <v>13610</v>
      </c>
      <c r="F3341" s="7" t="str">
        <f>HYPERLINK("http://www.terrealtre.org/","www.terrealtre.org")</f>
        <v>www.terrealtre.org</v>
      </c>
    </row>
    <row r="3342" spans="1:6" ht="43.05" customHeight="1" x14ac:dyDescent="0.25">
      <c r="A3342" s="6" t="s">
        <v>13611</v>
      </c>
      <c r="B3342" s="5" t="s">
        <v>13612</v>
      </c>
      <c r="C3342" s="5" t="s">
        <v>13577</v>
      </c>
      <c r="D3342" s="5" t="s">
        <v>13595</v>
      </c>
      <c r="E3342" s="5" t="s">
        <v>13576</v>
      </c>
      <c r="F3342" s="5" t="str">
        <f>HYPERLINK("http://www.casalediportamedaglia.it/","www.casalediportamedaglia.it")</f>
        <v>www.casalediportamedaglia.it</v>
      </c>
    </row>
    <row r="3343" spans="1:6" ht="29.55" customHeight="1" x14ac:dyDescent="0.25">
      <c r="A3343" s="6" t="s">
        <v>13613</v>
      </c>
      <c r="B3343" s="5" t="s">
        <v>13614</v>
      </c>
      <c r="C3343" s="5" t="s">
        <v>13575</v>
      </c>
      <c r="D3343" s="5" t="s">
        <v>13599</v>
      </c>
      <c r="E3343" s="5" t="s">
        <v>13574</v>
      </c>
      <c r="F3343" s="5" t="str">
        <f>HYPERLINK("http://www.pistacchiospa.it/","www.pistacchiospa.it")</f>
        <v>www.pistacchiospa.it</v>
      </c>
    </row>
    <row r="3344" spans="1:6" ht="29.55" customHeight="1" x14ac:dyDescent="0.25">
      <c r="A3344" s="6" t="s">
        <v>13617</v>
      </c>
      <c r="B3344" s="5" t="s">
        <v>13618</v>
      </c>
      <c r="C3344" s="5" t="s">
        <v>13619</v>
      </c>
      <c r="D3344" s="5" t="s">
        <v>13620</v>
      </c>
      <c r="E3344" s="5" t="s">
        <v>13621</v>
      </c>
      <c r="F3344" s="5" t="str">
        <f>HYPERLINK("http://www.oasilepalme.com/","www.oasilepalme.com")</f>
        <v>www.oasilepalme.com</v>
      </c>
    </row>
    <row r="3345" spans="1:6" ht="29.55" customHeight="1" x14ac:dyDescent="0.25">
      <c r="A3345" s="6" t="s">
        <v>13622</v>
      </c>
      <c r="B3345" s="5" t="s">
        <v>13623</v>
      </c>
      <c r="C3345" s="5" t="s">
        <v>13624</v>
      </c>
      <c r="D3345" s="5" t="s">
        <v>13625</v>
      </c>
      <c r="E3345" s="5" t="s">
        <v>13626</v>
      </c>
      <c r="F3345" s="5" t="str">
        <f>HYPERLINK("http://www.rizzanideeccher.com/","www.rizzanideeccher.com")</f>
        <v>www.rizzanideeccher.com</v>
      </c>
    </row>
    <row r="3346" spans="1:6" ht="43.05" customHeight="1" x14ac:dyDescent="0.25">
      <c r="A3346" s="6" t="s">
        <v>13628</v>
      </c>
      <c r="B3346" s="5" t="s">
        <v>13629</v>
      </c>
      <c r="C3346" s="5" t="s">
        <v>13630</v>
      </c>
      <c r="D3346" s="5" t="s">
        <v>13631</v>
      </c>
      <c r="E3346" s="5" t="s">
        <v>13627</v>
      </c>
      <c r="F3346" s="5" t="str">
        <f>HYPERLINK("http://www.poggitazzi.com/","www.poggitazzi.com")</f>
        <v>www.poggitazzi.com</v>
      </c>
    </row>
    <row r="3347" spans="1:6" ht="29.55" customHeight="1" x14ac:dyDescent="0.25">
      <c r="A3347" s="1" t="s">
        <v>13635</v>
      </c>
      <c r="B3347" s="7" t="s">
        <v>13636</v>
      </c>
      <c r="C3347" s="7" t="s">
        <v>13637</v>
      </c>
      <c r="D3347" s="7" t="s">
        <v>13638</v>
      </c>
      <c r="E3347" s="7" t="s">
        <v>13639</v>
      </c>
      <c r="F3347" s="7" t="str">
        <f>HYPERLINK("http://www.acasadimirra.com/","www.acasadimirra.com")</f>
        <v>www.acasadimirra.com</v>
      </c>
    </row>
    <row r="3348" spans="1:6" ht="43.05" customHeight="1" x14ac:dyDescent="0.25">
      <c r="A3348" s="1" t="s">
        <v>13641</v>
      </c>
      <c r="B3348" s="7" t="s">
        <v>13642</v>
      </c>
      <c r="C3348" s="7" t="s">
        <v>13619</v>
      </c>
      <c r="D3348" s="7" t="s">
        <v>13643</v>
      </c>
      <c r="E3348" s="7" t="s">
        <v>13627</v>
      </c>
      <c r="F3348" s="7" t="str">
        <f>HYPERLINK("http://www.aziendagricolaforestale.it/","www.aziendagricolaforestale.it")</f>
        <v>www.aziendagricolaforestale.it</v>
      </c>
    </row>
    <row r="3349" spans="1:6" ht="29.55" customHeight="1" x14ac:dyDescent="0.25">
      <c r="A3349" s="6" t="s">
        <v>13644</v>
      </c>
      <c r="B3349" s="5" t="s">
        <v>13645</v>
      </c>
      <c r="C3349" s="5" t="s">
        <v>13646</v>
      </c>
      <c r="D3349" s="5" t="s">
        <v>13632</v>
      </c>
      <c r="E3349" s="5" t="s">
        <v>13633</v>
      </c>
      <c r="F3349" s="5" t="str">
        <f>HYPERLINK("http://www.ilgiardinodialisia.it/","www.ilgiardinodialisia.it")</f>
        <v>www.ilgiardinodialisia.it</v>
      </c>
    </row>
    <row r="3350" spans="1:6" ht="29.55" customHeight="1" x14ac:dyDescent="0.25">
      <c r="A3350" s="6" t="s">
        <v>13647</v>
      </c>
      <c r="B3350" s="5" t="s">
        <v>13648</v>
      </c>
      <c r="C3350" s="5" t="s">
        <v>13634</v>
      </c>
      <c r="D3350" s="5" t="s">
        <v>13649</v>
      </c>
      <c r="E3350" s="5" t="s">
        <v>13627</v>
      </c>
      <c r="F3350" s="5" t="str">
        <f>HYPERLINK("http://www.calips.it/","www.calips.it")</f>
        <v>www.calips.it</v>
      </c>
    </row>
    <row r="3351" spans="1:6" ht="29.55" customHeight="1" x14ac:dyDescent="0.25">
      <c r="A3351" s="1" t="s">
        <v>13650</v>
      </c>
      <c r="B3351" s="7" t="s">
        <v>13651</v>
      </c>
      <c r="C3351" s="7" t="s">
        <v>13615</v>
      </c>
      <c r="D3351" s="7" t="s">
        <v>13652</v>
      </c>
      <c r="E3351" s="7" t="s">
        <v>13633</v>
      </c>
      <c r="F3351" s="7" t="str">
        <f>HYPERLINK("http://www.villalupara.it/","www.villalupara.it")</f>
        <v>www.villalupara.it</v>
      </c>
    </row>
    <row r="3352" spans="1:6" ht="29.55" customHeight="1" x14ac:dyDescent="0.25">
      <c r="A3352" s="6" t="s">
        <v>13653</v>
      </c>
      <c r="B3352" s="5" t="s">
        <v>13654</v>
      </c>
      <c r="C3352" s="5" t="s">
        <v>13655</v>
      </c>
      <c r="D3352" s="5" t="s">
        <v>13656</v>
      </c>
      <c r="E3352" s="5" t="s">
        <v>13616</v>
      </c>
      <c r="F3352" s="5" t="str">
        <f>HYPERLINK("http://www.gliaromi.it/","www.gliaromi.it")</f>
        <v>www.gliaromi.it</v>
      </c>
    </row>
    <row r="3353" spans="1:6" ht="29.55" customHeight="1" x14ac:dyDescent="0.25">
      <c r="A3353" s="1" t="s">
        <v>13657</v>
      </c>
      <c r="B3353" s="7" t="s">
        <v>13658</v>
      </c>
      <c r="C3353" s="7" t="s">
        <v>13659</v>
      </c>
      <c r="D3353" s="7" t="s">
        <v>13660</v>
      </c>
      <c r="E3353" s="7" t="s">
        <v>13661</v>
      </c>
      <c r="F3353" s="7" t="str">
        <f>HYPERLINK("http://www.teseietesei.it/","www.teseietesei.it")</f>
        <v>www.teseietesei.it</v>
      </c>
    </row>
    <row r="3354" spans="1:6" ht="29.55" customHeight="1" x14ac:dyDescent="0.25">
      <c r="A3354" s="6" t="s">
        <v>13662</v>
      </c>
      <c r="B3354" s="5" t="s">
        <v>13663</v>
      </c>
      <c r="C3354" s="5" t="s">
        <v>13624</v>
      </c>
      <c r="D3354" s="5" t="s">
        <v>13640</v>
      </c>
      <c r="E3354" s="5" t="s">
        <v>13621</v>
      </c>
      <c r="F3354" s="5" t="str">
        <f>HYPERLINK("http://ar.capitello.it/","ar.capitello.it")</f>
        <v>ar.capitello.it</v>
      </c>
    </row>
    <row r="3355" spans="1:6" ht="43.05" customHeight="1" x14ac:dyDescent="0.25">
      <c r="A3355" s="1" t="s">
        <v>13671</v>
      </c>
      <c r="B3355" s="7" t="s">
        <v>13672</v>
      </c>
      <c r="C3355" s="7" t="s">
        <v>13673</v>
      </c>
      <c r="D3355" s="7" t="s">
        <v>13669</v>
      </c>
      <c r="E3355" s="7" t="s">
        <v>13670</v>
      </c>
      <c r="F3355" s="7" t="str">
        <f>HYPERLINK("http://www.agricolaalpa.it/","www.agricolaalpa.it")</f>
        <v>www.agricolaalpa.it</v>
      </c>
    </row>
    <row r="3356" spans="1:6" ht="68.099999999999994" customHeight="1" x14ac:dyDescent="0.25">
      <c r="A3356" s="6" t="s">
        <v>13674</v>
      </c>
      <c r="B3356" s="5" t="s">
        <v>13675</v>
      </c>
      <c r="C3356" s="5" t="s">
        <v>13665</v>
      </c>
      <c r="D3356" s="5" t="s">
        <v>13676</v>
      </c>
      <c r="E3356" s="5" t="s">
        <v>13664</v>
      </c>
      <c r="F3356" s="5" t="str">
        <f>HYPERLINK("http://icollirossi.it/","icollirossi.it")</f>
        <v>icollirossi.it</v>
      </c>
    </row>
    <row r="3357" spans="1:6" ht="29.55" customHeight="1" x14ac:dyDescent="0.25">
      <c r="A3357" s="6" t="s">
        <v>13677</v>
      </c>
      <c r="B3357" s="5" t="s">
        <v>13678</v>
      </c>
      <c r="C3357" s="5" t="s">
        <v>13679</v>
      </c>
      <c r="D3357" s="5" t="s">
        <v>13680</v>
      </c>
      <c r="E3357" s="5" t="s">
        <v>13667</v>
      </c>
      <c r="F3357" s="5" t="str">
        <f>HYPERLINK("http://ricoltiviamo.it/","ricoltiviamo.it")</f>
        <v>ricoltiviamo.it</v>
      </c>
    </row>
    <row r="3358" spans="1:6" ht="29.55" customHeight="1" x14ac:dyDescent="0.25">
      <c r="A3358" s="6" t="s">
        <v>13681</v>
      </c>
      <c r="B3358" s="5" t="s">
        <v>13682</v>
      </c>
      <c r="C3358" s="5" t="s">
        <v>13683</v>
      </c>
      <c r="D3358" s="5" t="s">
        <v>13684</v>
      </c>
      <c r="E3358" s="5" t="s">
        <v>13667</v>
      </c>
      <c r="F3358" s="5" t="str">
        <f>HYPERLINK("http://i-gusti-dell-etna.jimdosite.com/","i-gusti-dell-etna.jimdosite.com")</f>
        <v>i-gusti-dell-etna.jimdosite.com</v>
      </c>
    </row>
    <row r="3359" spans="1:6" ht="43.05" customHeight="1" x14ac:dyDescent="0.25">
      <c r="A3359" s="6" t="s">
        <v>13685</v>
      </c>
      <c r="B3359" s="5" t="s">
        <v>13686</v>
      </c>
      <c r="C3359" s="5" t="s">
        <v>13666</v>
      </c>
      <c r="D3359" s="5" t="s">
        <v>13687</v>
      </c>
      <c r="E3359" s="5" t="s">
        <v>13688</v>
      </c>
      <c r="F3359" s="5" t="str">
        <f>HYPERLINK("http://www.biogaspredazzo.it/","www.biogaspredazzo.it")</f>
        <v>www.biogaspredazzo.it</v>
      </c>
    </row>
    <row r="3360" spans="1:6" ht="29.55" customHeight="1" x14ac:dyDescent="0.25">
      <c r="A3360" s="6" t="s">
        <v>13691</v>
      </c>
      <c r="B3360" s="5" t="s">
        <v>13692</v>
      </c>
      <c r="C3360" s="5" t="s">
        <v>13665</v>
      </c>
      <c r="D3360" s="5" t="s">
        <v>13693</v>
      </c>
      <c r="E3360" s="5" t="s">
        <v>13690</v>
      </c>
      <c r="F3360" s="5" t="str">
        <f>HYPERLINK("http://www.agricolaribusieri.it/","www.agricolaribusieri.it")</f>
        <v>www.agricolaribusieri.it</v>
      </c>
    </row>
    <row r="3361" spans="1:6" ht="81.75" customHeight="1" x14ac:dyDescent="0.25">
      <c r="A3361" s="6" t="s">
        <v>13694</v>
      </c>
      <c r="B3361" s="5" t="s">
        <v>13695</v>
      </c>
      <c r="C3361" s="5" t="s">
        <v>13668</v>
      </c>
      <c r="D3361" s="5" t="s">
        <v>13689</v>
      </c>
      <c r="E3361" s="5" t="s">
        <v>13690</v>
      </c>
      <c r="F3361" s="5" t="str">
        <f>HYPERLINK("http://sottoilcieloditoscana.it/","sottoilcieloditoscana.it")</f>
        <v>sottoilcieloditoscana.it</v>
      </c>
    </row>
    <row r="3362" spans="1:6" ht="29.55" customHeight="1" x14ac:dyDescent="0.25">
      <c r="A3362" s="6" t="s">
        <v>13697</v>
      </c>
      <c r="B3362" s="5" t="s">
        <v>13698</v>
      </c>
      <c r="C3362" s="5" t="s">
        <v>13699</v>
      </c>
      <c r="D3362" s="5" t="s">
        <v>13700</v>
      </c>
      <c r="E3362" s="5" t="s">
        <v>13701</v>
      </c>
      <c r="F3362" s="5" t="str">
        <f>HYPERLINK("http://www.famigliacecchi.it/","www.famigliacecchi.it")</f>
        <v>www.famigliacecchi.it</v>
      </c>
    </row>
    <row r="3363" spans="1:6" ht="29.55" customHeight="1" x14ac:dyDescent="0.25">
      <c r="A3363" s="1" t="s">
        <v>13702</v>
      </c>
      <c r="B3363" s="7" t="s">
        <v>13703</v>
      </c>
      <c r="C3363" s="7" t="s">
        <v>13699</v>
      </c>
      <c r="D3363" s="7" t="s">
        <v>13704</v>
      </c>
      <c r="E3363" s="7" t="s">
        <v>13705</v>
      </c>
      <c r="F3363" s="7" t="str">
        <f>HYPERLINK("http://www.viniatharuja.com/","www.viniatharuja.com")</f>
        <v>www.viniatharuja.com</v>
      </c>
    </row>
    <row r="3364" spans="1:6" ht="29.55" customHeight="1" x14ac:dyDescent="0.25">
      <c r="A3364" s="6" t="s">
        <v>13707</v>
      </c>
      <c r="B3364" s="5" t="s">
        <v>13708</v>
      </c>
      <c r="C3364" s="5" t="s">
        <v>13699</v>
      </c>
      <c r="D3364" s="5" t="s">
        <v>13706</v>
      </c>
      <c r="E3364" s="5" t="s">
        <v>13696</v>
      </c>
      <c r="F3364" s="5" t="str">
        <f>HYPERLINK("http://www.lacostaiola.it/","www.lacostaiola.it")</f>
        <v>www.lacostaiola.it</v>
      </c>
    </row>
    <row r="3365" spans="1:6" ht="55.65" customHeight="1" x14ac:dyDescent="0.25">
      <c r="A3365" s="6" t="s">
        <v>13710</v>
      </c>
      <c r="B3365" s="5" t="s">
        <v>13711</v>
      </c>
      <c r="C3365" s="5" t="s">
        <v>13699</v>
      </c>
      <c r="D3365" s="5" t="s">
        <v>13712</v>
      </c>
      <c r="E3365" s="5" t="s">
        <v>13713</v>
      </c>
      <c r="F3365" s="5" t="str">
        <f>HYPERLINK("http://www.cantinacollisabini.it/","www.cantinacollisabini.it")</f>
        <v>www.cantinacollisabini.it</v>
      </c>
    </row>
    <row r="3366" spans="1:6" ht="43.05" customHeight="1" x14ac:dyDescent="0.25">
      <c r="A3366" s="6" t="s">
        <v>13714</v>
      </c>
      <c r="B3366" s="5" t="s">
        <v>13715</v>
      </c>
      <c r="C3366" s="5" t="s">
        <v>13699</v>
      </c>
      <c r="D3366" s="5" t="s">
        <v>13716</v>
      </c>
      <c r="E3366" s="5" t="s">
        <v>13709</v>
      </c>
      <c r="F3366" s="5" t="str">
        <f>HYPERLINK("http://www.monserrato1973.it/","www.monserrato1973.it")</f>
        <v>www.monserrato1973.it</v>
      </c>
    </row>
    <row r="3367" spans="1:6" ht="29.55" customHeight="1" x14ac:dyDescent="0.25">
      <c r="A3367" s="6" t="s">
        <v>13717</v>
      </c>
      <c r="B3367" s="5" t="s">
        <v>13718</v>
      </c>
      <c r="C3367" s="5" t="s">
        <v>13719</v>
      </c>
      <c r="D3367" s="5" t="s">
        <v>13720</v>
      </c>
      <c r="E3367" s="5" t="s">
        <v>13721</v>
      </c>
      <c r="F3367" s="5" t="str">
        <f>HYPERLINK("http://giardinidelmonferrato.it/","giardinidelmonferrato.it")</f>
        <v>giardinidelmonferrato.it</v>
      </c>
    </row>
    <row r="3368" spans="1:6" ht="43.05" customHeight="1" x14ac:dyDescent="0.25">
      <c r="A3368" s="1" t="s">
        <v>13722</v>
      </c>
      <c r="B3368" s="7" t="s">
        <v>13723</v>
      </c>
      <c r="C3368" s="7" t="s">
        <v>13699</v>
      </c>
      <c r="D3368" s="7" t="s">
        <v>13724</v>
      </c>
      <c r="E3368" s="7" t="s">
        <v>13696</v>
      </c>
      <c r="F3368" s="7" t="str">
        <f>HYPERLINK("http://contadigasparotti.it/","contadigasparotti.it")</f>
        <v>contadigasparotti.it</v>
      </c>
    </row>
    <row r="3369" spans="1:6" ht="29.55" customHeight="1" x14ac:dyDescent="0.25">
      <c r="A3369" s="6" t="s">
        <v>13725</v>
      </c>
      <c r="B3369" s="5" t="s">
        <v>13726</v>
      </c>
      <c r="C3369" s="5" t="s">
        <v>13727</v>
      </c>
      <c r="D3369" s="5" t="s">
        <v>13728</v>
      </c>
      <c r="E3369" s="5" t="s">
        <v>13729</v>
      </c>
      <c r="F3369" s="5" t="str">
        <f>HYPERLINK("http://fattoriaagricolaelce.com/chi-siamo/","fattoriaagricolaelce.com/chi-siamo/")</f>
        <v>fattoriaagricolaelce.com/chi-siamo/</v>
      </c>
    </row>
    <row r="3370" spans="1:6" ht="29.55" customHeight="1" x14ac:dyDescent="0.25">
      <c r="A3370" s="6" t="s">
        <v>13730</v>
      </c>
      <c r="B3370" s="5" t="s">
        <v>13731</v>
      </c>
      <c r="C3370" s="5" t="s">
        <v>13732</v>
      </c>
      <c r="D3370" s="5" t="s">
        <v>13733</v>
      </c>
      <c r="E3370" s="5" t="s">
        <v>13734</v>
      </c>
      <c r="F3370" s="5" t="str">
        <f>HYPERLINK("http://www.nugareto.com/","www.nugareto.com")</f>
        <v>www.nugareto.com</v>
      </c>
    </row>
    <row r="3371" spans="1:6" ht="29.55" customHeight="1" x14ac:dyDescent="0.25">
      <c r="A3371" s="1" t="s">
        <v>13736</v>
      </c>
      <c r="B3371" s="7" t="s">
        <v>13737</v>
      </c>
      <c r="C3371" s="7" t="s">
        <v>13738</v>
      </c>
      <c r="D3371" s="7" t="s">
        <v>13733</v>
      </c>
      <c r="E3371" s="7" t="s">
        <v>13734</v>
      </c>
      <c r="F3371" s="7" t="str">
        <f>HYPERLINK("http://www.panpiadina.it/","www.panpiadina.it")</f>
        <v>www.panpiadina.it</v>
      </c>
    </row>
    <row r="3372" spans="1:6" ht="29.55" customHeight="1" x14ac:dyDescent="0.25">
      <c r="A3372" s="6" t="s">
        <v>13739</v>
      </c>
      <c r="B3372" s="5" t="s">
        <v>13740</v>
      </c>
      <c r="C3372" s="5" t="s">
        <v>13741</v>
      </c>
      <c r="D3372" s="5" t="s">
        <v>13742</v>
      </c>
      <c r="E3372" s="5" t="s">
        <v>13735</v>
      </c>
      <c r="F3372" s="5" t="str">
        <f>HYPERLINK("http://ww.agliorossodinubia-produttori.com/","ww.agliorossodinubia-produttori.com")</f>
        <v>ww.agliorossodinubia-produttori.com</v>
      </c>
    </row>
    <row r="3373" spans="1:6" ht="29.55" customHeight="1" x14ac:dyDescent="0.25">
      <c r="A3373" s="1" t="s">
        <v>13744</v>
      </c>
      <c r="B3373" s="7" t="s">
        <v>13745</v>
      </c>
      <c r="C3373" s="7" t="s">
        <v>13746</v>
      </c>
      <c r="D3373" s="7" t="s">
        <v>13747</v>
      </c>
      <c r="E3373" s="7" t="s">
        <v>13748</v>
      </c>
      <c r="F3373" s="7" t="str">
        <f>HYPERLINK("http://www.olioproemio.it/","www.olioproemio.it")</f>
        <v>www.olioproemio.it</v>
      </c>
    </row>
    <row r="3374" spans="1:6" ht="29.55" customHeight="1" x14ac:dyDescent="0.25">
      <c r="A3374" s="1" t="s">
        <v>13749</v>
      </c>
      <c r="B3374" s="7" t="s">
        <v>13750</v>
      </c>
      <c r="C3374" s="7" t="s">
        <v>13751</v>
      </c>
      <c r="D3374" s="7" t="s">
        <v>13752</v>
      </c>
      <c r="E3374" s="7" t="s">
        <v>13729</v>
      </c>
      <c r="F3374" s="7" t="str">
        <f>HYPERLINK("http://www.arcellacoop.com/","www.arcellacoop.com")</f>
        <v>www.arcellacoop.com</v>
      </c>
    </row>
    <row r="3375" spans="1:6" ht="29.55" customHeight="1" x14ac:dyDescent="0.25">
      <c r="A3375" s="1" t="s">
        <v>13753</v>
      </c>
      <c r="B3375" s="7" t="s">
        <v>13754</v>
      </c>
      <c r="C3375" s="7" t="s">
        <v>13732</v>
      </c>
      <c r="D3375" s="7" t="s">
        <v>13755</v>
      </c>
      <c r="E3375" s="7" t="s">
        <v>13743</v>
      </c>
      <c r="F3375" s="7" t="str">
        <f>HYPERLINK("http://shop.iviciniwinery.com/","shop.iviciniwinery.com")</f>
        <v>shop.iviciniwinery.com</v>
      </c>
    </row>
    <row r="3376" spans="1:6" ht="29.55" customHeight="1" x14ac:dyDescent="0.25">
      <c r="A3376" s="1" t="s">
        <v>13756</v>
      </c>
      <c r="B3376" s="7" t="s">
        <v>13757</v>
      </c>
      <c r="C3376" s="7" t="s">
        <v>13741</v>
      </c>
      <c r="D3376" s="7" t="s">
        <v>13758</v>
      </c>
      <c r="E3376" s="7" t="s">
        <v>13759</v>
      </c>
      <c r="F3376" s="7" t="str">
        <f>HYPERLINK("http://www.agriturismodebelistrieste.it/","www.agriturismodebelistrieste.it")</f>
        <v>www.agriturismodebelistrieste.it</v>
      </c>
    </row>
    <row r="3377" spans="1:6" ht="55.65" customHeight="1" x14ac:dyDescent="0.25">
      <c r="A3377" s="6" t="s">
        <v>13762</v>
      </c>
      <c r="B3377" s="5" t="s">
        <v>13763</v>
      </c>
      <c r="C3377" s="5" t="s">
        <v>13764</v>
      </c>
      <c r="D3377" s="5" t="s">
        <v>13765</v>
      </c>
      <c r="E3377" s="5" t="s">
        <v>13766</v>
      </c>
      <c r="F3377" s="5" t="str">
        <f>HYPERLINK("http://www.davidecoop.it/","www.davidecoop.it")</f>
        <v>www.davidecoop.it</v>
      </c>
    </row>
    <row r="3378" spans="1:6" ht="29.55" customHeight="1" x14ac:dyDescent="0.25">
      <c r="A3378" s="1" t="s">
        <v>13767</v>
      </c>
      <c r="B3378" s="7" t="s">
        <v>13768</v>
      </c>
      <c r="C3378" s="7" t="s">
        <v>13760</v>
      </c>
      <c r="D3378" s="7" t="s">
        <v>13769</v>
      </c>
      <c r="E3378" s="7" t="s">
        <v>13770</v>
      </c>
      <c r="F3378" s="7" t="str">
        <f>HYPERLINK("http://www.agricolailpoggiolo.it/","www.agricolailpoggiolo.it")</f>
        <v>www.agricolailpoggiolo.it</v>
      </c>
    </row>
    <row r="3379" spans="1:6" ht="29.55" customHeight="1" x14ac:dyDescent="0.25">
      <c r="A3379" s="1" t="s">
        <v>13775</v>
      </c>
      <c r="B3379" s="7" t="s">
        <v>13776</v>
      </c>
      <c r="C3379" s="7" t="s">
        <v>13771</v>
      </c>
      <c r="D3379" s="7" t="s">
        <v>13777</v>
      </c>
      <c r="E3379" s="7" t="s">
        <v>13773</v>
      </c>
      <c r="F3379" s="7" t="str">
        <f>HYPERLINK("http://www.lagovuveri.it/","www.lagovuveri.it")</f>
        <v>www.lagovuveri.it</v>
      </c>
    </row>
    <row r="3380" spans="1:6" ht="29.55" customHeight="1" x14ac:dyDescent="0.25">
      <c r="A3380" s="6" t="s">
        <v>13779</v>
      </c>
      <c r="B3380" s="5" t="s">
        <v>13780</v>
      </c>
      <c r="C3380" s="5" t="s">
        <v>13781</v>
      </c>
      <c r="D3380" s="5" t="s">
        <v>13782</v>
      </c>
      <c r="E3380" s="5" t="s">
        <v>13783</v>
      </c>
      <c r="F3380" s="5" t="str">
        <f>HYPERLINK("http://ilcengio.it/","ilcengio.it")</f>
        <v>ilcengio.it</v>
      </c>
    </row>
    <row r="3381" spans="1:6" ht="29.55" customHeight="1" x14ac:dyDescent="0.25">
      <c r="A3381" s="6" t="s">
        <v>13784</v>
      </c>
      <c r="B3381" s="5" t="s">
        <v>13785</v>
      </c>
      <c r="C3381" s="5" t="s">
        <v>13778</v>
      </c>
      <c r="D3381" s="5" t="s">
        <v>13786</v>
      </c>
      <c r="E3381" s="5" t="s">
        <v>13787</v>
      </c>
      <c r="F3381" s="5" t="str">
        <f>HYPERLINK("http://borgogerlino.it/","borgogerlino.it")</f>
        <v>borgogerlino.it</v>
      </c>
    </row>
    <row r="3382" spans="1:6" ht="43.05" customHeight="1" x14ac:dyDescent="0.25">
      <c r="A3382" s="6" t="s">
        <v>13788</v>
      </c>
      <c r="B3382" s="5" t="s">
        <v>13789</v>
      </c>
      <c r="C3382" s="5" t="s">
        <v>13774</v>
      </c>
      <c r="D3382" s="5" t="s">
        <v>13790</v>
      </c>
      <c r="E3382" s="5" t="s">
        <v>13791</v>
      </c>
      <c r="F3382" s="5" t="str">
        <f>HYPERLINK("http://www.coltivarefraternita.com/","www.coltivarefraternita.com")</f>
        <v>www.coltivarefraternita.com</v>
      </c>
    </row>
    <row r="3383" spans="1:6" ht="55.65" customHeight="1" x14ac:dyDescent="0.25">
      <c r="A3383" s="1" t="s">
        <v>13795</v>
      </c>
      <c r="B3383" s="7" t="s">
        <v>13796</v>
      </c>
      <c r="C3383" s="7" t="s">
        <v>13797</v>
      </c>
      <c r="D3383" s="7" t="s">
        <v>13772</v>
      </c>
      <c r="E3383" s="7" t="s">
        <v>13761</v>
      </c>
      <c r="F3383" s="7" t="str">
        <f>HYPERLINK("http://www.geg-srl.eu/","www.geg-srl.eu")</f>
        <v>www.geg-srl.eu</v>
      </c>
    </row>
    <row r="3384" spans="1:6" ht="55.65" customHeight="1" x14ac:dyDescent="0.25">
      <c r="A3384" s="6" t="s">
        <v>13798</v>
      </c>
      <c r="B3384" s="5" t="s">
        <v>13799</v>
      </c>
      <c r="C3384" s="5" t="s">
        <v>13760</v>
      </c>
      <c r="D3384" s="5" t="s">
        <v>13792</v>
      </c>
      <c r="E3384" s="5" t="s">
        <v>13793</v>
      </c>
      <c r="F3384" s="5" t="str">
        <f>HYPERLINK("http://www.masseriaiazzoscagno.it/","www.masseriaiazzoscagno.it")</f>
        <v>www.masseriaiazzoscagno.it</v>
      </c>
    </row>
    <row r="3385" spans="1:6" ht="29.55" customHeight="1" x14ac:dyDescent="0.25">
      <c r="A3385" s="1" t="s">
        <v>13800</v>
      </c>
      <c r="B3385" s="7" t="s">
        <v>13801</v>
      </c>
      <c r="C3385" s="7" t="s">
        <v>13794</v>
      </c>
      <c r="D3385" s="7" t="s">
        <v>13765</v>
      </c>
      <c r="E3385" s="7" t="s">
        <v>13766</v>
      </c>
      <c r="F3385" s="7" t="str">
        <f>HYPERLINK("http://www.cadellovo.it/","www.cadellovo.it")</f>
        <v>www.cadellovo.it</v>
      </c>
    </row>
    <row r="3386" spans="1:6" ht="43.05" customHeight="1" x14ac:dyDescent="0.25">
      <c r="A3386" s="1" t="s">
        <v>13802</v>
      </c>
      <c r="B3386" s="7" t="s">
        <v>13803</v>
      </c>
      <c r="C3386" s="7" t="s">
        <v>13804</v>
      </c>
      <c r="D3386" s="7" t="s">
        <v>13805</v>
      </c>
      <c r="E3386" s="7" t="s">
        <v>13806</v>
      </c>
      <c r="F3386" s="7" t="str">
        <f>HYPERLINK("http://levalli.wordpress.com/","levalli.wordpress.com")</f>
        <v>levalli.wordpress.com</v>
      </c>
    </row>
    <row r="3387" spans="1:6" ht="43.05" customHeight="1" x14ac:dyDescent="0.25">
      <c r="A3387" s="1" t="s">
        <v>13807</v>
      </c>
      <c r="B3387" s="7" t="s">
        <v>13808</v>
      </c>
      <c r="C3387" s="7" t="s">
        <v>13809</v>
      </c>
      <c r="D3387" s="7" t="s">
        <v>13810</v>
      </c>
      <c r="E3387" s="7" t="s">
        <v>13811</v>
      </c>
      <c r="F3387" s="7" t="str">
        <f>HYPERLINK("http://agriforest.weebly.com/","agriforest.weebly.com")</f>
        <v>agriforest.weebly.com</v>
      </c>
    </row>
    <row r="3388" spans="1:6" ht="29.55" customHeight="1" x14ac:dyDescent="0.25">
      <c r="A3388" s="6" t="s">
        <v>13813</v>
      </c>
      <c r="B3388" s="5" t="s">
        <v>13814</v>
      </c>
      <c r="C3388" s="5" t="s">
        <v>13815</v>
      </c>
      <c r="D3388" s="5" t="s">
        <v>13816</v>
      </c>
      <c r="E3388" s="5" t="s">
        <v>13817</v>
      </c>
      <c r="F3388" s="5" t="str">
        <f>HYPERLINK("http://www.cantinetoto.com/","www.cantinetoto.com")</f>
        <v>www.cantinetoto.com</v>
      </c>
    </row>
    <row r="3389" spans="1:6" ht="29.55" customHeight="1" x14ac:dyDescent="0.25">
      <c r="A3389" s="1" t="s">
        <v>13818</v>
      </c>
      <c r="B3389" s="7" t="s">
        <v>13819</v>
      </c>
      <c r="C3389" s="7" t="s">
        <v>13804</v>
      </c>
      <c r="D3389" s="7" t="s">
        <v>13820</v>
      </c>
      <c r="E3389" s="7" t="s">
        <v>13821</v>
      </c>
      <c r="F3389" s="7" t="str">
        <f>HYPERLINK("http://www.isegretidelborgo.it/","www.isegretidelborgo.it")</f>
        <v>www.isegretidelborgo.it</v>
      </c>
    </row>
    <row r="3390" spans="1:6" ht="29.55" customHeight="1" x14ac:dyDescent="0.25">
      <c r="A3390" s="1" t="s">
        <v>13823</v>
      </c>
      <c r="B3390" s="7" t="s">
        <v>13824</v>
      </c>
      <c r="C3390" s="7" t="s">
        <v>13825</v>
      </c>
      <c r="D3390" s="7" t="s">
        <v>13826</v>
      </c>
      <c r="E3390" s="7" t="s">
        <v>13827</v>
      </c>
      <c r="F3390" s="7" t="str">
        <f>HYPERLINK("http://www.icastellibolano.it/","www.icastellibolano.it")</f>
        <v>www.icastellibolano.it</v>
      </c>
    </row>
    <row r="3391" spans="1:6" ht="29.55" customHeight="1" x14ac:dyDescent="0.25">
      <c r="A3391" s="6" t="s">
        <v>13829</v>
      </c>
      <c r="B3391" s="5" t="s">
        <v>13830</v>
      </c>
      <c r="C3391" s="5" t="s">
        <v>13825</v>
      </c>
      <c r="D3391" s="5" t="s">
        <v>13831</v>
      </c>
      <c r="E3391" s="5" t="s">
        <v>13822</v>
      </c>
      <c r="F3391" s="5" t="str">
        <f>HYPERLINK("http://massimolentsch.it/","massimolentsch.it")</f>
        <v>massimolentsch.it</v>
      </c>
    </row>
    <row r="3392" spans="1:6" ht="29.55" customHeight="1" x14ac:dyDescent="0.25">
      <c r="A3392" s="1" t="s">
        <v>13832</v>
      </c>
      <c r="B3392" s="7" t="s">
        <v>13833</v>
      </c>
      <c r="C3392" s="7" t="s">
        <v>13825</v>
      </c>
      <c r="D3392" s="7" t="s">
        <v>13834</v>
      </c>
      <c r="E3392" s="7" t="s">
        <v>13806</v>
      </c>
      <c r="F3392" s="7" t="str">
        <f>HYPERLINK("http://pernigo.it/","pernigo.it")</f>
        <v>pernigo.it</v>
      </c>
    </row>
    <row r="3393" spans="1:6" ht="29.55" customHeight="1" x14ac:dyDescent="0.25">
      <c r="A3393" s="6" t="s">
        <v>13835</v>
      </c>
      <c r="B3393" s="5" t="s">
        <v>13836</v>
      </c>
      <c r="C3393" s="5" t="s">
        <v>13837</v>
      </c>
      <c r="D3393" s="5" t="s">
        <v>13838</v>
      </c>
      <c r="E3393" s="5" t="s">
        <v>13812</v>
      </c>
      <c r="F3393" s="5" t="str">
        <f>HYPERLINK("http://www.vivaihelianthus.it/","www.vivaihelianthus.it")</f>
        <v>www.vivaihelianthus.it</v>
      </c>
    </row>
    <row r="3394" spans="1:6" ht="55.65" customHeight="1" x14ac:dyDescent="0.25">
      <c r="A3394" s="1" t="s">
        <v>13839</v>
      </c>
      <c r="B3394" s="7" t="s">
        <v>13840</v>
      </c>
      <c r="C3394" s="7" t="s">
        <v>13841</v>
      </c>
      <c r="D3394" s="7" t="s">
        <v>13842</v>
      </c>
      <c r="E3394" s="7" t="s">
        <v>13828</v>
      </c>
      <c r="F3394" s="7" t="str">
        <f>HYPERLINK("http://coopdulcamara.it/","coopdulcamara.it")</f>
        <v>coopdulcamara.it</v>
      </c>
    </row>
    <row r="3395" spans="1:6" ht="29.55" customHeight="1" x14ac:dyDescent="0.25">
      <c r="A3395" s="1" t="s">
        <v>13846</v>
      </c>
      <c r="B3395" s="7" t="s">
        <v>13847</v>
      </c>
      <c r="C3395" s="7" t="s">
        <v>13848</v>
      </c>
      <c r="D3395" s="7" t="s">
        <v>13843</v>
      </c>
      <c r="E3395" s="7" t="s">
        <v>13844</v>
      </c>
      <c r="F3395" s="7" t="str">
        <f>HYPERLINK("http://www.antezzate.it/","www.antezzate.it")</f>
        <v>www.antezzate.it</v>
      </c>
    </row>
    <row r="3396" spans="1:6" ht="29.55" customHeight="1" x14ac:dyDescent="0.25">
      <c r="A3396" s="1" t="s">
        <v>13852</v>
      </c>
      <c r="B3396" s="7" t="s">
        <v>13853</v>
      </c>
      <c r="C3396" s="7" t="s">
        <v>13854</v>
      </c>
      <c r="D3396" s="7" t="s">
        <v>13855</v>
      </c>
      <c r="E3396" s="7" t="s">
        <v>13850</v>
      </c>
      <c r="F3396" s="7" t="str">
        <f>HYPERLINK("http://www.masseriapalesi.it/","www.masseriapalesi.it")</f>
        <v>www.masseriapalesi.it</v>
      </c>
    </row>
    <row r="3397" spans="1:6" ht="29.55" customHeight="1" x14ac:dyDescent="0.25">
      <c r="A3397" s="1" t="s">
        <v>13856</v>
      </c>
      <c r="B3397" s="7" t="s">
        <v>13857</v>
      </c>
      <c r="C3397" s="7" t="s">
        <v>13849</v>
      </c>
      <c r="D3397" s="7" t="s">
        <v>13858</v>
      </c>
      <c r="E3397" s="7" t="s">
        <v>13859</v>
      </c>
      <c r="F3397" s="7" t="str">
        <f>HYPERLINK("http://www.ilgiardinomediterraneo.it/","www.ilgiardinomediterraneo.it")</f>
        <v>www.ilgiardinomediterraneo.it</v>
      </c>
    </row>
    <row r="3398" spans="1:6" ht="29.55" customHeight="1" x14ac:dyDescent="0.25">
      <c r="A3398" s="1" t="s">
        <v>13860</v>
      </c>
      <c r="B3398" s="7" t="s">
        <v>13861</v>
      </c>
      <c r="C3398" s="7" t="s">
        <v>13849</v>
      </c>
      <c r="D3398" s="7" t="s">
        <v>13862</v>
      </c>
      <c r="E3398" s="7" t="s">
        <v>13851</v>
      </c>
      <c r="F3398" s="7" t="str">
        <f>HYPERLINK("http://www.ugobing.it/","www.ugobing.it")</f>
        <v>www.ugobing.it</v>
      </c>
    </row>
    <row r="3399" spans="1:6" ht="16.95" customHeight="1" x14ac:dyDescent="0.25">
      <c r="A3399" s="6" t="s">
        <v>13863</v>
      </c>
      <c r="B3399" s="5" t="s">
        <v>13864</v>
      </c>
      <c r="C3399" s="5" t="s">
        <v>13845</v>
      </c>
      <c r="D3399" s="5" t="s">
        <v>13865</v>
      </c>
      <c r="E3399" s="5" t="s">
        <v>13859</v>
      </c>
      <c r="F3399" s="5" t="str">
        <f>HYPERLINK("http://www.vivaivotino.com/","www.vivaivotino.com")</f>
        <v>www.vivaivotino.com</v>
      </c>
    </row>
    <row r="3400" spans="1:6" ht="29.55" customHeight="1" x14ac:dyDescent="0.25">
      <c r="A3400" s="1" t="s">
        <v>13868</v>
      </c>
      <c r="B3400" s="7" t="s">
        <v>13869</v>
      </c>
      <c r="C3400" s="7" t="s">
        <v>13849</v>
      </c>
      <c r="D3400" s="7" t="s">
        <v>13870</v>
      </c>
      <c r="E3400" s="7" t="s">
        <v>13867</v>
      </c>
      <c r="F3400" s="7" t="str">
        <f>HYPERLINK("http://cantinaongaresca.it/","cantinaongaresca.it")</f>
        <v>cantinaongaresca.it</v>
      </c>
    </row>
    <row r="3401" spans="1:6" ht="29.55" customHeight="1" x14ac:dyDescent="0.25">
      <c r="A3401" s="1" t="s">
        <v>13871</v>
      </c>
      <c r="B3401" s="7" t="s">
        <v>13872</v>
      </c>
      <c r="C3401" s="7" t="s">
        <v>13873</v>
      </c>
      <c r="D3401" s="7" t="s">
        <v>13874</v>
      </c>
      <c r="E3401" s="7" t="s">
        <v>13851</v>
      </c>
      <c r="F3401" s="7" t="str">
        <f>HYPERLINK("http://www.principioattivo.it/","www.principioattivo.it")</f>
        <v>www.principioattivo.it</v>
      </c>
    </row>
    <row r="3402" spans="1:6" ht="29.55" customHeight="1" x14ac:dyDescent="0.25">
      <c r="A3402" s="1" t="s">
        <v>13875</v>
      </c>
      <c r="B3402" s="7" t="s">
        <v>13876</v>
      </c>
      <c r="C3402" s="7" t="s">
        <v>13877</v>
      </c>
      <c r="D3402" s="7" t="s">
        <v>13878</v>
      </c>
      <c r="E3402" s="7" t="s">
        <v>13879</v>
      </c>
      <c r="F3402" s="7" t="str">
        <f>HYPERLINK("http://www.dedoni.it/","www.dedoni.it")</f>
        <v>www.dedoni.it</v>
      </c>
    </row>
    <row r="3403" spans="1:6" ht="16.95" customHeight="1" x14ac:dyDescent="0.25">
      <c r="A3403" s="6" t="s">
        <v>13880</v>
      </c>
      <c r="B3403" s="5" t="s">
        <v>13881</v>
      </c>
      <c r="C3403" s="5" t="s">
        <v>13866</v>
      </c>
      <c r="D3403" s="5" t="s">
        <v>13858</v>
      </c>
      <c r="E3403" s="5" t="s">
        <v>13859</v>
      </c>
      <c r="F3403" s="5" t="str">
        <f>HYPERLINK("http://www.andreacardone.com/","www.andreacardone.com")</f>
        <v>www.andreacardone.com</v>
      </c>
    </row>
    <row r="3404" spans="1:6" ht="29.55" customHeight="1" x14ac:dyDescent="0.25">
      <c r="A3404" s="1" t="s">
        <v>13882</v>
      </c>
      <c r="B3404" s="7" t="s">
        <v>13883</v>
      </c>
      <c r="C3404" s="7" t="s">
        <v>13884</v>
      </c>
      <c r="D3404" s="7" t="s">
        <v>13885</v>
      </c>
      <c r="E3404" s="7" t="s">
        <v>13886</v>
      </c>
      <c r="F3404" s="7" t="str">
        <f>HYPERLINK("http://www.agriturismodolgal.it/","www.agriturismodolgal.it")</f>
        <v>www.agriturismodolgal.it</v>
      </c>
    </row>
    <row r="3405" spans="1:6" ht="29.55" customHeight="1" x14ac:dyDescent="0.25">
      <c r="A3405" s="1" t="s">
        <v>13888</v>
      </c>
      <c r="B3405" s="7" t="s">
        <v>13889</v>
      </c>
      <c r="C3405" s="7" t="s">
        <v>13890</v>
      </c>
      <c r="D3405" s="7" t="s">
        <v>13891</v>
      </c>
      <c r="E3405" s="7" t="s">
        <v>13892</v>
      </c>
      <c r="F3405" s="7" t="str">
        <f>HYPERLINK("http://www.tenutamirandaagriresort.it/","www.tenutamirandaagriresort.it")</f>
        <v>www.tenutamirandaagriresort.it</v>
      </c>
    </row>
    <row r="3406" spans="1:6" ht="29.55" customHeight="1" x14ac:dyDescent="0.25">
      <c r="A3406" s="6" t="s">
        <v>13897</v>
      </c>
      <c r="B3406" s="5" t="s">
        <v>13898</v>
      </c>
      <c r="C3406" s="5" t="s">
        <v>13899</v>
      </c>
      <c r="D3406" s="5" t="s">
        <v>13900</v>
      </c>
      <c r="E3406" s="5" t="s">
        <v>13893</v>
      </c>
      <c r="F3406" s="5" t="str">
        <f>HYPERLINK("http://www.masseriacorreo.com/","www.masseriacorreo.com")</f>
        <v>www.masseriacorreo.com</v>
      </c>
    </row>
    <row r="3407" spans="1:6" ht="43.05" customHeight="1" x14ac:dyDescent="0.25">
      <c r="A3407" s="1" t="s">
        <v>13901</v>
      </c>
      <c r="B3407" s="7" t="s">
        <v>13902</v>
      </c>
      <c r="C3407" s="7" t="s">
        <v>13903</v>
      </c>
      <c r="D3407" s="7" t="s">
        <v>13904</v>
      </c>
      <c r="E3407" s="7" t="s">
        <v>13896</v>
      </c>
      <c r="F3407" s="7" t="str">
        <f>HYPERLINK("http://www.nuccellibio.it/","www.nuccellibio.it")</f>
        <v>www.nuccellibio.it</v>
      </c>
    </row>
    <row r="3408" spans="1:6" ht="29.55" customHeight="1" x14ac:dyDescent="0.25">
      <c r="A3408" s="1" t="s">
        <v>13905</v>
      </c>
      <c r="B3408" s="7" t="s">
        <v>13906</v>
      </c>
      <c r="C3408" s="7" t="s">
        <v>13884</v>
      </c>
      <c r="D3408" s="7" t="s">
        <v>13907</v>
      </c>
      <c r="E3408" s="7" t="s">
        <v>13894</v>
      </c>
      <c r="F3408" s="7" t="str">
        <f>HYPERLINK("http://agriturismolecerqueta.it/","agriturismolecerqueta.it")</f>
        <v>agriturismolecerqueta.it</v>
      </c>
    </row>
    <row r="3409" spans="1:6" ht="29.55" customHeight="1" x14ac:dyDescent="0.25">
      <c r="A3409" s="1" t="s">
        <v>13908</v>
      </c>
      <c r="B3409" s="7" t="s">
        <v>13909</v>
      </c>
      <c r="C3409" s="7" t="s">
        <v>13890</v>
      </c>
      <c r="D3409" s="7" t="s">
        <v>13910</v>
      </c>
      <c r="E3409" s="7" t="s">
        <v>13892</v>
      </c>
      <c r="F3409" s="7" t="str">
        <f>HYPERLINK("http://www.fattoriasocialemelagrana.it/","www.fattoriasocialemelagrana.it")</f>
        <v>www.fattoriasocialemelagrana.it</v>
      </c>
    </row>
    <row r="3410" spans="1:6" ht="29.55" customHeight="1" x14ac:dyDescent="0.25">
      <c r="A3410" s="6" t="s">
        <v>13911</v>
      </c>
      <c r="B3410" s="5" t="s">
        <v>13912</v>
      </c>
      <c r="C3410" s="5" t="s">
        <v>13887</v>
      </c>
      <c r="D3410" s="5" t="s">
        <v>13913</v>
      </c>
      <c r="E3410" s="5" t="s">
        <v>13895</v>
      </c>
      <c r="F3410" s="5" t="str">
        <f>HYPERLINK("http://www.feudosanmartino.it/","www.feudosanmartino.it")</f>
        <v>www.feudosanmartino.it</v>
      </c>
    </row>
    <row r="3411" spans="1:6" ht="29.55" customHeight="1" x14ac:dyDescent="0.25">
      <c r="A3411" s="6" t="s">
        <v>13915</v>
      </c>
      <c r="B3411" s="5" t="s">
        <v>13916</v>
      </c>
      <c r="C3411" s="5" t="s">
        <v>13887</v>
      </c>
      <c r="D3411" s="5" t="s">
        <v>13917</v>
      </c>
      <c r="E3411" s="5" t="s">
        <v>13914</v>
      </c>
      <c r="F3411" s="5" t="str">
        <f>HYPERLINK("http://www.mulinolepietre.it/","www.mulinolepietre.it")</f>
        <v>www.mulinolepietre.it</v>
      </c>
    </row>
    <row r="3412" spans="1:6" ht="29.55" customHeight="1" x14ac:dyDescent="0.25">
      <c r="A3412" s="1" t="s">
        <v>13918</v>
      </c>
      <c r="B3412" s="7" t="s">
        <v>13919</v>
      </c>
      <c r="C3412" s="7" t="s">
        <v>13920</v>
      </c>
      <c r="D3412" s="7" t="s">
        <v>13921</v>
      </c>
      <c r="E3412" s="7" t="s">
        <v>13922</v>
      </c>
      <c r="F3412" s="7" t="str">
        <f>HYPERLINK("http://www.isalleorrule.it/","www.isalleorrule.it")</f>
        <v>www.isalleorrule.it</v>
      </c>
    </row>
    <row r="3413" spans="1:6" ht="43.05" customHeight="1" x14ac:dyDescent="0.25">
      <c r="A3413" s="6" t="s">
        <v>13923</v>
      </c>
      <c r="B3413" s="5" t="s">
        <v>13924</v>
      </c>
      <c r="C3413" s="5" t="s">
        <v>13925</v>
      </c>
      <c r="D3413" s="5" t="s">
        <v>13926</v>
      </c>
      <c r="E3413" s="5" t="s">
        <v>13927</v>
      </c>
      <c r="F3413" s="5" t="str">
        <f>HYPERLINK("http://www.risaiadelduca.com/","www.risaiadelduca.com")</f>
        <v>www.risaiadelduca.com</v>
      </c>
    </row>
    <row r="3414" spans="1:6" ht="43.05" customHeight="1" x14ac:dyDescent="0.25">
      <c r="A3414" s="1" t="s">
        <v>13930</v>
      </c>
      <c r="B3414" s="7" t="s">
        <v>13931</v>
      </c>
      <c r="C3414" s="7" t="s">
        <v>13928</v>
      </c>
      <c r="D3414" s="7" t="s">
        <v>13932</v>
      </c>
      <c r="E3414" s="7" t="s">
        <v>13929</v>
      </c>
      <c r="F3414" s="7" t="str">
        <f>HYPERLINK("http://tenutasanvincenti.com/","tenutasanvincenti.com")</f>
        <v>tenutasanvincenti.com</v>
      </c>
    </row>
    <row r="3415" spans="1:6" ht="29.55" customHeight="1" x14ac:dyDescent="0.25">
      <c r="A3415" s="1" t="s">
        <v>13935</v>
      </c>
      <c r="B3415" s="7" t="s">
        <v>13936</v>
      </c>
      <c r="C3415" s="7" t="s">
        <v>13934</v>
      </c>
      <c r="D3415" s="7" t="s">
        <v>13937</v>
      </c>
      <c r="E3415" s="7" t="s">
        <v>13933</v>
      </c>
      <c r="F3415" s="7" t="str">
        <f>HYPERLINK("http://www.tenutalefornacelle.it/","www.tenutalefornacelle.it")</f>
        <v>www.tenutalefornacelle.it</v>
      </c>
    </row>
    <row r="3416" spans="1:6" ht="16.95" customHeight="1" x14ac:dyDescent="0.25">
      <c r="A3416" s="6" t="s">
        <v>13938</v>
      </c>
      <c r="B3416" s="5" t="s">
        <v>13939</v>
      </c>
      <c r="C3416" s="5" t="s">
        <v>13940</v>
      </c>
      <c r="D3416" s="5" t="s">
        <v>13941</v>
      </c>
      <c r="E3416" s="5" t="s">
        <v>13929</v>
      </c>
      <c r="F3416" s="5" t="str">
        <f>HYPERLINK("http://www.fraschiera.it/","www.fraschiera.it")</f>
        <v>www.fraschiera.it</v>
      </c>
    </row>
    <row r="3417" spans="1:6" ht="16.95" customHeight="1" x14ac:dyDescent="0.25">
      <c r="A3417" s="6" t="s">
        <v>13947</v>
      </c>
      <c r="B3417" s="5" t="s">
        <v>13948</v>
      </c>
      <c r="C3417" s="5" t="s">
        <v>13949</v>
      </c>
      <c r="D3417" s="5" t="s">
        <v>13950</v>
      </c>
      <c r="E3417" s="5" t="s">
        <v>13951</v>
      </c>
      <c r="F3417" s="5" t="str">
        <f>HYPERLINK("http://www.dettajo.it/","www.dettajo.it")</f>
        <v>www.dettajo.it</v>
      </c>
    </row>
    <row r="3418" spans="1:6" ht="16.95" customHeight="1" x14ac:dyDescent="0.25">
      <c r="A3418" s="6" t="s">
        <v>13954</v>
      </c>
      <c r="B3418" s="5" t="s">
        <v>13955</v>
      </c>
      <c r="C3418" s="5" t="s">
        <v>13943</v>
      </c>
      <c r="D3418" s="5" t="s">
        <v>13956</v>
      </c>
      <c r="E3418" s="5" t="s">
        <v>13942</v>
      </c>
      <c r="F3418" s="5" t="str">
        <f>HYPERLINK("http://agriturismozinedi.com/","agriturismozinedi.com")</f>
        <v>agriturismozinedi.com</v>
      </c>
    </row>
    <row r="3419" spans="1:6" ht="43.05" customHeight="1" x14ac:dyDescent="0.25">
      <c r="A3419" s="6" t="s">
        <v>13957</v>
      </c>
      <c r="B3419" s="5" t="s">
        <v>13958</v>
      </c>
      <c r="C3419" s="5" t="s">
        <v>13944</v>
      </c>
      <c r="D3419" s="5" t="s">
        <v>13959</v>
      </c>
      <c r="E3419" s="5" t="s">
        <v>13946</v>
      </c>
      <c r="F3419" s="5" t="str">
        <f>HYPERLINK("http://consorziofrascati.it/","consorziofrascati.it")</f>
        <v>consorziofrascati.it</v>
      </c>
    </row>
    <row r="3420" spans="1:6" ht="29.55" customHeight="1" x14ac:dyDescent="0.25">
      <c r="A3420" s="1" t="s">
        <v>13960</v>
      </c>
      <c r="B3420" s="7" t="s">
        <v>13961</v>
      </c>
      <c r="C3420" s="7" t="s">
        <v>13962</v>
      </c>
      <c r="D3420" s="7" t="s">
        <v>13963</v>
      </c>
      <c r="E3420" s="7" t="s">
        <v>13945</v>
      </c>
      <c r="F3420" s="7" t="str">
        <f>HYPERLINK("http://fattoriadicaspri.com/","fattoriadicaspri.com")</f>
        <v>fattoriadicaspri.com</v>
      </c>
    </row>
    <row r="3421" spans="1:6" ht="29.55" customHeight="1" x14ac:dyDescent="0.25">
      <c r="A3421" s="6" t="s">
        <v>13964</v>
      </c>
      <c r="B3421" s="5" t="s">
        <v>13965</v>
      </c>
      <c r="C3421" s="5" t="s">
        <v>13949</v>
      </c>
      <c r="D3421" s="5" t="s">
        <v>13966</v>
      </c>
      <c r="E3421" s="5" t="s">
        <v>13952</v>
      </c>
      <c r="F3421" s="5" t="str">
        <f>HYPERLINK("http://www.sailaltamura.it/","www.sailaltamura.it")</f>
        <v>www.sailaltamura.it</v>
      </c>
    </row>
    <row r="3422" spans="1:6" ht="68.099999999999994" customHeight="1" x14ac:dyDescent="0.25">
      <c r="A3422" s="1" t="s">
        <v>13967</v>
      </c>
      <c r="B3422" s="7" t="s">
        <v>13968</v>
      </c>
      <c r="C3422" s="7" t="s">
        <v>13943</v>
      </c>
      <c r="D3422" s="7" t="s">
        <v>13969</v>
      </c>
      <c r="E3422" s="7" t="s">
        <v>13953</v>
      </c>
      <c r="F3422" s="7" t="str">
        <f>HYPERLINK("http://www.torchiato.com/","www.torchiato.com")</f>
        <v>www.torchiato.com</v>
      </c>
    </row>
    <row r="3423" spans="1:6" ht="29.55" customHeight="1" x14ac:dyDescent="0.25">
      <c r="A3423" s="6" t="s">
        <v>13978</v>
      </c>
      <c r="B3423" s="5" t="s">
        <v>13979</v>
      </c>
      <c r="C3423" s="5" t="s">
        <v>13980</v>
      </c>
      <c r="D3423" s="5" t="s">
        <v>13981</v>
      </c>
      <c r="E3423" s="5" t="s">
        <v>13972</v>
      </c>
      <c r="F3423" s="5" t="str">
        <f>HYPERLINK("http://www.viniscaliaoliva.com/","www.viniscaliaoliva.com")</f>
        <v>www.viniscaliaoliva.com</v>
      </c>
    </row>
    <row r="3424" spans="1:6" ht="43.05" customHeight="1" x14ac:dyDescent="0.25">
      <c r="A3424" s="1" t="s">
        <v>13982</v>
      </c>
      <c r="B3424" s="7" t="s">
        <v>13983</v>
      </c>
      <c r="C3424" s="7" t="s">
        <v>13971</v>
      </c>
      <c r="D3424" s="7" t="s">
        <v>13984</v>
      </c>
      <c r="E3424" s="7" t="s">
        <v>13985</v>
      </c>
      <c r="F3424" s="7" t="str">
        <f>HYPERLINK("http://agrisociale.lanuovaarca.org/","agrisociale.lanuovaarca.org")</f>
        <v>agrisociale.lanuovaarca.org</v>
      </c>
    </row>
    <row r="3425" spans="1:6" ht="43.05" customHeight="1" x14ac:dyDescent="0.25">
      <c r="A3425" s="6" t="s">
        <v>13986</v>
      </c>
      <c r="B3425" s="5" t="s">
        <v>13987</v>
      </c>
      <c r="C3425" s="5" t="s">
        <v>13974</v>
      </c>
      <c r="D3425" s="5" t="s">
        <v>13975</v>
      </c>
      <c r="E3425" s="5" t="s">
        <v>13976</v>
      </c>
      <c r="F3425" s="5" t="str">
        <f>HYPERLINK("http://www.agriferrara.com/","www.agriferrara.com")</f>
        <v>www.agriferrara.com</v>
      </c>
    </row>
    <row r="3426" spans="1:6" ht="43.05" customHeight="1" x14ac:dyDescent="0.25">
      <c r="A3426" s="1" t="s">
        <v>13988</v>
      </c>
      <c r="B3426" s="7" t="s">
        <v>13989</v>
      </c>
      <c r="C3426" s="7" t="s">
        <v>13990</v>
      </c>
      <c r="D3426" s="7" t="s">
        <v>13977</v>
      </c>
      <c r="E3426" s="7" t="s">
        <v>13970</v>
      </c>
      <c r="F3426" s="7" t="str">
        <f>HYPERLINK("http://www.larossadicolfiorito.it/","www.larossadicolfiorito.it")</f>
        <v>www.larossadicolfiorito.it</v>
      </c>
    </row>
    <row r="3427" spans="1:6" ht="29.55" customHeight="1" x14ac:dyDescent="0.25">
      <c r="A3427" s="1" t="s">
        <v>13991</v>
      </c>
      <c r="B3427" s="7" t="s">
        <v>13992</v>
      </c>
      <c r="C3427" s="7" t="s">
        <v>13980</v>
      </c>
      <c r="D3427" s="7" t="s">
        <v>13993</v>
      </c>
      <c r="E3427" s="7" t="s">
        <v>13972</v>
      </c>
      <c r="F3427" s="7" t="str">
        <f>HYPERLINK("http://www.agrima.it/","www.agrima.it")</f>
        <v>www.agrima.it</v>
      </c>
    </row>
    <row r="3428" spans="1:6" ht="29.55" customHeight="1" x14ac:dyDescent="0.25">
      <c r="A3428" s="1" t="s">
        <v>13994</v>
      </c>
      <c r="B3428" s="7" t="s">
        <v>13995</v>
      </c>
      <c r="C3428" s="7" t="s">
        <v>13996</v>
      </c>
      <c r="D3428" s="7" t="s">
        <v>13997</v>
      </c>
      <c r="E3428" s="7" t="s">
        <v>13973</v>
      </c>
      <c r="F3428" s="7" t="str">
        <f>HYPERLINK("http://www.castellodiroccaforte.it/","www.castellodiroccaforte.it")</f>
        <v>www.castellodiroccaforte.it</v>
      </c>
    </row>
    <row r="3429" spans="1:6" ht="29.55" customHeight="1" x14ac:dyDescent="0.25">
      <c r="A3429" s="6" t="s">
        <v>13999</v>
      </c>
      <c r="B3429" s="5" t="s">
        <v>14000</v>
      </c>
      <c r="C3429" s="5" t="s">
        <v>14001</v>
      </c>
      <c r="D3429" s="5" t="s">
        <v>14002</v>
      </c>
      <c r="E3429" s="5" t="s">
        <v>14003</v>
      </c>
      <c r="F3429" s="5" t="str">
        <f>HYPERLINK("http://www.caprigliano.com/","www.caprigliano.com")</f>
        <v>www.caprigliano.com</v>
      </c>
    </row>
    <row r="3430" spans="1:6" ht="55.65" customHeight="1" x14ac:dyDescent="0.25">
      <c r="A3430" s="1" t="s">
        <v>14004</v>
      </c>
      <c r="B3430" s="7" t="s">
        <v>14005</v>
      </c>
      <c r="C3430" s="7" t="s">
        <v>14006</v>
      </c>
      <c r="D3430" s="7" t="s">
        <v>14007</v>
      </c>
      <c r="E3430" s="7" t="s">
        <v>14008</v>
      </c>
      <c r="F3430" s="7" t="str">
        <f>HYPERLINK("http://www.iduetrulli.it/","www.iduetrulli.it")</f>
        <v>www.iduetrulli.it</v>
      </c>
    </row>
    <row r="3431" spans="1:6" ht="43.05" customHeight="1" x14ac:dyDescent="0.25">
      <c r="A3431" s="1" t="s">
        <v>14010</v>
      </c>
      <c r="B3431" s="7" t="s">
        <v>14011</v>
      </c>
      <c r="C3431" s="7" t="s">
        <v>14012</v>
      </c>
      <c r="D3431" s="7" t="s">
        <v>14013</v>
      </c>
      <c r="E3431" s="7" t="s">
        <v>14014</v>
      </c>
      <c r="F3431" s="7" t="str">
        <f>HYPERLINK("http://tenutemfr.it/","tenutemfr.it")</f>
        <v>tenutemfr.it</v>
      </c>
    </row>
    <row r="3432" spans="1:6" ht="43.05" customHeight="1" x14ac:dyDescent="0.25">
      <c r="A3432" s="1" t="s">
        <v>14015</v>
      </c>
      <c r="B3432" s="7" t="s">
        <v>14016</v>
      </c>
      <c r="C3432" s="7" t="s">
        <v>14017</v>
      </c>
      <c r="D3432" s="7" t="s">
        <v>14018</v>
      </c>
      <c r="E3432" s="7" t="s">
        <v>14019</v>
      </c>
      <c r="F3432" s="7" t="str">
        <f>HYPERLINK("http://www.vicopisanolio.it/","www.vicopisanolio.it")</f>
        <v>www.vicopisanolio.it</v>
      </c>
    </row>
    <row r="3433" spans="1:6" ht="29.55" customHeight="1" x14ac:dyDescent="0.25">
      <c r="A3433" s="6" t="s">
        <v>14020</v>
      </c>
      <c r="B3433" s="5" t="s">
        <v>14021</v>
      </c>
      <c r="C3433" s="5" t="s">
        <v>14001</v>
      </c>
      <c r="D3433" s="5" t="s">
        <v>14022</v>
      </c>
      <c r="E3433" s="5" t="s">
        <v>14023</v>
      </c>
      <c r="F3433" s="5" t="str">
        <f>HYPERLINK("http://www.colmello.it/","www.colmello.it")</f>
        <v>www.colmello.it</v>
      </c>
    </row>
    <row r="3434" spans="1:6" ht="29.55" customHeight="1" x14ac:dyDescent="0.25">
      <c r="A3434" s="6" t="s">
        <v>14024</v>
      </c>
      <c r="B3434" s="5" t="s">
        <v>14025</v>
      </c>
      <c r="C3434" s="5" t="s">
        <v>14001</v>
      </c>
      <c r="D3434" s="5" t="s">
        <v>14026</v>
      </c>
      <c r="E3434" s="5" t="s">
        <v>14023</v>
      </c>
      <c r="F3434" s="5" t="str">
        <f>HYPERLINK("http://www.sifasrl.it/","www.sifasrl.it")</f>
        <v>www.sifasrl.it</v>
      </c>
    </row>
    <row r="3435" spans="1:6" ht="29.55" customHeight="1" x14ac:dyDescent="0.25">
      <c r="A3435" s="1" t="s">
        <v>14029</v>
      </c>
      <c r="B3435" s="7" t="s">
        <v>14030</v>
      </c>
      <c r="C3435" s="7" t="s">
        <v>14031</v>
      </c>
      <c r="D3435" s="7" t="s">
        <v>14032</v>
      </c>
      <c r="E3435" s="7" t="s">
        <v>13998</v>
      </c>
      <c r="F3435" s="7" t="str">
        <f>HYPERLINK("http://www.peverelli.it/","www.peverelli.it")</f>
        <v>www.peverelli.it</v>
      </c>
    </row>
    <row r="3436" spans="1:6" ht="55.65" customHeight="1" x14ac:dyDescent="0.25">
      <c r="A3436" s="1" t="s">
        <v>14033</v>
      </c>
      <c r="B3436" s="7" t="s">
        <v>14034</v>
      </c>
      <c r="C3436" s="7" t="s">
        <v>14027</v>
      </c>
      <c r="D3436" s="7" t="s">
        <v>14028</v>
      </c>
      <c r="E3436" s="7" t="s">
        <v>14019</v>
      </c>
      <c r="F3436" s="7" t="str">
        <f>HYPERLINK("http://bbsangallo79.com/","bbsangallo79.com")</f>
        <v>bbsangallo79.com</v>
      </c>
    </row>
    <row r="3437" spans="1:6" ht="81.75" customHeight="1" x14ac:dyDescent="0.25">
      <c r="A3437" s="6" t="s">
        <v>14035</v>
      </c>
      <c r="B3437" s="5" t="s">
        <v>14036</v>
      </c>
      <c r="C3437" s="5" t="s">
        <v>14009</v>
      </c>
      <c r="D3437" s="5" t="s">
        <v>14037</v>
      </c>
      <c r="E3437" s="5" t="s">
        <v>14019</v>
      </c>
      <c r="F3437" s="5" t="str">
        <f>HYPERLINK("http://www.borgobernabei.it/","www.borgobernabei.it")</f>
        <v>www.borgobernabei.it</v>
      </c>
    </row>
    <row r="3438" spans="1:6" ht="43.05" customHeight="1" x14ac:dyDescent="0.25">
      <c r="A3438" s="6" t="s">
        <v>14039</v>
      </c>
      <c r="B3438" s="5" t="s">
        <v>14040</v>
      </c>
      <c r="C3438" s="5" t="s">
        <v>14041</v>
      </c>
      <c r="D3438" s="5" t="s">
        <v>14042</v>
      </c>
      <c r="E3438" s="5" t="s">
        <v>14043</v>
      </c>
      <c r="F3438" s="5" t="str">
        <f>HYPERLINK("http://www.lacollinadegliblei.it/","www.lacollinadegliblei.it")</f>
        <v>www.lacollinadegliblei.it</v>
      </c>
    </row>
    <row r="3439" spans="1:6" ht="43.05" customHeight="1" x14ac:dyDescent="0.25">
      <c r="A3439" s="6" t="s">
        <v>14045</v>
      </c>
      <c r="B3439" s="5" t="s">
        <v>14046</v>
      </c>
      <c r="C3439" s="5" t="s">
        <v>14047</v>
      </c>
      <c r="D3439" s="5" t="s">
        <v>14048</v>
      </c>
      <c r="E3439" s="5" t="s">
        <v>14049</v>
      </c>
      <c r="F3439" s="5" t="str">
        <f>HYPERLINK("http://www.sangimignano-ilcastagnolino.it/","www.sangimignano-ilcastagnolino.it")</f>
        <v>www.sangimignano-ilcastagnolino.it</v>
      </c>
    </row>
    <row r="3440" spans="1:6" ht="29.55" customHeight="1" x14ac:dyDescent="0.25">
      <c r="A3440" s="1" t="s">
        <v>14050</v>
      </c>
      <c r="B3440" s="7" t="s">
        <v>14051</v>
      </c>
      <c r="C3440" s="7" t="s">
        <v>14052</v>
      </c>
      <c r="D3440" s="7" t="s">
        <v>14053</v>
      </c>
      <c r="E3440" s="7" t="s">
        <v>14049</v>
      </c>
      <c r="F3440" s="7" t="str">
        <f>HYPERLINK("http://www.lacalonica.com/","www.lacalonica.com")</f>
        <v>www.lacalonica.com</v>
      </c>
    </row>
    <row r="3441" spans="1:6" ht="29.55" customHeight="1" x14ac:dyDescent="0.25">
      <c r="A3441" s="1" t="s">
        <v>14054</v>
      </c>
      <c r="B3441" s="7" t="s">
        <v>14055</v>
      </c>
      <c r="C3441" s="7" t="s">
        <v>14052</v>
      </c>
      <c r="D3441" s="7" t="s">
        <v>14056</v>
      </c>
      <c r="E3441" s="7" t="s">
        <v>14057</v>
      </c>
      <c r="F3441" s="7" t="str">
        <f>HYPERLINK("http://www.lagertal.com/","www.lagertal.com")</f>
        <v>www.lagertal.com</v>
      </c>
    </row>
    <row r="3442" spans="1:6" ht="29.55" customHeight="1" x14ac:dyDescent="0.25">
      <c r="A3442" s="1" t="s">
        <v>14061</v>
      </c>
      <c r="B3442" s="7" t="s">
        <v>14062</v>
      </c>
      <c r="C3442" s="7" t="s">
        <v>14047</v>
      </c>
      <c r="D3442" s="7" t="s">
        <v>14063</v>
      </c>
      <c r="E3442" s="7" t="s">
        <v>14064</v>
      </c>
      <c r="F3442" s="7" t="str">
        <f>HYPERLINK("http://www.masseriamazzei.it/","www.masseriamazzei.it")</f>
        <v>www.masseriamazzei.it</v>
      </c>
    </row>
    <row r="3443" spans="1:6" ht="29.55" customHeight="1" x14ac:dyDescent="0.25">
      <c r="A3443" s="6" t="s">
        <v>14065</v>
      </c>
      <c r="B3443" s="5" t="s">
        <v>14066</v>
      </c>
      <c r="C3443" s="5" t="s">
        <v>14052</v>
      </c>
      <c r="D3443" s="5" t="s">
        <v>14059</v>
      </c>
      <c r="E3443" s="5" t="s">
        <v>14060</v>
      </c>
      <c r="F3443" s="5" t="str">
        <f>HYPERLINK("http://www.villapallavicini.com/","www.villapallavicini.com")</f>
        <v>www.villapallavicini.com</v>
      </c>
    </row>
    <row r="3444" spans="1:6" ht="43.05" customHeight="1" x14ac:dyDescent="0.25">
      <c r="A3444" s="6" t="s">
        <v>14067</v>
      </c>
      <c r="B3444" s="5" t="s">
        <v>14068</v>
      </c>
      <c r="C3444" s="5" t="s">
        <v>14044</v>
      </c>
      <c r="D3444" s="5" t="s">
        <v>14058</v>
      </c>
      <c r="E3444" s="5" t="s">
        <v>14038</v>
      </c>
      <c r="F3444" s="5" t="str">
        <f>HYPERLINK("http://www.auroradomus.it/","www.auroradomus.it")</f>
        <v>www.auroradomus.it</v>
      </c>
    </row>
    <row r="3445" spans="1:6" ht="29.55" customHeight="1" x14ac:dyDescent="0.25">
      <c r="A3445" s="1" t="s">
        <v>14069</v>
      </c>
      <c r="B3445" s="7" t="s">
        <v>14070</v>
      </c>
      <c r="C3445" s="7" t="s">
        <v>14047</v>
      </c>
      <c r="D3445" s="7" t="s">
        <v>14063</v>
      </c>
      <c r="E3445" s="7" t="s">
        <v>14064</v>
      </c>
      <c r="F3445" s="7" t="str">
        <f>HYPERLINK("http://www.aziendaagricolaluci.com/","www.aziendaagricolaluci.com")</f>
        <v>www.aziendaagricolaluci.com</v>
      </c>
    </row>
    <row r="3446" spans="1:6" ht="29.55" customHeight="1" x14ac:dyDescent="0.25">
      <c r="A3446" s="1" t="s">
        <v>14075</v>
      </c>
      <c r="B3446" s="7" t="s">
        <v>14076</v>
      </c>
      <c r="C3446" s="7" t="s">
        <v>14071</v>
      </c>
      <c r="D3446" s="7" t="s">
        <v>14077</v>
      </c>
      <c r="E3446" s="7" t="s">
        <v>14078</v>
      </c>
      <c r="F3446" s="7" t="str">
        <f>HYPERLINK("http://www.lethadee.com/","www.lethadee.com")</f>
        <v>www.lethadee.com</v>
      </c>
    </row>
    <row r="3447" spans="1:6" ht="29.55" customHeight="1" x14ac:dyDescent="0.25">
      <c r="A3447" s="6" t="s">
        <v>14083</v>
      </c>
      <c r="B3447" s="5" t="s">
        <v>14084</v>
      </c>
      <c r="C3447" s="5" t="s">
        <v>14074</v>
      </c>
      <c r="D3447" s="5" t="s">
        <v>14085</v>
      </c>
      <c r="E3447" s="5" t="s">
        <v>14086</v>
      </c>
      <c r="F3447" s="5" t="str">
        <f>HYPERLINK("http://www.paulbricius.com/","www.paulbricius.com")</f>
        <v>www.paulbricius.com</v>
      </c>
    </row>
    <row r="3448" spans="1:6" ht="55.65" customHeight="1" x14ac:dyDescent="0.25">
      <c r="A3448" s="6" t="s">
        <v>14088</v>
      </c>
      <c r="B3448" s="5" t="s">
        <v>14089</v>
      </c>
      <c r="C3448" s="5" t="s">
        <v>14090</v>
      </c>
      <c r="D3448" s="5" t="s">
        <v>14091</v>
      </c>
      <c r="E3448" s="5" t="s">
        <v>14092</v>
      </c>
      <c r="F3448" s="5" t="str">
        <f>HYPERLINK("http://fattoriadinonnapatty.com/","fattoriadinonnapatty.com")</f>
        <v>fattoriadinonnapatty.com</v>
      </c>
    </row>
    <row r="3449" spans="1:6" ht="43.05" customHeight="1" x14ac:dyDescent="0.25">
      <c r="A3449" s="1" t="s">
        <v>14093</v>
      </c>
      <c r="B3449" s="7" t="s">
        <v>14094</v>
      </c>
      <c r="C3449" s="7" t="s">
        <v>14080</v>
      </c>
      <c r="D3449" s="7" t="s">
        <v>14095</v>
      </c>
      <c r="E3449" s="7" t="s">
        <v>14086</v>
      </c>
      <c r="F3449" s="7" t="str">
        <f>HYPERLINK("http://www.ortamando.it/","www.ortamando.it")</f>
        <v>www.ortamando.it</v>
      </c>
    </row>
    <row r="3450" spans="1:6" ht="29.55" customHeight="1" x14ac:dyDescent="0.25">
      <c r="A3450" s="1" t="s">
        <v>14097</v>
      </c>
      <c r="B3450" s="7" t="s">
        <v>14098</v>
      </c>
      <c r="C3450" s="7" t="s">
        <v>14079</v>
      </c>
      <c r="D3450" s="7" t="s">
        <v>14099</v>
      </c>
      <c r="E3450" s="7" t="s">
        <v>14100</v>
      </c>
      <c r="F3450" s="7" t="str">
        <f>HYPERLINK("http://profarms.bio/","profarms.bio")</f>
        <v>profarms.bio</v>
      </c>
    </row>
    <row r="3451" spans="1:6" ht="29.55" customHeight="1" x14ac:dyDescent="0.25">
      <c r="A3451" s="6" t="s">
        <v>14101</v>
      </c>
      <c r="B3451" s="5" t="s">
        <v>14102</v>
      </c>
      <c r="C3451" s="5" t="s">
        <v>14103</v>
      </c>
      <c r="D3451" s="5" t="s">
        <v>14104</v>
      </c>
      <c r="E3451" s="5" t="s">
        <v>14096</v>
      </c>
      <c r="F3451" s="5" t="str">
        <f>HYPERLINK("http://www.aziendaagricolagrottarossa.it/","www.aziendaagricolagrottarossa.it")</f>
        <v>www.aziendaagricolagrottarossa.it</v>
      </c>
    </row>
    <row r="3452" spans="1:6" ht="43.05" customHeight="1" x14ac:dyDescent="0.25">
      <c r="A3452" s="6" t="s">
        <v>14105</v>
      </c>
      <c r="B3452" s="5" t="s">
        <v>14106</v>
      </c>
      <c r="C3452" s="5" t="s">
        <v>14073</v>
      </c>
      <c r="D3452" s="5" t="s">
        <v>14087</v>
      </c>
      <c r="E3452" s="5" t="s">
        <v>14072</v>
      </c>
      <c r="F3452" s="5" t="str">
        <f>HYPERLINK("http://www.tenutasantandrea.com/","www.tenutasantandrea.com")</f>
        <v>www.tenutasantandrea.com</v>
      </c>
    </row>
    <row r="3453" spans="1:6" ht="29.55" customHeight="1" x14ac:dyDescent="0.25">
      <c r="A3453" s="1" t="s">
        <v>14107</v>
      </c>
      <c r="B3453" s="7" t="s">
        <v>14108</v>
      </c>
      <c r="C3453" s="7" t="s">
        <v>14109</v>
      </c>
      <c r="D3453" s="7" t="s">
        <v>14110</v>
      </c>
      <c r="E3453" s="7" t="s">
        <v>14111</v>
      </c>
      <c r="F3453" s="7" t="str">
        <f>HYPERLINK("http://www.consorziovallidolomitifriulane.it/","www.consorziovallidolomitifriulane.it")</f>
        <v>www.consorziovallidolomitifriulane.it</v>
      </c>
    </row>
    <row r="3454" spans="1:6" ht="29.55" customHeight="1" x14ac:dyDescent="0.25">
      <c r="A3454" s="6" t="s">
        <v>14112</v>
      </c>
      <c r="B3454" s="5" t="s">
        <v>14113</v>
      </c>
      <c r="C3454" s="5" t="s">
        <v>14071</v>
      </c>
      <c r="D3454" s="5" t="s">
        <v>14081</v>
      </c>
      <c r="E3454" s="5" t="s">
        <v>14082</v>
      </c>
      <c r="F3454" s="5" t="str">
        <f>HYPERLINK("http://www.collicerentino.net/","www.collicerentino.net")</f>
        <v>www.collicerentino.net</v>
      </c>
    </row>
    <row r="3455" spans="1:6" ht="29.55" customHeight="1" x14ac:dyDescent="0.25">
      <c r="A3455" s="1" t="s">
        <v>14114</v>
      </c>
      <c r="B3455" s="7" t="s">
        <v>14115</v>
      </c>
      <c r="C3455" s="7" t="s">
        <v>14074</v>
      </c>
      <c r="D3455" s="7" t="s">
        <v>14116</v>
      </c>
      <c r="E3455" s="7" t="s">
        <v>14096</v>
      </c>
      <c r="F3455" s="7" t="str">
        <f>HYPERLINK("http://www.cimafava.it/","www.cimafava.it")</f>
        <v>www.cimafava.it</v>
      </c>
    </row>
    <row r="3456" spans="1:6" ht="43.05" customHeight="1" x14ac:dyDescent="0.25">
      <c r="A3456" s="1" t="s">
        <v>14117</v>
      </c>
      <c r="B3456" s="7" t="s">
        <v>14118</v>
      </c>
      <c r="C3456" s="7" t="s">
        <v>14119</v>
      </c>
      <c r="D3456" s="7" t="s">
        <v>14120</v>
      </c>
      <c r="E3456" s="7" t="s">
        <v>14121</v>
      </c>
      <c r="F3456" s="7" t="str">
        <f>HYPERLINK("http://www.frantoiodeicinquecolli.it/","www.frantoiodeicinquecolli.it")</f>
        <v>www.frantoiodeicinquecolli.it</v>
      </c>
    </row>
    <row r="3457" spans="1:6" ht="43.05" customHeight="1" x14ac:dyDescent="0.25">
      <c r="A3457" s="1" t="s">
        <v>14126</v>
      </c>
      <c r="B3457" s="7" t="s">
        <v>14127</v>
      </c>
      <c r="C3457" s="7" t="s">
        <v>14124</v>
      </c>
      <c r="D3457" s="7" t="s">
        <v>14128</v>
      </c>
      <c r="E3457" s="7" t="s">
        <v>14121</v>
      </c>
      <c r="F3457" s="7" t="str">
        <f>HYPERLINK("http://www.agriturismoterredicastiglione.it/","www.agriturismoterredicastiglione.it")</f>
        <v>www.agriturismoterredicastiglione.it</v>
      </c>
    </row>
    <row r="3458" spans="1:6" ht="29.55" customHeight="1" x14ac:dyDescent="0.25">
      <c r="A3458" s="1" t="s">
        <v>14129</v>
      </c>
      <c r="B3458" s="7" t="s">
        <v>14130</v>
      </c>
      <c r="C3458" s="7" t="s">
        <v>14125</v>
      </c>
      <c r="D3458" s="7" t="s">
        <v>14131</v>
      </c>
      <c r="E3458" s="7" t="s">
        <v>14132</v>
      </c>
      <c r="F3458" s="7" t="str">
        <f>HYPERLINK("http://www.stefaniabarbot.it/","www.stefaniabarbot.it")</f>
        <v>www.stefaniabarbot.it</v>
      </c>
    </row>
    <row r="3459" spans="1:6" ht="43.05" customHeight="1" x14ac:dyDescent="0.25">
      <c r="A3459" s="6" t="s">
        <v>14138</v>
      </c>
      <c r="B3459" s="5" t="s">
        <v>14139</v>
      </c>
      <c r="C3459" s="5" t="s">
        <v>14140</v>
      </c>
      <c r="D3459" s="5" t="s">
        <v>14136</v>
      </c>
      <c r="E3459" s="5" t="s">
        <v>14137</v>
      </c>
      <c r="F3459" s="5" t="str">
        <f>HYPERLINK("http://www.agriturismoilcastoro.it/","www.agriturismoilcastoro.it")</f>
        <v>www.agriturismoilcastoro.it</v>
      </c>
    </row>
    <row r="3460" spans="1:6" ht="43.05" customHeight="1" x14ac:dyDescent="0.25">
      <c r="A3460" s="1" t="s">
        <v>14141</v>
      </c>
      <c r="B3460" s="7" t="s">
        <v>14142</v>
      </c>
      <c r="C3460" s="7" t="s">
        <v>14119</v>
      </c>
      <c r="D3460" s="7" t="s">
        <v>14136</v>
      </c>
      <c r="E3460" s="7" t="s">
        <v>14137</v>
      </c>
      <c r="F3460" s="7" t="str">
        <f>HYPERLINK("http://www.agricolansa.com/foraggi","www.agricolansa.com/foraggi")</f>
        <v>www.agricolansa.com/foraggi</v>
      </c>
    </row>
    <row r="3461" spans="1:6" ht="16.95" customHeight="1" x14ac:dyDescent="0.25">
      <c r="A3461" s="6" t="s">
        <v>14143</v>
      </c>
      <c r="B3461" s="5" t="s">
        <v>14144</v>
      </c>
      <c r="C3461" s="5" t="s">
        <v>14145</v>
      </c>
      <c r="D3461" s="5" t="s">
        <v>14122</v>
      </c>
      <c r="E3461" s="5" t="s">
        <v>14123</v>
      </c>
      <c r="F3461" s="5" t="str">
        <f>HYPERLINK("http://www.oliotereo.it/","www.oliotereo.it")</f>
        <v>www.oliotereo.it</v>
      </c>
    </row>
    <row r="3462" spans="1:6" ht="29.55" customHeight="1" x14ac:dyDescent="0.25">
      <c r="A3462" s="6" t="s">
        <v>14146</v>
      </c>
      <c r="B3462" s="5" t="s">
        <v>14147</v>
      </c>
      <c r="C3462" s="5" t="s">
        <v>14133</v>
      </c>
      <c r="D3462" s="5" t="s">
        <v>14148</v>
      </c>
      <c r="E3462" s="5" t="s">
        <v>14121</v>
      </c>
      <c r="F3462" s="5" t="str">
        <f>HYPERLINK("http://www.fattoria-fibbiano.it/","www.fattoria-fibbiano.it")</f>
        <v>www.fattoria-fibbiano.it</v>
      </c>
    </row>
    <row r="3463" spans="1:6" ht="55.65" customHeight="1" x14ac:dyDescent="0.25">
      <c r="A3463" s="1" t="s">
        <v>14149</v>
      </c>
      <c r="B3463" s="7" t="s">
        <v>14150</v>
      </c>
      <c r="C3463" s="7" t="s">
        <v>14151</v>
      </c>
      <c r="D3463" s="7" t="s">
        <v>14152</v>
      </c>
      <c r="E3463" s="7" t="s">
        <v>14153</v>
      </c>
      <c r="F3463" s="7" t="str">
        <f>HYPERLINK("http://conigliodelveneto.it/","conigliodelveneto.it")</f>
        <v>conigliodelveneto.it</v>
      </c>
    </row>
    <row r="3464" spans="1:6" ht="29.55" customHeight="1" x14ac:dyDescent="0.25">
      <c r="A3464" s="6" t="s">
        <v>14154</v>
      </c>
      <c r="B3464" s="5" t="s">
        <v>14155</v>
      </c>
      <c r="C3464" s="5" t="s">
        <v>14156</v>
      </c>
      <c r="D3464" s="5" t="s">
        <v>14157</v>
      </c>
      <c r="E3464" s="5" t="s">
        <v>14132</v>
      </c>
      <c r="F3464" s="5" t="str">
        <f>HYPERLINK("http://www.montegonfoli.it/","www.montegonfoli.it")</f>
        <v>www.montegonfoli.it</v>
      </c>
    </row>
    <row r="3465" spans="1:6" ht="29.55" customHeight="1" x14ac:dyDescent="0.25">
      <c r="A3465" s="6" t="s">
        <v>14159</v>
      </c>
      <c r="B3465" s="5" t="s">
        <v>14160</v>
      </c>
      <c r="C3465" s="5" t="s">
        <v>14135</v>
      </c>
      <c r="D3465" s="5" t="s">
        <v>14136</v>
      </c>
      <c r="E3465" s="5" t="s">
        <v>14137</v>
      </c>
      <c r="F3465" s="5" t="str">
        <f>HYPERLINK("http://www.fattoriadipaltratico.com/","www.fattoriadipaltratico.com")</f>
        <v>www.fattoriadipaltratico.com</v>
      </c>
    </row>
    <row r="3466" spans="1:6" ht="29.55" customHeight="1" x14ac:dyDescent="0.25">
      <c r="A3466" s="1" t="s">
        <v>14161</v>
      </c>
      <c r="B3466" s="7" t="s">
        <v>14162</v>
      </c>
      <c r="C3466" s="7" t="s">
        <v>14145</v>
      </c>
      <c r="D3466" s="7" t="s">
        <v>14163</v>
      </c>
      <c r="E3466" s="7" t="s">
        <v>14158</v>
      </c>
      <c r="F3466" s="7" t="str">
        <f>HYPERLINK("http://www.terredivarano.it/","www.terredivarano.it")</f>
        <v>www.terredivarano.it</v>
      </c>
    </row>
    <row r="3467" spans="1:6" ht="55.65" customHeight="1" x14ac:dyDescent="0.25">
      <c r="A3467" s="6" t="s">
        <v>14164</v>
      </c>
      <c r="B3467" s="5" t="s">
        <v>14165</v>
      </c>
      <c r="C3467" s="5" t="s">
        <v>14166</v>
      </c>
      <c r="D3467" s="5" t="s">
        <v>14167</v>
      </c>
      <c r="E3467" s="5" t="s">
        <v>14134</v>
      </c>
      <c r="F3467" s="5" t="str">
        <f>HYPERLINK("http://promosagri.it/","promosagri.it")</f>
        <v>promosagri.it</v>
      </c>
    </row>
    <row r="3468" spans="1:6" ht="43.05" customHeight="1" x14ac:dyDescent="0.25">
      <c r="A3468" s="6" t="s">
        <v>14169</v>
      </c>
      <c r="B3468" s="5" t="s">
        <v>14170</v>
      </c>
      <c r="C3468" s="5" t="s">
        <v>14171</v>
      </c>
      <c r="D3468" s="5" t="s">
        <v>14172</v>
      </c>
      <c r="E3468" s="5" t="s">
        <v>14173</v>
      </c>
      <c r="F3468" s="5" t="str">
        <f>HYPERLINK("http://www.oleificiocoopportocannone.it/","www.oleificiocoopportocannone.it")</f>
        <v>www.oleificiocoopportocannone.it</v>
      </c>
    </row>
    <row r="3469" spans="1:6" ht="68.099999999999994" customHeight="1" x14ac:dyDescent="0.25">
      <c r="A3469" s="6" t="s">
        <v>14174</v>
      </c>
      <c r="B3469" s="5" t="s">
        <v>14175</v>
      </c>
      <c r="C3469" s="5" t="s">
        <v>14176</v>
      </c>
      <c r="D3469" s="5" t="s">
        <v>14177</v>
      </c>
      <c r="E3469" s="5" t="s">
        <v>14178</v>
      </c>
      <c r="F3469" s="5" t="str">
        <f>HYPERLINK("http://www.camporignano.com/","www.camporignano.com")</f>
        <v>www.camporignano.com</v>
      </c>
    </row>
    <row r="3470" spans="1:6" ht="29.55" customHeight="1" x14ac:dyDescent="0.25">
      <c r="A3470" s="6" t="s">
        <v>14179</v>
      </c>
      <c r="B3470" s="5" t="s">
        <v>14180</v>
      </c>
      <c r="C3470" s="5" t="s">
        <v>14176</v>
      </c>
      <c r="D3470" s="5" t="s">
        <v>14181</v>
      </c>
      <c r="E3470" s="5" t="s">
        <v>14182</v>
      </c>
      <c r="F3470" s="5" t="str">
        <f>HYPERLINK("http://www.lidiaeamato.com/","www.lidiaeamato.com")</f>
        <v>www.lidiaeamato.com</v>
      </c>
    </row>
    <row r="3471" spans="1:6" ht="29.55" customHeight="1" x14ac:dyDescent="0.25">
      <c r="A3471" s="1" t="s">
        <v>14183</v>
      </c>
      <c r="B3471" s="7" t="s">
        <v>14184</v>
      </c>
      <c r="C3471" s="7" t="s">
        <v>14185</v>
      </c>
      <c r="D3471" s="7" t="s">
        <v>14186</v>
      </c>
      <c r="E3471" s="7" t="s">
        <v>14168</v>
      </c>
      <c r="F3471" s="7" t="str">
        <f>HYPERLINK("http://www.cantinadelmalandrino.it/","www.cantinadelmalandrino.it")</f>
        <v>www.cantinadelmalandrino.it</v>
      </c>
    </row>
    <row r="3472" spans="1:6" ht="29.55" customHeight="1" x14ac:dyDescent="0.25">
      <c r="A3472" s="6" t="s">
        <v>14187</v>
      </c>
      <c r="B3472" s="5" t="s">
        <v>14188</v>
      </c>
      <c r="C3472" s="5" t="s">
        <v>14189</v>
      </c>
      <c r="D3472" s="5" t="s">
        <v>14190</v>
      </c>
      <c r="E3472" s="5" t="s">
        <v>14191</v>
      </c>
      <c r="F3472" s="5" t="str">
        <f>HYPERLINK("http://www.colledelgiglio.com/","www.colledelgiglio.com")</f>
        <v>www.colledelgiglio.com</v>
      </c>
    </row>
    <row r="3473" spans="1:6" ht="29.55" customHeight="1" x14ac:dyDescent="0.25">
      <c r="A3473" s="1" t="s">
        <v>14192</v>
      </c>
      <c r="B3473" s="7" t="s">
        <v>14193</v>
      </c>
      <c r="C3473" s="7" t="s">
        <v>14176</v>
      </c>
      <c r="D3473" s="7" t="s">
        <v>14194</v>
      </c>
      <c r="E3473" s="7" t="s">
        <v>14195</v>
      </c>
      <c r="F3473" s="7" t="str">
        <f>HYPERLINK("http://www.monte-saline.com/","www.monte-saline.com")</f>
        <v>www.monte-saline.com</v>
      </c>
    </row>
    <row r="3474" spans="1:6" ht="43.05" customHeight="1" x14ac:dyDescent="0.25">
      <c r="A3474" s="6" t="s">
        <v>14196</v>
      </c>
      <c r="B3474" s="5" t="s">
        <v>14197</v>
      </c>
      <c r="C3474" s="5" t="s">
        <v>14198</v>
      </c>
      <c r="D3474" s="5" t="s">
        <v>14199</v>
      </c>
      <c r="E3474" s="5" t="s">
        <v>14200</v>
      </c>
      <c r="F3474" s="5" t="str">
        <f>HYPERLINK("http://www.growitlab.it/","www.growitlab.it")</f>
        <v>www.growitlab.it</v>
      </c>
    </row>
    <row r="3475" spans="1:6" ht="29.55" customHeight="1" x14ac:dyDescent="0.25">
      <c r="A3475" s="1" t="s">
        <v>14201</v>
      </c>
      <c r="B3475" s="7" t="s">
        <v>14202</v>
      </c>
      <c r="C3475" s="7" t="s">
        <v>14189</v>
      </c>
      <c r="D3475" s="7" t="s">
        <v>14203</v>
      </c>
      <c r="E3475" s="7" t="s">
        <v>14204</v>
      </c>
      <c r="F3475" s="7" t="str">
        <f>HYPERLINK("http://www.piettorri.com/","www.piettorri.com")</f>
        <v>www.piettorri.com</v>
      </c>
    </row>
    <row r="3476" spans="1:6" ht="43.05" customHeight="1" x14ac:dyDescent="0.25">
      <c r="A3476" s="6" t="s">
        <v>14206</v>
      </c>
      <c r="B3476" s="5" t="s">
        <v>14207</v>
      </c>
      <c r="C3476" s="5" t="s">
        <v>14176</v>
      </c>
      <c r="D3476" s="5" t="s">
        <v>14208</v>
      </c>
      <c r="E3476" s="5" t="s">
        <v>14178</v>
      </c>
      <c r="F3476" s="5" t="str">
        <f>HYPERLINK("http://www.agriturismomusignano.com/","www.agriturismomusignano.com")</f>
        <v>www.agriturismomusignano.com</v>
      </c>
    </row>
    <row r="3477" spans="1:6" ht="29.55" customHeight="1" x14ac:dyDescent="0.25">
      <c r="A3477" s="1" t="s">
        <v>14209</v>
      </c>
      <c r="B3477" s="7" t="s">
        <v>14210</v>
      </c>
      <c r="C3477" s="7" t="s">
        <v>14205</v>
      </c>
      <c r="D3477" s="7" t="s">
        <v>14208</v>
      </c>
      <c r="E3477" s="7" t="s">
        <v>14178</v>
      </c>
      <c r="F3477" s="7" t="str">
        <f>HYPERLINK("http://www.birrificioltrarno.it/","www.birrificioltrarno.it")</f>
        <v>www.birrificioltrarno.it</v>
      </c>
    </row>
    <row r="3478" spans="1:6" ht="43.05" customHeight="1" x14ac:dyDescent="0.25">
      <c r="A3478" s="1" t="s">
        <v>14211</v>
      </c>
      <c r="B3478" s="7" t="s">
        <v>14212</v>
      </c>
      <c r="C3478" s="7" t="s">
        <v>14213</v>
      </c>
      <c r="D3478" s="7" t="s">
        <v>14214</v>
      </c>
      <c r="E3478" s="7" t="s">
        <v>14215</v>
      </c>
      <c r="F3478" s="7" t="str">
        <f>HYPERLINK("http://tenutamanelli.com/","tenutamanelli.com")</f>
        <v>tenutamanelli.com</v>
      </c>
    </row>
    <row r="3479" spans="1:6" ht="29.55" customHeight="1" x14ac:dyDescent="0.25">
      <c r="A3479" s="1" t="s">
        <v>14216</v>
      </c>
      <c r="B3479" s="7" t="s">
        <v>14217</v>
      </c>
      <c r="C3479" s="7" t="s">
        <v>14218</v>
      </c>
      <c r="D3479" s="7" t="s">
        <v>14219</v>
      </c>
      <c r="E3479" s="7" t="s">
        <v>14220</v>
      </c>
      <c r="F3479" s="7" t="str">
        <f>HYPERLINK("http://www.agriturismoilfalcocuneo.it/","www.agriturismoilfalcocuneo.it")</f>
        <v>www.agriturismoilfalcocuneo.it</v>
      </c>
    </row>
    <row r="3480" spans="1:6" ht="43.05" customHeight="1" x14ac:dyDescent="0.25">
      <c r="A3480" s="6" t="s">
        <v>14221</v>
      </c>
      <c r="B3480" s="5" t="s">
        <v>14222</v>
      </c>
      <c r="C3480" s="5" t="s">
        <v>14223</v>
      </c>
      <c r="D3480" s="5" t="s">
        <v>14224</v>
      </c>
      <c r="E3480" s="5" t="s">
        <v>14225</v>
      </c>
      <c r="F3480" s="5" t="str">
        <f>HYPERLINK("http://www.tuttoverdevivaio.com/","www.tuttoverdevivaio.com")</f>
        <v>www.tuttoverdevivaio.com</v>
      </c>
    </row>
    <row r="3481" spans="1:6" ht="120.3" customHeight="1" x14ac:dyDescent="0.25">
      <c r="A3481" s="6" t="s">
        <v>14229</v>
      </c>
      <c r="B3481" s="5" t="s">
        <v>14230</v>
      </c>
      <c r="C3481" s="5" t="s">
        <v>14231</v>
      </c>
      <c r="D3481" s="5" t="s">
        <v>14232</v>
      </c>
      <c r="E3481" s="5" t="s">
        <v>14233</v>
      </c>
      <c r="F3481" s="5" t="str">
        <f>HYPERLINK("http://www.centrotoribassano.it/","http://www.centrotoribassano.it")</f>
        <v>http://www.centrotoribassano.it</v>
      </c>
    </row>
    <row r="3482" spans="1:6" ht="29.55" customHeight="1" x14ac:dyDescent="0.25">
      <c r="A3482" s="1" t="s">
        <v>14234</v>
      </c>
      <c r="B3482" s="7" t="s">
        <v>14235</v>
      </c>
      <c r="C3482" s="7" t="s">
        <v>14236</v>
      </c>
      <c r="D3482" s="7" t="s">
        <v>14237</v>
      </c>
      <c r="E3482" s="7" t="s">
        <v>14238</v>
      </c>
      <c r="F3482" s="7" t="str">
        <f>HYPERLINK("http://www.mielianthea.it/","www.mielianthea.it")</f>
        <v>www.mielianthea.it</v>
      </c>
    </row>
    <row r="3483" spans="1:6" ht="81.75" customHeight="1" x14ac:dyDescent="0.25">
      <c r="A3483" s="6" t="s">
        <v>14239</v>
      </c>
      <c r="B3483" s="5" t="s">
        <v>14240</v>
      </c>
      <c r="C3483" s="5" t="s">
        <v>14213</v>
      </c>
      <c r="D3483" s="5" t="s">
        <v>14241</v>
      </c>
      <c r="E3483" s="5" t="s">
        <v>14242</v>
      </c>
      <c r="F3483" s="5" t="str">
        <f>HYPERLINK("http://www.aziendaagricolagregori.it/","www.aziendaagricolagregori.it")</f>
        <v>www.aziendaagricolagregori.it</v>
      </c>
    </row>
    <row r="3484" spans="1:6" ht="43.05" customHeight="1" x14ac:dyDescent="0.25">
      <c r="A3484" s="1" t="s">
        <v>14243</v>
      </c>
      <c r="B3484" s="7" t="s">
        <v>14244</v>
      </c>
      <c r="C3484" s="7" t="s">
        <v>14245</v>
      </c>
      <c r="D3484" s="7" t="s">
        <v>14237</v>
      </c>
      <c r="E3484" s="7" t="s">
        <v>14238</v>
      </c>
      <c r="F3484" s="7" t="str">
        <f>HYPERLINK("http://www.centrocinofilodeglialburni.it/","www.centrocinofilodeglialburni.it")</f>
        <v>www.centrocinofilodeglialburni.it</v>
      </c>
    </row>
    <row r="3485" spans="1:6" ht="29.55" customHeight="1" x14ac:dyDescent="0.25">
      <c r="A3485" s="6" t="s">
        <v>14246</v>
      </c>
      <c r="B3485" s="5" t="s">
        <v>14247</v>
      </c>
      <c r="C3485" s="5" t="s">
        <v>14248</v>
      </c>
      <c r="D3485" s="5" t="s">
        <v>14249</v>
      </c>
      <c r="E3485" s="5" t="s">
        <v>14250</v>
      </c>
      <c r="F3485" s="5" t="str">
        <f>HYPERLINK("http://www.coopsangiorgiozanco.it/","www.coopsangiorgiozanco.it")</f>
        <v>www.coopsangiorgiozanco.it</v>
      </c>
    </row>
    <row r="3486" spans="1:6" ht="29.55" customHeight="1" x14ac:dyDescent="0.25">
      <c r="A3486" s="6" t="s">
        <v>14251</v>
      </c>
      <c r="B3486" s="5" t="s">
        <v>14252</v>
      </c>
      <c r="C3486" s="5" t="s">
        <v>14213</v>
      </c>
      <c r="D3486" s="5" t="s">
        <v>14228</v>
      </c>
      <c r="E3486" s="5" t="s">
        <v>14227</v>
      </c>
      <c r="F3486" s="5" t="str">
        <f>HYPERLINK("http://www.torremonterosso.it/","www.torremonterosso.it")</f>
        <v>www.torremonterosso.it</v>
      </c>
    </row>
    <row r="3487" spans="1:6" ht="43.05" customHeight="1" x14ac:dyDescent="0.25">
      <c r="A3487" s="1" t="s">
        <v>14253</v>
      </c>
      <c r="B3487" s="7" t="s">
        <v>14254</v>
      </c>
      <c r="C3487" s="7" t="s">
        <v>14226</v>
      </c>
      <c r="D3487" s="7" t="s">
        <v>14255</v>
      </c>
      <c r="E3487" s="7" t="s">
        <v>14215</v>
      </c>
      <c r="F3487" s="7" t="str">
        <f>HYPERLINK("http://biocantina.com/","biocantina.com")</f>
        <v>biocantina.com</v>
      </c>
    </row>
    <row r="3488" spans="1:6" ht="43.05" customHeight="1" x14ac:dyDescent="0.25">
      <c r="A3488" s="6" t="s">
        <v>14256</v>
      </c>
      <c r="B3488" s="5" t="s">
        <v>14257</v>
      </c>
      <c r="C3488" s="5" t="s">
        <v>14258</v>
      </c>
      <c r="D3488" s="5" t="s">
        <v>14259</v>
      </c>
      <c r="E3488" s="5" t="s">
        <v>14220</v>
      </c>
      <c r="F3488" s="5" t="str">
        <f>HYPERLINK("http://www.consorziosantateresa.com/","www.consorziosantateresa.com")</f>
        <v>www.consorziosantateresa.com</v>
      </c>
    </row>
    <row r="3489" spans="1:6" ht="29.55" customHeight="1" x14ac:dyDescent="0.25">
      <c r="A3489" s="6" t="s">
        <v>14260</v>
      </c>
      <c r="B3489" s="5" t="s">
        <v>14261</v>
      </c>
      <c r="C3489" s="5" t="s">
        <v>14262</v>
      </c>
      <c r="D3489" s="5" t="s">
        <v>14263</v>
      </c>
      <c r="E3489" s="5" t="s">
        <v>14264</v>
      </c>
      <c r="F3489" s="5" t="str">
        <f>HYPERLINK("http://vd-fruit-srl-societa-agricola-02646690814.quantofattura.com/","vd-fruit-srl-societa-agricola-02646690814.quantofattura.com")</f>
        <v>vd-fruit-srl-societa-agricola-02646690814.quantofattura.com</v>
      </c>
    </row>
    <row r="3490" spans="1:6" ht="16.95" customHeight="1" x14ac:dyDescent="0.25">
      <c r="A3490" s="6" t="s">
        <v>14271</v>
      </c>
      <c r="B3490" s="5" t="s">
        <v>14272</v>
      </c>
      <c r="C3490" s="5" t="s">
        <v>14273</v>
      </c>
      <c r="D3490" s="5" t="s">
        <v>14274</v>
      </c>
      <c r="E3490" s="5" t="s">
        <v>14275</v>
      </c>
      <c r="F3490" s="5" t="str">
        <f>HYPERLINK("http://grilliagromeccanica.myadj.it/v/grilliagromeccanica","grilliagromeccanica.myadj.it/v/grilliagromeccanica")</f>
        <v>grilliagromeccanica.myadj.it/v/grilliagromeccanica</v>
      </c>
    </row>
    <row r="3491" spans="1:6" ht="29.55" customHeight="1" x14ac:dyDescent="0.25">
      <c r="A3491" s="1" t="s">
        <v>14276</v>
      </c>
      <c r="B3491" s="7" t="s">
        <v>14277</v>
      </c>
      <c r="C3491" s="7" t="s">
        <v>14262</v>
      </c>
      <c r="D3491" s="7" t="s">
        <v>14278</v>
      </c>
      <c r="E3491" s="7" t="s">
        <v>14266</v>
      </c>
      <c r="F3491" s="7" t="str">
        <f>HYPERLINK("http://www.iltorrionedeltrebbia.com/","www.iltorrionedeltrebbia.com")</f>
        <v>www.iltorrionedeltrebbia.com</v>
      </c>
    </row>
    <row r="3492" spans="1:6" ht="29.55" customHeight="1" x14ac:dyDescent="0.25">
      <c r="A3492" s="6" t="s">
        <v>14279</v>
      </c>
      <c r="B3492" s="5" t="s">
        <v>14280</v>
      </c>
      <c r="C3492" s="5" t="s">
        <v>14281</v>
      </c>
      <c r="D3492" s="5" t="s">
        <v>14269</v>
      </c>
      <c r="E3492" s="5" t="s">
        <v>14264</v>
      </c>
      <c r="F3492" s="5" t="str">
        <f>HYPERLINK("http://treefuelgarden.it/","treefuelgarden.it")</f>
        <v>treefuelgarden.it</v>
      </c>
    </row>
    <row r="3493" spans="1:6" ht="43.05" customHeight="1" x14ac:dyDescent="0.25">
      <c r="A3493" s="1" t="s">
        <v>14283</v>
      </c>
      <c r="B3493" s="7" t="s">
        <v>14284</v>
      </c>
      <c r="C3493" s="7" t="s">
        <v>14270</v>
      </c>
      <c r="D3493" s="7" t="s">
        <v>14285</v>
      </c>
      <c r="E3493" s="7" t="s">
        <v>14265</v>
      </c>
      <c r="F3493" s="7" t="str">
        <f>HYPERLINK("http://casatamerge.it/","casatamerge.it")</f>
        <v>casatamerge.it</v>
      </c>
    </row>
    <row r="3494" spans="1:6" ht="29.55" customHeight="1" x14ac:dyDescent="0.25">
      <c r="A3494" s="1" t="s">
        <v>14286</v>
      </c>
      <c r="B3494" s="7" t="s">
        <v>14287</v>
      </c>
      <c r="C3494" s="7" t="s">
        <v>14288</v>
      </c>
      <c r="D3494" s="7" t="s">
        <v>14289</v>
      </c>
      <c r="E3494" s="7" t="s">
        <v>14268</v>
      </c>
      <c r="F3494" s="7" t="str">
        <f>HYPERLINK("http://www.facebook.com/oasiflegrea/","www.facebook.com/oasiflegrea/")</f>
        <v>www.facebook.com/oasiflegrea/</v>
      </c>
    </row>
    <row r="3495" spans="1:6" ht="81.75" customHeight="1" x14ac:dyDescent="0.25">
      <c r="A3495" s="1" t="s">
        <v>14290</v>
      </c>
      <c r="B3495" s="7" t="s">
        <v>14291</v>
      </c>
      <c r="C3495" s="7" t="s">
        <v>14282</v>
      </c>
      <c r="D3495" s="7" t="s">
        <v>14267</v>
      </c>
      <c r="E3495" s="7" t="s">
        <v>14268</v>
      </c>
      <c r="F3495" s="7" t="str">
        <f>HYPERLINK("http://www.agriturismoleghiandaie.it/","www.agriturismoleghiandaie.it")</f>
        <v>www.agriturismoleghiandaie.it</v>
      </c>
    </row>
    <row r="3496" spans="1:6" ht="16.95" customHeight="1" x14ac:dyDescent="0.25">
      <c r="A3496" s="1" t="s">
        <v>14292</v>
      </c>
      <c r="B3496" s="7" t="s">
        <v>14293</v>
      </c>
      <c r="C3496" s="7" t="s">
        <v>14294</v>
      </c>
      <c r="D3496" s="7" t="s">
        <v>14295</v>
      </c>
      <c r="E3496" s="7" t="s">
        <v>14296</v>
      </c>
      <c r="F3496" s="7" t="str">
        <f>HYPERLINK("http://www.villabucher.com/","www.villabucher.com")</f>
        <v>www.villabucher.com</v>
      </c>
    </row>
    <row r="3497" spans="1:6" ht="29.55" customHeight="1" x14ac:dyDescent="0.25">
      <c r="A3497" s="6" t="s">
        <v>14297</v>
      </c>
      <c r="B3497" s="5" t="s">
        <v>14298</v>
      </c>
      <c r="C3497" s="5" t="s">
        <v>14299</v>
      </c>
      <c r="D3497" s="5" t="s">
        <v>14300</v>
      </c>
      <c r="E3497" s="5" t="s">
        <v>14301</v>
      </c>
      <c r="F3497" s="5" t="str">
        <f>HYPERLINK("http://www.vallegara.it/","www.vallegara.it")</f>
        <v>www.vallegara.it</v>
      </c>
    </row>
    <row r="3498" spans="1:6" ht="29.55" customHeight="1" x14ac:dyDescent="0.25">
      <c r="A3498" s="6" t="s">
        <v>14303</v>
      </c>
      <c r="B3498" s="5" t="s">
        <v>14304</v>
      </c>
      <c r="C3498" s="5" t="s">
        <v>14302</v>
      </c>
      <c r="D3498" s="5" t="s">
        <v>14305</v>
      </c>
      <c r="E3498" s="5" t="s">
        <v>14306</v>
      </c>
      <c r="F3498" s="5" t="str">
        <f>HYPERLINK("http://www.valtartanoagricola.it/","www.valtartanoagricola.it")</f>
        <v>www.valtartanoagricola.it</v>
      </c>
    </row>
    <row r="3499" spans="1:6" ht="29.55" customHeight="1" x14ac:dyDescent="0.25">
      <c r="A3499" s="1" t="s">
        <v>14309</v>
      </c>
      <c r="B3499" s="7" t="s">
        <v>14310</v>
      </c>
      <c r="C3499" s="7" t="s">
        <v>14294</v>
      </c>
      <c r="D3499" s="7" t="s">
        <v>14311</v>
      </c>
      <c r="E3499" s="7" t="s">
        <v>14301</v>
      </c>
      <c r="F3499" s="7" t="str">
        <f>HYPERLINK("http://agricola.lanciani.group/","agricola.lanciani.group")</f>
        <v>agricola.lanciani.group</v>
      </c>
    </row>
    <row r="3500" spans="1:6" ht="29.55" customHeight="1" x14ac:dyDescent="0.25">
      <c r="A3500" s="1" t="s">
        <v>14314</v>
      </c>
      <c r="B3500" s="7" t="s">
        <v>14315</v>
      </c>
      <c r="C3500" s="7" t="s">
        <v>14316</v>
      </c>
      <c r="D3500" s="7" t="s">
        <v>14317</v>
      </c>
      <c r="E3500" s="7" t="s">
        <v>14313</v>
      </c>
      <c r="F3500" s="7" t="str">
        <f>HYPERLINK("http://www.massoserpente.it/","www.massoserpente.it")</f>
        <v>www.massoserpente.it</v>
      </c>
    </row>
    <row r="3501" spans="1:6" ht="43.05" customHeight="1" x14ac:dyDescent="0.25">
      <c r="A3501" s="1" t="s">
        <v>14318</v>
      </c>
      <c r="B3501" s="7" t="s">
        <v>14319</v>
      </c>
      <c r="C3501" s="7" t="s">
        <v>14294</v>
      </c>
      <c r="D3501" s="7" t="s">
        <v>14320</v>
      </c>
      <c r="E3501" s="7" t="s">
        <v>14313</v>
      </c>
      <c r="F3501" s="7" t="str">
        <f>HYPERLINK("http://www.boschettocampacci.it/","www.boschettocampacci.it")</f>
        <v>www.boschettocampacci.it</v>
      </c>
    </row>
    <row r="3502" spans="1:6" ht="29.55" customHeight="1" x14ac:dyDescent="0.25">
      <c r="A3502" s="6" t="s">
        <v>14321</v>
      </c>
      <c r="B3502" s="5" t="s">
        <v>14322</v>
      </c>
      <c r="C3502" s="5" t="s">
        <v>14312</v>
      </c>
      <c r="D3502" s="5" t="s">
        <v>14323</v>
      </c>
      <c r="E3502" s="5" t="s">
        <v>14306</v>
      </c>
      <c r="F3502" s="5" t="str">
        <f>HYPERLINK("http://www.cadelupo.it/","www.cadelupo.it")</f>
        <v>www.cadelupo.it</v>
      </c>
    </row>
    <row r="3503" spans="1:6" ht="29.55" customHeight="1" x14ac:dyDescent="0.25">
      <c r="A3503" s="1" t="s">
        <v>14324</v>
      </c>
      <c r="B3503" s="7" t="s">
        <v>14325</v>
      </c>
      <c r="C3503" s="7" t="s">
        <v>14294</v>
      </c>
      <c r="D3503" s="7" t="s">
        <v>14307</v>
      </c>
      <c r="E3503" s="7" t="s">
        <v>14308</v>
      </c>
      <c r="F3503" s="7" t="str">
        <f>HYPERLINK("http://www.diotisalvi.it/","www.diotisalvi.it")</f>
        <v>www.diotisalvi.it</v>
      </c>
    </row>
    <row r="3504" spans="1:6" ht="29.55" customHeight="1" x14ac:dyDescent="0.25">
      <c r="A3504" s="6" t="s">
        <v>14326</v>
      </c>
      <c r="B3504" s="5" t="s">
        <v>14327</v>
      </c>
      <c r="C3504" s="5" t="s">
        <v>14328</v>
      </c>
      <c r="D3504" s="5" t="s">
        <v>14329</v>
      </c>
      <c r="E3504" s="5" t="s">
        <v>14330</v>
      </c>
      <c r="F3504" s="5" t="str">
        <f>HYPERLINK("http://www.impreagri.com/","www.impreagri.com")</f>
        <v>www.impreagri.com</v>
      </c>
    </row>
    <row r="3505" spans="1:6" ht="55.65" customHeight="1" x14ac:dyDescent="0.25">
      <c r="A3505" s="1" t="s">
        <v>14331</v>
      </c>
      <c r="B3505" s="7" t="s">
        <v>14332</v>
      </c>
      <c r="C3505" s="7" t="s">
        <v>14333</v>
      </c>
      <c r="D3505" s="7" t="s">
        <v>14334</v>
      </c>
      <c r="E3505" s="7" t="s">
        <v>14335</v>
      </c>
      <c r="F3505" s="7" t="str">
        <f>HYPERLINK("http://www.tenutagranparadiso.it/","www.tenutagranparadiso.it")</f>
        <v>www.tenutagranparadiso.it</v>
      </c>
    </row>
    <row r="3506" spans="1:6" ht="16.95" customHeight="1" x14ac:dyDescent="0.25">
      <c r="A3506" s="6" t="s">
        <v>14336</v>
      </c>
      <c r="B3506" s="5" t="s">
        <v>14337</v>
      </c>
      <c r="C3506" s="5" t="s">
        <v>14338</v>
      </c>
      <c r="D3506" s="5" t="s">
        <v>14339</v>
      </c>
      <c r="E3506" s="5" t="s">
        <v>14340</v>
      </c>
      <c r="F3506" s="5" t="str">
        <f>HYPERLINK("http://www.mediterraneabelfiore.it/","www.mediterraneabelfiore.it")</f>
        <v>www.mediterraneabelfiore.it</v>
      </c>
    </row>
    <row r="3507" spans="1:6" ht="29.55" customHeight="1" x14ac:dyDescent="0.25">
      <c r="A3507" s="6" t="s">
        <v>14341</v>
      </c>
      <c r="B3507" s="5" t="s">
        <v>14342</v>
      </c>
      <c r="C3507" s="5" t="s">
        <v>14343</v>
      </c>
      <c r="D3507" s="5" t="s">
        <v>14344</v>
      </c>
      <c r="E3507" s="5" t="s">
        <v>14345</v>
      </c>
      <c r="F3507" s="5" t="str">
        <f>HYPERLINK("http://www.tenutestintino.it/","www.tenutestintino.it")</f>
        <v>www.tenutestintino.it</v>
      </c>
    </row>
    <row r="3508" spans="1:6" ht="29.55" customHeight="1" x14ac:dyDescent="0.25">
      <c r="A3508" s="1" t="s">
        <v>14348</v>
      </c>
      <c r="B3508" s="7" t="s">
        <v>14349</v>
      </c>
      <c r="C3508" s="7" t="s">
        <v>14346</v>
      </c>
      <c r="D3508" s="7" t="s">
        <v>14350</v>
      </c>
      <c r="E3508" s="7" t="s">
        <v>14340</v>
      </c>
      <c r="F3508" s="7" t="str">
        <f>HYPERLINK("http://www.cannetowinetasting.com/","www.cannetowinetasting.com")</f>
        <v>www.cannetowinetasting.com</v>
      </c>
    </row>
    <row r="3509" spans="1:6" ht="16.95" customHeight="1" x14ac:dyDescent="0.25">
      <c r="A3509" s="6" t="s">
        <v>14353</v>
      </c>
      <c r="B3509" s="5" t="s">
        <v>14354</v>
      </c>
      <c r="C3509" s="5" t="s">
        <v>14355</v>
      </c>
      <c r="D3509" s="5" t="s">
        <v>14351</v>
      </c>
      <c r="E3509" s="5" t="s">
        <v>14352</v>
      </c>
      <c r="F3509" s="5" t="str">
        <f>HYPERLINK("http://www.amcvivai.it/","www.amcvivai.it")</f>
        <v>www.amcvivai.it</v>
      </c>
    </row>
    <row r="3510" spans="1:6" ht="29.55" customHeight="1" x14ac:dyDescent="0.25">
      <c r="A3510" s="1" t="s">
        <v>14356</v>
      </c>
      <c r="B3510" s="7" t="s">
        <v>14357</v>
      </c>
      <c r="C3510" s="7" t="s">
        <v>14338</v>
      </c>
      <c r="D3510" s="7" t="s">
        <v>14358</v>
      </c>
      <c r="E3510" s="7" t="s">
        <v>14340</v>
      </c>
      <c r="F3510" s="7" t="str">
        <f>HYPERLINK("http://www.fattorialastriscia.it/","www.fattorialastriscia.it")</f>
        <v>www.fattorialastriscia.it</v>
      </c>
    </row>
    <row r="3511" spans="1:6" ht="43.05" customHeight="1" x14ac:dyDescent="0.25">
      <c r="A3511" s="6" t="s">
        <v>14359</v>
      </c>
      <c r="B3511" s="5" t="s">
        <v>14360</v>
      </c>
      <c r="C3511" s="5" t="s">
        <v>14346</v>
      </c>
      <c r="D3511" s="5" t="s">
        <v>14361</v>
      </c>
      <c r="E3511" s="5" t="s">
        <v>14347</v>
      </c>
      <c r="F3511" s="5" t="str">
        <f>HYPERLINK("http://www.fattoria-didattica-massignan.it/","www.fattoria-didattica-massignan.it")</f>
        <v>www.fattoria-didattica-massignan.it</v>
      </c>
    </row>
    <row r="3512" spans="1:6" ht="29.55" customHeight="1" x14ac:dyDescent="0.25">
      <c r="A3512" s="1" t="s">
        <v>14362</v>
      </c>
      <c r="B3512" s="7" t="s">
        <v>14363</v>
      </c>
      <c r="C3512" s="7" t="s">
        <v>14346</v>
      </c>
      <c r="D3512" s="7" t="s">
        <v>14345</v>
      </c>
      <c r="E3512" s="7" t="s">
        <v>14345</v>
      </c>
      <c r="F3512" s="7" t="str">
        <f>HYPERLINK("http://www.montezara.com/","www.montezara.com")</f>
        <v>www.montezara.com</v>
      </c>
    </row>
    <row r="3513" spans="1:6" ht="16.95" customHeight="1" x14ac:dyDescent="0.25">
      <c r="A3513" s="6" t="s">
        <v>14364</v>
      </c>
      <c r="B3513" s="5" t="s">
        <v>14365</v>
      </c>
      <c r="C3513" s="5" t="s">
        <v>14366</v>
      </c>
      <c r="D3513" s="5" t="s">
        <v>14334</v>
      </c>
      <c r="E3513" s="5" t="s">
        <v>14335</v>
      </c>
      <c r="F3513" s="5" t="str">
        <f>HYPERLINK("http://meetings.eaap.org/","meetings.eaap.org")</f>
        <v>meetings.eaap.org</v>
      </c>
    </row>
    <row r="3514" spans="1:6" ht="29.55" customHeight="1" x14ac:dyDescent="0.25">
      <c r="A3514" s="1" t="s">
        <v>14367</v>
      </c>
      <c r="B3514" s="7" t="s">
        <v>14368</v>
      </c>
      <c r="C3514" s="7" t="s">
        <v>14346</v>
      </c>
      <c r="D3514" s="7" t="s">
        <v>14369</v>
      </c>
      <c r="E3514" s="7" t="s">
        <v>14370</v>
      </c>
      <c r="F3514" s="7" t="str">
        <f>HYPERLINK("http://bonaldicascinadelbosco.it/","bonaldicascinadelbosco.it")</f>
        <v>bonaldicascinadelbosco.it</v>
      </c>
    </row>
    <row r="3515" spans="1:6" ht="29.55" customHeight="1" x14ac:dyDescent="0.25">
      <c r="A3515" s="6" t="s">
        <v>14372</v>
      </c>
      <c r="B3515" s="5" t="s">
        <v>14373</v>
      </c>
      <c r="C3515" s="5" t="s">
        <v>14374</v>
      </c>
      <c r="D3515" s="5" t="s">
        <v>14375</v>
      </c>
      <c r="E3515" s="5" t="s">
        <v>14376</v>
      </c>
      <c r="F3515" s="5" t="str">
        <f>HYPERLINK("http://www.pozzodigaspare.com/","www.pozzodigaspare.com")</f>
        <v>www.pozzodigaspare.com</v>
      </c>
    </row>
    <row r="3516" spans="1:6" ht="29.55" customHeight="1" x14ac:dyDescent="0.25">
      <c r="A3516" s="6" t="s">
        <v>14379</v>
      </c>
      <c r="B3516" s="5" t="s">
        <v>14380</v>
      </c>
      <c r="C3516" s="5" t="s">
        <v>14377</v>
      </c>
      <c r="D3516" s="5" t="s">
        <v>14381</v>
      </c>
      <c r="E3516" s="5" t="s">
        <v>14382</v>
      </c>
      <c r="F3516" s="5" t="str">
        <f>HYPERLINK("http://www.tenutapezzapane.it/","www.tenutapezzapane.it")</f>
        <v>www.tenutapezzapane.it</v>
      </c>
    </row>
    <row r="3517" spans="1:6" ht="43.05" customHeight="1" x14ac:dyDescent="0.25">
      <c r="A3517" s="1" t="s">
        <v>14383</v>
      </c>
      <c r="B3517" s="7" t="s">
        <v>14384</v>
      </c>
      <c r="C3517" s="7" t="s">
        <v>14385</v>
      </c>
      <c r="D3517" s="7" t="s">
        <v>14386</v>
      </c>
      <c r="E3517" s="7" t="s">
        <v>14387</v>
      </c>
      <c r="F3517" s="7" t="str">
        <f>HYPERLINK("http://www.agriturismobonicose.it/","www.agriturismobonicose.it")</f>
        <v>www.agriturismobonicose.it</v>
      </c>
    </row>
    <row r="3518" spans="1:6" ht="29.55" customHeight="1" x14ac:dyDescent="0.25">
      <c r="A3518" s="6" t="s">
        <v>14390</v>
      </c>
      <c r="B3518" s="5" t="s">
        <v>14391</v>
      </c>
      <c r="C3518" s="5" t="s">
        <v>14374</v>
      </c>
      <c r="D3518" s="5" t="s">
        <v>14386</v>
      </c>
      <c r="E3518" s="5" t="s">
        <v>14387</v>
      </c>
      <c r="F3518" s="5" t="str">
        <f>HYPERLINK("http://myfarmitalia.com/","myfarmitalia.com")</f>
        <v>myfarmitalia.com</v>
      </c>
    </row>
    <row r="3519" spans="1:6" ht="43.05" customHeight="1" x14ac:dyDescent="0.25">
      <c r="A3519" s="6" t="s">
        <v>14393</v>
      </c>
      <c r="B3519" s="5" t="s">
        <v>14394</v>
      </c>
      <c r="C3519" s="5" t="s">
        <v>14388</v>
      </c>
      <c r="D3519" s="5" t="s">
        <v>14395</v>
      </c>
      <c r="E3519" s="5" t="s">
        <v>14396</v>
      </c>
      <c r="F3519" s="5" t="str">
        <f>HYPERLINK("http://olivicoladegliernici.it/","olivicoladegliernici.it")</f>
        <v>olivicoladegliernici.it</v>
      </c>
    </row>
    <row r="3520" spans="1:6" ht="29.55" customHeight="1" x14ac:dyDescent="0.25">
      <c r="A3520" s="1" t="s">
        <v>14397</v>
      </c>
      <c r="B3520" s="7" t="s">
        <v>14398</v>
      </c>
      <c r="C3520" s="7" t="s">
        <v>14389</v>
      </c>
      <c r="D3520" s="7" t="s">
        <v>14399</v>
      </c>
      <c r="E3520" s="7" t="s">
        <v>14400</v>
      </c>
      <c r="F3520" s="7" t="str">
        <f>HYPERLINK("http://www.salusperherbam.it/","www.salusperherbam.it")</f>
        <v>www.salusperherbam.it</v>
      </c>
    </row>
    <row r="3521" spans="1:6" ht="29.55" customHeight="1" x14ac:dyDescent="0.25">
      <c r="A3521" s="6" t="s">
        <v>14401</v>
      </c>
      <c r="B3521" s="5" t="s">
        <v>14402</v>
      </c>
      <c r="C3521" s="5" t="s">
        <v>14389</v>
      </c>
      <c r="D3521" s="5" t="s">
        <v>14403</v>
      </c>
      <c r="E3521" s="5" t="s">
        <v>14404</v>
      </c>
      <c r="F3521" s="5" t="str">
        <f>HYPERLINK("http://www.agriflora-coop.com/","www.agriflora-coop.com")</f>
        <v>www.agriflora-coop.com</v>
      </c>
    </row>
    <row r="3522" spans="1:6" ht="43.05" customHeight="1" x14ac:dyDescent="0.25">
      <c r="A3522" s="6" t="s">
        <v>14405</v>
      </c>
      <c r="B3522" s="5" t="s">
        <v>14406</v>
      </c>
      <c r="C3522" s="5" t="s">
        <v>14377</v>
      </c>
      <c r="D3522" s="5" t="s">
        <v>14407</v>
      </c>
      <c r="E3522" s="5" t="s">
        <v>14371</v>
      </c>
      <c r="F3522" s="5" t="str">
        <f>HYPERLINK("http://www.agricolediocesane.it/","www.agricolediocesane.it")</f>
        <v>www.agricolediocesane.it</v>
      </c>
    </row>
    <row r="3523" spans="1:6" ht="29.55" customHeight="1" x14ac:dyDescent="0.25">
      <c r="A3523" s="6" t="s">
        <v>14408</v>
      </c>
      <c r="B3523" s="5" t="s">
        <v>14409</v>
      </c>
      <c r="C3523" s="5" t="s">
        <v>14392</v>
      </c>
      <c r="D3523" s="5" t="s">
        <v>14410</v>
      </c>
      <c r="E3523" s="5" t="s">
        <v>14411</v>
      </c>
      <c r="F3523" s="5" t="str">
        <f>HYPERLINK("http://campanella.com.es/","campanella.com.es")</f>
        <v>campanella.com.es</v>
      </c>
    </row>
    <row r="3524" spans="1:6" ht="29.55" customHeight="1" x14ac:dyDescent="0.25">
      <c r="A3524" s="6" t="s">
        <v>14412</v>
      </c>
      <c r="B3524" s="5" t="s">
        <v>14413</v>
      </c>
      <c r="C3524" s="5" t="s">
        <v>14414</v>
      </c>
      <c r="D3524" s="5" t="s">
        <v>14415</v>
      </c>
      <c r="E3524" s="5" t="s">
        <v>14378</v>
      </c>
      <c r="F3524" s="5" t="str">
        <f>HYPERLINK("http://carnipugliesi.it/","carnipugliesi.it")</f>
        <v>carnipugliesi.it</v>
      </c>
    </row>
    <row r="3525" spans="1:6" ht="43.05" customHeight="1" x14ac:dyDescent="0.25">
      <c r="A3525" s="1" t="s">
        <v>14420</v>
      </c>
      <c r="B3525" s="7" t="s">
        <v>14421</v>
      </c>
      <c r="C3525" s="7" t="s">
        <v>14422</v>
      </c>
      <c r="D3525" s="7" t="s">
        <v>14423</v>
      </c>
      <c r="E3525" s="7" t="s">
        <v>14424</v>
      </c>
      <c r="F3525" s="7" t="str">
        <f>HYPERLINK("http://shop.castellodigrumello.it/","shop.castellodigrumello.it")</f>
        <v>shop.castellodigrumello.it</v>
      </c>
    </row>
    <row r="3526" spans="1:6" ht="29.55" customHeight="1" x14ac:dyDescent="0.25">
      <c r="A3526" s="1" t="s">
        <v>14431</v>
      </c>
      <c r="B3526" s="7" t="s">
        <v>14432</v>
      </c>
      <c r="C3526" s="7" t="s">
        <v>14433</v>
      </c>
      <c r="D3526" s="7" t="s">
        <v>14434</v>
      </c>
      <c r="E3526" s="7" t="s">
        <v>14425</v>
      </c>
      <c r="F3526" s="7" t="str">
        <f>HYPERLINK("http://www.santerasmoveroli.it/","www.santerasmoveroli.it")</f>
        <v>www.santerasmoveroli.it</v>
      </c>
    </row>
    <row r="3527" spans="1:6" ht="43.05" customHeight="1" x14ac:dyDescent="0.25">
      <c r="A3527" s="6" t="s">
        <v>14435</v>
      </c>
      <c r="B3527" s="5" t="s">
        <v>14436</v>
      </c>
      <c r="C3527" s="5" t="s">
        <v>14427</v>
      </c>
      <c r="D3527" s="5" t="s">
        <v>14437</v>
      </c>
      <c r="E3527" s="5" t="s">
        <v>14438</v>
      </c>
      <c r="F3527" s="5" t="str">
        <f>HYPERLINK("http://castagnedimontella.it/","castagnedimontella.it")</f>
        <v>castagnedimontella.it</v>
      </c>
    </row>
    <row r="3528" spans="1:6" ht="43.05" customHeight="1" x14ac:dyDescent="0.25">
      <c r="A3528" s="1" t="s">
        <v>14439</v>
      </c>
      <c r="B3528" s="7" t="s">
        <v>14440</v>
      </c>
      <c r="C3528" s="7" t="s">
        <v>14422</v>
      </c>
      <c r="D3528" s="7" t="s">
        <v>14437</v>
      </c>
      <c r="E3528" s="7" t="s">
        <v>14438</v>
      </c>
      <c r="F3528" s="7" t="str">
        <f>HYPERLINK("http://historiaantiqua.it/","historiaantiqua.it")</f>
        <v>historiaantiqua.it</v>
      </c>
    </row>
    <row r="3529" spans="1:6" ht="43.05" customHeight="1" x14ac:dyDescent="0.25">
      <c r="A3529" s="6" t="s">
        <v>14441</v>
      </c>
      <c r="B3529" s="5" t="s">
        <v>14442</v>
      </c>
      <c r="C3529" s="5" t="s">
        <v>14416</v>
      </c>
      <c r="D3529" s="5" t="s">
        <v>14443</v>
      </c>
      <c r="E3529" s="5" t="s">
        <v>14418</v>
      </c>
      <c r="F3529" s="5" t="str">
        <f>HYPERLINK("http://www.poggioallecorti.com/","www.poggioallecorti.com")</f>
        <v>www.poggioallecorti.com</v>
      </c>
    </row>
    <row r="3530" spans="1:6" ht="29.55" customHeight="1" x14ac:dyDescent="0.25">
      <c r="A3530" s="1" t="s">
        <v>14444</v>
      </c>
      <c r="B3530" s="7" t="s">
        <v>14445</v>
      </c>
      <c r="C3530" s="7" t="s">
        <v>14446</v>
      </c>
      <c r="D3530" s="7" t="s">
        <v>14447</v>
      </c>
      <c r="E3530" s="7" t="s">
        <v>14438</v>
      </c>
      <c r="F3530" s="7" t="str">
        <f>HYPERLINK("http://www.ilcannito.com/","www.ilcannito.com")</f>
        <v>www.ilcannito.com</v>
      </c>
    </row>
    <row r="3531" spans="1:6" ht="29.55" customHeight="1" x14ac:dyDescent="0.25">
      <c r="A3531" s="6" t="s">
        <v>14448</v>
      </c>
      <c r="B3531" s="5" t="s">
        <v>14449</v>
      </c>
      <c r="C3531" s="5" t="s">
        <v>14446</v>
      </c>
      <c r="D3531" s="5" t="s">
        <v>14417</v>
      </c>
      <c r="E3531" s="5" t="s">
        <v>14418</v>
      </c>
      <c r="F3531" s="5" t="str">
        <f>HYPERLINK("http://www.camporsevoli.it/","www.camporsevoli.it")</f>
        <v>www.camporsevoli.it</v>
      </c>
    </row>
    <row r="3532" spans="1:6" ht="43.05" customHeight="1" x14ac:dyDescent="0.25">
      <c r="A3532" s="1" t="s">
        <v>14450</v>
      </c>
      <c r="B3532" s="7" t="s">
        <v>14451</v>
      </c>
      <c r="C3532" s="7" t="s">
        <v>14422</v>
      </c>
      <c r="D3532" s="7" t="s">
        <v>14428</v>
      </c>
      <c r="E3532" s="7" t="s">
        <v>14425</v>
      </c>
      <c r="F3532" s="7" t="str">
        <f>HYPERLINK("http://colledimaggio.it/","colledimaggio.it")</f>
        <v>colledimaggio.it</v>
      </c>
    </row>
    <row r="3533" spans="1:6" ht="29.55" customHeight="1" x14ac:dyDescent="0.25">
      <c r="A3533" s="1" t="s">
        <v>14452</v>
      </c>
      <c r="B3533" s="7" t="s">
        <v>14453</v>
      </c>
      <c r="C3533" s="7" t="s">
        <v>14454</v>
      </c>
      <c r="D3533" s="7" t="s">
        <v>14423</v>
      </c>
      <c r="E3533" s="7" t="s">
        <v>14424</v>
      </c>
      <c r="F3533" s="7" t="str">
        <f>HYPERLINK("http://www.tiraboschifrutta.com/","www.tiraboschifrutta.com")</f>
        <v>www.tiraboschifrutta.com</v>
      </c>
    </row>
    <row r="3534" spans="1:6" ht="43.05" customHeight="1" x14ac:dyDescent="0.25">
      <c r="A3534" s="6" t="s">
        <v>14455</v>
      </c>
      <c r="B3534" s="5" t="s">
        <v>14456</v>
      </c>
      <c r="C3534" s="5" t="s">
        <v>14422</v>
      </c>
      <c r="D3534" s="5" t="s">
        <v>14457</v>
      </c>
      <c r="E3534" s="5" t="s">
        <v>14429</v>
      </c>
      <c r="F3534" s="5" t="str">
        <f>HYPERLINK("http://www.terredellarocca.it/","www.terredellarocca.it")</f>
        <v>www.terredellarocca.it</v>
      </c>
    </row>
    <row r="3535" spans="1:6" ht="29.55" customHeight="1" x14ac:dyDescent="0.25">
      <c r="A3535" s="1" t="s">
        <v>14458</v>
      </c>
      <c r="B3535" s="7" t="s">
        <v>14459</v>
      </c>
      <c r="C3535" s="7" t="s">
        <v>14419</v>
      </c>
      <c r="D3535" s="7" t="s">
        <v>14430</v>
      </c>
      <c r="E3535" s="7" t="s">
        <v>14426</v>
      </c>
      <c r="F3535" s="7" t="str">
        <f>HYPERLINK("http://www.colledoro.com/","www.colledoro.com")</f>
        <v>www.colledoro.com</v>
      </c>
    </row>
    <row r="3536" spans="1:6" ht="43.05" customHeight="1" x14ac:dyDescent="0.25">
      <c r="A3536" s="1" t="s">
        <v>14460</v>
      </c>
      <c r="B3536" s="7" t="s">
        <v>14461</v>
      </c>
      <c r="C3536" s="7" t="s">
        <v>14462</v>
      </c>
      <c r="D3536" s="7" t="s">
        <v>14463</v>
      </c>
      <c r="E3536" s="7" t="s">
        <v>14464</v>
      </c>
      <c r="F3536" s="7" t="str">
        <f>HYPERLINK("http://www.meridianarm.com/","www.meridianarm.com")</f>
        <v>www.meridianarm.com</v>
      </c>
    </row>
    <row r="3537" spans="1:6" ht="29.55" customHeight="1" x14ac:dyDescent="0.25">
      <c r="A3537" s="6" t="s">
        <v>14470</v>
      </c>
      <c r="B3537" s="5" t="s">
        <v>14471</v>
      </c>
      <c r="C3537" s="5" t="s">
        <v>14472</v>
      </c>
      <c r="D3537" s="5" t="s">
        <v>14473</v>
      </c>
      <c r="E3537" s="5" t="s">
        <v>14474</v>
      </c>
      <c r="F3537" s="5" t="str">
        <f>HYPERLINK("http://www.friulviti.it/","www.friulviti.it")</f>
        <v>www.friulviti.it</v>
      </c>
    </row>
    <row r="3538" spans="1:6" ht="29.55" customHeight="1" x14ac:dyDescent="0.25">
      <c r="A3538" s="1" t="s">
        <v>14475</v>
      </c>
      <c r="B3538" s="7" t="s">
        <v>14476</v>
      </c>
      <c r="C3538" s="7" t="s">
        <v>14467</v>
      </c>
      <c r="D3538" s="7" t="s">
        <v>14477</v>
      </c>
      <c r="E3538" s="7" t="s">
        <v>14466</v>
      </c>
      <c r="F3538" s="7" t="str">
        <f>HYPERLINK("http://www.cantinamezzacane.it/","www.cantinamezzacane.it")</f>
        <v>www.cantinamezzacane.it</v>
      </c>
    </row>
    <row r="3539" spans="1:6" ht="43.05" customHeight="1" x14ac:dyDescent="0.25">
      <c r="A3539" s="6" t="s">
        <v>14481</v>
      </c>
      <c r="B3539" s="5" t="s">
        <v>14482</v>
      </c>
      <c r="C3539" s="5" t="s">
        <v>14467</v>
      </c>
      <c r="D3539" s="5" t="s">
        <v>14483</v>
      </c>
      <c r="E3539" s="5" t="s">
        <v>14469</v>
      </c>
      <c r="F3539" s="5" t="str">
        <f>HYPERLINK("http://tenutailquinto.com/","tenutailquinto.com")</f>
        <v>tenutailquinto.com</v>
      </c>
    </row>
    <row r="3540" spans="1:6" ht="29.55" customHeight="1" x14ac:dyDescent="0.25">
      <c r="A3540" s="6" t="s">
        <v>14485</v>
      </c>
      <c r="B3540" s="5" t="s">
        <v>14486</v>
      </c>
      <c r="C3540" s="5" t="s">
        <v>14467</v>
      </c>
      <c r="D3540" s="5" t="s">
        <v>14468</v>
      </c>
      <c r="E3540" s="5" t="s">
        <v>14469</v>
      </c>
      <c r="F3540" s="5" t="str">
        <f>HYPERLINK("http://www.altomena.com/","www.altomena.com")</f>
        <v>www.altomena.com</v>
      </c>
    </row>
    <row r="3541" spans="1:6" ht="29.55" customHeight="1" x14ac:dyDescent="0.25">
      <c r="A3541" s="6" t="s">
        <v>14487</v>
      </c>
      <c r="B3541" s="5" t="s">
        <v>14488</v>
      </c>
      <c r="C3541" s="5" t="s">
        <v>14467</v>
      </c>
      <c r="D3541" s="5" t="s">
        <v>14489</v>
      </c>
      <c r="E3541" s="5" t="s">
        <v>14484</v>
      </c>
      <c r="F3541" s="5" t="str">
        <f>HYPERLINK("http://www.agriturismonigro.it/","www.agriturismonigro.it")</f>
        <v>www.agriturismonigro.it</v>
      </c>
    </row>
    <row r="3542" spans="1:6" ht="29.55" customHeight="1" x14ac:dyDescent="0.25">
      <c r="A3542" s="1" t="s">
        <v>14490</v>
      </c>
      <c r="B3542" s="7" t="s">
        <v>14491</v>
      </c>
      <c r="C3542" s="7" t="s">
        <v>14465</v>
      </c>
      <c r="D3542" s="7" t="s">
        <v>14492</v>
      </c>
      <c r="E3542" s="7" t="s">
        <v>14493</v>
      </c>
      <c r="F3542" s="7" t="str">
        <f>HYPERLINK("http://cantinecifarelli.it/","cantinecifarelli.it")</f>
        <v>cantinecifarelli.it</v>
      </c>
    </row>
    <row r="3543" spans="1:6" ht="29.55" customHeight="1" x14ac:dyDescent="0.25">
      <c r="A3543" s="6" t="s">
        <v>14494</v>
      </c>
      <c r="B3543" s="5" t="s">
        <v>14495</v>
      </c>
      <c r="C3543" s="5" t="s">
        <v>14496</v>
      </c>
      <c r="D3543" s="5" t="s">
        <v>14479</v>
      </c>
      <c r="E3543" s="5" t="s">
        <v>14480</v>
      </c>
      <c r="F3543" s="5" t="str">
        <f>HYPERLINK("http://www.antichefosse.com/","www.antichefosse.com")</f>
        <v>www.antichefosse.com</v>
      </c>
    </row>
    <row r="3544" spans="1:6" ht="43.05" customHeight="1" x14ac:dyDescent="0.25">
      <c r="A3544" s="6" t="s">
        <v>14497</v>
      </c>
      <c r="B3544" s="5" t="s">
        <v>14498</v>
      </c>
      <c r="C3544" s="5" t="s">
        <v>14467</v>
      </c>
      <c r="D3544" s="5" t="s">
        <v>14499</v>
      </c>
      <c r="E3544" s="5" t="s">
        <v>14469</v>
      </c>
      <c r="F3544" s="5" t="str">
        <f>HYPERLINK("http://www.gliarchi.it/","www.gliarchi.it")</f>
        <v>www.gliarchi.it</v>
      </c>
    </row>
    <row r="3545" spans="1:6" ht="29.55" customHeight="1" x14ac:dyDescent="0.25">
      <c r="A3545" s="6" t="s">
        <v>14500</v>
      </c>
      <c r="B3545" s="5" t="s">
        <v>14501</v>
      </c>
      <c r="C3545" s="5" t="s">
        <v>14467</v>
      </c>
      <c r="D3545" s="5" t="s">
        <v>14502</v>
      </c>
      <c r="E3545" s="5" t="s">
        <v>14503</v>
      </c>
      <c r="F3545" s="5" t="str">
        <f>HYPERLINK("http://www.erpacrife.it/","www.erpacrife.it")</f>
        <v>www.erpacrife.it</v>
      </c>
    </row>
    <row r="3546" spans="1:6" ht="29.55" customHeight="1" x14ac:dyDescent="0.25">
      <c r="A3546" s="1" t="s">
        <v>14504</v>
      </c>
      <c r="B3546" s="7" t="s">
        <v>14505</v>
      </c>
      <c r="C3546" s="7" t="s">
        <v>14506</v>
      </c>
      <c r="D3546" s="7" t="s">
        <v>14507</v>
      </c>
      <c r="E3546" s="7" t="s">
        <v>14478</v>
      </c>
      <c r="F3546" s="7" t="str">
        <f>HYPERLINK("http://riloevo.it/","riloevo.it")</f>
        <v>riloevo.it</v>
      </c>
    </row>
    <row r="3547" spans="1:6" ht="29.55" customHeight="1" x14ac:dyDescent="0.25">
      <c r="A3547" s="1" t="s">
        <v>14509</v>
      </c>
      <c r="B3547" s="7" t="s">
        <v>14510</v>
      </c>
      <c r="C3547" s="7" t="s">
        <v>14511</v>
      </c>
      <c r="D3547" s="7" t="s">
        <v>14512</v>
      </c>
      <c r="E3547" s="7" t="s">
        <v>14513</v>
      </c>
      <c r="F3547" s="7" t="str">
        <f>HYPERLINK("http://www.collepina.com/","www.collepina.com")</f>
        <v>www.collepina.com</v>
      </c>
    </row>
    <row r="3548" spans="1:6" ht="29.55" customHeight="1" x14ac:dyDescent="0.25">
      <c r="A3548" s="6" t="s">
        <v>14514</v>
      </c>
      <c r="B3548" s="5" t="s">
        <v>14515</v>
      </c>
      <c r="C3548" s="5" t="s">
        <v>14516</v>
      </c>
      <c r="D3548" s="5" t="s">
        <v>14517</v>
      </c>
      <c r="E3548" s="5" t="s">
        <v>14518</v>
      </c>
      <c r="F3548" s="5" t="str">
        <f>HYPERLINK("http://www.collefasani.it/","www.collefasani.it")</f>
        <v>www.collefasani.it</v>
      </c>
    </row>
    <row r="3549" spans="1:6" ht="29.55" customHeight="1" x14ac:dyDescent="0.25">
      <c r="A3549" s="1" t="s">
        <v>14520</v>
      </c>
      <c r="B3549" s="7" t="s">
        <v>14521</v>
      </c>
      <c r="C3549" s="7" t="s">
        <v>14522</v>
      </c>
      <c r="D3549" s="7" t="s">
        <v>14523</v>
      </c>
      <c r="E3549" s="7" t="s">
        <v>14524</v>
      </c>
      <c r="F3549" s="7" t="str">
        <f>HYPERLINK("http://www.agriturismofrangellini.it/","www.agriturismofrangellini.it")</f>
        <v>www.agriturismofrangellini.it</v>
      </c>
    </row>
    <row r="3550" spans="1:6" ht="43.05" customHeight="1" x14ac:dyDescent="0.25">
      <c r="A3550" s="6" t="s">
        <v>14525</v>
      </c>
      <c r="B3550" s="5" t="s">
        <v>14526</v>
      </c>
      <c r="C3550" s="5" t="s">
        <v>14522</v>
      </c>
      <c r="D3550" s="5" t="s">
        <v>14527</v>
      </c>
      <c r="E3550" s="5" t="s">
        <v>14519</v>
      </c>
      <c r="F3550" s="5" t="str">
        <f>HYPERLINK("http://www.facebook.com/albergo-diffuso-quisquina-1598504480368794","www.facebook.com/albergo-diffuso-quisquina-1598504480368794")</f>
        <v>www.facebook.com/albergo-diffuso-quisquina-1598504480368794</v>
      </c>
    </row>
    <row r="3551" spans="1:6" ht="29.55" customHeight="1" x14ac:dyDescent="0.25">
      <c r="A3551" s="6" t="s">
        <v>14528</v>
      </c>
      <c r="B3551" s="5" t="s">
        <v>14529</v>
      </c>
      <c r="C3551" s="5" t="s">
        <v>14508</v>
      </c>
      <c r="D3551" s="5" t="s">
        <v>14530</v>
      </c>
      <c r="E3551" s="5" t="s">
        <v>14518</v>
      </c>
      <c r="F3551" s="5" t="str">
        <f>HYPERLINK("http://www.agriturismosorrentoletore.com/","www.agriturismosorrentoletore.com")</f>
        <v>www.agriturismosorrentoletore.com</v>
      </c>
    </row>
    <row r="3552" spans="1:6" ht="29.55" customHeight="1" x14ac:dyDescent="0.25">
      <c r="A3552" s="1" t="s">
        <v>14531</v>
      </c>
      <c r="B3552" s="7" t="s">
        <v>14532</v>
      </c>
      <c r="C3552" s="7" t="s">
        <v>14533</v>
      </c>
      <c r="D3552" s="7" t="s">
        <v>14534</v>
      </c>
      <c r="E3552" s="7" t="s">
        <v>14535</v>
      </c>
      <c r="F3552" s="7" t="str">
        <f>HYPERLINK("http://www.tenutamontescosso.it/","www.tenutamontescosso.it")</f>
        <v>www.tenutamontescosso.it</v>
      </c>
    </row>
    <row r="3553" spans="1:6" ht="29.55" customHeight="1" x14ac:dyDescent="0.25">
      <c r="A3553" s="6" t="s">
        <v>14539</v>
      </c>
      <c r="B3553" s="5" t="s">
        <v>14540</v>
      </c>
      <c r="C3553" s="5" t="s">
        <v>14538</v>
      </c>
      <c r="D3553" s="5" t="s">
        <v>14541</v>
      </c>
      <c r="E3553" s="5" t="s">
        <v>14542</v>
      </c>
      <c r="F3553" s="5" t="str">
        <f>HYPERLINK("http://www.valdomini.com/","www.valdomini.com")</f>
        <v>www.valdomini.com</v>
      </c>
    </row>
    <row r="3554" spans="1:6" ht="29.55" customHeight="1" x14ac:dyDescent="0.25">
      <c r="A3554" s="1" t="s">
        <v>14547</v>
      </c>
      <c r="B3554" s="7" t="s">
        <v>14548</v>
      </c>
      <c r="C3554" s="7" t="s">
        <v>14538</v>
      </c>
      <c r="D3554" s="7" t="s">
        <v>14549</v>
      </c>
      <c r="E3554" s="7" t="s">
        <v>14550</v>
      </c>
      <c r="F3554" s="7" t="str">
        <f>HYPERLINK("http://www.tenutavolpare.com/","www.tenutavolpare.com")</f>
        <v>www.tenutavolpare.com</v>
      </c>
    </row>
    <row r="3555" spans="1:6" ht="43.05" customHeight="1" x14ac:dyDescent="0.25">
      <c r="A3555" s="6" t="s">
        <v>14551</v>
      </c>
      <c r="B3555" s="5" t="s">
        <v>14552</v>
      </c>
      <c r="C3555" s="5" t="s">
        <v>14543</v>
      </c>
      <c r="D3555" s="5" t="s">
        <v>14553</v>
      </c>
      <c r="E3555" s="5" t="s">
        <v>14554</v>
      </c>
      <c r="F3555" s="5" t="str">
        <f>HYPERLINK("http://fattoriasocialespoleto.it/","fattoriasocialespoleto.it")</f>
        <v>fattoriasocialespoleto.it</v>
      </c>
    </row>
    <row r="3556" spans="1:6" ht="29.55" customHeight="1" x14ac:dyDescent="0.25">
      <c r="A3556" s="1" t="s">
        <v>14555</v>
      </c>
      <c r="B3556" s="7" t="s">
        <v>14556</v>
      </c>
      <c r="C3556" s="7" t="s">
        <v>14557</v>
      </c>
      <c r="D3556" s="7" t="s">
        <v>14558</v>
      </c>
      <c r="E3556" s="7" t="s">
        <v>14536</v>
      </c>
      <c r="F3556" s="7" t="str">
        <f>HYPERLINK("http://www.groppoli.com/","www.groppoli.com")</f>
        <v>www.groppoli.com</v>
      </c>
    </row>
    <row r="3557" spans="1:6" ht="29.55" customHeight="1" x14ac:dyDescent="0.25">
      <c r="A3557" s="6" t="s">
        <v>14559</v>
      </c>
      <c r="B3557" s="5" t="s">
        <v>14560</v>
      </c>
      <c r="C3557" s="5" t="s">
        <v>14561</v>
      </c>
      <c r="D3557" s="5" t="s">
        <v>14562</v>
      </c>
      <c r="E3557" s="5" t="s">
        <v>14546</v>
      </c>
      <c r="F3557" s="5" t="str">
        <f>HYPERLINK("http://www.fattoriafiorentino.it/","www.fattoriafiorentino.it")</f>
        <v>www.fattoriafiorentino.it</v>
      </c>
    </row>
    <row r="3558" spans="1:6" ht="29.55" customHeight="1" x14ac:dyDescent="0.25">
      <c r="A3558" s="6" t="s">
        <v>14563</v>
      </c>
      <c r="B3558" s="5" t="s">
        <v>14564</v>
      </c>
      <c r="C3558" s="5" t="s">
        <v>14565</v>
      </c>
      <c r="D3558" s="5" t="s">
        <v>14566</v>
      </c>
      <c r="E3558" s="5" t="s">
        <v>14567</v>
      </c>
      <c r="F3558" s="5" t="str">
        <f>HYPERLINK("http://www.officinedelverde.it/","www.officinedelverde.it")</f>
        <v>www.officinedelverde.it</v>
      </c>
    </row>
    <row r="3559" spans="1:6" ht="29.55" customHeight="1" x14ac:dyDescent="0.25">
      <c r="A3559" s="1" t="s">
        <v>14568</v>
      </c>
      <c r="B3559" s="7" t="s">
        <v>14569</v>
      </c>
      <c r="C3559" s="7" t="s">
        <v>14538</v>
      </c>
      <c r="D3559" s="7" t="s">
        <v>14544</v>
      </c>
      <c r="E3559" s="7" t="s">
        <v>14545</v>
      </c>
      <c r="F3559" s="7" t="str">
        <f>HYPERLINK("http://www.tenimentidalessandro.it/","www.tenimentidalessandro.it")</f>
        <v>www.tenimentidalessandro.it</v>
      </c>
    </row>
    <row r="3560" spans="1:6" ht="29.55" customHeight="1" x14ac:dyDescent="0.25">
      <c r="A3560" s="1" t="s">
        <v>14570</v>
      </c>
      <c r="B3560" s="7" t="s">
        <v>14571</v>
      </c>
      <c r="C3560" s="7" t="s">
        <v>14538</v>
      </c>
      <c r="D3560" s="7" t="s">
        <v>14572</v>
      </c>
      <c r="E3560" s="7" t="s">
        <v>14573</v>
      </c>
      <c r="F3560" s="7" t="str">
        <f>HYPERLINK("http://www.vinopiemonte.com/","www.vinopiemonte.com")</f>
        <v>www.vinopiemonte.com</v>
      </c>
    </row>
    <row r="3561" spans="1:6" ht="16.95" customHeight="1" x14ac:dyDescent="0.25">
      <c r="A3561" s="1" t="s">
        <v>14574</v>
      </c>
      <c r="B3561" s="7" t="s">
        <v>14575</v>
      </c>
      <c r="C3561" s="7" t="s">
        <v>14576</v>
      </c>
      <c r="D3561" s="7" t="s">
        <v>14577</v>
      </c>
      <c r="E3561" s="7" t="s">
        <v>14537</v>
      </c>
      <c r="F3561" s="7" t="str">
        <f>HYPERLINK("http://societagricolapapa.com/","societagricolapapa.com")</f>
        <v>societagricolapapa.com</v>
      </c>
    </row>
    <row r="3562" spans="1:6" ht="29.55" customHeight="1" x14ac:dyDescent="0.25">
      <c r="A3562" s="6" t="s">
        <v>14578</v>
      </c>
      <c r="B3562" s="5" t="s">
        <v>14579</v>
      </c>
      <c r="C3562" s="5" t="s">
        <v>14580</v>
      </c>
      <c r="D3562" s="5" t="s">
        <v>14581</v>
      </c>
      <c r="E3562" s="5" t="s">
        <v>14582</v>
      </c>
      <c r="F3562" s="5" t="str">
        <f>HYPERLINK("http://www.ampelositalia.com/","www.ampelositalia.com")</f>
        <v>www.ampelositalia.com</v>
      </c>
    </row>
    <row r="3563" spans="1:6" ht="29.55" customHeight="1" x14ac:dyDescent="0.25">
      <c r="A3563" s="6" t="s">
        <v>14584</v>
      </c>
      <c r="B3563" s="5" t="s">
        <v>14585</v>
      </c>
      <c r="C3563" s="5" t="s">
        <v>14586</v>
      </c>
      <c r="D3563" s="5" t="s">
        <v>14587</v>
      </c>
      <c r="E3563" s="5" t="s">
        <v>14588</v>
      </c>
      <c r="F3563" s="5" t="str">
        <f>HYPERLINK("http://www.biovitroagri.it/","www.biovitroagri.it")</f>
        <v>www.biovitroagri.it</v>
      </c>
    </row>
    <row r="3564" spans="1:6" ht="29.55" customHeight="1" x14ac:dyDescent="0.25">
      <c r="A3564" s="6" t="s">
        <v>14589</v>
      </c>
      <c r="B3564" s="5" t="s">
        <v>14590</v>
      </c>
      <c r="C3564" s="5" t="s">
        <v>14591</v>
      </c>
      <c r="D3564" s="5" t="s">
        <v>14592</v>
      </c>
      <c r="E3564" s="5" t="s">
        <v>14593</v>
      </c>
      <c r="F3564" s="5" t="str">
        <f>HYPERLINK("http://www.carusvini.it/","www.carusvini.it")</f>
        <v>www.carusvini.it</v>
      </c>
    </row>
    <row r="3565" spans="1:6" ht="29.55" customHeight="1" x14ac:dyDescent="0.25">
      <c r="A3565" s="1" t="s">
        <v>14596</v>
      </c>
      <c r="B3565" s="7" t="s">
        <v>14597</v>
      </c>
      <c r="C3565" s="7" t="s">
        <v>14598</v>
      </c>
      <c r="D3565" s="7" t="s">
        <v>14599</v>
      </c>
      <c r="E3565" s="7" t="s">
        <v>14600</v>
      </c>
      <c r="F3565" s="7" t="str">
        <f>HYPERLINK("http://www.privilegium.it/","www.privilegium.it")</f>
        <v>www.privilegium.it</v>
      </c>
    </row>
    <row r="3566" spans="1:6" ht="43.05" customHeight="1" x14ac:dyDescent="0.25">
      <c r="A3566" s="6" t="s">
        <v>14603</v>
      </c>
      <c r="B3566" s="5" t="s">
        <v>14604</v>
      </c>
      <c r="C3566" s="5" t="s">
        <v>14595</v>
      </c>
      <c r="D3566" s="5" t="s">
        <v>14605</v>
      </c>
      <c r="E3566" s="5" t="s">
        <v>14593</v>
      </c>
      <c r="F3566" s="5" t="str">
        <f>HYPERLINK("http://www.fattoriadirimaggio.it/","www.fattoriadirimaggio.it")</f>
        <v>www.fattoriadirimaggio.it</v>
      </c>
    </row>
    <row r="3567" spans="1:6" ht="29.55" customHeight="1" x14ac:dyDescent="0.25">
      <c r="A3567" s="1" t="s">
        <v>14606</v>
      </c>
      <c r="B3567" s="7" t="s">
        <v>14607</v>
      </c>
      <c r="C3567" s="7" t="s">
        <v>14583</v>
      </c>
      <c r="D3567" s="7" t="s">
        <v>14608</v>
      </c>
      <c r="E3567" s="7" t="s">
        <v>14601</v>
      </c>
      <c r="F3567" s="7" t="str">
        <f>HYPERLINK("http://ilpoggioloagriturismo.it/","ilpoggioloagriturismo.it")</f>
        <v>ilpoggioloagriturismo.it</v>
      </c>
    </row>
    <row r="3568" spans="1:6" ht="29.55" customHeight="1" x14ac:dyDescent="0.25">
      <c r="A3568" s="1" t="s">
        <v>14609</v>
      </c>
      <c r="B3568" s="7" t="s">
        <v>14610</v>
      </c>
      <c r="C3568" s="7" t="s">
        <v>14611</v>
      </c>
      <c r="D3568" s="7" t="s">
        <v>14612</v>
      </c>
      <c r="E3568" s="7" t="s">
        <v>14613</v>
      </c>
      <c r="F3568" s="7" t="str">
        <f>HYPERLINK("http://jurefarm.it/","jurefarm.it")</f>
        <v>jurefarm.it</v>
      </c>
    </row>
    <row r="3569" spans="1:6" ht="43.05" customHeight="1" x14ac:dyDescent="0.25">
      <c r="A3569" s="1" t="s">
        <v>14614</v>
      </c>
      <c r="B3569" s="7" t="s">
        <v>14615</v>
      </c>
      <c r="C3569" s="7" t="s">
        <v>14616</v>
      </c>
      <c r="D3569" s="7" t="s">
        <v>14617</v>
      </c>
      <c r="E3569" s="7" t="s">
        <v>14618</v>
      </c>
      <c r="F3569" s="7" t="str">
        <f>HYPERLINK("http://petalidisolidarieta.com/","petalidisolidarieta.com")</f>
        <v>petalidisolidarieta.com</v>
      </c>
    </row>
    <row r="3570" spans="1:6" ht="16.95" customHeight="1" x14ac:dyDescent="0.25">
      <c r="A3570" s="6" t="s">
        <v>14619</v>
      </c>
      <c r="B3570" s="5" t="s">
        <v>14620</v>
      </c>
      <c r="C3570" s="5" t="s">
        <v>14621</v>
      </c>
      <c r="D3570" s="5" t="s">
        <v>14617</v>
      </c>
      <c r="E3570" s="5" t="s">
        <v>14618</v>
      </c>
      <c r="F3570" s="5" t="str">
        <f>HYPERLINK("http://www.villaggioa4zampe.it/","www.villaggioa4zampe.it")</f>
        <v>www.villaggioa4zampe.it</v>
      </c>
    </row>
    <row r="3571" spans="1:6" ht="29.55" customHeight="1" x14ac:dyDescent="0.25">
      <c r="A3571" s="1" t="s">
        <v>14622</v>
      </c>
      <c r="B3571" s="7" t="s">
        <v>14623</v>
      </c>
      <c r="C3571" s="7" t="s">
        <v>14624</v>
      </c>
      <c r="D3571" s="7" t="s">
        <v>14605</v>
      </c>
      <c r="E3571" s="7" t="s">
        <v>14593</v>
      </c>
      <c r="F3571" s="7" t="str">
        <f>HYPERLINK("http://www.sartiesche.it/","www.sartiesche.it")</f>
        <v>www.sartiesche.it</v>
      </c>
    </row>
    <row r="3572" spans="1:6" ht="29.55" customHeight="1" x14ac:dyDescent="0.25">
      <c r="A3572" s="6" t="s">
        <v>14625</v>
      </c>
      <c r="B3572" s="5" t="s">
        <v>14626</v>
      </c>
      <c r="C3572" s="5" t="s">
        <v>14583</v>
      </c>
      <c r="D3572" s="5" t="s">
        <v>14627</v>
      </c>
      <c r="E3572" s="5" t="s">
        <v>14602</v>
      </c>
      <c r="F3572" s="5" t="str">
        <f>HYPERLINK("http://www.larubbianetta.com/","www.larubbianetta.com")</f>
        <v>www.larubbianetta.com</v>
      </c>
    </row>
    <row r="3573" spans="1:6" ht="43.05" customHeight="1" x14ac:dyDescent="0.25">
      <c r="A3573" s="1" t="s">
        <v>14628</v>
      </c>
      <c r="B3573" s="7" t="s">
        <v>14629</v>
      </c>
      <c r="C3573" s="7" t="s">
        <v>14583</v>
      </c>
      <c r="D3573" s="7" t="s">
        <v>14630</v>
      </c>
      <c r="E3573" s="7" t="s">
        <v>14601</v>
      </c>
      <c r="F3573" s="7" t="str">
        <f>HYPERLINK("http://campialti.it/","campialti.it")</f>
        <v>campialti.it</v>
      </c>
    </row>
    <row r="3574" spans="1:6" ht="29.55" customHeight="1" x14ac:dyDescent="0.25">
      <c r="A3574" s="6" t="s">
        <v>14631</v>
      </c>
      <c r="B3574" s="5" t="s">
        <v>14632</v>
      </c>
      <c r="C3574" s="5" t="s">
        <v>14633</v>
      </c>
      <c r="D3574" s="5" t="s">
        <v>14634</v>
      </c>
      <c r="E3574" s="5" t="s">
        <v>14594</v>
      </c>
      <c r="F3574" s="5" t="str">
        <f>HYPERLINK("http://www.alburninatura.it/","www.alburninatura.it")</f>
        <v>www.alburninatura.it</v>
      </c>
    </row>
    <row r="3575" spans="1:6" ht="29.55" customHeight="1" x14ac:dyDescent="0.25">
      <c r="A3575" s="6" t="s">
        <v>14635</v>
      </c>
      <c r="B3575" s="5" t="s">
        <v>14636</v>
      </c>
      <c r="C3575" s="5" t="s">
        <v>14637</v>
      </c>
      <c r="D3575" s="5" t="s">
        <v>14638</v>
      </c>
      <c r="E3575" s="5" t="s">
        <v>14639</v>
      </c>
      <c r="F3575" s="5" t="str">
        <f>HYPERLINK("http://www.tenutacasadelsole.it/","www.tenutacasadelsole.it")</f>
        <v>www.tenutacasadelsole.it</v>
      </c>
    </row>
    <row r="3576" spans="1:6" ht="29.55" customHeight="1" x14ac:dyDescent="0.25">
      <c r="A3576" s="1" t="s">
        <v>14647</v>
      </c>
      <c r="B3576" s="7" t="s">
        <v>14648</v>
      </c>
      <c r="C3576" s="7" t="s">
        <v>14649</v>
      </c>
      <c r="D3576" s="7" t="s">
        <v>14644</v>
      </c>
      <c r="E3576" s="7" t="s">
        <v>14645</v>
      </c>
      <c r="F3576" s="7" t="str">
        <f>HYPERLINK("http://www.instagram.com/masaneoagricoltura/","www.instagram.com/masaneoagricoltura/")</f>
        <v>www.instagram.com/masaneoagricoltura/</v>
      </c>
    </row>
    <row r="3577" spans="1:6" ht="29.55" customHeight="1" x14ac:dyDescent="0.25">
      <c r="A3577" s="6" t="s">
        <v>14650</v>
      </c>
      <c r="B3577" s="5" t="s">
        <v>14651</v>
      </c>
      <c r="C3577" s="5" t="s">
        <v>14643</v>
      </c>
      <c r="D3577" s="5" t="s">
        <v>14652</v>
      </c>
      <c r="E3577" s="5" t="s">
        <v>14653</v>
      </c>
      <c r="F3577" s="5" t="str">
        <f>HYPERLINK("http://www.hortusmantova.it/","www.hortusmantova.it")</f>
        <v>www.hortusmantova.it</v>
      </c>
    </row>
    <row r="3578" spans="1:6" ht="43.05" customHeight="1" x14ac:dyDescent="0.25">
      <c r="A3578" s="1" t="s">
        <v>14655</v>
      </c>
      <c r="B3578" s="7" t="s">
        <v>14656</v>
      </c>
      <c r="C3578" s="7" t="s">
        <v>14657</v>
      </c>
      <c r="D3578" s="7" t="s">
        <v>14658</v>
      </c>
      <c r="E3578" s="7" t="s">
        <v>14640</v>
      </c>
      <c r="F3578" s="7" t="str">
        <f>HYPERLINK("http://justfeelbetter.it/","justfeelbetter.it")</f>
        <v>justfeelbetter.it</v>
      </c>
    </row>
    <row r="3579" spans="1:6" ht="29.55" customHeight="1" x14ac:dyDescent="0.25">
      <c r="A3579" s="1" t="s">
        <v>14659</v>
      </c>
      <c r="B3579" s="7" t="s">
        <v>14660</v>
      </c>
      <c r="C3579" s="7" t="s">
        <v>14661</v>
      </c>
      <c r="D3579" s="7" t="s">
        <v>14662</v>
      </c>
      <c r="E3579" s="7" t="s">
        <v>14646</v>
      </c>
      <c r="F3579" s="7" t="str">
        <f>HYPERLINK("http://scovaventi.it/","scovaventi.it")</f>
        <v>scovaventi.it</v>
      </c>
    </row>
    <row r="3580" spans="1:6" ht="16.95" customHeight="1" x14ac:dyDescent="0.25">
      <c r="A3580" s="6" t="s">
        <v>14663</v>
      </c>
      <c r="B3580" s="5" t="s">
        <v>14664</v>
      </c>
      <c r="C3580" s="5" t="s">
        <v>14654</v>
      </c>
      <c r="D3580" s="5" t="s">
        <v>14641</v>
      </c>
      <c r="E3580" s="5" t="s">
        <v>14642</v>
      </c>
      <c r="F3580" s="5" t="str">
        <f>HYPERLINK("http://www.tenutefasanella.it/","www.tenutefasanella.it")</f>
        <v>www.tenutefasanella.it</v>
      </c>
    </row>
    <row r="3581" spans="1:6" ht="43.05" customHeight="1" x14ac:dyDescent="0.25">
      <c r="A3581" s="1" t="s">
        <v>14665</v>
      </c>
      <c r="B3581" s="7" t="s">
        <v>14666</v>
      </c>
      <c r="C3581" s="7" t="s">
        <v>14667</v>
      </c>
      <c r="D3581" s="7" t="s">
        <v>14668</v>
      </c>
      <c r="E3581" s="7" t="s">
        <v>14669</v>
      </c>
      <c r="F3581" s="7" t="str">
        <f>HYPERLINK("http://www.agriturismoparadiso.eu/","www.agriturismoparadiso.eu")</f>
        <v>www.agriturismoparadiso.eu</v>
      </c>
    </row>
    <row r="3582" spans="1:6" ht="43.05" customHeight="1" x14ac:dyDescent="0.25">
      <c r="A3582" s="6" t="s">
        <v>14670</v>
      </c>
      <c r="B3582" s="5" t="s">
        <v>14671</v>
      </c>
      <c r="C3582" s="5" t="s">
        <v>14672</v>
      </c>
      <c r="D3582" s="5" t="s">
        <v>14673</v>
      </c>
      <c r="E3582" s="5" t="s">
        <v>14674</v>
      </c>
      <c r="F3582" s="5" t="str">
        <f>HYPERLINK("http://www.ilconventino.it/","www.ilconventino.it")</f>
        <v>www.ilconventino.it</v>
      </c>
    </row>
    <row r="3583" spans="1:6" ht="29.55" customHeight="1" x14ac:dyDescent="0.25">
      <c r="A3583" s="1" t="s">
        <v>14675</v>
      </c>
      <c r="B3583" s="7" t="s">
        <v>14676</v>
      </c>
      <c r="C3583" s="7" t="s">
        <v>14672</v>
      </c>
      <c r="D3583" s="7" t="s">
        <v>14677</v>
      </c>
      <c r="E3583" s="7" t="s">
        <v>14678</v>
      </c>
      <c r="F3583" s="7" t="str">
        <f>HYPERLINK("http://www.primaterra.it/","www.primaterra.it")</f>
        <v>www.primaterra.it</v>
      </c>
    </row>
    <row r="3584" spans="1:6" ht="43.05" customHeight="1" x14ac:dyDescent="0.25">
      <c r="A3584" s="6" t="s">
        <v>14679</v>
      </c>
      <c r="B3584" s="5" t="s">
        <v>14680</v>
      </c>
      <c r="C3584" s="5" t="s">
        <v>14681</v>
      </c>
      <c r="D3584" s="5" t="s">
        <v>14682</v>
      </c>
      <c r="E3584" s="5" t="s">
        <v>14683</v>
      </c>
      <c r="F3584" s="5" t="str">
        <f>HYPERLINK("http://agricolasalone.it/","agricolasalone.it")</f>
        <v>agricolasalone.it</v>
      </c>
    </row>
    <row r="3585" spans="1:6" ht="43.05" customHeight="1" x14ac:dyDescent="0.25">
      <c r="A3585" s="6" t="s">
        <v>14686</v>
      </c>
      <c r="B3585" s="5" t="s">
        <v>14687</v>
      </c>
      <c r="C3585" s="5" t="s">
        <v>14688</v>
      </c>
      <c r="D3585" s="5" t="s">
        <v>14689</v>
      </c>
      <c r="E3585" s="5" t="s">
        <v>14674</v>
      </c>
      <c r="F3585" s="5" t="str">
        <f>HYPERLINK("http://coeso.org/","coeso.org")</f>
        <v>coeso.org</v>
      </c>
    </row>
    <row r="3586" spans="1:6" ht="29.55" customHeight="1" x14ac:dyDescent="0.25">
      <c r="A3586" s="1" t="s">
        <v>14690</v>
      </c>
      <c r="B3586" s="7" t="s">
        <v>14691</v>
      </c>
      <c r="C3586" s="7" t="s">
        <v>14672</v>
      </c>
      <c r="D3586" s="7" t="s">
        <v>14689</v>
      </c>
      <c r="E3586" s="7" t="s">
        <v>14674</v>
      </c>
      <c r="F3586" s="7" t="str">
        <f>HYPERLINK("http://www.grignanowinery.com/","www.grignanowinery.com")</f>
        <v>www.grignanowinery.com</v>
      </c>
    </row>
    <row r="3587" spans="1:6" ht="43.05" customHeight="1" x14ac:dyDescent="0.25">
      <c r="A3587" s="1" t="s">
        <v>14693</v>
      </c>
      <c r="B3587" s="7" t="s">
        <v>14694</v>
      </c>
      <c r="C3587" s="7" t="s">
        <v>14684</v>
      </c>
      <c r="D3587" s="7" t="s">
        <v>14695</v>
      </c>
      <c r="E3587" s="7" t="s">
        <v>14685</v>
      </c>
      <c r="F3587" s="7" t="str">
        <f>HYPERLINK("http://www.agrivis.it/","www.agrivis.it")</f>
        <v>www.agrivis.it</v>
      </c>
    </row>
    <row r="3588" spans="1:6" ht="55.65" customHeight="1" x14ac:dyDescent="0.25">
      <c r="A3588" s="6" t="s">
        <v>14696</v>
      </c>
      <c r="B3588" s="5" t="s">
        <v>14697</v>
      </c>
      <c r="C3588" s="5" t="s">
        <v>14698</v>
      </c>
      <c r="D3588" s="5" t="s">
        <v>14699</v>
      </c>
      <c r="E3588" s="5" t="s">
        <v>14700</v>
      </c>
      <c r="F3588" s="5" t="str">
        <f>HYPERLINK("http://www.cascinacabella.it/","www.cascinacabella.it")</f>
        <v>www.cascinacabella.it</v>
      </c>
    </row>
    <row r="3589" spans="1:6" ht="29.55" customHeight="1" x14ac:dyDescent="0.25">
      <c r="A3589" s="1" t="s">
        <v>14701</v>
      </c>
      <c r="B3589" s="7" t="s">
        <v>14702</v>
      </c>
      <c r="C3589" s="7" t="s">
        <v>14667</v>
      </c>
      <c r="D3589" s="7" t="s">
        <v>14703</v>
      </c>
      <c r="E3589" s="7" t="s">
        <v>14692</v>
      </c>
      <c r="F3589" s="7" t="str">
        <f>HYPERLINK("http://www.lattefree.eu/","www.lattefree.eu")</f>
        <v>www.lattefree.eu</v>
      </c>
    </row>
    <row r="3590" spans="1:6" ht="68.099999999999994" customHeight="1" x14ac:dyDescent="0.25">
      <c r="A3590" s="1" t="s">
        <v>14709</v>
      </c>
      <c r="B3590" s="7" t="s">
        <v>14710</v>
      </c>
      <c r="C3590" s="7" t="s">
        <v>14706</v>
      </c>
      <c r="D3590" s="7" t="s">
        <v>14711</v>
      </c>
      <c r="E3590" s="7" t="s">
        <v>14712</v>
      </c>
      <c r="F3590" s="7" t="str">
        <f>HYPERLINK("http://www.labonausanza.it/","www.labonausanza.it")</f>
        <v>www.labonausanza.it</v>
      </c>
    </row>
    <row r="3591" spans="1:6" ht="29.55" customHeight="1" x14ac:dyDescent="0.25">
      <c r="A3591" s="6" t="s">
        <v>14715</v>
      </c>
      <c r="B3591" s="5" t="s">
        <v>14716</v>
      </c>
      <c r="C3591" s="5" t="s">
        <v>14713</v>
      </c>
      <c r="D3591" s="5" t="s">
        <v>14717</v>
      </c>
      <c r="E3591" s="5" t="s">
        <v>14718</v>
      </c>
      <c r="F3591" s="5" t="str">
        <f>HYPERLINK("http://www.tenutalondi.it/","www.tenutalondi.it")</f>
        <v>www.tenutalondi.it</v>
      </c>
    </row>
    <row r="3592" spans="1:6" ht="55.65" customHeight="1" x14ac:dyDescent="0.25">
      <c r="A3592" s="6" t="s">
        <v>14721</v>
      </c>
      <c r="B3592" s="5" t="s">
        <v>14722</v>
      </c>
      <c r="C3592" s="5" t="s">
        <v>14704</v>
      </c>
      <c r="D3592" s="5" t="s">
        <v>14723</v>
      </c>
      <c r="E3592" s="5" t="s">
        <v>14708</v>
      </c>
      <c r="F3592" s="5" t="str">
        <f>HYPERLINK("http://www.agriturismomontecaccione.com/","www.agriturismomontecaccione.com")</f>
        <v>www.agriturismomontecaccione.com</v>
      </c>
    </row>
    <row r="3593" spans="1:6" ht="29.55" customHeight="1" x14ac:dyDescent="0.25">
      <c r="A3593" s="1" t="s">
        <v>14724</v>
      </c>
      <c r="B3593" s="7" t="s">
        <v>14725</v>
      </c>
      <c r="C3593" s="7" t="s">
        <v>14726</v>
      </c>
      <c r="D3593" s="7" t="s">
        <v>14727</v>
      </c>
      <c r="E3593" s="7" t="s">
        <v>14714</v>
      </c>
      <c r="F3593" s="7" t="str">
        <f>HYPERLINK("http://www.radicalbrewery.it/","www.radicalbrewery.it")</f>
        <v>www.radicalbrewery.it</v>
      </c>
    </row>
    <row r="3594" spans="1:6" ht="29.55" customHeight="1" x14ac:dyDescent="0.25">
      <c r="A3594" s="6" t="s">
        <v>14728</v>
      </c>
      <c r="B3594" s="5" t="s">
        <v>14729</v>
      </c>
      <c r="C3594" s="5" t="s">
        <v>14719</v>
      </c>
      <c r="D3594" s="5" t="s">
        <v>14730</v>
      </c>
      <c r="E3594" s="5" t="s">
        <v>14707</v>
      </c>
      <c r="F3594" s="5" t="str">
        <f>HYPERLINK("http://www.villamerighi.it/","www.villamerighi.it")</f>
        <v>www.villamerighi.it</v>
      </c>
    </row>
    <row r="3595" spans="1:6" ht="43.05" customHeight="1" x14ac:dyDescent="0.25">
      <c r="A3595" s="6" t="s">
        <v>14731</v>
      </c>
      <c r="B3595" s="5" t="s">
        <v>14732</v>
      </c>
      <c r="C3595" s="5" t="s">
        <v>14705</v>
      </c>
      <c r="D3595" s="5" t="s">
        <v>14720</v>
      </c>
      <c r="E3595" s="5" t="s">
        <v>14718</v>
      </c>
      <c r="F3595" s="5" t="str">
        <f>HYPERLINK("http://www.conad.it/ricerca-negozi/conad-via-colonnette-snc-82100-benevento--006212","www.conad.it/ricerca-negozi/conad-via-colonnette-snc-82100-benevento--006212")</f>
        <v>www.conad.it/ricerca-negozi/conad-via-colonnette-snc-82100-benevento--006212</v>
      </c>
    </row>
    <row r="3596" spans="1:6" ht="55.65" customHeight="1" x14ac:dyDescent="0.25">
      <c r="A3596" s="1" t="s">
        <v>14735</v>
      </c>
      <c r="B3596" s="7" t="s">
        <v>14736</v>
      </c>
      <c r="C3596" s="7" t="s">
        <v>14737</v>
      </c>
      <c r="D3596" s="7" t="s">
        <v>14738</v>
      </c>
      <c r="E3596" s="7" t="s">
        <v>14739</v>
      </c>
      <c r="F3596" s="7" t="str">
        <f>HYPERLINK("http://www.rivomaris.it/","www.rivomaris.it")</f>
        <v>www.rivomaris.it</v>
      </c>
    </row>
    <row r="3597" spans="1:6" ht="29.55" customHeight="1" x14ac:dyDescent="0.25">
      <c r="A3597" s="6" t="s">
        <v>14740</v>
      </c>
      <c r="B3597" s="5" t="s">
        <v>14741</v>
      </c>
      <c r="C3597" s="5" t="s">
        <v>14742</v>
      </c>
      <c r="D3597" s="5" t="s">
        <v>14743</v>
      </c>
      <c r="E3597" s="5" t="s">
        <v>14744</v>
      </c>
      <c r="F3597" s="5" t="str">
        <f>HYPERLINK("http://www.agricooltur.it/","www.agricooltur.it")</f>
        <v>www.agricooltur.it</v>
      </c>
    </row>
    <row r="3598" spans="1:6" ht="43.05" customHeight="1" x14ac:dyDescent="0.25">
      <c r="A3598" s="6" t="s">
        <v>14746</v>
      </c>
      <c r="B3598" s="5" t="s">
        <v>14747</v>
      </c>
      <c r="C3598" s="5" t="s">
        <v>14748</v>
      </c>
      <c r="D3598" s="5" t="s">
        <v>14749</v>
      </c>
      <c r="E3598" s="5" t="s">
        <v>14750</v>
      </c>
      <c r="F3598" s="5" t="str">
        <f>HYPERLINK("http://www.oleificioseneghe.com/","www.oleificioseneghe.com")</f>
        <v>www.oleificioseneghe.com</v>
      </c>
    </row>
    <row r="3599" spans="1:6" ht="55.65" customHeight="1" x14ac:dyDescent="0.25">
      <c r="A3599" s="1" t="s">
        <v>14752</v>
      </c>
      <c r="B3599" s="7" t="s">
        <v>14753</v>
      </c>
      <c r="C3599" s="7" t="s">
        <v>14754</v>
      </c>
      <c r="D3599" s="7" t="s">
        <v>14755</v>
      </c>
      <c r="E3599" s="7" t="s">
        <v>14733</v>
      </c>
      <c r="F3599" s="7" t="str">
        <f>HYPERLINK("http://cooperativaagricolasandamianoallecasenice.business.site/","cooperativaagricolasandamianoallecasenice.business.site")</f>
        <v>cooperativaagricolasandamianoallecasenice.business.site</v>
      </c>
    </row>
    <row r="3600" spans="1:6" ht="16.95" customHeight="1" x14ac:dyDescent="0.25">
      <c r="A3600" s="6" t="s">
        <v>14756</v>
      </c>
      <c r="B3600" s="5" t="s">
        <v>14757</v>
      </c>
      <c r="C3600" s="5" t="s">
        <v>14758</v>
      </c>
      <c r="D3600" s="5" t="s">
        <v>14759</v>
      </c>
      <c r="E3600" s="5" t="s">
        <v>14751</v>
      </c>
      <c r="F3600" s="5" t="str">
        <f>HYPERLINK("http://www.gea-agricola.it/","www.gea-agricola.it")</f>
        <v>www.gea-agricola.it</v>
      </c>
    </row>
    <row r="3601" spans="1:6" ht="29.55" customHeight="1" x14ac:dyDescent="0.25">
      <c r="A3601" s="1" t="s">
        <v>14760</v>
      </c>
      <c r="B3601" s="7" t="s">
        <v>14761</v>
      </c>
      <c r="C3601" s="7" t="s">
        <v>14762</v>
      </c>
      <c r="D3601" s="7" t="s">
        <v>14763</v>
      </c>
      <c r="E3601" s="7" t="s">
        <v>14764</v>
      </c>
      <c r="F3601" s="7" t="str">
        <f>HYPERLINK("http://www.associazione1429.com/","www.associazione1429.com")</f>
        <v>www.associazione1429.com</v>
      </c>
    </row>
    <row r="3602" spans="1:6" ht="29.55" customHeight="1" x14ac:dyDescent="0.25">
      <c r="A3602" s="1" t="s">
        <v>14766</v>
      </c>
      <c r="B3602" s="7" t="s">
        <v>14767</v>
      </c>
      <c r="C3602" s="7" t="s">
        <v>14737</v>
      </c>
      <c r="D3602" s="7" t="s">
        <v>14768</v>
      </c>
      <c r="E3602" s="7" t="s">
        <v>14745</v>
      </c>
      <c r="F3602" s="7" t="str">
        <f>HYPERLINK("http://cerbaia.com/","cerbaia.com")</f>
        <v>cerbaia.com</v>
      </c>
    </row>
    <row r="3603" spans="1:6" ht="29.55" customHeight="1" x14ac:dyDescent="0.25">
      <c r="A3603" s="1" t="s">
        <v>14769</v>
      </c>
      <c r="B3603" s="7" t="s">
        <v>14770</v>
      </c>
      <c r="C3603" s="7" t="s">
        <v>14734</v>
      </c>
      <c r="D3603" s="7" t="s">
        <v>14771</v>
      </c>
      <c r="E3603" s="7" t="s">
        <v>14772</v>
      </c>
      <c r="F3603" s="7" t="str">
        <f>HYPERLINK("http://adotta.landmarkweb.it/","adotta.landmarkweb.it")</f>
        <v>adotta.landmarkweb.it</v>
      </c>
    </row>
    <row r="3604" spans="1:6" ht="29.55" customHeight="1" x14ac:dyDescent="0.25">
      <c r="A3604" s="6" t="s">
        <v>14773</v>
      </c>
      <c r="B3604" s="5" t="s">
        <v>14774</v>
      </c>
      <c r="C3604" s="5" t="s">
        <v>14775</v>
      </c>
      <c r="D3604" s="5" t="s">
        <v>14776</v>
      </c>
      <c r="E3604" s="5" t="s">
        <v>14765</v>
      </c>
      <c r="F3604" s="5" t="str">
        <f>HYPERLINK("http://iciacca.com/","iciacca.com")</f>
        <v>iciacca.com</v>
      </c>
    </row>
    <row r="3605" spans="1:6" ht="29.55" customHeight="1" x14ac:dyDescent="0.25">
      <c r="A3605" s="1" t="s">
        <v>14777</v>
      </c>
      <c r="B3605" s="7" t="s">
        <v>14778</v>
      </c>
      <c r="C3605" s="7" t="s">
        <v>14779</v>
      </c>
      <c r="D3605" s="7" t="s">
        <v>14780</v>
      </c>
      <c r="E3605" s="7" t="s">
        <v>14781</v>
      </c>
      <c r="F3605" s="7" t="str">
        <f>HYPERLINK("http://www.poggionardini.it/","www.poggionardini.it")</f>
        <v>www.poggionardini.it</v>
      </c>
    </row>
    <row r="3606" spans="1:6" ht="29.55" customHeight="1" x14ac:dyDescent="0.25">
      <c r="A3606" s="1" t="s">
        <v>14783</v>
      </c>
      <c r="B3606" s="7" t="s">
        <v>14784</v>
      </c>
      <c r="C3606" s="7" t="s">
        <v>14779</v>
      </c>
      <c r="D3606" s="7" t="s">
        <v>14785</v>
      </c>
      <c r="E3606" s="7" t="s">
        <v>14786</v>
      </c>
      <c r="F3606" s="7" t="str">
        <f>HYPERLINK("http://www.fiorentinovini.it/","www.fiorentinovini.it")</f>
        <v>www.fiorentinovini.it</v>
      </c>
    </row>
    <row r="3607" spans="1:6" ht="29.55" customHeight="1" x14ac:dyDescent="0.25">
      <c r="A3607" s="6" t="s">
        <v>14787</v>
      </c>
      <c r="B3607" s="5" t="s">
        <v>14788</v>
      </c>
      <c r="C3607" s="5" t="s">
        <v>14789</v>
      </c>
      <c r="D3607" s="5" t="s">
        <v>14790</v>
      </c>
      <c r="E3607" s="5" t="s">
        <v>14791</v>
      </c>
      <c r="F3607" s="5" t="str">
        <f>HYPERLINK("http://www.semidivita.com/","www.semidivita.com")</f>
        <v>www.semidivita.com</v>
      </c>
    </row>
    <row r="3608" spans="1:6" ht="16.95" customHeight="1" x14ac:dyDescent="0.25">
      <c r="A3608" s="1" t="s">
        <v>14792</v>
      </c>
      <c r="B3608" s="7" t="s">
        <v>14793</v>
      </c>
      <c r="C3608" s="7" t="s">
        <v>14794</v>
      </c>
      <c r="D3608" s="7" t="s">
        <v>14795</v>
      </c>
      <c r="E3608" s="7" t="s">
        <v>14786</v>
      </c>
      <c r="F3608" s="7" t="str">
        <f>HYPERLINK("http://www.mashaexperience.com/","www.mashaexperience.com")</f>
        <v>www.mashaexperience.com</v>
      </c>
    </row>
    <row r="3609" spans="1:6" ht="29.55" customHeight="1" x14ac:dyDescent="0.25">
      <c r="A3609" s="6" t="s">
        <v>14796</v>
      </c>
      <c r="B3609" s="5" t="s">
        <v>14797</v>
      </c>
      <c r="C3609" s="5" t="s">
        <v>14798</v>
      </c>
      <c r="D3609" s="5" t="s">
        <v>14799</v>
      </c>
      <c r="E3609" s="5" t="s">
        <v>14781</v>
      </c>
      <c r="F3609" s="5" t="str">
        <f>HYPERLINK("http://poggioaisanti.com/","poggioaisanti.com")</f>
        <v>poggioaisanti.com</v>
      </c>
    </row>
    <row r="3610" spans="1:6" ht="29.55" customHeight="1" x14ac:dyDescent="0.25">
      <c r="A3610" s="6" t="s">
        <v>14801</v>
      </c>
      <c r="B3610" s="5" t="s">
        <v>14802</v>
      </c>
      <c r="C3610" s="5" t="s">
        <v>14779</v>
      </c>
      <c r="D3610" s="5" t="s">
        <v>14785</v>
      </c>
      <c r="E3610" s="5" t="s">
        <v>14786</v>
      </c>
      <c r="F3610" s="5" t="str">
        <f>HYPERLINK("http://cantinariccio.it/","cantinariccio.it")</f>
        <v>cantinariccio.it</v>
      </c>
    </row>
    <row r="3611" spans="1:6" ht="29.55" customHeight="1" x14ac:dyDescent="0.25">
      <c r="A3611" s="1" t="s">
        <v>14804</v>
      </c>
      <c r="B3611" s="7" t="s">
        <v>14805</v>
      </c>
      <c r="C3611" s="7" t="s">
        <v>14800</v>
      </c>
      <c r="D3611" s="7" t="s">
        <v>14806</v>
      </c>
      <c r="E3611" s="7" t="s">
        <v>14791</v>
      </c>
      <c r="F3611" s="7" t="str">
        <f>HYPERLINK("http://www.vinimarmorelle.com/","www.vinimarmorelle.com")</f>
        <v>www.vinimarmorelle.com</v>
      </c>
    </row>
    <row r="3612" spans="1:6" ht="43.05" customHeight="1" x14ac:dyDescent="0.25">
      <c r="A3612" s="6" t="s">
        <v>14807</v>
      </c>
      <c r="B3612" s="5" t="s">
        <v>14808</v>
      </c>
      <c r="C3612" s="5" t="s">
        <v>14779</v>
      </c>
      <c r="D3612" s="5" t="s">
        <v>14809</v>
      </c>
      <c r="E3612" s="5" t="s">
        <v>14803</v>
      </c>
      <c r="F3612" s="5" t="str">
        <f>HYPERLINK("http://almavite.it/","almavite.it")</f>
        <v>almavite.it</v>
      </c>
    </row>
    <row r="3613" spans="1:6" ht="29.55" customHeight="1" x14ac:dyDescent="0.25">
      <c r="A3613" s="1" t="s">
        <v>14810</v>
      </c>
      <c r="B3613" s="7" t="s">
        <v>14811</v>
      </c>
      <c r="C3613" s="7" t="s">
        <v>14812</v>
      </c>
      <c r="D3613" s="7" t="s">
        <v>14813</v>
      </c>
      <c r="E3613" s="7" t="s">
        <v>14782</v>
      </c>
      <c r="F3613" s="7" t="str">
        <f>HYPERLINK("http://terrasurti.it/","terrasurti.it")</f>
        <v>terrasurti.it</v>
      </c>
    </row>
    <row r="3614" spans="1:6" ht="43.05" customHeight="1" x14ac:dyDescent="0.25">
      <c r="A3614" s="6" t="s">
        <v>14815</v>
      </c>
      <c r="B3614" s="5" t="s">
        <v>14816</v>
      </c>
      <c r="C3614" s="5" t="s">
        <v>14779</v>
      </c>
      <c r="D3614" s="5" t="s">
        <v>14817</v>
      </c>
      <c r="E3614" s="5" t="s">
        <v>14818</v>
      </c>
      <c r="F3614" s="5" t="str">
        <f>HYPERLINK("http://www.laballerina.it/","www.laballerina.it")</f>
        <v>www.laballerina.it</v>
      </c>
    </row>
    <row r="3615" spans="1:6" ht="29.55" customHeight="1" x14ac:dyDescent="0.25">
      <c r="A3615" s="1" t="s">
        <v>14820</v>
      </c>
      <c r="B3615" s="7" t="s">
        <v>14821</v>
      </c>
      <c r="C3615" s="7" t="s">
        <v>14819</v>
      </c>
      <c r="D3615" s="7" t="s">
        <v>14822</v>
      </c>
      <c r="E3615" s="7" t="s">
        <v>14803</v>
      </c>
      <c r="F3615" s="7" t="str">
        <f>HYPERLINK("http://www.marcoroveda.com/","www.marcoroveda.com")</f>
        <v>www.marcoroveda.com</v>
      </c>
    </row>
    <row r="3616" spans="1:6" ht="29.55" customHeight="1" x14ac:dyDescent="0.25">
      <c r="A3616" s="1" t="s">
        <v>14823</v>
      </c>
      <c r="B3616" s="7" t="s">
        <v>14824</v>
      </c>
      <c r="C3616" s="7" t="s">
        <v>14798</v>
      </c>
      <c r="D3616" s="7" t="s">
        <v>14814</v>
      </c>
      <c r="E3616" s="7" t="s">
        <v>14791</v>
      </c>
      <c r="F3616" s="7" t="str">
        <f>HYPERLINK("http://www.hotelimmagine.it/","www.hotelimmagine.it")</f>
        <v>www.hotelimmagine.it</v>
      </c>
    </row>
    <row r="3617" spans="1:6" ht="29.55" customHeight="1" x14ac:dyDescent="0.25">
      <c r="A3617" s="6" t="s">
        <v>14827</v>
      </c>
      <c r="B3617" s="5" t="s">
        <v>14828</v>
      </c>
      <c r="C3617" s="5" t="s">
        <v>14829</v>
      </c>
      <c r="D3617" s="5" t="s">
        <v>14825</v>
      </c>
      <c r="E3617" s="5" t="s">
        <v>14826</v>
      </c>
      <c r="F3617" s="5" t="str">
        <f>HYPERLINK("http://www.aziendaagricolapiscitiello.com/","www.aziendaagricolapiscitiello.com")</f>
        <v>www.aziendaagricolapiscitiello.com</v>
      </c>
    </row>
    <row r="3618" spans="1:6" ht="68.099999999999994" customHeight="1" x14ac:dyDescent="0.25">
      <c r="A3618" s="6" t="s">
        <v>14830</v>
      </c>
      <c r="B3618" s="5" t="s">
        <v>14831</v>
      </c>
      <c r="C3618" s="5" t="s">
        <v>14832</v>
      </c>
      <c r="D3618" s="5" t="s">
        <v>14833</v>
      </c>
      <c r="E3618" s="5" t="s">
        <v>14826</v>
      </c>
      <c r="F3618" s="5" t="str">
        <f>HYPERLINK("http://www.aiadellemonache.it/","www.aiadellemonache.it")</f>
        <v>www.aiadellemonache.it</v>
      </c>
    </row>
    <row r="3619" spans="1:6" ht="43.05" customHeight="1" x14ac:dyDescent="0.25">
      <c r="A3619" s="1" t="s">
        <v>14834</v>
      </c>
      <c r="B3619" s="7" t="s">
        <v>14835</v>
      </c>
      <c r="C3619" s="7" t="s">
        <v>14836</v>
      </c>
      <c r="D3619" s="7" t="s">
        <v>14837</v>
      </c>
      <c r="E3619" s="7" t="s">
        <v>14838</v>
      </c>
      <c r="F3619" s="7" t="str">
        <f>HYPERLINK("http://www.cefalicchio.it/","www.cefalicchio.it")</f>
        <v>www.cefalicchio.it</v>
      </c>
    </row>
    <row r="3620" spans="1:6" ht="43.05" customHeight="1" x14ac:dyDescent="0.25">
      <c r="A3620" s="6" t="s">
        <v>14839</v>
      </c>
      <c r="B3620" s="5" t="s">
        <v>14840</v>
      </c>
      <c r="C3620" s="5" t="s">
        <v>14841</v>
      </c>
      <c r="D3620" s="5" t="s">
        <v>14842</v>
      </c>
      <c r="E3620" s="5" t="s">
        <v>14843</v>
      </c>
      <c r="F3620" s="5" t="str">
        <f>HYPERLINK("http://masseriamelodoro.com/","masseriamelodoro.com")</f>
        <v>masseriamelodoro.com</v>
      </c>
    </row>
    <row r="3621" spans="1:6" ht="29.55" customHeight="1" x14ac:dyDescent="0.25">
      <c r="A3621" s="6" t="s">
        <v>14845</v>
      </c>
      <c r="B3621" s="5" t="s">
        <v>14846</v>
      </c>
      <c r="C3621" s="5" t="s">
        <v>14847</v>
      </c>
      <c r="D3621" s="5" t="s">
        <v>14848</v>
      </c>
      <c r="E3621" s="5" t="s">
        <v>14844</v>
      </c>
      <c r="F3621" s="5" t="str">
        <f>HYPERLINK("http://barzaghistud.com/","barzaghistud.com")</f>
        <v>barzaghistud.com</v>
      </c>
    </row>
    <row r="3622" spans="1:6" ht="29.55" customHeight="1" x14ac:dyDescent="0.25">
      <c r="A3622" s="1" t="s">
        <v>14849</v>
      </c>
      <c r="B3622" s="7" t="s">
        <v>14850</v>
      </c>
      <c r="C3622" s="7" t="s">
        <v>14851</v>
      </c>
      <c r="D3622" s="7" t="s">
        <v>14852</v>
      </c>
      <c r="E3622" s="7" t="s">
        <v>14853</v>
      </c>
      <c r="F3622" s="7" t="str">
        <f>HYPERLINK("http://ilfrantoiodibevagna.shop/","ilfrantoiodibevagna.shop")</f>
        <v>ilfrantoiodibevagna.shop</v>
      </c>
    </row>
    <row r="3623" spans="1:6" ht="55.65" customHeight="1" x14ac:dyDescent="0.25">
      <c r="A3623" s="6" t="s">
        <v>14854</v>
      </c>
      <c r="B3623" s="5" t="s">
        <v>14855</v>
      </c>
      <c r="C3623" s="5" t="s">
        <v>14856</v>
      </c>
      <c r="D3623" s="5" t="s">
        <v>14857</v>
      </c>
      <c r="E3623" s="5" t="s">
        <v>14826</v>
      </c>
      <c r="F3623" s="5" t="str">
        <f>HYPERLINK("http://www.mieleardesia.it/","www.mieleardesia.it")</f>
        <v>www.mieleardesia.it</v>
      </c>
    </row>
    <row r="3624" spans="1:6" ht="43.05" customHeight="1" x14ac:dyDescent="0.25">
      <c r="A3624" s="6" t="s">
        <v>14858</v>
      </c>
      <c r="B3624" s="5" t="s">
        <v>14859</v>
      </c>
      <c r="C3624" s="5" t="s">
        <v>14860</v>
      </c>
      <c r="D3624" s="5" t="s">
        <v>14861</v>
      </c>
      <c r="E3624" s="5" t="s">
        <v>14844</v>
      </c>
      <c r="F3624" s="5" t="str">
        <f>HYPERLINK("http://www.coopsinergica.it/","www.coopsinergica.it")</f>
        <v>www.coopsinergica.it</v>
      </c>
    </row>
    <row r="3625" spans="1:6" ht="29.55" customHeight="1" x14ac:dyDescent="0.25">
      <c r="A3625" s="6" t="s">
        <v>14862</v>
      </c>
      <c r="B3625" s="5" t="s">
        <v>14863</v>
      </c>
      <c r="C3625" s="5" t="s">
        <v>14832</v>
      </c>
      <c r="D3625" s="5" t="s">
        <v>14864</v>
      </c>
      <c r="E3625" s="5" t="s">
        <v>14865</v>
      </c>
      <c r="F3625" s="5" t="str">
        <f>HYPERLINK("http://shop.tenutapribus.it/","shop.tenutapribus.it")</f>
        <v>shop.tenutapribus.it</v>
      </c>
    </row>
    <row r="3626" spans="1:6" ht="55.65" customHeight="1" x14ac:dyDescent="0.25">
      <c r="A3626" s="6" t="s">
        <v>14871</v>
      </c>
      <c r="B3626" s="5" t="s">
        <v>14872</v>
      </c>
      <c r="C3626" s="5" t="s">
        <v>14873</v>
      </c>
      <c r="D3626" s="5" t="s">
        <v>14874</v>
      </c>
      <c r="E3626" s="5" t="s">
        <v>14875</v>
      </c>
      <c r="F3626" s="5" t="str">
        <f>HYPERLINK("http://cooperativa-sociale-arcobaleno-86-onlus-societa-co-00686770256.quantofattura.com/","cooperativa-sociale-arcobaleno-86-onlus-societa-co-00686770256.quantofattura.com")</f>
        <v>cooperativa-sociale-arcobaleno-86-onlus-societa-co-00686770256.quantofattura.com</v>
      </c>
    </row>
    <row r="3627" spans="1:6" ht="29.55" customHeight="1" x14ac:dyDescent="0.25">
      <c r="A3627" s="1" t="s">
        <v>14877</v>
      </c>
      <c r="B3627" s="7" t="s">
        <v>14878</v>
      </c>
      <c r="C3627" s="7" t="s">
        <v>14876</v>
      </c>
      <c r="D3627" s="7" t="s">
        <v>14879</v>
      </c>
      <c r="E3627" s="7" t="s">
        <v>14867</v>
      </c>
      <c r="F3627" s="7" t="str">
        <f>HYPERLINK("http://www.voltalaterra.it/","www.voltalaterra.it")</f>
        <v>www.voltalaterra.it</v>
      </c>
    </row>
    <row r="3628" spans="1:6" ht="16.95" customHeight="1" x14ac:dyDescent="0.25">
      <c r="A3628" s="6" t="s">
        <v>14881</v>
      </c>
      <c r="B3628" s="5" t="s">
        <v>14882</v>
      </c>
      <c r="C3628" s="5" t="s">
        <v>14880</v>
      </c>
      <c r="D3628" s="5" t="s">
        <v>14883</v>
      </c>
      <c r="E3628" s="5" t="s">
        <v>14884</v>
      </c>
      <c r="F3628" s="5" t="str">
        <f>HYPERLINK("http://www.cadigianni.it/","www.cadigianni.it")</f>
        <v>www.cadigianni.it</v>
      </c>
    </row>
    <row r="3629" spans="1:6" ht="29.55" customHeight="1" x14ac:dyDescent="0.25">
      <c r="A3629" s="1" t="s">
        <v>14885</v>
      </c>
      <c r="B3629" s="7" t="s">
        <v>14886</v>
      </c>
      <c r="C3629" s="7" t="s">
        <v>14868</v>
      </c>
      <c r="D3629" s="7" t="s">
        <v>14887</v>
      </c>
      <c r="E3629" s="7" t="s">
        <v>14869</v>
      </c>
      <c r="F3629" s="7" t="str">
        <f>HYPERLINK("http://agriturismogocciadiluna.it/","agriturismogocciadiluna.it")</f>
        <v>agriturismogocciadiluna.it</v>
      </c>
    </row>
    <row r="3630" spans="1:6" ht="29.55" customHeight="1" x14ac:dyDescent="0.25">
      <c r="A3630" s="6" t="s">
        <v>14888</v>
      </c>
      <c r="B3630" s="5" t="s">
        <v>14889</v>
      </c>
      <c r="C3630" s="5" t="s">
        <v>14866</v>
      </c>
      <c r="D3630" s="5" t="s">
        <v>14890</v>
      </c>
      <c r="E3630" s="5" t="s">
        <v>14891</v>
      </c>
      <c r="F3630" s="5" t="str">
        <f>HYPERLINK("http://www.nicofruit.it/","www.nicofruit.it")</f>
        <v>www.nicofruit.it</v>
      </c>
    </row>
    <row r="3631" spans="1:6" ht="29.55" customHeight="1" x14ac:dyDescent="0.25">
      <c r="A3631" s="1" t="s">
        <v>14892</v>
      </c>
      <c r="B3631" s="7" t="s">
        <v>14893</v>
      </c>
      <c r="C3631" s="7" t="s">
        <v>14870</v>
      </c>
      <c r="D3631" s="7" t="s">
        <v>14894</v>
      </c>
      <c r="E3631" s="7" t="s">
        <v>14869</v>
      </c>
      <c r="F3631" s="7" t="str">
        <f>HYPERLINK("http://www.buonriposo.it/","www.buonriposo.it")</f>
        <v>www.buonriposo.it</v>
      </c>
    </row>
    <row r="3632" spans="1:6" ht="43.05" customHeight="1" x14ac:dyDescent="0.25">
      <c r="A3632" s="6" t="s">
        <v>14895</v>
      </c>
      <c r="B3632" s="5" t="s">
        <v>14896</v>
      </c>
      <c r="C3632" s="5" t="s">
        <v>14897</v>
      </c>
      <c r="D3632" s="5" t="s">
        <v>14898</v>
      </c>
      <c r="E3632" s="5" t="s">
        <v>14884</v>
      </c>
      <c r="F3632" s="5" t="str">
        <f>HYPERLINK("http://www.coopterresolidali.org/","www.coopterresolidali.org")</f>
        <v>www.coopterresolidali.org</v>
      </c>
    </row>
    <row r="3633" spans="1:6" ht="16.95" customHeight="1" x14ac:dyDescent="0.25">
      <c r="A3633" s="6" t="s">
        <v>14899</v>
      </c>
      <c r="B3633" s="5" t="s">
        <v>14900</v>
      </c>
      <c r="C3633" s="5" t="s">
        <v>14901</v>
      </c>
      <c r="D3633" s="5" t="s">
        <v>14902</v>
      </c>
      <c r="E3633" s="5" t="s">
        <v>14869</v>
      </c>
      <c r="F3633" s="5" t="str">
        <f>HYPERLINK("http://www.collinatoscanaresort.it/","www.collinatoscanaresort.it")</f>
        <v>www.collinatoscanaresort.it</v>
      </c>
    </row>
    <row r="3634" spans="1:6" ht="29.55" customHeight="1" x14ac:dyDescent="0.25">
      <c r="A3634" s="1" t="s">
        <v>14903</v>
      </c>
      <c r="B3634" s="7" t="s">
        <v>14904</v>
      </c>
      <c r="C3634" s="7" t="s">
        <v>14868</v>
      </c>
      <c r="D3634" s="7" t="s">
        <v>14905</v>
      </c>
      <c r="E3634" s="7" t="s">
        <v>14906</v>
      </c>
      <c r="F3634" s="7" t="str">
        <f>HYPERLINK("http://collepu.it/","collepu.it")</f>
        <v>collepu.it</v>
      </c>
    </row>
    <row r="3635" spans="1:6" ht="29.55" customHeight="1" x14ac:dyDescent="0.25">
      <c r="A3635" s="6" t="s">
        <v>14907</v>
      </c>
      <c r="B3635" s="5" t="s">
        <v>14908</v>
      </c>
      <c r="C3635" s="5" t="s">
        <v>14866</v>
      </c>
      <c r="D3635" s="5" t="s">
        <v>14909</v>
      </c>
      <c r="E3635" s="5" t="s">
        <v>14869</v>
      </c>
      <c r="F3635" s="5" t="str">
        <f>HYPERLINK("http://www.raccianello.it/","www.raccianello.it")</f>
        <v>www.raccianello.it</v>
      </c>
    </row>
    <row r="3636" spans="1:6" ht="16.95" customHeight="1" x14ac:dyDescent="0.25">
      <c r="A3636" s="1" t="s">
        <v>14913</v>
      </c>
      <c r="B3636" s="7" t="s">
        <v>14914</v>
      </c>
      <c r="C3636" s="7" t="s">
        <v>14915</v>
      </c>
      <c r="D3636" s="7" t="s">
        <v>14916</v>
      </c>
      <c r="E3636" s="7" t="s">
        <v>14917</v>
      </c>
      <c r="F3636" s="7" t="str">
        <f>HYPERLINK("http://www.galzignano.it/","www.galzignano.it")</f>
        <v>www.galzignano.it</v>
      </c>
    </row>
    <row r="3637" spans="1:6" ht="29.55" customHeight="1" x14ac:dyDescent="0.25">
      <c r="A3637" s="6" t="s">
        <v>14923</v>
      </c>
      <c r="B3637" s="5" t="s">
        <v>14924</v>
      </c>
      <c r="C3637" s="5" t="s">
        <v>14910</v>
      </c>
      <c r="D3637" s="5" t="s">
        <v>14925</v>
      </c>
      <c r="E3637" s="5" t="s">
        <v>14926</v>
      </c>
      <c r="F3637" s="5" t="str">
        <f>HYPERLINK("http://sannionatura.it/","sannionatura.it")</f>
        <v>sannionatura.it</v>
      </c>
    </row>
    <row r="3638" spans="1:6" ht="29.55" customHeight="1" x14ac:dyDescent="0.25">
      <c r="A3638" s="1" t="s">
        <v>14927</v>
      </c>
      <c r="B3638" s="7" t="s">
        <v>14928</v>
      </c>
      <c r="C3638" s="7" t="s">
        <v>14929</v>
      </c>
      <c r="D3638" s="7" t="s">
        <v>14930</v>
      </c>
      <c r="E3638" s="7" t="s">
        <v>14920</v>
      </c>
      <c r="F3638" s="7" t="str">
        <f>HYPERLINK("http://www.montalera.com/","www.montalera.com")</f>
        <v>www.montalera.com</v>
      </c>
    </row>
    <row r="3639" spans="1:6" ht="43.05" customHeight="1" x14ac:dyDescent="0.25">
      <c r="A3639" s="6" t="s">
        <v>14931</v>
      </c>
      <c r="B3639" s="5" t="s">
        <v>14932</v>
      </c>
      <c r="C3639" s="5" t="s">
        <v>14933</v>
      </c>
      <c r="D3639" s="5" t="s">
        <v>14934</v>
      </c>
      <c r="E3639" s="5" t="s">
        <v>14935</v>
      </c>
      <c r="F3639" s="5" t="str">
        <f>HYPERLINK("http://www.piccolosogno.eu/fabiolorenzoni5@gmail.com","www.piccolosogno.eu/fabiolorenzoni5@gmail.com")</f>
        <v>www.piccolosogno.eu/fabiolorenzoni5@gmail.com</v>
      </c>
    </row>
    <row r="3640" spans="1:6" ht="29.55" customHeight="1" x14ac:dyDescent="0.25">
      <c r="A3640" s="1" t="s">
        <v>14936</v>
      </c>
      <c r="B3640" s="7" t="s">
        <v>14937</v>
      </c>
      <c r="C3640" s="7" t="s">
        <v>14933</v>
      </c>
      <c r="D3640" s="7" t="s">
        <v>14934</v>
      </c>
      <c r="E3640" s="7" t="s">
        <v>14935</v>
      </c>
      <c r="F3640" s="7" t="str">
        <f>HYPERLINK("http://sbfconsulting.eu/studio-commercialisti/sedi/","sbfconsulting.eu/studio-commercialisti/sedi/")</f>
        <v>sbfconsulting.eu/studio-commercialisti/sedi/</v>
      </c>
    </row>
    <row r="3641" spans="1:6" ht="43.05" customHeight="1" x14ac:dyDescent="0.25">
      <c r="A3641" s="6" t="s">
        <v>14938</v>
      </c>
      <c r="B3641" s="5" t="s">
        <v>14939</v>
      </c>
      <c r="C3641" s="5" t="s">
        <v>14933</v>
      </c>
      <c r="D3641" s="5" t="s">
        <v>14940</v>
      </c>
      <c r="E3641" s="5" t="s">
        <v>14935</v>
      </c>
      <c r="F3641" s="5" t="str">
        <f>HYPERLINK("http://www.etrurio.com/","www.etrurio.com")</f>
        <v>www.etrurio.com</v>
      </c>
    </row>
    <row r="3642" spans="1:6" ht="43.05" customHeight="1" x14ac:dyDescent="0.25">
      <c r="A3642" s="6" t="s">
        <v>14942</v>
      </c>
      <c r="B3642" s="5" t="s">
        <v>14943</v>
      </c>
      <c r="C3642" s="5" t="s">
        <v>14944</v>
      </c>
      <c r="D3642" s="5" t="s">
        <v>14945</v>
      </c>
      <c r="E3642" s="5" t="s">
        <v>14935</v>
      </c>
      <c r="F3642" s="5" t="str">
        <f>HYPERLINK("http://poggiogolo.it/","poggiogolo.it")</f>
        <v>poggiogolo.it</v>
      </c>
    </row>
    <row r="3643" spans="1:6" ht="29.55" customHeight="1" x14ac:dyDescent="0.25">
      <c r="A3643" s="1" t="s">
        <v>14948</v>
      </c>
      <c r="B3643" s="7" t="s">
        <v>14949</v>
      </c>
      <c r="C3643" s="7" t="s">
        <v>14918</v>
      </c>
      <c r="D3643" s="7" t="s">
        <v>14946</v>
      </c>
      <c r="E3643" s="7" t="s">
        <v>14947</v>
      </c>
      <c r="F3643" s="7" t="str">
        <f>HYPERLINK("http://www.tenutasanfelice.com/","www.tenutasanfelice.com")</f>
        <v>www.tenutasanfelice.com</v>
      </c>
    </row>
    <row r="3644" spans="1:6" ht="29.55" customHeight="1" x14ac:dyDescent="0.25">
      <c r="A3644" s="1" t="s">
        <v>14950</v>
      </c>
      <c r="B3644" s="7" t="s">
        <v>14951</v>
      </c>
      <c r="C3644" s="7" t="s">
        <v>14952</v>
      </c>
      <c r="D3644" s="7" t="s">
        <v>14953</v>
      </c>
      <c r="E3644" s="7" t="s">
        <v>14926</v>
      </c>
      <c r="F3644" s="7" t="str">
        <f>HYPERLINK("http://www.elpisagricola.com/","www.elpisagricola.com")</f>
        <v>www.elpisagricola.com</v>
      </c>
    </row>
    <row r="3645" spans="1:6" ht="29.55" customHeight="1" x14ac:dyDescent="0.25">
      <c r="A3645" s="1" t="s">
        <v>14954</v>
      </c>
      <c r="B3645" s="7" t="s">
        <v>14955</v>
      </c>
      <c r="C3645" s="7" t="s">
        <v>14941</v>
      </c>
      <c r="D3645" s="7" t="s">
        <v>14956</v>
      </c>
      <c r="E3645" s="7" t="s">
        <v>14935</v>
      </c>
      <c r="F3645" s="7" t="str">
        <f>HYPERLINK("http://www.tenutalacastellina.com/","www.tenutalacastellina.com")</f>
        <v>www.tenutalacastellina.com</v>
      </c>
    </row>
    <row r="3646" spans="1:6" ht="43.05" customHeight="1" x14ac:dyDescent="0.25">
      <c r="A3646" s="6" t="s">
        <v>14958</v>
      </c>
      <c r="B3646" s="5" t="s">
        <v>14959</v>
      </c>
      <c r="C3646" s="5" t="s">
        <v>14921</v>
      </c>
      <c r="D3646" s="5" t="s">
        <v>14911</v>
      </c>
      <c r="E3646" s="5" t="s">
        <v>14912</v>
      </c>
      <c r="F3646" s="5" t="str">
        <f>HYPERLINK("http://www.proximarg.org/","www.proximarg.org")</f>
        <v>www.proximarg.org</v>
      </c>
    </row>
    <row r="3647" spans="1:6" ht="29.55" customHeight="1" x14ac:dyDescent="0.25">
      <c r="A3647" s="1" t="s">
        <v>14960</v>
      </c>
      <c r="B3647" s="7" t="s">
        <v>14961</v>
      </c>
      <c r="C3647" s="7" t="s">
        <v>14957</v>
      </c>
      <c r="D3647" s="7" t="s">
        <v>14962</v>
      </c>
      <c r="E3647" s="7" t="s">
        <v>14922</v>
      </c>
      <c r="F3647" s="7" t="str">
        <f>HYPERLINK("http://enarothmusic.com/","enarothmusic.com")</f>
        <v>enarothmusic.com</v>
      </c>
    </row>
    <row r="3648" spans="1:6" ht="29.55" customHeight="1" x14ac:dyDescent="0.25">
      <c r="A3648" s="6" t="s">
        <v>14963</v>
      </c>
      <c r="B3648" s="5" t="s">
        <v>14964</v>
      </c>
      <c r="C3648" s="5" t="s">
        <v>14944</v>
      </c>
      <c r="D3648" s="5" t="s">
        <v>14919</v>
      </c>
      <c r="E3648" s="5" t="s">
        <v>14920</v>
      </c>
      <c r="F3648" s="5" t="str">
        <f>HYPERLINK("http://en.cantinadelfrignano.it/","en.cantinadelfrignano.it")</f>
        <v>en.cantinadelfrignano.it</v>
      </c>
    </row>
    <row r="3649" spans="1:6" ht="29.55" customHeight="1" x14ac:dyDescent="0.25">
      <c r="A3649" s="1" t="s">
        <v>14968</v>
      </c>
      <c r="B3649" s="7" t="s">
        <v>14969</v>
      </c>
      <c r="C3649" s="7" t="s">
        <v>14965</v>
      </c>
      <c r="D3649" s="7" t="s">
        <v>14970</v>
      </c>
      <c r="E3649" s="7" t="s">
        <v>14971</v>
      </c>
      <c r="F3649" s="7" t="str">
        <f>HYPERLINK("http://www.assam.marche.it/","www.assam.marche.it")</f>
        <v>www.assam.marche.it</v>
      </c>
    </row>
    <row r="3650" spans="1:6" ht="29.55" customHeight="1" x14ac:dyDescent="0.25">
      <c r="A3650" s="6" t="s">
        <v>14973</v>
      </c>
      <c r="B3650" s="5" t="s">
        <v>14974</v>
      </c>
      <c r="C3650" s="5" t="s">
        <v>14965</v>
      </c>
      <c r="D3650" s="5" t="s">
        <v>14975</v>
      </c>
      <c r="E3650" s="5" t="s">
        <v>14976</v>
      </c>
      <c r="F3650" s="5" t="str">
        <f>HYPERLINK("http://www.agricolailpino.it/","www.agricolailpino.it")</f>
        <v>www.agricolailpino.it</v>
      </c>
    </row>
    <row r="3651" spans="1:6" ht="29.55" customHeight="1" x14ac:dyDescent="0.25">
      <c r="A3651" s="6" t="s">
        <v>14978</v>
      </c>
      <c r="B3651" s="5" t="s">
        <v>14979</v>
      </c>
      <c r="C3651" s="5" t="s">
        <v>14967</v>
      </c>
      <c r="D3651" s="5" t="s">
        <v>14980</v>
      </c>
      <c r="E3651" s="5" t="s">
        <v>14972</v>
      </c>
      <c r="F3651" s="5" t="str">
        <f>HYPERLINK("http://www.agriturismoterradelvento.it/","www.agriturismoterradelvento.it")</f>
        <v>www.agriturismoterradelvento.it</v>
      </c>
    </row>
    <row r="3652" spans="1:6" ht="29.55" customHeight="1" x14ac:dyDescent="0.25">
      <c r="A3652" s="1" t="s">
        <v>14981</v>
      </c>
      <c r="B3652" s="7" t="s">
        <v>14982</v>
      </c>
      <c r="C3652" s="7" t="s">
        <v>14983</v>
      </c>
      <c r="D3652" s="7" t="s">
        <v>14984</v>
      </c>
      <c r="E3652" s="7" t="s">
        <v>14971</v>
      </c>
      <c r="F3652" s="7" t="str">
        <f>HYPERLINK("http://www.lacollinadelmonte.it/","www.lacollinadelmonte.it")</f>
        <v>www.lacollinadelmonte.it</v>
      </c>
    </row>
    <row r="3653" spans="1:6" ht="29.55" customHeight="1" x14ac:dyDescent="0.25">
      <c r="A3653" s="6" t="s">
        <v>14985</v>
      </c>
      <c r="B3653" s="5" t="s">
        <v>14986</v>
      </c>
      <c r="C3653" s="5" t="s">
        <v>14977</v>
      </c>
      <c r="D3653" s="5" t="s">
        <v>14987</v>
      </c>
      <c r="E3653" s="5" t="s">
        <v>14971</v>
      </c>
      <c r="F3653" s="5" t="str">
        <f>HYPERLINK("http://www.grupponucci.com/","www.grupponucci.com")</f>
        <v>www.grupponucci.com</v>
      </c>
    </row>
    <row r="3654" spans="1:6" ht="29.55" customHeight="1" x14ac:dyDescent="0.25">
      <c r="A3654" s="1" t="s">
        <v>14988</v>
      </c>
      <c r="B3654" s="7" t="s">
        <v>14989</v>
      </c>
      <c r="C3654" s="7" t="s">
        <v>14965</v>
      </c>
      <c r="D3654" s="7" t="s">
        <v>14990</v>
      </c>
      <c r="E3654" s="7" t="s">
        <v>14991</v>
      </c>
      <c r="F3654" s="7" t="str">
        <f>HYPERLINK("http://il-faro-societa-cooperativa-sociale-03502670783.quantofattura.com/","il-faro-societa-cooperativa-sociale-03502670783.quantofattura.com")</f>
        <v>il-faro-societa-cooperativa-sociale-03502670783.quantofattura.com</v>
      </c>
    </row>
    <row r="3655" spans="1:6" ht="29.55" customHeight="1" x14ac:dyDescent="0.25">
      <c r="A3655" s="1" t="s">
        <v>14992</v>
      </c>
      <c r="B3655" s="7" t="s">
        <v>14993</v>
      </c>
      <c r="C3655" s="7" t="s">
        <v>14977</v>
      </c>
      <c r="D3655" s="7" t="s">
        <v>14994</v>
      </c>
      <c r="E3655" s="7" t="s">
        <v>14995</v>
      </c>
      <c r="F3655" s="7" t="str">
        <f>HYPERLINK("http://www.laresteradelsile.it/","www.laresteradelsile.it")</f>
        <v>www.laresteradelsile.it</v>
      </c>
    </row>
    <row r="3656" spans="1:6" ht="29.55" customHeight="1" x14ac:dyDescent="0.25">
      <c r="A3656" s="6" t="s">
        <v>14997</v>
      </c>
      <c r="B3656" s="5" t="s">
        <v>14998</v>
      </c>
      <c r="C3656" s="5" t="s">
        <v>14996</v>
      </c>
      <c r="D3656" s="5" t="s">
        <v>14999</v>
      </c>
      <c r="E3656" s="5" t="s">
        <v>14991</v>
      </c>
      <c r="F3656" s="5" t="str">
        <f>HYPERLINK("http://terregrecaniche.it/","terregrecaniche.it")</f>
        <v>terregrecaniche.it</v>
      </c>
    </row>
    <row r="3657" spans="1:6" ht="16.95" customHeight="1" x14ac:dyDescent="0.25">
      <c r="A3657" s="6" t="s">
        <v>15000</v>
      </c>
      <c r="B3657" s="5" t="s">
        <v>15001</v>
      </c>
      <c r="C3657" s="5" t="s">
        <v>14996</v>
      </c>
      <c r="D3657" s="5" t="s">
        <v>15002</v>
      </c>
      <c r="E3657" s="5" t="s">
        <v>14966</v>
      </c>
      <c r="F3657" s="5" t="str">
        <f>HYPERLINK("http://www.tenutaenzalafauci.com/","www.tenutaenzalafauci.com")</f>
        <v>www.tenutaenzalafauci.com</v>
      </c>
    </row>
    <row r="3658" spans="1:6" ht="16.95" customHeight="1" x14ac:dyDescent="0.25">
      <c r="A3658" s="1" t="s">
        <v>15008</v>
      </c>
      <c r="B3658" s="7" t="s">
        <v>15009</v>
      </c>
      <c r="C3658" s="7" t="s">
        <v>15010</v>
      </c>
      <c r="D3658" s="7" t="s">
        <v>15011</v>
      </c>
      <c r="E3658" s="7" t="s">
        <v>15004</v>
      </c>
      <c r="F3658" s="7" t="str">
        <f>HYPERLINK("http://www.flowerfactory.com/","www.flowerfactory.com")</f>
        <v>www.flowerfactory.com</v>
      </c>
    </row>
    <row r="3659" spans="1:6" ht="29.55" customHeight="1" x14ac:dyDescent="0.25">
      <c r="A3659" s="6" t="s">
        <v>15015</v>
      </c>
      <c r="B3659" s="5" t="s">
        <v>15016</v>
      </c>
      <c r="C3659" s="5" t="s">
        <v>15003</v>
      </c>
      <c r="D3659" s="5" t="s">
        <v>15017</v>
      </c>
      <c r="E3659" s="5" t="s">
        <v>15006</v>
      </c>
      <c r="F3659" s="5" t="str">
        <f>HYPERLINK("http://verbumcaudo.it/","verbumcaudo.it")</f>
        <v>verbumcaudo.it</v>
      </c>
    </row>
    <row r="3660" spans="1:6" ht="43.05" customHeight="1" x14ac:dyDescent="0.25">
      <c r="A3660" s="6" t="s">
        <v>15018</v>
      </c>
      <c r="B3660" s="5" t="s">
        <v>15019</v>
      </c>
      <c r="C3660" s="5" t="s">
        <v>15007</v>
      </c>
      <c r="D3660" s="5" t="s">
        <v>15012</v>
      </c>
      <c r="E3660" s="5" t="s">
        <v>15013</v>
      </c>
      <c r="F3660" s="5" t="str">
        <f>HYPERLINK("http://www.agriturismo.it/","www.agriturismo.it")</f>
        <v>www.agriturismo.it</v>
      </c>
    </row>
    <row r="3661" spans="1:6" ht="29.55" customHeight="1" x14ac:dyDescent="0.25">
      <c r="A3661" s="1" t="s">
        <v>15020</v>
      </c>
      <c r="B3661" s="7" t="s">
        <v>15021</v>
      </c>
      <c r="C3661" s="7" t="s">
        <v>15005</v>
      </c>
      <c r="D3661" s="7" t="s">
        <v>15022</v>
      </c>
      <c r="E3661" s="7" t="s">
        <v>15004</v>
      </c>
      <c r="F3661" s="7" t="str">
        <f>HYPERLINK("http://www.studiostangoni.com/","www.studiostangoni.com")</f>
        <v>www.studiostangoni.com</v>
      </c>
    </row>
    <row r="3662" spans="1:6" ht="29.55" customHeight="1" x14ac:dyDescent="0.25">
      <c r="A3662" s="6" t="s">
        <v>15023</v>
      </c>
      <c r="B3662" s="5" t="s">
        <v>15024</v>
      </c>
      <c r="C3662" s="5" t="s">
        <v>15025</v>
      </c>
      <c r="D3662" s="5" t="s">
        <v>15026</v>
      </c>
      <c r="E3662" s="5" t="s">
        <v>15014</v>
      </c>
      <c r="F3662" s="5" t="str">
        <f>HYPERLINK("http://www.tenimentiborgia.com/","www.tenimentiborgia.com")</f>
        <v>www.tenimentiborgia.com</v>
      </c>
    </row>
    <row r="3663" spans="1:6" ht="29.55" customHeight="1" x14ac:dyDescent="0.25">
      <c r="A3663" s="6" t="s">
        <v>15027</v>
      </c>
      <c r="B3663" s="5" t="s">
        <v>15028</v>
      </c>
      <c r="C3663" s="5" t="s">
        <v>15005</v>
      </c>
      <c r="D3663" s="5" t="s">
        <v>15029</v>
      </c>
      <c r="E3663" s="5" t="s">
        <v>15004</v>
      </c>
      <c r="F3663" s="5" t="str">
        <f>HYPERLINK("http://www.monteguzzovini.it/","www.monteguzzovini.it")</f>
        <v>www.monteguzzovini.it</v>
      </c>
    </row>
    <row r="3664" spans="1:6" ht="68.099999999999994" customHeight="1" x14ac:dyDescent="0.25">
      <c r="A3664" s="6" t="s">
        <v>15031</v>
      </c>
      <c r="B3664" s="5" t="s">
        <v>15032</v>
      </c>
      <c r="C3664" s="5" t="s">
        <v>15033</v>
      </c>
      <c r="D3664" s="5" t="s">
        <v>15034</v>
      </c>
      <c r="E3664" s="5" t="s">
        <v>15035</v>
      </c>
      <c r="F3664" s="5" t="str">
        <f>HYPERLINK("http://www.laudemio.it/","www.laudemio.it")</f>
        <v>www.laudemio.it</v>
      </c>
    </row>
    <row r="3665" spans="1:6" ht="43.05" customHeight="1" x14ac:dyDescent="0.25">
      <c r="A3665" s="6" t="s">
        <v>15037</v>
      </c>
      <c r="B3665" s="5" t="s">
        <v>15038</v>
      </c>
      <c r="C3665" s="5" t="s">
        <v>15039</v>
      </c>
      <c r="D3665" s="5" t="s">
        <v>15040</v>
      </c>
      <c r="E3665" s="5" t="s">
        <v>15041</v>
      </c>
      <c r="F3665" s="5" t="str">
        <f>HYPERLINK("http://www.masseriaferri.com/","www.masseriaferri.com")</f>
        <v>www.masseriaferri.com</v>
      </c>
    </row>
    <row r="3666" spans="1:6" ht="29.55" customHeight="1" x14ac:dyDescent="0.25">
      <c r="A3666" s="6" t="s">
        <v>15042</v>
      </c>
      <c r="B3666" s="5" t="s">
        <v>15043</v>
      </c>
      <c r="C3666" s="5" t="s">
        <v>15044</v>
      </c>
      <c r="D3666" s="5" t="s">
        <v>15045</v>
      </c>
      <c r="E3666" s="5" t="s">
        <v>15046</v>
      </c>
      <c r="F3666" s="5" t="str">
        <f>HYPERLINK("http://www.vitawellnessfood.it/","www.vitawellnessfood.it")</f>
        <v>www.vitawellnessfood.it</v>
      </c>
    </row>
    <row r="3667" spans="1:6" ht="29.55" customHeight="1" x14ac:dyDescent="0.25">
      <c r="A3667" s="1" t="s">
        <v>15048</v>
      </c>
      <c r="B3667" s="7" t="s">
        <v>15049</v>
      </c>
      <c r="C3667" s="7" t="s">
        <v>15044</v>
      </c>
      <c r="D3667" s="7" t="s">
        <v>15050</v>
      </c>
      <c r="E3667" s="7" t="s">
        <v>15051</v>
      </c>
      <c r="F3667" s="7" t="str">
        <f>HYPERLINK("http://www.dealchemia.it/","www.dealchemia.it")</f>
        <v>www.dealchemia.it</v>
      </c>
    </row>
    <row r="3668" spans="1:6" ht="16.95" customHeight="1" x14ac:dyDescent="0.25">
      <c r="A3668" s="6" t="s">
        <v>15055</v>
      </c>
      <c r="B3668" s="5" t="s">
        <v>15056</v>
      </c>
      <c r="C3668" s="5" t="s">
        <v>15057</v>
      </c>
      <c r="D3668" s="5" t="s">
        <v>15036</v>
      </c>
      <c r="E3668" s="5" t="s">
        <v>15035</v>
      </c>
      <c r="F3668" s="5" t="str">
        <f>HYPERLINK("http://www.agriturismolaluciana.com/","www.agriturismolaluciana.com")</f>
        <v>www.agriturismolaluciana.com</v>
      </c>
    </row>
    <row r="3669" spans="1:6" ht="43.05" customHeight="1" x14ac:dyDescent="0.25">
      <c r="A3669" s="1" t="s">
        <v>15058</v>
      </c>
      <c r="B3669" s="7" t="s">
        <v>15059</v>
      </c>
      <c r="C3669" s="7" t="s">
        <v>15060</v>
      </c>
      <c r="D3669" s="7" t="s">
        <v>15061</v>
      </c>
      <c r="E3669" s="7" t="s">
        <v>15030</v>
      </c>
      <c r="F3669" s="7" t="str">
        <f>HYPERLINK("http://www.aputiasicily.com/","www.aputiasicily.com")</f>
        <v>www.aputiasicily.com</v>
      </c>
    </row>
    <row r="3670" spans="1:6" ht="29.55" customHeight="1" x14ac:dyDescent="0.25">
      <c r="A3670" s="6" t="s">
        <v>15062</v>
      </c>
      <c r="B3670" s="5" t="s">
        <v>15063</v>
      </c>
      <c r="C3670" s="5" t="s">
        <v>15064</v>
      </c>
      <c r="D3670" s="5" t="s">
        <v>15065</v>
      </c>
      <c r="E3670" s="5" t="s">
        <v>15066</v>
      </c>
      <c r="F3670" s="5" t="str">
        <f>HYPERLINK("http://lacortedellolmo.it/","lacortedellolmo.it")</f>
        <v>lacortedellolmo.it</v>
      </c>
    </row>
    <row r="3671" spans="1:6" ht="43.05" customHeight="1" x14ac:dyDescent="0.25">
      <c r="A3671" s="6" t="s">
        <v>15067</v>
      </c>
      <c r="B3671" s="5" t="s">
        <v>15068</v>
      </c>
      <c r="C3671" s="5" t="s">
        <v>15052</v>
      </c>
      <c r="D3671" s="5" t="s">
        <v>15069</v>
      </c>
      <c r="E3671" s="5" t="s">
        <v>15070</v>
      </c>
      <c r="F3671" s="5" t="str">
        <f>HYPERLINK("http://bottegadicamagna.it/","bottegadicamagna.it")</f>
        <v>bottegadicamagna.it</v>
      </c>
    </row>
    <row r="3672" spans="1:6" ht="29.55" customHeight="1" x14ac:dyDescent="0.25">
      <c r="A3672" s="6" t="s">
        <v>15071</v>
      </c>
      <c r="B3672" s="5" t="s">
        <v>15072</v>
      </c>
      <c r="C3672" s="5" t="s">
        <v>15060</v>
      </c>
      <c r="D3672" s="5" t="s">
        <v>15073</v>
      </c>
      <c r="E3672" s="5" t="s">
        <v>15074</v>
      </c>
      <c r="F3672" s="5" t="str">
        <f>HYPERLINK("http://instagram.com/vesuve.lounge.bar","instagram.com/vesuve.lounge.bar")</f>
        <v>instagram.com/vesuve.lounge.bar</v>
      </c>
    </row>
    <row r="3673" spans="1:6" ht="43.05" customHeight="1" x14ac:dyDescent="0.25">
      <c r="A3673" s="1" t="s">
        <v>15075</v>
      </c>
      <c r="B3673" s="7" t="s">
        <v>15076</v>
      </c>
      <c r="C3673" s="7" t="s">
        <v>15060</v>
      </c>
      <c r="D3673" s="7" t="s">
        <v>15053</v>
      </c>
      <c r="E3673" s="7" t="s">
        <v>15054</v>
      </c>
      <c r="F3673" s="7" t="str">
        <f>HYPERLINK("http://www.ilpollinoatavola.it/","www.ilpollinoatavola.it")</f>
        <v>www.ilpollinoatavola.it</v>
      </c>
    </row>
    <row r="3674" spans="1:6" ht="29.55" customHeight="1" x14ac:dyDescent="0.25">
      <c r="A3674" s="6" t="s">
        <v>15077</v>
      </c>
      <c r="B3674" s="5" t="s">
        <v>15078</v>
      </c>
      <c r="C3674" s="5" t="s">
        <v>15047</v>
      </c>
      <c r="D3674" s="5" t="s">
        <v>15079</v>
      </c>
      <c r="E3674" s="5" t="s">
        <v>15080</v>
      </c>
      <c r="F3674" s="5" t="str">
        <f>HYPERLINK("http://www.rigatteri.com/","www.rigatteri.com")</f>
        <v>www.rigatteri.com</v>
      </c>
    </row>
    <row r="3675" spans="1:6" ht="29.55" customHeight="1" x14ac:dyDescent="0.25">
      <c r="A3675" s="1" t="s">
        <v>15081</v>
      </c>
      <c r="B3675" s="7" t="s">
        <v>15082</v>
      </c>
      <c r="C3675" s="7" t="s">
        <v>15047</v>
      </c>
      <c r="D3675" s="7" t="s">
        <v>15061</v>
      </c>
      <c r="E3675" s="7" t="s">
        <v>15030</v>
      </c>
      <c r="F3675" s="7" t="str">
        <f>HYPERLINK("http://www.giumarra.eu/","www.giumarra.eu")</f>
        <v>www.giumarra.eu</v>
      </c>
    </row>
    <row r="3676" spans="1:6" ht="29.55" customHeight="1" x14ac:dyDescent="0.25">
      <c r="A3676" s="6" t="s">
        <v>15085</v>
      </c>
      <c r="B3676" s="5" t="s">
        <v>15086</v>
      </c>
      <c r="C3676" s="5" t="s">
        <v>15087</v>
      </c>
      <c r="D3676" s="5" t="s">
        <v>15088</v>
      </c>
      <c r="E3676" s="5" t="s">
        <v>15089</v>
      </c>
      <c r="F3676" s="5" t="str">
        <f>HYPERLINK("http://www.ilsughino.it/","www.ilsughino.it")</f>
        <v>www.ilsughino.it</v>
      </c>
    </row>
    <row r="3677" spans="1:6" ht="29.55" customHeight="1" x14ac:dyDescent="0.25">
      <c r="A3677" s="1" t="s">
        <v>15090</v>
      </c>
      <c r="B3677" s="7" t="s">
        <v>15091</v>
      </c>
      <c r="C3677" s="7" t="s">
        <v>15083</v>
      </c>
      <c r="D3677" s="7" t="s">
        <v>15092</v>
      </c>
      <c r="E3677" s="7" t="s">
        <v>15084</v>
      </c>
      <c r="F3677" s="7" t="str">
        <f>HYPERLINK("http://www.fattoriailbrolo.it/","www.fattoriailbrolo.it")</f>
        <v>www.fattoriailbrolo.it</v>
      </c>
    </row>
    <row r="3678" spans="1:6" ht="29.55" customHeight="1" x14ac:dyDescent="0.25">
      <c r="A3678" s="1" t="s">
        <v>15093</v>
      </c>
      <c r="B3678" s="7" t="s">
        <v>15094</v>
      </c>
      <c r="C3678" s="7" t="s">
        <v>15095</v>
      </c>
      <c r="D3678" s="7" t="s">
        <v>15096</v>
      </c>
      <c r="E3678" s="7" t="s">
        <v>15084</v>
      </c>
      <c r="F3678" s="7" t="str">
        <f>HYPERLINK("http://www.terradelledolomiti.com/","www.terradelledolomiti.com")</f>
        <v>www.terradelledolomiti.com</v>
      </c>
    </row>
    <row r="3679" spans="1:6" ht="43.05" customHeight="1" x14ac:dyDescent="0.25">
      <c r="A3679" s="6" t="s">
        <v>15098</v>
      </c>
      <c r="B3679" s="5" t="s">
        <v>15099</v>
      </c>
      <c r="C3679" s="5" t="s">
        <v>15083</v>
      </c>
      <c r="D3679" s="5" t="s">
        <v>15100</v>
      </c>
      <c r="E3679" s="5" t="s">
        <v>15101</v>
      </c>
      <c r="F3679" s="5" t="str">
        <f>HYPERLINK("http://cantinesantafosca.it/","cantinesantafosca.it")</f>
        <v>cantinesantafosca.it</v>
      </c>
    </row>
    <row r="3680" spans="1:6" ht="29.55" customHeight="1" x14ac:dyDescent="0.25">
      <c r="A3680" s="1" t="s">
        <v>15102</v>
      </c>
      <c r="B3680" s="7" t="s">
        <v>15103</v>
      </c>
      <c r="C3680" s="7" t="s">
        <v>15095</v>
      </c>
      <c r="D3680" s="7" t="s">
        <v>15104</v>
      </c>
      <c r="E3680" s="7" t="s">
        <v>15097</v>
      </c>
      <c r="F3680" s="7" t="str">
        <f>HYPERLINK("http://www.baroniblei.net/","www.baroniblei.net")</f>
        <v>www.baroniblei.net</v>
      </c>
    </row>
    <row r="3681" spans="1:6" ht="29.55" customHeight="1" x14ac:dyDescent="0.25">
      <c r="A3681" s="1" t="s">
        <v>15105</v>
      </c>
      <c r="B3681" s="7" t="s">
        <v>15106</v>
      </c>
      <c r="C3681" s="7" t="s">
        <v>15107</v>
      </c>
      <c r="D3681" s="7" t="s">
        <v>15108</v>
      </c>
      <c r="E3681" s="7" t="s">
        <v>15109</v>
      </c>
      <c r="F3681" s="7" t="str">
        <f>HYPERLINK("http://www.aquilanerahorses.it/","www.aquilanerahorses.it")</f>
        <v>www.aquilanerahorses.it</v>
      </c>
    </row>
    <row r="3682" spans="1:6" ht="29.55" customHeight="1" x14ac:dyDescent="0.25">
      <c r="A3682" s="1" t="s">
        <v>15114</v>
      </c>
      <c r="B3682" s="7" t="s">
        <v>15115</v>
      </c>
      <c r="C3682" s="7" t="s">
        <v>15116</v>
      </c>
      <c r="D3682" s="7" t="s">
        <v>15117</v>
      </c>
      <c r="E3682" s="7" t="s">
        <v>15109</v>
      </c>
      <c r="F3682" s="7" t="str">
        <f>HYPERLINK("http://laseggianese.com/","laseggianese.com")</f>
        <v>laseggianese.com</v>
      </c>
    </row>
    <row r="3683" spans="1:6" ht="29.55" customHeight="1" x14ac:dyDescent="0.25">
      <c r="A3683" s="1" t="s">
        <v>15118</v>
      </c>
      <c r="B3683" s="7" t="s">
        <v>15119</v>
      </c>
      <c r="C3683" s="7" t="s">
        <v>15113</v>
      </c>
      <c r="D3683" s="7" t="s">
        <v>15120</v>
      </c>
      <c r="E3683" s="7" t="s">
        <v>15112</v>
      </c>
      <c r="F3683" s="7" t="str">
        <f>HYPERLINK("http://www.cantinagaggiano.it/","www.cantinagaggiano.it")</f>
        <v>www.cantinagaggiano.it</v>
      </c>
    </row>
    <row r="3684" spans="1:6" ht="29.55" customHeight="1" x14ac:dyDescent="0.25">
      <c r="A3684" s="6" t="s">
        <v>15123</v>
      </c>
      <c r="B3684" s="5" t="s">
        <v>15124</v>
      </c>
      <c r="C3684" s="5" t="s">
        <v>15113</v>
      </c>
      <c r="D3684" s="5" t="s">
        <v>15125</v>
      </c>
      <c r="E3684" s="5" t="s">
        <v>15126</v>
      </c>
      <c r="F3684" s="5" t="str">
        <f>HYPERLINK("http://cantinacerretano.com/","cantinacerretano.com")</f>
        <v>cantinacerretano.com</v>
      </c>
    </row>
    <row r="3685" spans="1:6" ht="29.55" customHeight="1" x14ac:dyDescent="0.25">
      <c r="A3685" s="1" t="s">
        <v>15127</v>
      </c>
      <c r="B3685" s="7" t="s">
        <v>15128</v>
      </c>
      <c r="C3685" s="7" t="s">
        <v>15116</v>
      </c>
      <c r="D3685" s="7" t="s">
        <v>15121</v>
      </c>
      <c r="E3685" s="7" t="s">
        <v>15122</v>
      </c>
      <c r="F3685" s="7" t="str">
        <f>HYPERLINK("http://www.agricolaleville.it/","www.agricolaleville.it")</f>
        <v>www.agricolaleville.it</v>
      </c>
    </row>
    <row r="3686" spans="1:6" ht="29.55" customHeight="1" x14ac:dyDescent="0.25">
      <c r="A3686" s="1" t="s">
        <v>15129</v>
      </c>
      <c r="B3686" s="7" t="s">
        <v>15130</v>
      </c>
      <c r="C3686" s="7" t="s">
        <v>15110</v>
      </c>
      <c r="D3686" s="7" t="s">
        <v>15131</v>
      </c>
      <c r="E3686" s="7" t="s">
        <v>15111</v>
      </c>
      <c r="F3686" s="7" t="str">
        <f>HYPERLINK("http://fontanadeifieri.agrisannio.it/","fontanadeifieri.agrisannio.it")</f>
        <v>fontanadeifieri.agrisannio.it</v>
      </c>
    </row>
    <row r="3687" spans="1:6" ht="43.05" customHeight="1" x14ac:dyDescent="0.25">
      <c r="A3687" s="6" t="s">
        <v>15135</v>
      </c>
      <c r="B3687" s="5" t="s">
        <v>15136</v>
      </c>
      <c r="C3687" s="5" t="s">
        <v>15133</v>
      </c>
      <c r="D3687" s="5" t="s">
        <v>15137</v>
      </c>
      <c r="E3687" s="5" t="s">
        <v>15138</v>
      </c>
      <c r="F3687" s="5" t="str">
        <f>HYPERLINK("http://www.tenuteshardana.it/","www.tenuteshardana.it")</f>
        <v>www.tenuteshardana.it</v>
      </c>
    </row>
    <row r="3688" spans="1:6" ht="29.55" customHeight="1" x14ac:dyDescent="0.25">
      <c r="A3688" s="6" t="s">
        <v>15139</v>
      </c>
      <c r="B3688" s="5" t="s">
        <v>15140</v>
      </c>
      <c r="C3688" s="5" t="s">
        <v>15133</v>
      </c>
      <c r="D3688" s="5" t="s">
        <v>15141</v>
      </c>
      <c r="E3688" s="5" t="s">
        <v>15142</v>
      </c>
      <c r="F3688" s="5" t="str">
        <f>HYPERLINK("http://tenutacosteselle.it/","tenutacosteselle.it")</f>
        <v>tenutacosteselle.it</v>
      </c>
    </row>
    <row r="3689" spans="1:6" ht="29.55" customHeight="1" x14ac:dyDescent="0.25">
      <c r="A3689" s="1" t="s">
        <v>15143</v>
      </c>
      <c r="B3689" s="7" t="s">
        <v>15144</v>
      </c>
      <c r="C3689" s="7" t="s">
        <v>15133</v>
      </c>
      <c r="D3689" s="7" t="s">
        <v>15145</v>
      </c>
      <c r="E3689" s="7" t="s">
        <v>15132</v>
      </c>
      <c r="F3689" s="7" t="str">
        <f>HYPERLINK("http://www.villalazzarini-vini.it/","www.villalazzarini-vini.it")</f>
        <v>www.villalazzarini-vini.it</v>
      </c>
    </row>
    <row r="3690" spans="1:6" ht="29.55" customHeight="1" x14ac:dyDescent="0.25">
      <c r="A3690" s="1" t="s">
        <v>15147</v>
      </c>
      <c r="B3690" s="7" t="s">
        <v>15148</v>
      </c>
      <c r="C3690" s="7" t="s">
        <v>15146</v>
      </c>
      <c r="D3690" s="7" t="s">
        <v>15149</v>
      </c>
      <c r="E3690" s="7" t="s">
        <v>15134</v>
      </c>
      <c r="F3690" s="7" t="str">
        <f>HYPERLINK("http://www.agricolanure.it/","www.agricolanure.it")</f>
        <v>www.agricolanure.it</v>
      </c>
    </row>
    <row r="3691" spans="1:6" ht="43.05" customHeight="1" x14ac:dyDescent="0.25">
      <c r="A3691" s="1" t="s">
        <v>15152</v>
      </c>
      <c r="B3691" s="7" t="s">
        <v>15153</v>
      </c>
      <c r="C3691" s="7" t="s">
        <v>15154</v>
      </c>
      <c r="D3691" s="7" t="s">
        <v>15155</v>
      </c>
      <c r="E3691" s="7" t="s">
        <v>15156</v>
      </c>
      <c r="F3691" s="7" t="str">
        <f>HYPERLINK("http://www.valpeligna.it/","www.valpeligna.it")</f>
        <v>www.valpeligna.it</v>
      </c>
    </row>
    <row r="3692" spans="1:6" ht="29.55" customHeight="1" x14ac:dyDescent="0.25">
      <c r="A3692" s="1" t="s">
        <v>15159</v>
      </c>
      <c r="B3692" s="7" t="s">
        <v>15160</v>
      </c>
      <c r="C3692" s="7" t="s">
        <v>15161</v>
      </c>
      <c r="D3692" s="7" t="s">
        <v>15162</v>
      </c>
      <c r="E3692" s="7" t="s">
        <v>15163</v>
      </c>
      <c r="F3692" s="7" t="str">
        <f>HYPERLINK("http://www.lanicchia.com/","www.lanicchia.com")</f>
        <v>www.lanicchia.com</v>
      </c>
    </row>
    <row r="3693" spans="1:6" ht="29.55" customHeight="1" x14ac:dyDescent="0.25">
      <c r="A3693" s="1" t="s">
        <v>15166</v>
      </c>
      <c r="B3693" s="7" t="s">
        <v>15167</v>
      </c>
      <c r="C3693" s="7" t="s">
        <v>15165</v>
      </c>
      <c r="D3693" s="7" t="s">
        <v>15168</v>
      </c>
      <c r="E3693" s="7" t="s">
        <v>15151</v>
      </c>
      <c r="F3693" s="7" t="str">
        <f>HYPERLINK("http://www.serraspina.com/","www.serraspina.com")</f>
        <v>www.serraspina.com</v>
      </c>
    </row>
    <row r="3694" spans="1:6" ht="43.05" customHeight="1" x14ac:dyDescent="0.25">
      <c r="A3694" s="6" t="s">
        <v>15169</v>
      </c>
      <c r="B3694" s="5" t="s">
        <v>15170</v>
      </c>
      <c r="C3694" s="5" t="s">
        <v>15164</v>
      </c>
      <c r="D3694" s="5" t="s">
        <v>15157</v>
      </c>
      <c r="E3694" s="5" t="s">
        <v>15158</v>
      </c>
      <c r="F3694" s="5" t="str">
        <f>HYPERLINK("http://www.torreventurini.com/","www.torreventurini.com")</f>
        <v>www.torreventurini.com</v>
      </c>
    </row>
    <row r="3695" spans="1:6" ht="29.55" customHeight="1" x14ac:dyDescent="0.25">
      <c r="A3695" s="1" t="s">
        <v>15171</v>
      </c>
      <c r="B3695" s="7" t="s">
        <v>15172</v>
      </c>
      <c r="C3695" s="7" t="s">
        <v>15154</v>
      </c>
      <c r="D3695" s="7" t="s">
        <v>15173</v>
      </c>
      <c r="E3695" s="7" t="s">
        <v>15150</v>
      </c>
      <c r="F3695" s="7" t="str">
        <f>HYPERLINK("http://www.tellurit.com/","www.tellurit.com")</f>
        <v>www.tellurit.com</v>
      </c>
    </row>
    <row r="3696" spans="1:6" ht="29.55" customHeight="1" x14ac:dyDescent="0.25">
      <c r="A3696" s="6" t="s">
        <v>15175</v>
      </c>
      <c r="B3696" s="5" t="s">
        <v>15176</v>
      </c>
      <c r="C3696" s="5" t="s">
        <v>15177</v>
      </c>
      <c r="D3696" s="5" t="s">
        <v>15178</v>
      </c>
      <c r="E3696" s="5" t="s">
        <v>15179</v>
      </c>
      <c r="F3696" s="5" t="str">
        <f>HYPERLINK("http://frantoioliver.it/","frantoioliver.it")</f>
        <v>frantoioliver.it</v>
      </c>
    </row>
    <row r="3697" spans="1:6" ht="29.55" customHeight="1" x14ac:dyDescent="0.25">
      <c r="A3697" s="1" t="s">
        <v>15180</v>
      </c>
      <c r="B3697" s="7" t="s">
        <v>15181</v>
      </c>
      <c r="C3697" s="7" t="s">
        <v>15182</v>
      </c>
      <c r="D3697" s="7" t="s">
        <v>15183</v>
      </c>
      <c r="E3697" s="7" t="s">
        <v>15174</v>
      </c>
      <c r="F3697" s="7" t="str">
        <f>HYPERLINK("http://www.lamerosse.it/","www.lamerosse.it")</f>
        <v>www.lamerosse.it</v>
      </c>
    </row>
    <row r="3698" spans="1:6" ht="29.55" customHeight="1" x14ac:dyDescent="0.25">
      <c r="A3698" s="1" t="s">
        <v>15184</v>
      </c>
      <c r="B3698" s="7" t="s">
        <v>15185</v>
      </c>
      <c r="C3698" s="7" t="s">
        <v>15186</v>
      </c>
      <c r="D3698" s="7" t="s">
        <v>15187</v>
      </c>
      <c r="E3698" s="7" t="s">
        <v>15188</v>
      </c>
      <c r="F3698" s="7" t="str">
        <f>HYPERLINK("http://www.pocopocosardegna.it/","www.pocopocosardegna.it")</f>
        <v>www.pocopocosardegna.it</v>
      </c>
    </row>
    <row r="3699" spans="1:6" ht="29.55" customHeight="1" x14ac:dyDescent="0.25">
      <c r="A3699" s="6" t="s">
        <v>15189</v>
      </c>
      <c r="B3699" s="5" t="s">
        <v>15190</v>
      </c>
      <c r="C3699" s="5" t="s">
        <v>15177</v>
      </c>
      <c r="D3699" s="5" t="s">
        <v>15191</v>
      </c>
      <c r="E3699" s="5" t="s">
        <v>15192</v>
      </c>
      <c r="F3699" s="5" t="str">
        <f>HYPERLINK("http://www.tenutarosburgo.it/","www.tenutarosburgo.it")</f>
        <v>www.tenutarosburgo.it</v>
      </c>
    </row>
    <row r="3700" spans="1:6" ht="16.95" customHeight="1" x14ac:dyDescent="0.25">
      <c r="A3700" s="6" t="s">
        <v>15193</v>
      </c>
      <c r="B3700" s="5" t="s">
        <v>15194</v>
      </c>
      <c r="C3700" s="5" t="s">
        <v>15177</v>
      </c>
      <c r="D3700" s="5" t="s">
        <v>15195</v>
      </c>
      <c r="E3700" s="5" t="s">
        <v>15196</v>
      </c>
      <c r="F3700" s="5" t="str">
        <f>HYPERLINK("http://shop.villacilnia.it/","shop.villacilnia.it")</f>
        <v>shop.villacilnia.it</v>
      </c>
    </row>
    <row r="3701" spans="1:6" ht="16.95" customHeight="1" x14ac:dyDescent="0.25">
      <c r="A3701" s="6" t="s">
        <v>15198</v>
      </c>
      <c r="B3701" s="5" t="s">
        <v>15199</v>
      </c>
      <c r="C3701" s="5" t="s">
        <v>15200</v>
      </c>
      <c r="D3701" s="5" t="s">
        <v>15201</v>
      </c>
      <c r="E3701" s="5" t="s">
        <v>15197</v>
      </c>
      <c r="F3701" s="5" t="str">
        <f>HYPERLINK("http://insectfarm.it/","insectfarm.it")</f>
        <v>insectfarm.it</v>
      </c>
    </row>
    <row r="3702" spans="1:6" ht="29.55" customHeight="1" x14ac:dyDescent="0.25">
      <c r="A3702" s="6" t="s">
        <v>15202</v>
      </c>
      <c r="B3702" s="5" t="s">
        <v>15203</v>
      </c>
      <c r="C3702" s="5" t="s">
        <v>15204</v>
      </c>
      <c r="D3702" s="5" t="s">
        <v>15205</v>
      </c>
      <c r="E3702" s="5" t="s">
        <v>15188</v>
      </c>
      <c r="F3702" s="5" t="str">
        <f>HYPERLINK("http://www.oliocherchi.it/","www.oliocherchi.it")</f>
        <v>www.oliocherchi.it</v>
      </c>
    </row>
    <row r="3703" spans="1:6" ht="16.95" customHeight="1" x14ac:dyDescent="0.25">
      <c r="A3703" s="6" t="s">
        <v>15210</v>
      </c>
      <c r="B3703" s="5" t="s">
        <v>15211</v>
      </c>
      <c r="C3703" s="5" t="s">
        <v>15212</v>
      </c>
      <c r="D3703" s="5" t="s">
        <v>15213</v>
      </c>
      <c r="E3703" s="5" t="s">
        <v>15214</v>
      </c>
      <c r="F3703" s="5" t="str">
        <f>HYPERLINK("http://www.italianalmond.com/","www.italianalmond.com")</f>
        <v>www.italianalmond.com</v>
      </c>
    </row>
    <row r="3704" spans="1:6" ht="29.55" customHeight="1" x14ac:dyDescent="0.25">
      <c r="A3704" s="1" t="s">
        <v>15220</v>
      </c>
      <c r="B3704" s="7" t="s">
        <v>15221</v>
      </c>
      <c r="C3704" s="7" t="s">
        <v>15209</v>
      </c>
      <c r="D3704" s="7" t="s">
        <v>15222</v>
      </c>
      <c r="E3704" s="7" t="s">
        <v>15223</v>
      </c>
      <c r="F3704" s="7" t="str">
        <f>HYPERLINK("http://www.agriffoli.com/","www.agriffoli.com")</f>
        <v>www.agriffoli.com</v>
      </c>
    </row>
    <row r="3705" spans="1:6" ht="29.55" customHeight="1" x14ac:dyDescent="0.25">
      <c r="A3705" s="6" t="s">
        <v>15224</v>
      </c>
      <c r="B3705" s="5" t="s">
        <v>15225</v>
      </c>
      <c r="C3705" s="5" t="s">
        <v>15219</v>
      </c>
      <c r="D3705" s="5" t="s">
        <v>15215</v>
      </c>
      <c r="E3705" s="5" t="s">
        <v>15214</v>
      </c>
      <c r="F3705" s="5" t="str">
        <f>HYPERLINK("http://www.ororossodegliblei.it/","www.ororossodegliblei.it")</f>
        <v>www.ororossodegliblei.it</v>
      </c>
    </row>
    <row r="3706" spans="1:6" ht="29.55" customHeight="1" x14ac:dyDescent="0.25">
      <c r="A3706" s="6" t="s">
        <v>15227</v>
      </c>
      <c r="B3706" s="5" t="s">
        <v>15228</v>
      </c>
      <c r="C3706" s="5" t="s">
        <v>15218</v>
      </c>
      <c r="D3706" s="5" t="s">
        <v>15229</v>
      </c>
      <c r="E3706" s="5" t="s">
        <v>15230</v>
      </c>
      <c r="F3706" s="5" t="str">
        <f>HYPERLINK("http://www.tenutateodoro.it/","www.tenutateodoro.it")</f>
        <v>www.tenutateodoro.it</v>
      </c>
    </row>
    <row r="3707" spans="1:6" ht="43.05" customHeight="1" x14ac:dyDescent="0.25">
      <c r="A3707" s="1" t="s">
        <v>15231</v>
      </c>
      <c r="B3707" s="7" t="s">
        <v>15232</v>
      </c>
      <c r="C3707" s="7" t="s">
        <v>15218</v>
      </c>
      <c r="D3707" s="7" t="s">
        <v>15233</v>
      </c>
      <c r="E3707" s="7" t="s">
        <v>15207</v>
      </c>
      <c r="F3707" s="7" t="str">
        <f>HYPERLINK("http://www.tenutaplanisium.it/","www.tenutaplanisium.it")</f>
        <v>www.tenutaplanisium.it</v>
      </c>
    </row>
    <row r="3708" spans="1:6" ht="29.55" customHeight="1" x14ac:dyDescent="0.25">
      <c r="A3708" s="1" t="s">
        <v>15234</v>
      </c>
      <c r="B3708" s="7" t="s">
        <v>15235</v>
      </c>
      <c r="C3708" s="7" t="s">
        <v>15218</v>
      </c>
      <c r="D3708" s="7" t="s">
        <v>15216</v>
      </c>
      <c r="E3708" s="7" t="s">
        <v>15217</v>
      </c>
      <c r="F3708" s="7" t="str">
        <f>HYPERLINK("http://www.cantinaribela.it/","www.cantinaribela.it")</f>
        <v>www.cantinaribela.it</v>
      </c>
    </row>
    <row r="3709" spans="1:6" ht="29.55" customHeight="1" x14ac:dyDescent="0.25">
      <c r="A3709" s="6" t="s">
        <v>15236</v>
      </c>
      <c r="B3709" s="5" t="s">
        <v>15237</v>
      </c>
      <c r="C3709" s="5" t="s">
        <v>15238</v>
      </c>
      <c r="D3709" s="5" t="s">
        <v>15206</v>
      </c>
      <c r="E3709" s="5" t="s">
        <v>15207</v>
      </c>
      <c r="F3709" s="5" t="str">
        <f>HYPERLINK("http://www.donnapaola.it/","www.donnapaola.it")</f>
        <v>www.donnapaola.it</v>
      </c>
    </row>
    <row r="3710" spans="1:6" ht="29.55" customHeight="1" x14ac:dyDescent="0.25">
      <c r="A3710" s="1" t="s">
        <v>15239</v>
      </c>
      <c r="B3710" s="7" t="s">
        <v>15240</v>
      </c>
      <c r="C3710" s="7" t="s">
        <v>15208</v>
      </c>
      <c r="D3710" s="7" t="s">
        <v>15241</v>
      </c>
      <c r="E3710" s="7" t="s">
        <v>15226</v>
      </c>
      <c r="F3710" s="7" t="str">
        <f>HYPERLINK("http://tickets.belvedere.at/","tickets.belvedere.at")</f>
        <v>tickets.belvedere.at</v>
      </c>
    </row>
    <row r="3711" spans="1:6" ht="29.55" customHeight="1" x14ac:dyDescent="0.25">
      <c r="A3711" s="1" t="s">
        <v>15242</v>
      </c>
      <c r="B3711" s="7" t="s">
        <v>15243</v>
      </c>
      <c r="C3711" s="7" t="s">
        <v>15244</v>
      </c>
      <c r="D3711" s="7" t="s">
        <v>15245</v>
      </c>
      <c r="E3711" s="7" t="s">
        <v>15246</v>
      </c>
      <c r="F3711" s="7" t="str">
        <f>HYPERLINK("http://traserraelago.it/","traserraelago.it")</f>
        <v>traserraelago.it</v>
      </c>
    </row>
    <row r="3712" spans="1:6" ht="29.55" customHeight="1" x14ac:dyDescent="0.25">
      <c r="A3712" s="1" t="s">
        <v>15250</v>
      </c>
      <c r="B3712" s="7" t="s">
        <v>15251</v>
      </c>
      <c r="C3712" s="7" t="s">
        <v>15252</v>
      </c>
      <c r="D3712" s="7" t="s">
        <v>15253</v>
      </c>
      <c r="E3712" s="7" t="s">
        <v>15254</v>
      </c>
      <c r="F3712" s="7" t="str">
        <f>HYPERLINK("http://www.cerrolungo.it/","www.cerrolungo.it")</f>
        <v>www.cerrolungo.it</v>
      </c>
    </row>
    <row r="3713" spans="1:6" ht="29.55" customHeight="1" x14ac:dyDescent="0.25">
      <c r="A3713" s="6" t="s">
        <v>15260</v>
      </c>
      <c r="B3713" s="5" t="s">
        <v>15261</v>
      </c>
      <c r="C3713" s="5" t="s">
        <v>15247</v>
      </c>
      <c r="D3713" s="5" t="s">
        <v>15257</v>
      </c>
      <c r="E3713" s="5" t="s">
        <v>15258</v>
      </c>
      <c r="F3713" s="5" t="str">
        <f>HYPERLINK("http://oliosantisidoro.it/","oliosantisidoro.it")</f>
        <v>oliosantisidoro.it</v>
      </c>
    </row>
    <row r="3714" spans="1:6" ht="29.55" customHeight="1" x14ac:dyDescent="0.25">
      <c r="A3714" s="6" t="s">
        <v>15263</v>
      </c>
      <c r="B3714" s="5" t="s">
        <v>15264</v>
      </c>
      <c r="C3714" s="5" t="s">
        <v>15265</v>
      </c>
      <c r="D3714" s="5" t="s">
        <v>15257</v>
      </c>
      <c r="E3714" s="5" t="s">
        <v>15258</v>
      </c>
      <c r="F3714" s="5" t="str">
        <f>HYPERLINK("http://www.mechealth.it/","www.mechealth.it")</f>
        <v>www.mechealth.it</v>
      </c>
    </row>
    <row r="3715" spans="1:6" ht="29.55" customHeight="1" x14ac:dyDescent="0.25">
      <c r="A3715" s="1" t="s">
        <v>15267</v>
      </c>
      <c r="B3715" s="7" t="s">
        <v>15268</v>
      </c>
      <c r="C3715" s="7" t="s">
        <v>15266</v>
      </c>
      <c r="D3715" s="7" t="s">
        <v>15269</v>
      </c>
      <c r="E3715" s="7" t="s">
        <v>15262</v>
      </c>
      <c r="F3715" s="7" t="str">
        <f>HYPERLINK("http://www.shazinstud.eu/","www.shazinstud.eu")</f>
        <v>www.shazinstud.eu</v>
      </c>
    </row>
    <row r="3716" spans="1:6" ht="29.55" customHeight="1" x14ac:dyDescent="0.25">
      <c r="A3716" s="6" t="s">
        <v>15270</v>
      </c>
      <c r="B3716" s="5" t="s">
        <v>15271</v>
      </c>
      <c r="C3716" s="5" t="s">
        <v>15247</v>
      </c>
      <c r="D3716" s="5" t="s">
        <v>15272</v>
      </c>
      <c r="E3716" s="5" t="s">
        <v>15273</v>
      </c>
      <c r="F3716" s="5" t="str">
        <f>HYPERLINK("http://www.fattoriaramerino.it/","www.fattoriaramerino.it")</f>
        <v>www.fattoriaramerino.it</v>
      </c>
    </row>
    <row r="3717" spans="1:6" ht="43.05" customHeight="1" x14ac:dyDescent="0.25">
      <c r="A3717" s="1" t="s">
        <v>15274</v>
      </c>
      <c r="B3717" s="7" t="s">
        <v>15275</v>
      </c>
      <c r="C3717" s="7" t="s">
        <v>15249</v>
      </c>
      <c r="D3717" s="7" t="s">
        <v>15276</v>
      </c>
      <c r="E3717" s="7" t="s">
        <v>15259</v>
      </c>
      <c r="F3717" s="7" t="str">
        <f>HYPERLINK("http://www.tenutaaradeltufo.it/","www.tenutaaradeltufo.it")</f>
        <v>www.tenutaaradeltufo.it</v>
      </c>
    </row>
    <row r="3718" spans="1:6" ht="29.55" customHeight="1" x14ac:dyDescent="0.25">
      <c r="A3718" s="6" t="s">
        <v>15277</v>
      </c>
      <c r="B3718" s="5" t="s">
        <v>15278</v>
      </c>
      <c r="C3718" s="5" t="s">
        <v>15279</v>
      </c>
      <c r="D3718" s="5" t="s">
        <v>15280</v>
      </c>
      <c r="E3718" s="5" t="s">
        <v>15256</v>
      </c>
      <c r="F3718" s="5" t="str">
        <f>HYPERLINK("http://www.ortovivai.com/","www.ortovivai.com")</f>
        <v>www.ortovivai.com</v>
      </c>
    </row>
    <row r="3719" spans="1:6" ht="29.55" customHeight="1" x14ac:dyDescent="0.25">
      <c r="A3719" s="1" t="s">
        <v>15281</v>
      </c>
      <c r="B3719" s="7" t="s">
        <v>15282</v>
      </c>
      <c r="C3719" s="7" t="s">
        <v>15252</v>
      </c>
      <c r="D3719" s="7" t="s">
        <v>15255</v>
      </c>
      <c r="E3719" s="7" t="s">
        <v>15248</v>
      </c>
      <c r="F3719" s="7" t="str">
        <f>HYPERLINK("https://olivodellafortuna.wordpress.com/","https://olivodellafortuna.wordpress.com")</f>
        <v>https://olivodellafortuna.wordpress.com</v>
      </c>
    </row>
    <row r="3720" spans="1:6" ht="29.55" customHeight="1" x14ac:dyDescent="0.25">
      <c r="A3720" s="1" t="s">
        <v>15283</v>
      </c>
      <c r="B3720" s="7" t="s">
        <v>15284</v>
      </c>
      <c r="C3720" s="7" t="s">
        <v>15247</v>
      </c>
      <c r="D3720" s="7" t="s">
        <v>15285</v>
      </c>
      <c r="E3720" s="7" t="s">
        <v>15273</v>
      </c>
      <c r="F3720" s="7" t="str">
        <f>HYPERLINK("http://www.biricoccole.it/","www.biricoccole.it")</f>
        <v>www.biricoccole.it</v>
      </c>
    </row>
    <row r="3721" spans="1:6" ht="29.55" customHeight="1" x14ac:dyDescent="0.25">
      <c r="A3721" s="6" t="s">
        <v>15286</v>
      </c>
      <c r="B3721" s="5" t="s">
        <v>15287</v>
      </c>
      <c r="C3721" s="5" t="s">
        <v>15265</v>
      </c>
      <c r="D3721" s="5" t="s">
        <v>15288</v>
      </c>
      <c r="E3721" s="5" t="s">
        <v>15289</v>
      </c>
      <c r="F3721" s="5" t="str">
        <f>HYPERLINK("http://www.officinalidellacollina.it/","www.officinalidellacollina.it")</f>
        <v>www.officinalidellacollina.it</v>
      </c>
    </row>
    <row r="3722" spans="1:6" ht="29.55" customHeight="1" x14ac:dyDescent="0.25">
      <c r="A3722" s="1" t="s">
        <v>15292</v>
      </c>
      <c r="B3722" s="7" t="s">
        <v>15293</v>
      </c>
      <c r="C3722" s="7" t="s">
        <v>15294</v>
      </c>
      <c r="D3722" s="7" t="s">
        <v>15295</v>
      </c>
      <c r="E3722" s="7" t="s">
        <v>15291</v>
      </c>
      <c r="F3722" s="7" t="str">
        <f>HYPERLINK("http://www.melagranasaita.it/","www.melagranasaita.it")</f>
        <v>www.melagranasaita.it</v>
      </c>
    </row>
    <row r="3723" spans="1:6" ht="43.05" customHeight="1" x14ac:dyDescent="0.25">
      <c r="A3723" s="1" t="s">
        <v>15296</v>
      </c>
      <c r="B3723" s="7" t="s">
        <v>15297</v>
      </c>
      <c r="C3723" s="7" t="s">
        <v>15298</v>
      </c>
      <c r="D3723" s="7" t="s">
        <v>15299</v>
      </c>
      <c r="E3723" s="7" t="s">
        <v>15300</v>
      </c>
      <c r="F3723" s="7" t="str">
        <f>HYPERLINK("http://www.cannabisprotectio.it/","www.cannabisprotectio.it")</f>
        <v>www.cannabisprotectio.it</v>
      </c>
    </row>
    <row r="3724" spans="1:6" ht="29.55" customHeight="1" x14ac:dyDescent="0.25">
      <c r="A3724" s="6" t="s">
        <v>15301</v>
      </c>
      <c r="B3724" s="5" t="s">
        <v>15302</v>
      </c>
      <c r="C3724" s="5" t="s">
        <v>15303</v>
      </c>
      <c r="D3724" s="5" t="s">
        <v>15304</v>
      </c>
      <c r="E3724" s="5" t="s">
        <v>15305</v>
      </c>
      <c r="F3724" s="5" t="str">
        <f>HYPERLINK("http://www.cascinanoresa.it/","www.cascinanoresa.it")</f>
        <v>www.cascinanoresa.it</v>
      </c>
    </row>
    <row r="3725" spans="1:6" ht="43.05" customHeight="1" x14ac:dyDescent="0.25">
      <c r="A3725" s="1" t="s">
        <v>15306</v>
      </c>
      <c r="B3725" s="7" t="s">
        <v>15307</v>
      </c>
      <c r="C3725" s="7" t="s">
        <v>15303</v>
      </c>
      <c r="D3725" s="7" t="s">
        <v>15308</v>
      </c>
      <c r="E3725" s="7" t="s">
        <v>15309</v>
      </c>
      <c r="F3725" s="7" t="str">
        <f>HYPERLINK("http://www.chateaulasiroque.com/","www.chateaulasiroque.com")</f>
        <v>www.chateaulasiroque.com</v>
      </c>
    </row>
    <row r="3726" spans="1:6" ht="43.05" customHeight="1" x14ac:dyDescent="0.25">
      <c r="A3726" s="6" t="s">
        <v>15310</v>
      </c>
      <c r="B3726" s="5" t="s">
        <v>15311</v>
      </c>
      <c r="C3726" s="5" t="s">
        <v>15312</v>
      </c>
      <c r="D3726" s="5" t="s">
        <v>15313</v>
      </c>
      <c r="E3726" s="5" t="s">
        <v>15314</v>
      </c>
      <c r="F3726" s="5" t="str">
        <f>HYPERLINK("http://www.aitremonelli.it/","www.aitremonelli.it")</f>
        <v>www.aitremonelli.it</v>
      </c>
    </row>
    <row r="3727" spans="1:6" ht="29.55" customHeight="1" x14ac:dyDescent="0.25">
      <c r="A3727" s="6" t="s">
        <v>15316</v>
      </c>
      <c r="B3727" s="5" t="s">
        <v>15317</v>
      </c>
      <c r="C3727" s="5" t="s">
        <v>15318</v>
      </c>
      <c r="D3727" s="5" t="s">
        <v>15319</v>
      </c>
      <c r="E3727" s="5" t="s">
        <v>15320</v>
      </c>
      <c r="F3727" s="5" t="str">
        <f>HYPERLINK("http://agricolarotella.it/","agricolarotella.it")</f>
        <v>agricolarotella.it</v>
      </c>
    </row>
    <row r="3728" spans="1:6" ht="16.95" customHeight="1" x14ac:dyDescent="0.25">
      <c r="A3728" s="1" t="s">
        <v>15321</v>
      </c>
      <c r="B3728" s="7" t="s">
        <v>15322</v>
      </c>
      <c r="C3728" s="7" t="s">
        <v>15323</v>
      </c>
      <c r="D3728" s="7" t="s">
        <v>15324</v>
      </c>
      <c r="E3728" s="7" t="s">
        <v>15291</v>
      </c>
      <c r="F3728" s="7" t="str">
        <f>HYPERLINK("http://www.aziendabiobonizio.com/","www.aziendabiobonizio.com")</f>
        <v>www.aziendabiobonizio.com</v>
      </c>
    </row>
    <row r="3729" spans="1:6" ht="29.55" customHeight="1" x14ac:dyDescent="0.25">
      <c r="A3729" s="1" t="s">
        <v>15326</v>
      </c>
      <c r="B3729" s="7" t="s">
        <v>15327</v>
      </c>
      <c r="C3729" s="7" t="s">
        <v>15315</v>
      </c>
      <c r="D3729" s="7" t="s">
        <v>15328</v>
      </c>
      <c r="E3729" s="7" t="s">
        <v>15290</v>
      </c>
      <c r="F3729" s="7" t="str">
        <f>HYPERLINK("http://www.agricolacignale.eu/","www.agricolacignale.eu")</f>
        <v>www.agricolacignale.eu</v>
      </c>
    </row>
    <row r="3730" spans="1:6" ht="29.55" customHeight="1" x14ac:dyDescent="0.25">
      <c r="A3730" s="6" t="s">
        <v>15329</v>
      </c>
      <c r="B3730" s="5" t="s">
        <v>15330</v>
      </c>
      <c r="C3730" s="5" t="s">
        <v>15303</v>
      </c>
      <c r="D3730" s="5" t="s">
        <v>15325</v>
      </c>
      <c r="E3730" s="5" t="s">
        <v>15309</v>
      </c>
      <c r="F3730" s="5" t="str">
        <f>HYPERLINK("http://www.maryamado.com/","www.maryamado.com")</f>
        <v>www.maryamado.com</v>
      </c>
    </row>
    <row r="3731" spans="1:6" ht="29.55" customHeight="1" x14ac:dyDescent="0.25">
      <c r="A3731" s="6" t="s">
        <v>15331</v>
      </c>
      <c r="B3731" s="5" t="s">
        <v>15332</v>
      </c>
      <c r="C3731" s="5" t="s">
        <v>15303</v>
      </c>
      <c r="D3731" s="5" t="s">
        <v>15325</v>
      </c>
      <c r="E3731" s="5" t="s">
        <v>15309</v>
      </c>
      <c r="F3731" s="5" t="str">
        <f>HYPERLINK("http://www.fattoriailcapitano.com/","www.fattoriailcapitano.com")</f>
        <v>www.fattoriailcapitano.com</v>
      </c>
    </row>
    <row r="3732" spans="1:6" ht="29.55" customHeight="1" x14ac:dyDescent="0.25">
      <c r="A3732" s="6" t="s">
        <v>15333</v>
      </c>
      <c r="B3732" s="5" t="s">
        <v>15334</v>
      </c>
      <c r="C3732" s="5" t="s">
        <v>15303</v>
      </c>
      <c r="D3732" s="5" t="s">
        <v>15335</v>
      </c>
      <c r="E3732" s="5" t="s">
        <v>15290</v>
      </c>
      <c r="F3732" s="5" t="str">
        <f>HYPERLINK("http://gentilevini.it/","gentilevini.it")</f>
        <v>gentilevini.it</v>
      </c>
    </row>
    <row r="3733" spans="1:6" ht="29.55" customHeight="1" x14ac:dyDescent="0.25">
      <c r="A3733" s="1" t="s">
        <v>15336</v>
      </c>
      <c r="B3733" s="7" t="s">
        <v>15337</v>
      </c>
      <c r="C3733" s="7" t="s">
        <v>15338</v>
      </c>
      <c r="D3733" s="7" t="s">
        <v>15339</v>
      </c>
      <c r="E3733" s="7" t="s">
        <v>15340</v>
      </c>
      <c r="F3733" s="7" t="str">
        <f>HYPERLINK("http://www.sassolive.com/","www.sassolive.com")</f>
        <v>www.sassolive.com</v>
      </c>
    </row>
    <row r="3734" spans="1:6" ht="29.55" customHeight="1" x14ac:dyDescent="0.25">
      <c r="A3734" s="6" t="s">
        <v>15341</v>
      </c>
      <c r="B3734" s="5" t="s">
        <v>15342</v>
      </c>
      <c r="C3734" s="5" t="s">
        <v>15343</v>
      </c>
      <c r="D3734" s="5" t="s">
        <v>15344</v>
      </c>
      <c r="E3734" s="5" t="s">
        <v>15340</v>
      </c>
      <c r="F3734" s="5" t="str">
        <f>HYPERLINK("http://www.roccavinealis.it/","www.roccavinealis.it")</f>
        <v>www.roccavinealis.it</v>
      </c>
    </row>
    <row r="3735" spans="1:6" ht="43.05" customHeight="1" x14ac:dyDescent="0.25">
      <c r="A3735" s="1" t="s">
        <v>15349</v>
      </c>
      <c r="B3735" s="7" t="s">
        <v>15350</v>
      </c>
      <c r="C3735" s="7" t="s">
        <v>15351</v>
      </c>
      <c r="D3735" s="7" t="s">
        <v>15345</v>
      </c>
      <c r="E3735" s="7" t="s">
        <v>15346</v>
      </c>
      <c r="F3735" s="7" t="str">
        <f>HYPERLINK("http://www.tenutabaccaresca.com/","www.tenutabaccaresca.com")</f>
        <v>www.tenutabaccaresca.com</v>
      </c>
    </row>
    <row r="3736" spans="1:6" ht="29.55" customHeight="1" x14ac:dyDescent="0.25">
      <c r="A3736" s="6" t="s">
        <v>15352</v>
      </c>
      <c r="B3736" s="5" t="s">
        <v>15353</v>
      </c>
      <c r="C3736" s="5" t="s">
        <v>15354</v>
      </c>
      <c r="D3736" s="5" t="s">
        <v>15355</v>
      </c>
      <c r="E3736" s="5" t="s">
        <v>15348</v>
      </c>
      <c r="F3736" s="5" t="str">
        <f>HYPERLINK("http://www.birralove.com/","www.birralove.com")</f>
        <v>www.birralove.com</v>
      </c>
    </row>
    <row r="3737" spans="1:6" ht="29.55" customHeight="1" x14ac:dyDescent="0.25">
      <c r="A3737" s="1" t="s">
        <v>15356</v>
      </c>
      <c r="B3737" s="7" t="s">
        <v>15357</v>
      </c>
      <c r="C3737" s="7" t="s">
        <v>15338</v>
      </c>
      <c r="D3737" s="7" t="s">
        <v>15358</v>
      </c>
      <c r="E3737" s="7" t="s">
        <v>15359</v>
      </c>
      <c r="F3737" s="7" t="str">
        <f>HYPERLINK("http://www.vinaemontae.com/","www.vinaemontae.com")</f>
        <v>www.vinaemontae.com</v>
      </c>
    </row>
    <row r="3738" spans="1:6" ht="29.55" customHeight="1" x14ac:dyDescent="0.25">
      <c r="A3738" s="1" t="s">
        <v>15361</v>
      </c>
      <c r="B3738" s="7" t="s">
        <v>15362</v>
      </c>
      <c r="C3738" s="7" t="s">
        <v>15343</v>
      </c>
      <c r="D3738" s="7" t="s">
        <v>15363</v>
      </c>
      <c r="E3738" s="7" t="s">
        <v>15364</v>
      </c>
      <c r="F3738" s="7" t="str">
        <f>HYPERLINK("http://www.capicheralalomellina.com/","www.capicheralalomellina.com")</f>
        <v>www.capicheralalomellina.com</v>
      </c>
    </row>
    <row r="3739" spans="1:6" ht="16.95" customHeight="1" x14ac:dyDescent="0.25">
      <c r="A3739" s="6" t="s">
        <v>15365</v>
      </c>
      <c r="B3739" s="5" t="s">
        <v>15366</v>
      </c>
      <c r="C3739" s="5" t="s">
        <v>15367</v>
      </c>
      <c r="D3739" s="5" t="s">
        <v>15368</v>
      </c>
      <c r="E3739" s="5" t="s">
        <v>15369</v>
      </c>
      <c r="F3739" s="5" t="str">
        <f>HYPERLINK("http://www.giansantidimuzio.it/","www.giansantidimuzio.it")</f>
        <v>www.giansantidimuzio.it</v>
      </c>
    </row>
    <row r="3740" spans="1:6" ht="43.05" customHeight="1" x14ac:dyDescent="0.25">
      <c r="A3740" s="6" t="s">
        <v>15370</v>
      </c>
      <c r="B3740" s="5" t="s">
        <v>15371</v>
      </c>
      <c r="C3740" s="5" t="s">
        <v>15347</v>
      </c>
      <c r="D3740" s="5" t="s">
        <v>15360</v>
      </c>
      <c r="E3740" s="5" t="s">
        <v>15359</v>
      </c>
      <c r="F3740" s="5" t="str">
        <f>HYPERLINK("http://www.fattoriadicorazzano.it/","www.fattoriadicorazzano.it")</f>
        <v>www.fattoriadicorazzano.it</v>
      </c>
    </row>
    <row r="3741" spans="1:6" ht="55.65" customHeight="1" x14ac:dyDescent="0.25">
      <c r="A3741" s="6" t="s">
        <v>15374</v>
      </c>
      <c r="B3741" s="5" t="s">
        <v>15375</v>
      </c>
      <c r="C3741" s="5" t="s">
        <v>15376</v>
      </c>
      <c r="D3741" s="5" t="s">
        <v>15377</v>
      </c>
      <c r="E3741" s="5" t="s">
        <v>15378</v>
      </c>
      <c r="F3741" s="5" t="str">
        <f>HYPERLINK("http://capreacapraia.it/","capreacapraia.it")</f>
        <v>capreacapraia.it</v>
      </c>
    </row>
    <row r="3742" spans="1:6" ht="43.05" customHeight="1" x14ac:dyDescent="0.25">
      <c r="A3742" s="6" t="s">
        <v>15380</v>
      </c>
      <c r="B3742" s="5" t="s">
        <v>15381</v>
      </c>
      <c r="C3742" s="5" t="s">
        <v>15382</v>
      </c>
      <c r="D3742" s="5" t="s">
        <v>15383</v>
      </c>
      <c r="E3742" s="5" t="s">
        <v>15384</v>
      </c>
      <c r="F3742" s="5" t="str">
        <f>HYPERLINK("http://www.tenutadeimille.com/","www.tenutadeimille.com")</f>
        <v>www.tenutadeimille.com</v>
      </c>
    </row>
    <row r="3743" spans="1:6" ht="43.05" customHeight="1" x14ac:dyDescent="0.25">
      <c r="A3743" s="1" t="s">
        <v>15385</v>
      </c>
      <c r="B3743" s="7" t="s">
        <v>15386</v>
      </c>
      <c r="C3743" s="7" t="s">
        <v>15372</v>
      </c>
      <c r="D3743" s="7" t="s">
        <v>15387</v>
      </c>
      <c r="E3743" s="7" t="s">
        <v>15378</v>
      </c>
      <c r="F3743" s="7" t="str">
        <f>HYPERLINK("http://www.lapievuccia.it/","www.lapievuccia.it")</f>
        <v>www.lapievuccia.it</v>
      </c>
    </row>
    <row r="3744" spans="1:6" ht="29.55" customHeight="1" x14ac:dyDescent="0.25">
      <c r="A3744" s="1" t="s">
        <v>15388</v>
      </c>
      <c r="B3744" s="7" t="s">
        <v>15389</v>
      </c>
      <c r="C3744" s="7" t="s">
        <v>15390</v>
      </c>
      <c r="D3744" s="7" t="s">
        <v>15391</v>
      </c>
      <c r="E3744" s="7" t="s">
        <v>15384</v>
      </c>
      <c r="F3744" s="7" t="str">
        <f>HYPERLINK("http://www.sicily-glamping.it/","www.sicily-glamping.it")</f>
        <v>www.sicily-glamping.it</v>
      </c>
    </row>
    <row r="3745" spans="1:6" ht="43.05" customHeight="1" x14ac:dyDescent="0.25">
      <c r="A3745" s="6" t="s">
        <v>15392</v>
      </c>
      <c r="B3745" s="5" t="s">
        <v>15393</v>
      </c>
      <c r="C3745" s="5" t="s">
        <v>15372</v>
      </c>
      <c r="D3745" s="5" t="s">
        <v>15394</v>
      </c>
      <c r="E3745" s="5" t="s">
        <v>15378</v>
      </c>
      <c r="F3745" s="5" t="str">
        <f>HYPERLINK("http://fattoriacollealberto.com/","fattoriacollealberto.com/")</f>
        <v>fattoriacollealberto.com/</v>
      </c>
    </row>
    <row r="3746" spans="1:6" ht="16.95" customHeight="1" x14ac:dyDescent="0.25">
      <c r="A3746" s="1" t="s">
        <v>15395</v>
      </c>
      <c r="B3746" s="7" t="s">
        <v>15396</v>
      </c>
      <c r="C3746" s="7" t="s">
        <v>15373</v>
      </c>
      <c r="D3746" s="7" t="s">
        <v>15397</v>
      </c>
      <c r="E3746" s="7" t="s">
        <v>15379</v>
      </c>
      <c r="F3746" s="7" t="str">
        <f>HYPERLINK("http://www.agriturismolabotte.com/","www.agriturismolabotte.com")</f>
        <v>www.agriturismolabotte.com</v>
      </c>
    </row>
    <row r="3747" spans="1:6" ht="29.55" customHeight="1" x14ac:dyDescent="0.25">
      <c r="A3747" s="1" t="s">
        <v>15398</v>
      </c>
      <c r="B3747" s="7" t="s">
        <v>15399</v>
      </c>
      <c r="C3747" s="7" t="s">
        <v>15400</v>
      </c>
      <c r="D3747" s="7" t="s">
        <v>15401</v>
      </c>
      <c r="E3747" s="7" t="s">
        <v>15402</v>
      </c>
      <c r="F3747" s="7" t="str">
        <f>HYPERLINK("http://agriturismo-villa-maria-clementina.vacanzeinitalia.top/","agriturismo-villa-maria-clementina.vacanzeinitalia.top")</f>
        <v>agriturismo-villa-maria-clementina.vacanzeinitalia.top</v>
      </c>
    </row>
    <row r="3748" spans="1:6" ht="29.55" customHeight="1" x14ac:dyDescent="0.25">
      <c r="A3748" s="6" t="s">
        <v>15406</v>
      </c>
      <c r="B3748" s="5" t="s">
        <v>15407</v>
      </c>
      <c r="C3748" s="5" t="s">
        <v>15400</v>
      </c>
      <c r="D3748" s="5" t="s">
        <v>15408</v>
      </c>
      <c r="E3748" s="5" t="s">
        <v>15409</v>
      </c>
      <c r="F3748" s="5" t="str">
        <f>HYPERLINK("http://www.ildragoelafornace.com/","www.ildragoelafornace.com")</f>
        <v>www.ildragoelafornace.com</v>
      </c>
    </row>
    <row r="3749" spans="1:6" ht="55.65" customHeight="1" x14ac:dyDescent="0.25">
      <c r="A3749" s="1" t="s">
        <v>15410</v>
      </c>
      <c r="B3749" s="7" t="s">
        <v>15411</v>
      </c>
      <c r="C3749" s="7" t="s">
        <v>15400</v>
      </c>
      <c r="D3749" s="7" t="s">
        <v>15401</v>
      </c>
      <c r="E3749" s="7" t="s">
        <v>15402</v>
      </c>
      <c r="F3749" s="7" t="str">
        <f>HYPERLINK("http://www.amor-vitae.com/","www.amor-vitae.com")</f>
        <v>www.amor-vitae.com</v>
      </c>
    </row>
    <row r="3750" spans="1:6" ht="29.55" customHeight="1" x14ac:dyDescent="0.25">
      <c r="A3750" s="1" t="s">
        <v>15412</v>
      </c>
      <c r="B3750" s="7" t="s">
        <v>15413</v>
      </c>
      <c r="C3750" s="7" t="s">
        <v>15400</v>
      </c>
      <c r="D3750" s="7" t="s">
        <v>15414</v>
      </c>
      <c r="E3750" s="7" t="s">
        <v>15415</v>
      </c>
      <c r="F3750" s="7" t="str">
        <f>HYPERLINK("http://www.torrediterzolan.it/","www.torrediterzolan.it")</f>
        <v>www.torrediterzolan.it</v>
      </c>
    </row>
    <row r="3751" spans="1:6" ht="43.05" customHeight="1" x14ac:dyDescent="0.25">
      <c r="A3751" s="1" t="s">
        <v>15417</v>
      </c>
      <c r="B3751" s="7" t="s">
        <v>15418</v>
      </c>
      <c r="C3751" s="7" t="s">
        <v>15419</v>
      </c>
      <c r="D3751" s="7" t="s">
        <v>15420</v>
      </c>
      <c r="E3751" s="7" t="s">
        <v>15409</v>
      </c>
      <c r="F3751" s="7" t="str">
        <f>HYPERLINK("http://www.agriturismopretola.it/","www.agriturismopretola.it")</f>
        <v>www.agriturismopretola.it</v>
      </c>
    </row>
    <row r="3752" spans="1:6" ht="16.95" customHeight="1" x14ac:dyDescent="0.25">
      <c r="A3752" s="6" t="s">
        <v>15421</v>
      </c>
      <c r="B3752" s="5" t="s">
        <v>15422</v>
      </c>
      <c r="C3752" s="5" t="s">
        <v>15405</v>
      </c>
      <c r="D3752" s="5" t="s">
        <v>15403</v>
      </c>
      <c r="E3752" s="5" t="s">
        <v>15404</v>
      </c>
      <c r="F3752" s="5" t="str">
        <f>HYPERLINK("http://www.gabriellabariselli.com/","www.gabriellabariselli.com")</f>
        <v>www.gabriellabariselli.com</v>
      </c>
    </row>
    <row r="3753" spans="1:6" ht="29.55" customHeight="1" x14ac:dyDescent="0.25">
      <c r="A3753" s="1" t="s">
        <v>15423</v>
      </c>
      <c r="B3753" s="7" t="s">
        <v>15424</v>
      </c>
      <c r="C3753" s="7" t="s">
        <v>15400</v>
      </c>
      <c r="D3753" s="7" t="s">
        <v>15425</v>
      </c>
      <c r="E3753" s="7" t="s">
        <v>15426</v>
      </c>
      <c r="F3753" s="7" t="str">
        <f>HYPERLINK("http://www.terredelprincipe.com/","www.terredelprincipe.com")</f>
        <v>www.terredelprincipe.com</v>
      </c>
    </row>
    <row r="3754" spans="1:6" ht="29.55" customHeight="1" x14ac:dyDescent="0.25">
      <c r="A3754" s="1" t="s">
        <v>15427</v>
      </c>
      <c r="B3754" s="7" t="s">
        <v>15428</v>
      </c>
      <c r="C3754" s="7" t="s">
        <v>15400</v>
      </c>
      <c r="D3754" s="7" t="s">
        <v>15429</v>
      </c>
      <c r="E3754" s="7" t="s">
        <v>15415</v>
      </c>
      <c r="F3754" s="7" t="str">
        <f>HYPERLINK("http://www.piandellevette.it/","www.piandellevette.it")</f>
        <v>www.piandellevette.it</v>
      </c>
    </row>
    <row r="3755" spans="1:6" ht="29.55" customHeight="1" x14ac:dyDescent="0.25">
      <c r="A3755" s="6" t="s">
        <v>15430</v>
      </c>
      <c r="B3755" s="5" t="s">
        <v>15431</v>
      </c>
      <c r="C3755" s="5" t="s">
        <v>15400</v>
      </c>
      <c r="D3755" s="5" t="s">
        <v>15432</v>
      </c>
      <c r="E3755" s="5" t="s">
        <v>15409</v>
      </c>
      <c r="F3755" s="5" t="str">
        <f>HYPERLINK("http://www.fattoriadicorniola.com/","www.fattoriadicorniola.com")</f>
        <v>www.fattoriadicorniola.com</v>
      </c>
    </row>
    <row r="3756" spans="1:6" ht="29.55" customHeight="1" x14ac:dyDescent="0.25">
      <c r="A3756" s="6" t="s">
        <v>15433</v>
      </c>
      <c r="B3756" s="5" t="s">
        <v>15434</v>
      </c>
      <c r="C3756" s="5" t="s">
        <v>15435</v>
      </c>
      <c r="D3756" s="5" t="s">
        <v>15416</v>
      </c>
      <c r="E3756" s="5" t="s">
        <v>15402</v>
      </c>
      <c r="F3756" s="5" t="str">
        <f>HYPERLINK("http://www.narniacannabiscrew.com/","www.narniacannabiscrew.com")</f>
        <v>www.narniacannabiscrew.com</v>
      </c>
    </row>
    <row r="3757" spans="1:6" ht="29.55" customHeight="1" x14ac:dyDescent="0.25">
      <c r="A3757" s="1" t="s">
        <v>15436</v>
      </c>
      <c r="B3757" s="7" t="s">
        <v>15437</v>
      </c>
      <c r="C3757" s="7" t="s">
        <v>15438</v>
      </c>
      <c r="D3757" s="7" t="s">
        <v>15416</v>
      </c>
      <c r="E3757" s="7" t="s">
        <v>15402</v>
      </c>
      <c r="F3757" s="7" t="str">
        <f>HYPERLINK("http://aziendaagricolamongale.business.site/","aziendaagricolamongale.business.site")</f>
        <v>aziendaagricolamongale.business.site</v>
      </c>
    </row>
    <row r="3758" spans="1:6" ht="29.55" customHeight="1" x14ac:dyDescent="0.25">
      <c r="A3758" s="6" t="s">
        <v>15439</v>
      </c>
      <c r="B3758" s="5" t="s">
        <v>15440</v>
      </c>
      <c r="C3758" s="5" t="s">
        <v>15400</v>
      </c>
      <c r="D3758" s="5" t="s">
        <v>15441</v>
      </c>
      <c r="E3758" s="5" t="s">
        <v>15415</v>
      </c>
      <c r="F3758" s="5" t="str">
        <f>HYPERLINK("http://societa-agricola-panin-srl-04504810260.quantofattura.com/","societa-agricola-panin-srl-04504810260.quantofattura.com")</f>
        <v>societa-agricola-panin-srl-04504810260.quantofattura.com</v>
      </c>
    </row>
    <row r="3759" spans="1:6" ht="43.05" customHeight="1" x14ac:dyDescent="0.25">
      <c r="A3759" s="6" t="s">
        <v>15444</v>
      </c>
      <c r="B3759" s="5" t="s">
        <v>15445</v>
      </c>
      <c r="C3759" s="5" t="s">
        <v>15446</v>
      </c>
      <c r="D3759" s="5" t="s">
        <v>15447</v>
      </c>
      <c r="E3759" s="5" t="s">
        <v>15448</v>
      </c>
      <c r="F3759" s="5" t="str">
        <f>HYPERLINK("http://www.torre1922.it/","www.torre1922.it")</f>
        <v>www.torre1922.it</v>
      </c>
    </row>
    <row r="3760" spans="1:6" ht="29.55" customHeight="1" x14ac:dyDescent="0.25">
      <c r="A3760" s="1" t="s">
        <v>15449</v>
      </c>
      <c r="B3760" s="7" t="s">
        <v>15450</v>
      </c>
      <c r="C3760" s="7" t="s">
        <v>15451</v>
      </c>
      <c r="D3760" s="7" t="s">
        <v>15452</v>
      </c>
      <c r="E3760" s="7" t="s">
        <v>15453</v>
      </c>
      <c r="F3760" s="7" t="str">
        <f>HYPERLINK("http://www.dellagri.it/","www.dellagri.it")</f>
        <v>www.dellagri.it</v>
      </c>
    </row>
    <row r="3761" spans="1:6" ht="29.55" customHeight="1" x14ac:dyDescent="0.25">
      <c r="A3761" s="1" t="s">
        <v>15456</v>
      </c>
      <c r="B3761" s="7" t="s">
        <v>15457</v>
      </c>
      <c r="C3761" s="7" t="s">
        <v>15454</v>
      </c>
      <c r="D3761" s="7" t="s">
        <v>15458</v>
      </c>
      <c r="E3761" s="7" t="s">
        <v>15459</v>
      </c>
      <c r="F3761" s="7" t="str">
        <f>HYPERLINK("http://www.vinicasemarcosanti.com/","www.vinicasemarcosanti.com")</f>
        <v>www.vinicasemarcosanti.com</v>
      </c>
    </row>
    <row r="3762" spans="1:6" ht="29.55" customHeight="1" x14ac:dyDescent="0.25">
      <c r="A3762" s="1" t="s">
        <v>15460</v>
      </c>
      <c r="B3762" s="7" t="s">
        <v>15461</v>
      </c>
      <c r="C3762" s="7" t="s">
        <v>15462</v>
      </c>
      <c r="D3762" s="7" t="s">
        <v>15463</v>
      </c>
      <c r="E3762" s="7" t="s">
        <v>15443</v>
      </c>
      <c r="F3762" s="7" t="str">
        <f>HYPERLINK("http://www.animalservice.it/","www.animalservice.it")</f>
        <v>www.animalservice.it</v>
      </c>
    </row>
    <row r="3763" spans="1:6" ht="29.55" customHeight="1" x14ac:dyDescent="0.25">
      <c r="A3763" s="6" t="s">
        <v>15465</v>
      </c>
      <c r="B3763" s="5" t="s">
        <v>15466</v>
      </c>
      <c r="C3763" s="5" t="s">
        <v>15454</v>
      </c>
      <c r="D3763" s="5" t="s">
        <v>15467</v>
      </c>
      <c r="E3763" s="5" t="s">
        <v>15455</v>
      </c>
      <c r="F3763" s="5" t="str">
        <f>HYPERLINK("http://www.mannelli-graetz.com/","www.mannelli-graetz.com")</f>
        <v>www.mannelli-graetz.com</v>
      </c>
    </row>
    <row r="3764" spans="1:6" ht="55.65" customHeight="1" x14ac:dyDescent="0.25">
      <c r="A3764" s="6" t="s">
        <v>15468</v>
      </c>
      <c r="B3764" s="5" t="s">
        <v>15469</v>
      </c>
      <c r="C3764" s="5" t="s">
        <v>15442</v>
      </c>
      <c r="D3764" s="5" t="s">
        <v>15470</v>
      </c>
      <c r="E3764" s="5" t="s">
        <v>15464</v>
      </c>
      <c r="F3764" s="5" t="str">
        <f>HYPERLINK("http://www.soloprodottitipicisiciliani.it/","www.soloprodottitipicisiciliani.it")</f>
        <v>www.soloprodottitipicisiciliani.it</v>
      </c>
    </row>
    <row r="3765" spans="1:6" ht="16.95" customHeight="1" x14ac:dyDescent="0.25">
      <c r="A3765" s="1" t="s">
        <v>15472</v>
      </c>
      <c r="B3765" s="7" t="s">
        <v>15473</v>
      </c>
      <c r="C3765" s="7" t="s">
        <v>15474</v>
      </c>
      <c r="D3765" s="7" t="s">
        <v>15475</v>
      </c>
      <c r="E3765" s="7" t="s">
        <v>15476</v>
      </c>
      <c r="F3765" s="7" t="str">
        <f>HYPERLINK("http://www.cflnet.it/","www.cflnet.it")</f>
        <v>www.cflnet.it</v>
      </c>
    </row>
    <row r="3766" spans="1:6" ht="16.95" customHeight="1" x14ac:dyDescent="0.25">
      <c r="A3766" s="6" t="s">
        <v>15478</v>
      </c>
      <c r="B3766" s="5" t="s">
        <v>15479</v>
      </c>
      <c r="C3766" s="5" t="s">
        <v>15471</v>
      </c>
      <c r="D3766" s="5" t="s">
        <v>15480</v>
      </c>
      <c r="E3766" s="5" t="s">
        <v>15481</v>
      </c>
      <c r="F3766" s="5" t="str">
        <f>HYPERLINK("http://www.ranzikg.com/","www.ranzikg.com")</f>
        <v>www.ranzikg.com</v>
      </c>
    </row>
    <row r="3767" spans="1:6" ht="43.05" customHeight="1" x14ac:dyDescent="0.25">
      <c r="A3767" s="6" t="s">
        <v>15482</v>
      </c>
      <c r="B3767" s="5" t="s">
        <v>15483</v>
      </c>
      <c r="C3767" s="5" t="s">
        <v>15471</v>
      </c>
      <c r="D3767" s="5" t="s">
        <v>15484</v>
      </c>
      <c r="E3767" s="5" t="s">
        <v>15477</v>
      </c>
      <c r="F3767" s="5" t="str">
        <f>HYPERLINK("http://www.oleificiovaldinievole.it/","www.oleificiovaldinievole.it")</f>
        <v>www.oleificiovaldinievole.it</v>
      </c>
    </row>
    <row r="3768" spans="1:6" ht="29.55" customHeight="1" x14ac:dyDescent="0.25">
      <c r="A3768" s="1" t="s">
        <v>15485</v>
      </c>
      <c r="B3768" s="7" t="s">
        <v>15486</v>
      </c>
      <c r="C3768" s="7" t="s">
        <v>15487</v>
      </c>
      <c r="D3768" s="7" t="s">
        <v>15488</v>
      </c>
      <c r="E3768" s="7" t="s">
        <v>15489</v>
      </c>
      <c r="F3768" s="7" t="str">
        <f>HYPERLINK("http://www.cantineviola.it/","www.cantineviola.it")</f>
        <v>www.cantineviola.it</v>
      </c>
    </row>
    <row r="3769" spans="1:6" ht="29.55" customHeight="1" x14ac:dyDescent="0.25">
      <c r="A3769" s="1" t="s">
        <v>15492</v>
      </c>
      <c r="B3769" s="7" t="s">
        <v>15493</v>
      </c>
      <c r="C3769" s="7" t="s">
        <v>15494</v>
      </c>
      <c r="D3769" s="7" t="s">
        <v>15495</v>
      </c>
      <c r="E3769" s="7" t="s">
        <v>15490</v>
      </c>
      <c r="F3769" s="7" t="str">
        <f>HYPERLINK("http://www.zefira.it/","www.zefira.it")</f>
        <v>www.zefira.it</v>
      </c>
    </row>
    <row r="3770" spans="1:6" ht="43.05" customHeight="1" x14ac:dyDescent="0.25">
      <c r="A3770" s="1" t="s">
        <v>15496</v>
      </c>
      <c r="B3770" s="7" t="s">
        <v>15497</v>
      </c>
      <c r="C3770" s="7" t="s">
        <v>15498</v>
      </c>
      <c r="D3770" s="7" t="s">
        <v>15499</v>
      </c>
      <c r="E3770" s="7" t="s">
        <v>15491</v>
      </c>
      <c r="F3770" s="7" t="str">
        <f>HYPERLINK("http://www.coopluppolo.it/","www.coopluppolo.it")</f>
        <v>www.coopluppolo.it</v>
      </c>
    </row>
    <row r="3771" spans="1:6" ht="29.55" customHeight="1" x14ac:dyDescent="0.25">
      <c r="A3771" s="6" t="s">
        <v>15500</v>
      </c>
      <c r="B3771" s="5" t="s">
        <v>15501</v>
      </c>
      <c r="C3771" s="5" t="s">
        <v>15502</v>
      </c>
      <c r="D3771" s="5" t="s">
        <v>15499</v>
      </c>
      <c r="E3771" s="5" t="s">
        <v>15491</v>
      </c>
      <c r="F3771" s="5" t="str">
        <f>HYPERLINK("http://www.masseriedelparco.com/","www.masseriedelparco.com")</f>
        <v>www.masseriedelparco.com</v>
      </c>
    </row>
    <row r="3772" spans="1:6" ht="29.55" customHeight="1" x14ac:dyDescent="0.25">
      <c r="A3772" s="6" t="s">
        <v>15503</v>
      </c>
      <c r="B3772" s="5" t="s">
        <v>15504</v>
      </c>
      <c r="C3772" s="5" t="s">
        <v>15505</v>
      </c>
      <c r="D3772" s="5" t="s">
        <v>15506</v>
      </c>
      <c r="E3772" s="5" t="s">
        <v>15507</v>
      </c>
      <c r="F3772" s="5" t="str">
        <f>HYPERLINK("http://www.coopterramica.it/","www.coopterramica.it")</f>
        <v>www.coopterramica.it</v>
      </c>
    </row>
    <row r="3773" spans="1:6" ht="29.55" customHeight="1" x14ac:dyDescent="0.25">
      <c r="A3773" s="1" t="s">
        <v>15509</v>
      </c>
      <c r="B3773" s="7" t="s">
        <v>15510</v>
      </c>
      <c r="C3773" s="7" t="s">
        <v>15511</v>
      </c>
      <c r="D3773" s="7" t="s">
        <v>15512</v>
      </c>
      <c r="E3773" s="7" t="s">
        <v>15508</v>
      </c>
      <c r="F3773" s="7" t="str">
        <f>HYPERLINK("http://masseriaducadascoli.it/","masseriaducadascoli.it")</f>
        <v>masseriaducadascoli.it</v>
      </c>
    </row>
    <row r="3774" spans="1:6" ht="29.55" customHeight="1" x14ac:dyDescent="0.25">
      <c r="A3774" s="6" t="s">
        <v>15513</v>
      </c>
      <c r="B3774" s="5" t="s">
        <v>15514</v>
      </c>
      <c r="C3774" s="5" t="s">
        <v>15494</v>
      </c>
      <c r="D3774" s="5" t="s">
        <v>15515</v>
      </c>
      <c r="E3774" s="5" t="s">
        <v>15516</v>
      </c>
      <c r="F3774" s="5" t="str">
        <f>HYPERLINK("http://www.burromilano.it/","www.burromilano.it")</f>
        <v>www.burromilano.it</v>
      </c>
    </row>
    <row r="3775" spans="1:6" ht="29.55" customHeight="1" x14ac:dyDescent="0.25">
      <c r="A3775" s="6" t="s">
        <v>15518</v>
      </c>
      <c r="B3775" s="5" t="s">
        <v>15519</v>
      </c>
      <c r="C3775" s="5" t="s">
        <v>15520</v>
      </c>
      <c r="D3775" s="5" t="s">
        <v>15521</v>
      </c>
      <c r="E3775" s="5" t="s">
        <v>15522</v>
      </c>
      <c r="F3775" s="5" t="str">
        <f>HYPERLINK("http://www.tenutaterrevaldiano.it/","www.tenutaterrevaldiano.it")</f>
        <v>www.tenutaterrevaldiano.it</v>
      </c>
    </row>
    <row r="3776" spans="1:6" ht="29.55" customHeight="1" x14ac:dyDescent="0.25">
      <c r="A3776" s="1" t="s">
        <v>15523</v>
      </c>
      <c r="B3776" s="7" t="s">
        <v>15524</v>
      </c>
      <c r="C3776" s="7" t="s">
        <v>15525</v>
      </c>
      <c r="D3776" s="7" t="s">
        <v>15526</v>
      </c>
      <c r="E3776" s="7" t="s">
        <v>15527</v>
      </c>
      <c r="F3776" s="7" t="str">
        <f>HYPERLINK("http://calabriaproduce.com/","calabriaproduce.com")</f>
        <v>calabriaproduce.com</v>
      </c>
    </row>
    <row r="3777" spans="1:6" ht="29.55" customHeight="1" x14ac:dyDescent="0.25">
      <c r="A3777" s="6" t="s">
        <v>15530</v>
      </c>
      <c r="B3777" s="5" t="s">
        <v>15531</v>
      </c>
      <c r="C3777" s="5" t="s">
        <v>15520</v>
      </c>
      <c r="D3777" s="5" t="s">
        <v>15532</v>
      </c>
      <c r="E3777" s="5" t="s">
        <v>15533</v>
      </c>
      <c r="F3777" s="5" t="str">
        <f>HYPERLINK("http://www.iperbolecountryhouse.com/","www.iperbolecountryhouse.com")</f>
        <v>www.iperbolecountryhouse.com</v>
      </c>
    </row>
    <row r="3778" spans="1:6" ht="29.55" customHeight="1" x14ac:dyDescent="0.25">
      <c r="A3778" s="6" t="s">
        <v>15537</v>
      </c>
      <c r="B3778" s="5" t="s">
        <v>15538</v>
      </c>
      <c r="C3778" s="5" t="s">
        <v>15539</v>
      </c>
      <c r="D3778" s="5" t="s">
        <v>15540</v>
      </c>
      <c r="E3778" s="5" t="s">
        <v>15527</v>
      </c>
      <c r="F3778" s="5" t="str">
        <f>HYPERLINK("http://www.mgflorplant.it/","www.mgflorplant.it")</f>
        <v>www.mgflorplant.it</v>
      </c>
    </row>
    <row r="3779" spans="1:6" ht="29.55" customHeight="1" x14ac:dyDescent="0.25">
      <c r="A3779" s="1" t="s">
        <v>15541</v>
      </c>
      <c r="B3779" s="7" t="s">
        <v>15542</v>
      </c>
      <c r="C3779" s="7" t="s">
        <v>15520</v>
      </c>
      <c r="D3779" s="7" t="s">
        <v>15535</v>
      </c>
      <c r="E3779" s="7" t="s">
        <v>15536</v>
      </c>
      <c r="F3779" s="7" t="str">
        <f>HYPERLINK("http://www.agriturismofaresalento.it/","www.agriturismofaresalento.it")</f>
        <v>www.agriturismofaresalento.it</v>
      </c>
    </row>
    <row r="3780" spans="1:6" ht="29.55" customHeight="1" x14ac:dyDescent="0.25">
      <c r="A3780" s="6" t="s">
        <v>15543</v>
      </c>
      <c r="B3780" s="5" t="s">
        <v>15544</v>
      </c>
      <c r="C3780" s="5" t="s">
        <v>15545</v>
      </c>
      <c r="D3780" s="5" t="s">
        <v>15546</v>
      </c>
      <c r="E3780" s="5" t="s">
        <v>15536</v>
      </c>
      <c r="F3780" s="5" t="str">
        <f>HYPERLINK("http://www.tenutacoccasoccoop.it/","www.tenutacoccasoccoop.it")</f>
        <v>www.tenutacoccasoccoop.it</v>
      </c>
    </row>
    <row r="3781" spans="1:6" ht="43.05" customHeight="1" x14ac:dyDescent="0.25">
      <c r="A3781" s="1" t="s">
        <v>15547</v>
      </c>
      <c r="B3781" s="7" t="s">
        <v>15548</v>
      </c>
      <c r="C3781" s="7" t="s">
        <v>15545</v>
      </c>
      <c r="D3781" s="7" t="s">
        <v>15549</v>
      </c>
      <c r="E3781" s="7" t="s">
        <v>15536</v>
      </c>
      <c r="F3781" s="7" t="str">
        <f>HYPERLINK("http://www.rossodomiziano.it/","www.rossodomiziano.it")</f>
        <v>www.rossodomiziano.it</v>
      </c>
    </row>
    <row r="3782" spans="1:6" ht="43.05" customHeight="1" x14ac:dyDescent="0.25">
      <c r="A3782" s="1" t="s">
        <v>15550</v>
      </c>
      <c r="B3782" s="7" t="s">
        <v>15551</v>
      </c>
      <c r="C3782" s="7" t="s">
        <v>15552</v>
      </c>
      <c r="D3782" s="7" t="s">
        <v>15546</v>
      </c>
      <c r="E3782" s="7" t="s">
        <v>15536</v>
      </c>
      <c r="F3782" s="7" t="str">
        <f>HYPERLINK("http://www.birraebers.com/","www.birraebers.com")</f>
        <v>www.birraebers.com</v>
      </c>
    </row>
    <row r="3783" spans="1:6" ht="29.55" customHeight="1" x14ac:dyDescent="0.25">
      <c r="A3783" s="6" t="s">
        <v>15553</v>
      </c>
      <c r="B3783" s="5" t="s">
        <v>15554</v>
      </c>
      <c r="C3783" s="5" t="s">
        <v>15528</v>
      </c>
      <c r="D3783" s="5" t="s">
        <v>15555</v>
      </c>
      <c r="E3783" s="5" t="s">
        <v>15517</v>
      </c>
      <c r="F3783" s="5" t="str">
        <f>HYPERLINK("http://www.granocappellialtobradano.com/","www.granocappellialtobradano.com")</f>
        <v>www.granocappellialtobradano.com</v>
      </c>
    </row>
    <row r="3784" spans="1:6" ht="55.65" customHeight="1" x14ac:dyDescent="0.25">
      <c r="A3784" s="1" t="s">
        <v>15556</v>
      </c>
      <c r="B3784" s="7" t="s">
        <v>15557</v>
      </c>
      <c r="C3784" s="7" t="s">
        <v>15558</v>
      </c>
      <c r="D3784" s="7" t="s">
        <v>15559</v>
      </c>
      <c r="E3784" s="7" t="s">
        <v>15529</v>
      </c>
      <c r="F3784" s="7" t="str">
        <f>HYPERLINK("http://www.giucalem.com/","www.giucalem.com")</f>
        <v>www.giucalem.com</v>
      </c>
    </row>
    <row r="3785" spans="1:6" ht="29.55" customHeight="1" x14ac:dyDescent="0.25">
      <c r="A3785" s="1" t="s">
        <v>15560</v>
      </c>
      <c r="B3785" s="7" t="s">
        <v>15561</v>
      </c>
      <c r="C3785" s="7" t="s">
        <v>15562</v>
      </c>
      <c r="D3785" s="7" t="s">
        <v>15535</v>
      </c>
      <c r="E3785" s="7" t="s">
        <v>15536</v>
      </c>
      <c r="F3785" s="7" t="str">
        <f>HYPERLINK("http://ilgiardinodeitramonti.it/","ilgiardinodeitramonti.it")</f>
        <v>ilgiardinodeitramonti.it</v>
      </c>
    </row>
    <row r="3786" spans="1:6" ht="43.05" customHeight="1" x14ac:dyDescent="0.25">
      <c r="A3786" s="1" t="s">
        <v>15565</v>
      </c>
      <c r="B3786" s="7" t="s">
        <v>15566</v>
      </c>
      <c r="C3786" s="7" t="s">
        <v>15545</v>
      </c>
      <c r="D3786" s="7" t="s">
        <v>15567</v>
      </c>
      <c r="E3786" s="7" t="s">
        <v>15563</v>
      </c>
      <c r="F3786" s="7" t="str">
        <f>HYPERLINK("http://www.cavincenzona.it/","www.cavincenzona.it")</f>
        <v>www.cavincenzona.it</v>
      </c>
    </row>
    <row r="3787" spans="1:6" ht="29.55" customHeight="1" x14ac:dyDescent="0.25">
      <c r="A3787" s="6" t="s">
        <v>15568</v>
      </c>
      <c r="B3787" s="5" t="s">
        <v>15569</v>
      </c>
      <c r="C3787" s="5" t="s">
        <v>15545</v>
      </c>
      <c r="D3787" s="5" t="s">
        <v>15564</v>
      </c>
      <c r="E3787" s="5" t="s">
        <v>15529</v>
      </c>
      <c r="F3787" s="5" t="str">
        <f>HYPERLINK("http://www.terradives.it/","www.terradives.it")</f>
        <v>www.terradives.it</v>
      </c>
    </row>
    <row r="3788" spans="1:6" ht="16.95" customHeight="1" x14ac:dyDescent="0.25">
      <c r="A3788" s="1" t="s">
        <v>15570</v>
      </c>
      <c r="B3788" s="7" t="s">
        <v>15571</v>
      </c>
      <c r="C3788" s="7" t="s">
        <v>15534</v>
      </c>
      <c r="D3788" s="7" t="s">
        <v>15521</v>
      </c>
      <c r="E3788" s="7" t="s">
        <v>15522</v>
      </c>
      <c r="F3788" s="7" t="str">
        <f>HYPERLINK("http://www.samagri.it/","www.samagri.it")</f>
        <v>www.samagri.it</v>
      </c>
    </row>
    <row r="3789" spans="1:6" ht="29.55" customHeight="1" x14ac:dyDescent="0.25">
      <c r="A3789" s="6" t="s">
        <v>15577</v>
      </c>
      <c r="B3789" s="5" t="s">
        <v>15578</v>
      </c>
      <c r="C3789" s="5" t="s">
        <v>15572</v>
      </c>
      <c r="D3789" s="5" t="s">
        <v>15579</v>
      </c>
      <c r="E3789" s="5" t="s">
        <v>15576</v>
      </c>
      <c r="F3789" s="5" t="str">
        <f>HYPERLINK("http://www.papalino.it/","www.papalino.it")</f>
        <v>www.papalino.it</v>
      </c>
    </row>
    <row r="3790" spans="1:6" ht="29.55" customHeight="1" x14ac:dyDescent="0.25">
      <c r="A3790" s="6" t="s">
        <v>15582</v>
      </c>
      <c r="B3790" s="5" t="s">
        <v>15583</v>
      </c>
      <c r="C3790" s="5" t="s">
        <v>15574</v>
      </c>
      <c r="D3790" s="5" t="s">
        <v>15580</v>
      </c>
      <c r="E3790" s="5" t="s">
        <v>15581</v>
      </c>
      <c r="F3790" s="5" t="str">
        <f>HYPERLINK("http://www.tenutafasanarella.com/","www.tenutafasanarella.com")</f>
        <v>www.tenutafasanarella.com</v>
      </c>
    </row>
    <row r="3791" spans="1:6" ht="43.05" customHeight="1" x14ac:dyDescent="0.25">
      <c r="A3791" s="1" t="s">
        <v>15584</v>
      </c>
      <c r="B3791" s="7" t="s">
        <v>15585</v>
      </c>
      <c r="C3791" s="7" t="s">
        <v>15586</v>
      </c>
      <c r="D3791" s="7" t="s">
        <v>15587</v>
      </c>
      <c r="E3791" s="7" t="s">
        <v>15573</v>
      </c>
      <c r="F3791" s="7" t="str">
        <f>HYPERLINK("http://mentoredelgiardino.gardenfutura.it/","mentoredelgiardino.gardenfutura.it")</f>
        <v>mentoredelgiardino.gardenfutura.it</v>
      </c>
    </row>
    <row r="3792" spans="1:6" ht="29.55" customHeight="1" x14ac:dyDescent="0.25">
      <c r="A3792" s="1" t="s">
        <v>15588</v>
      </c>
      <c r="B3792" s="7" t="s">
        <v>15589</v>
      </c>
      <c r="C3792" s="7" t="s">
        <v>15590</v>
      </c>
      <c r="D3792" s="7" t="s">
        <v>15575</v>
      </c>
      <c r="E3792" s="7" t="s">
        <v>15576</v>
      </c>
      <c r="F3792" s="7" t="str">
        <f>HYPERLINK("http://www.mariniimpianti.it/","www.mariniimpianti.it")</f>
        <v>www.mariniimpianti.it</v>
      </c>
    </row>
    <row r="3793" spans="1:6" ht="43.05" customHeight="1" x14ac:dyDescent="0.25">
      <c r="A3793" s="6" t="s">
        <v>15594</v>
      </c>
      <c r="B3793" s="5" t="s">
        <v>15595</v>
      </c>
      <c r="C3793" s="5" t="s">
        <v>15596</v>
      </c>
      <c r="D3793" s="5" t="s">
        <v>15597</v>
      </c>
      <c r="E3793" s="5" t="s">
        <v>15598</v>
      </c>
      <c r="F3793" s="5" t="str">
        <f>HYPERLINK("http://www.vigneguadagno.it/","www.vigneguadagno.it")</f>
        <v>www.vigneguadagno.it</v>
      </c>
    </row>
    <row r="3794" spans="1:6" ht="29.55" customHeight="1" x14ac:dyDescent="0.25">
      <c r="A3794" s="1" t="s">
        <v>15599</v>
      </c>
      <c r="B3794" s="7" t="s">
        <v>15600</v>
      </c>
      <c r="C3794" s="7" t="s">
        <v>15601</v>
      </c>
      <c r="D3794" s="7" t="s">
        <v>15602</v>
      </c>
      <c r="E3794" s="7" t="s">
        <v>15603</v>
      </c>
      <c r="F3794" s="7" t="str">
        <f>HYPERLINK("http://www.aprolav.com/","www.aprolav.com")</f>
        <v>www.aprolav.com</v>
      </c>
    </row>
    <row r="3795" spans="1:6" ht="16.95" customHeight="1" x14ac:dyDescent="0.25">
      <c r="A3795" s="6" t="s">
        <v>15604</v>
      </c>
      <c r="B3795" s="5" t="s">
        <v>15605</v>
      </c>
      <c r="C3795" s="5" t="s">
        <v>15606</v>
      </c>
      <c r="D3795" s="5" t="s">
        <v>15607</v>
      </c>
      <c r="E3795" s="5" t="s">
        <v>15608</v>
      </c>
      <c r="F3795" s="5" t="str">
        <f>HYPERLINK("http://www.birrificiokuturi.it/","www.birrificiokuturi.it")</f>
        <v>www.birrificiokuturi.it</v>
      </c>
    </row>
    <row r="3796" spans="1:6" ht="29.55" customHeight="1" x14ac:dyDescent="0.25">
      <c r="A3796" s="1" t="s">
        <v>15609</v>
      </c>
      <c r="B3796" s="7" t="s">
        <v>15610</v>
      </c>
      <c r="C3796" s="7" t="s">
        <v>15596</v>
      </c>
      <c r="D3796" s="7" t="s">
        <v>15597</v>
      </c>
      <c r="E3796" s="7" t="s">
        <v>15598</v>
      </c>
      <c r="F3796" s="7" t="str">
        <f>HYPERLINK("http://tralcihirpini.com/","tralcihirpini.com")</f>
        <v>tralcihirpini.com</v>
      </c>
    </row>
    <row r="3797" spans="1:6" ht="29.55" customHeight="1" x14ac:dyDescent="0.25">
      <c r="A3797" s="1" t="s">
        <v>15611</v>
      </c>
      <c r="B3797" s="7" t="s">
        <v>15612</v>
      </c>
      <c r="C3797" s="7" t="s">
        <v>15593</v>
      </c>
      <c r="D3797" s="7" t="s">
        <v>15591</v>
      </c>
      <c r="E3797" s="7" t="s">
        <v>15592</v>
      </c>
      <c r="F3797" s="7" t="str">
        <f>HYPERLINK("http://www.donnunzioecavallo.it/","www.donnunzioecavallo.it")</f>
        <v>www.donnunzioecavallo.it</v>
      </c>
    </row>
    <row r="3798" spans="1:6" ht="29.55" customHeight="1" x14ac:dyDescent="0.25">
      <c r="A3798" s="1" t="s">
        <v>15614</v>
      </c>
      <c r="B3798" s="7" t="s">
        <v>15615</v>
      </c>
      <c r="C3798" s="7" t="s">
        <v>15616</v>
      </c>
      <c r="D3798" s="7" t="s">
        <v>15617</v>
      </c>
      <c r="E3798" s="7" t="s">
        <v>15618</v>
      </c>
      <c r="F3798" s="7" t="str">
        <f>HYPERLINK("http://www.vacanzecasalta.com/","www.vacanzecasalta.com")</f>
        <v>www.vacanzecasalta.com</v>
      </c>
    </row>
    <row r="3799" spans="1:6" ht="29.55" customHeight="1" x14ac:dyDescent="0.25">
      <c r="A3799" s="6" t="s">
        <v>15619</v>
      </c>
      <c r="B3799" s="5" t="s">
        <v>15620</v>
      </c>
      <c r="C3799" s="5" t="s">
        <v>15616</v>
      </c>
      <c r="D3799" s="5" t="s">
        <v>15617</v>
      </c>
      <c r="E3799" s="5" t="s">
        <v>15618</v>
      </c>
      <c r="F3799" s="5" t="str">
        <f>HYPERLINK("http://www.pereto.eu/","www.pereto.eu")</f>
        <v>www.pereto.eu</v>
      </c>
    </row>
    <row r="3800" spans="1:6" ht="29.55" customHeight="1" x14ac:dyDescent="0.25">
      <c r="A3800" s="1" t="s">
        <v>15621</v>
      </c>
      <c r="B3800" s="7" t="s">
        <v>15622</v>
      </c>
      <c r="C3800" s="7" t="s">
        <v>15623</v>
      </c>
      <c r="D3800" s="7" t="s">
        <v>15624</v>
      </c>
      <c r="E3800" s="7" t="s">
        <v>15625</v>
      </c>
      <c r="F3800" s="7" t="str">
        <f>HYPERLINK("http://www.agrinopal.com/","www.agrinopal.com")</f>
        <v>www.agrinopal.com</v>
      </c>
    </row>
    <row r="3801" spans="1:6" ht="29.55" customHeight="1" x14ac:dyDescent="0.25">
      <c r="A3801" s="1" t="s">
        <v>15627</v>
      </c>
      <c r="B3801" s="7" t="s">
        <v>15628</v>
      </c>
      <c r="C3801" s="7" t="s">
        <v>15616</v>
      </c>
      <c r="D3801" s="7" t="s">
        <v>15629</v>
      </c>
      <c r="E3801" s="7" t="s">
        <v>15630</v>
      </c>
      <c r="F3801" s="7" t="str">
        <f>HYPERLINK("http://www.caselleone.com/","www.caselleone.com")</f>
        <v>www.caselleone.com</v>
      </c>
    </row>
    <row r="3802" spans="1:6" ht="29.55" customHeight="1" x14ac:dyDescent="0.25">
      <c r="A3802" s="6" t="s">
        <v>15631</v>
      </c>
      <c r="B3802" s="5" t="s">
        <v>15632</v>
      </c>
      <c r="C3802" s="5" t="s">
        <v>15633</v>
      </c>
      <c r="D3802" s="5" t="s">
        <v>15634</v>
      </c>
      <c r="E3802" s="5" t="s">
        <v>15626</v>
      </c>
      <c r="F3802" s="5" t="str">
        <f>HYPERLINK("http://www.masseriaveneri.it/","www.masseriaveneri.it")</f>
        <v>www.masseriaveneri.it</v>
      </c>
    </row>
    <row r="3803" spans="1:6" ht="29.55" customHeight="1" x14ac:dyDescent="0.25">
      <c r="A3803" s="6" t="s">
        <v>15635</v>
      </c>
      <c r="B3803" s="5" t="s">
        <v>15636</v>
      </c>
      <c r="C3803" s="5" t="s">
        <v>15637</v>
      </c>
      <c r="D3803" s="5" t="s">
        <v>15638</v>
      </c>
      <c r="E3803" s="5" t="s">
        <v>15639</v>
      </c>
      <c r="F3803" s="5" t="str">
        <f>HYPERLINK("http://www.ilvecchioginepro.it/","www.ilvecchioginepro.it")</f>
        <v>www.ilvecchioginepro.it</v>
      </c>
    </row>
    <row r="3804" spans="1:6" ht="29.55" customHeight="1" x14ac:dyDescent="0.25">
      <c r="A3804" s="6" t="s">
        <v>15640</v>
      </c>
      <c r="B3804" s="5" t="s">
        <v>15641</v>
      </c>
      <c r="C3804" s="5" t="s">
        <v>15642</v>
      </c>
      <c r="D3804" s="5" t="s">
        <v>15643</v>
      </c>
      <c r="E3804" s="5" t="s">
        <v>15644</v>
      </c>
      <c r="F3804" s="5" t="str">
        <f>HYPERLINK("http://fattoriaisassoli-it.webnode.it/","fattoriaisassoli-it.webnode.it")</f>
        <v>fattoriaisassoli-it.webnode.it</v>
      </c>
    </row>
    <row r="3805" spans="1:6" ht="29.55" customHeight="1" x14ac:dyDescent="0.25">
      <c r="A3805" s="6" t="s">
        <v>15645</v>
      </c>
      <c r="B3805" s="5" t="s">
        <v>15646</v>
      </c>
      <c r="C3805" s="5" t="s">
        <v>15633</v>
      </c>
      <c r="D3805" s="5" t="s">
        <v>15624</v>
      </c>
      <c r="E3805" s="5" t="s">
        <v>15625</v>
      </c>
      <c r="F3805" s="5" t="str">
        <f>HYPERLINK("http://www.nerietna.com/","www.nerietna.com")</f>
        <v>www.nerietna.com</v>
      </c>
    </row>
    <row r="3806" spans="1:6" ht="16.95" customHeight="1" x14ac:dyDescent="0.25">
      <c r="A3806" s="1" t="s">
        <v>15647</v>
      </c>
      <c r="B3806" s="7" t="s">
        <v>15648</v>
      </c>
      <c r="C3806" s="7" t="s">
        <v>15613</v>
      </c>
      <c r="D3806" s="7" t="s">
        <v>15649</v>
      </c>
      <c r="E3806" s="7" t="s">
        <v>15644</v>
      </c>
      <c r="F3806" s="7" t="str">
        <f>HYPERLINK("http://luminosita.it/","luminosita.it")</f>
        <v>luminosita.it</v>
      </c>
    </row>
    <row r="3807" spans="1:6" ht="29.55" customHeight="1" x14ac:dyDescent="0.25">
      <c r="A3807" s="1" t="s">
        <v>15654</v>
      </c>
      <c r="B3807" s="7" t="s">
        <v>15655</v>
      </c>
      <c r="C3807" s="7" t="s">
        <v>15656</v>
      </c>
      <c r="D3807" s="7" t="s">
        <v>15657</v>
      </c>
      <c r="E3807" s="7" t="s">
        <v>15653</v>
      </c>
      <c r="F3807" s="7" t="str">
        <f>HYPERLINK("http://www.gesagricola.it/","www.gesagricola.it")</f>
        <v>www.gesagricola.it</v>
      </c>
    </row>
    <row r="3808" spans="1:6" ht="16.95" customHeight="1" x14ac:dyDescent="0.25">
      <c r="A3808" s="6" t="s">
        <v>15658</v>
      </c>
      <c r="B3808" s="5" t="s">
        <v>15659</v>
      </c>
      <c r="C3808" s="5" t="s">
        <v>15660</v>
      </c>
      <c r="D3808" s="5" t="s">
        <v>15661</v>
      </c>
      <c r="E3808" s="5" t="s">
        <v>15650</v>
      </c>
      <c r="F3808" s="5" t="str">
        <f>HYPERLINK("http://www.greenguys.it/","www.greenguys.it")</f>
        <v>www.greenguys.it</v>
      </c>
    </row>
    <row r="3809" spans="1:6" ht="16.95" customHeight="1" x14ac:dyDescent="0.25">
      <c r="A3809" s="6" t="s">
        <v>15665</v>
      </c>
      <c r="B3809" s="5" t="s">
        <v>15666</v>
      </c>
      <c r="C3809" s="5" t="s">
        <v>15667</v>
      </c>
      <c r="D3809" s="5" t="s">
        <v>15668</v>
      </c>
      <c r="E3809" s="5" t="s">
        <v>15653</v>
      </c>
      <c r="F3809" s="5" t="str">
        <f>HYPERLINK("http://www.villeagricole.com/aziende_agricole_2.htm","www.villeagricole.com/aziende_agricole_2.htm")</f>
        <v>www.villeagricole.com/aziende_agricole_2.htm</v>
      </c>
    </row>
    <row r="3810" spans="1:6" ht="29.55" customHeight="1" x14ac:dyDescent="0.25">
      <c r="A3810" s="6" t="s">
        <v>15669</v>
      </c>
      <c r="B3810" s="5" t="s">
        <v>15670</v>
      </c>
      <c r="C3810" s="5" t="s">
        <v>15652</v>
      </c>
      <c r="D3810" s="5" t="s">
        <v>15671</v>
      </c>
      <c r="E3810" s="5" t="s">
        <v>15672</v>
      </c>
      <c r="F3810" s="5" t="str">
        <f>HYPERLINK("http://www.tenutacampoalsignore.com/","www.tenutacampoalsignore.com")</f>
        <v>www.tenutacampoalsignore.com</v>
      </c>
    </row>
    <row r="3811" spans="1:6" ht="29.55" customHeight="1" x14ac:dyDescent="0.25">
      <c r="A3811" s="1" t="s">
        <v>15673</v>
      </c>
      <c r="B3811" s="7" t="s">
        <v>15674</v>
      </c>
      <c r="C3811" s="7" t="s">
        <v>15652</v>
      </c>
      <c r="D3811" s="7" t="s">
        <v>15668</v>
      </c>
      <c r="E3811" s="7" t="s">
        <v>15653</v>
      </c>
      <c r="F3811" s="7" t="str">
        <f>HYPERLINK("http://www.tenutamaule.it/","www.tenutamaule.it")</f>
        <v>www.tenutamaule.it</v>
      </c>
    </row>
    <row r="3812" spans="1:6" ht="29.55" customHeight="1" x14ac:dyDescent="0.25">
      <c r="A3812" s="6" t="s">
        <v>15675</v>
      </c>
      <c r="B3812" s="5" t="s">
        <v>15676</v>
      </c>
      <c r="C3812" s="5" t="s">
        <v>15651</v>
      </c>
      <c r="D3812" s="5" t="s">
        <v>15677</v>
      </c>
      <c r="E3812" s="5" t="s">
        <v>15678</v>
      </c>
      <c r="F3812" s="5" t="str">
        <f>HYPERLINK("http://ca-dellaglio-villa.hotelspiedmont.com/","ca-dellaglio-villa.hotelspiedmont.com")</f>
        <v>ca-dellaglio-villa.hotelspiedmont.com</v>
      </c>
    </row>
    <row r="3813" spans="1:6" ht="29.55" customHeight="1" x14ac:dyDescent="0.25">
      <c r="A3813" s="1" t="s">
        <v>15679</v>
      </c>
      <c r="B3813" s="7" t="s">
        <v>15680</v>
      </c>
      <c r="C3813" s="7" t="s">
        <v>15652</v>
      </c>
      <c r="D3813" s="7" t="s">
        <v>15681</v>
      </c>
      <c r="E3813" s="7" t="s">
        <v>15653</v>
      </c>
      <c r="F3813" s="7" t="str">
        <f>HYPERLINK("http://www.asolomanor.it/","www.asolomanor.it")</f>
        <v>www.asolomanor.it</v>
      </c>
    </row>
    <row r="3814" spans="1:6" ht="29.55" customHeight="1" x14ac:dyDescent="0.25">
      <c r="A3814" s="1" t="s">
        <v>15682</v>
      </c>
      <c r="B3814" s="7" t="s">
        <v>15683</v>
      </c>
      <c r="C3814" s="7" t="s">
        <v>15684</v>
      </c>
      <c r="D3814" s="7" t="s">
        <v>15685</v>
      </c>
      <c r="E3814" s="7" t="s">
        <v>15662</v>
      </c>
      <c r="F3814" s="7" t="str">
        <f>HYPERLINK("http://www.amicheapi.it/","www.amicheapi.it")</f>
        <v>www.amicheapi.it</v>
      </c>
    </row>
    <row r="3815" spans="1:6" ht="29.55" customHeight="1" x14ac:dyDescent="0.25">
      <c r="A3815" s="1" t="s">
        <v>15686</v>
      </c>
      <c r="B3815" s="7" t="s">
        <v>15687</v>
      </c>
      <c r="C3815" s="7" t="s">
        <v>15667</v>
      </c>
      <c r="D3815" s="7" t="s">
        <v>15688</v>
      </c>
      <c r="E3815" s="7" t="s">
        <v>15689</v>
      </c>
      <c r="F3815" s="7" t="str">
        <f>HYPERLINK("http://www.prodottidellemonache.it/","www.prodottidellemonache.it")</f>
        <v>www.prodottidellemonache.it</v>
      </c>
    </row>
    <row r="3816" spans="1:6" ht="68.099999999999994" customHeight="1" x14ac:dyDescent="0.25">
      <c r="A3816" s="1" t="s">
        <v>15690</v>
      </c>
      <c r="B3816" s="7" t="s">
        <v>15691</v>
      </c>
      <c r="C3816" s="7" t="s">
        <v>15651</v>
      </c>
      <c r="D3816" s="7" t="s">
        <v>15663</v>
      </c>
      <c r="E3816" s="7" t="s">
        <v>15664</v>
      </c>
      <c r="F3816" s="7" t="str">
        <f>HYPERLINK("http://www.asprofrut.com/","www.asprofrut.com")</f>
        <v>www.asprofrut.com</v>
      </c>
    </row>
    <row r="3817" spans="1:6" ht="29.55" customHeight="1" x14ac:dyDescent="0.25">
      <c r="A3817" s="6" t="s">
        <v>15692</v>
      </c>
      <c r="B3817" s="5" t="s">
        <v>15693</v>
      </c>
      <c r="C3817" s="5" t="s">
        <v>15652</v>
      </c>
      <c r="D3817" s="5" t="s">
        <v>15694</v>
      </c>
      <c r="E3817" s="5" t="s">
        <v>15695</v>
      </c>
      <c r="F3817" s="5" t="str">
        <f>HYPERLINK("http://www.borgosettetigli.it/","www.borgosettetigli.it")</f>
        <v>www.borgosettetigli.it</v>
      </c>
    </row>
    <row r="3818" spans="1:6" ht="29.55" customHeight="1" x14ac:dyDescent="0.25">
      <c r="A3818" s="6" t="s">
        <v>15696</v>
      </c>
      <c r="B3818" s="5" t="s">
        <v>15697</v>
      </c>
      <c r="C3818" s="5" t="s">
        <v>15698</v>
      </c>
      <c r="D3818" s="5" t="s">
        <v>15699</v>
      </c>
      <c r="E3818" s="5" t="s">
        <v>15700</v>
      </c>
      <c r="F3818" s="5" t="str">
        <f>HYPERLINK("http://www.agrisabbatini.com/","www.agrisabbatini.com")</f>
        <v>www.agrisabbatini.com</v>
      </c>
    </row>
    <row r="3819" spans="1:6" ht="43.05" customHeight="1" x14ac:dyDescent="0.25">
      <c r="A3819" s="1" t="s">
        <v>15704</v>
      </c>
      <c r="B3819" s="7" t="s">
        <v>15705</v>
      </c>
      <c r="C3819" s="7" t="s">
        <v>15701</v>
      </c>
      <c r="D3819" s="7" t="s">
        <v>15706</v>
      </c>
      <c r="E3819" s="7" t="s">
        <v>15707</v>
      </c>
      <c r="F3819" s="7" t="str">
        <f>HYPERLINK("http://www.fattoriagaglierano.it/","www.fattoriagaglierano.it")</f>
        <v>www.fattoriagaglierano.it</v>
      </c>
    </row>
    <row r="3820" spans="1:6" ht="29.55" customHeight="1" x14ac:dyDescent="0.25">
      <c r="A3820" s="6" t="s">
        <v>15711</v>
      </c>
      <c r="B3820" s="5" t="s">
        <v>15712</v>
      </c>
      <c r="C3820" s="5" t="s">
        <v>15713</v>
      </c>
      <c r="D3820" s="5" t="s">
        <v>15702</v>
      </c>
      <c r="E3820" s="5" t="s">
        <v>15703</v>
      </c>
      <c r="F3820" s="5" t="str">
        <f>HYPERLINK("http://cooperativaemmaus.it/","cooperativaemmaus.it")</f>
        <v>cooperativaemmaus.it</v>
      </c>
    </row>
    <row r="3821" spans="1:6" ht="55.65" customHeight="1" x14ac:dyDescent="0.25">
      <c r="A3821" s="6" t="s">
        <v>15714</v>
      </c>
      <c r="B3821" s="5" t="s">
        <v>15715</v>
      </c>
      <c r="C3821" s="5" t="s">
        <v>15708</v>
      </c>
      <c r="D3821" s="5" t="s">
        <v>15709</v>
      </c>
      <c r="E3821" s="5" t="s">
        <v>15710</v>
      </c>
      <c r="F3821" s="5" t="str">
        <f>HYPERLINK("http://www.lepile.it/","www.lepile.it")</f>
        <v>www.lepile.it</v>
      </c>
    </row>
    <row r="3822" spans="1:6" ht="29.55" customHeight="1" x14ac:dyDescent="0.25">
      <c r="A3822" s="6" t="s">
        <v>15722</v>
      </c>
      <c r="B3822" s="5" t="s">
        <v>15723</v>
      </c>
      <c r="C3822" s="5" t="s">
        <v>15720</v>
      </c>
      <c r="D3822" s="5" t="s">
        <v>15724</v>
      </c>
      <c r="E3822" s="5" t="s">
        <v>15725</v>
      </c>
      <c r="F3822" s="5" t="str">
        <f>HYPERLINK("http://cantina-poggio-cignano.business.site/","cantina-poggio-cignano.business.site")</f>
        <v>cantina-poggio-cignano.business.site</v>
      </c>
    </row>
    <row r="3823" spans="1:6" ht="29.55" customHeight="1" x14ac:dyDescent="0.25">
      <c r="A3823" s="6" t="s">
        <v>15726</v>
      </c>
      <c r="B3823" s="5" t="s">
        <v>15727</v>
      </c>
      <c r="C3823" s="5" t="s">
        <v>15716</v>
      </c>
      <c r="D3823" s="5" t="s">
        <v>15728</v>
      </c>
      <c r="E3823" s="5" t="s">
        <v>15729</v>
      </c>
      <c r="F3823" s="5" t="str">
        <f>HYPERLINK("http://www.agriturismovds.it/","www.agriturismovds.it")</f>
        <v>www.agriturismovds.it</v>
      </c>
    </row>
    <row r="3824" spans="1:6" ht="29.55" customHeight="1" x14ac:dyDescent="0.25">
      <c r="A3824" s="1" t="s">
        <v>15730</v>
      </c>
      <c r="B3824" s="7" t="s">
        <v>15731</v>
      </c>
      <c r="C3824" s="7" t="s">
        <v>15717</v>
      </c>
      <c r="D3824" s="7" t="s">
        <v>15719</v>
      </c>
      <c r="E3824" s="7" t="s">
        <v>15718</v>
      </c>
      <c r="F3824" s="7" t="str">
        <f>HYPERLINK("http://masseria-fontana-vecchia.business.site/","masseria-fontana-vecchia.business.site/")</f>
        <v>masseria-fontana-vecchia.business.site/</v>
      </c>
    </row>
    <row r="3825" spans="1:6" ht="29.55" customHeight="1" x14ac:dyDescent="0.25">
      <c r="A3825" s="6" t="s">
        <v>15732</v>
      </c>
      <c r="B3825" s="5" t="s">
        <v>15733</v>
      </c>
      <c r="C3825" s="5" t="s">
        <v>15734</v>
      </c>
      <c r="D3825" s="5" t="s">
        <v>15735</v>
      </c>
      <c r="E3825" s="5" t="s">
        <v>15721</v>
      </c>
      <c r="F3825" s="5" t="str">
        <f>HYPERLINK("http://greenvalleysrl.com/","greenvalleysrl.com")</f>
        <v>greenvalleysrl.com</v>
      </c>
    </row>
    <row r="3826" spans="1:6" ht="29.55" customHeight="1" x14ac:dyDescent="0.25">
      <c r="A3826" s="1" t="s">
        <v>15741</v>
      </c>
      <c r="B3826" s="7" t="s">
        <v>15742</v>
      </c>
      <c r="C3826" s="7" t="s">
        <v>15740</v>
      </c>
      <c r="D3826" s="7" t="s">
        <v>15743</v>
      </c>
      <c r="E3826" s="7" t="s">
        <v>15744</v>
      </c>
      <c r="F3826" s="7" t="str">
        <f>HYPERLINK("http://www.aziendaagricolaannese.it/","www.aziendaagricolaannese.it/")</f>
        <v>www.aziendaagricolaannese.it/</v>
      </c>
    </row>
    <row r="3827" spans="1:6" ht="16.95" customHeight="1" x14ac:dyDescent="0.25">
      <c r="A3827" s="6" t="s">
        <v>15745</v>
      </c>
      <c r="B3827" s="5" t="s">
        <v>15746</v>
      </c>
      <c r="C3827" s="5" t="s">
        <v>15747</v>
      </c>
      <c r="D3827" s="5" t="s">
        <v>15748</v>
      </c>
      <c r="E3827" s="5" t="s">
        <v>15749</v>
      </c>
      <c r="F3827" s="5" t="str">
        <f>HYPERLINK("http://www.icamante.edu.it/","www.icamante.edu.it")</f>
        <v>www.icamante.edu.it</v>
      </c>
    </row>
    <row r="3828" spans="1:6" ht="29.55" customHeight="1" x14ac:dyDescent="0.25">
      <c r="A3828" s="6" t="s">
        <v>15752</v>
      </c>
      <c r="B3828" s="5" t="s">
        <v>15753</v>
      </c>
      <c r="C3828" s="5" t="s">
        <v>15736</v>
      </c>
      <c r="D3828" s="5" t="s">
        <v>15754</v>
      </c>
      <c r="E3828" s="5" t="s">
        <v>15738</v>
      </c>
      <c r="F3828" s="5" t="str">
        <f>HYPERLINK("http://www.organicgarden.it/","www.organicgarden.it")</f>
        <v>www.organicgarden.it</v>
      </c>
    </row>
    <row r="3829" spans="1:6" ht="29.55" customHeight="1" x14ac:dyDescent="0.25">
      <c r="A3829" s="1" t="s">
        <v>15755</v>
      </c>
      <c r="B3829" s="7" t="s">
        <v>15756</v>
      </c>
      <c r="C3829" s="7" t="s">
        <v>15751</v>
      </c>
      <c r="D3829" s="7" t="s">
        <v>15737</v>
      </c>
      <c r="E3829" s="7" t="s">
        <v>15738</v>
      </c>
      <c r="F3829" s="7" t="str">
        <f>HYPERLINK("http://www.pizzerialiperus.it/","www.pizzerialiperus.it")</f>
        <v>www.pizzerialiperus.it</v>
      </c>
    </row>
    <row r="3830" spans="1:6" ht="29.55" customHeight="1" x14ac:dyDescent="0.25">
      <c r="A3830" s="1" t="s">
        <v>15757</v>
      </c>
      <c r="B3830" s="7" t="s">
        <v>15758</v>
      </c>
      <c r="C3830" s="7" t="s">
        <v>15759</v>
      </c>
      <c r="D3830" s="7" t="s">
        <v>15760</v>
      </c>
      <c r="E3830" s="7" t="s">
        <v>15761</v>
      </c>
      <c r="F3830" s="7" t="str">
        <f>HYPERLINK("http://poderemonteselunigiana.it/","poderemonteselunigiana.it")</f>
        <v>poderemonteselunigiana.it</v>
      </c>
    </row>
    <row r="3831" spans="1:6" ht="29.55" customHeight="1" x14ac:dyDescent="0.25">
      <c r="A3831" s="6" t="s">
        <v>15762</v>
      </c>
      <c r="B3831" s="5" t="s">
        <v>15763</v>
      </c>
      <c r="C3831" s="5" t="s">
        <v>15750</v>
      </c>
      <c r="D3831" s="5" t="s">
        <v>15764</v>
      </c>
      <c r="E3831" s="5" t="s">
        <v>15761</v>
      </c>
      <c r="F3831" s="5" t="str">
        <f>HYPERLINK("http://www.cosimomariamasini.com/","www.cosimomariamasini.com")</f>
        <v>www.cosimomariamasini.com</v>
      </c>
    </row>
    <row r="3832" spans="1:6" ht="29.55" customHeight="1" x14ac:dyDescent="0.25">
      <c r="A3832" s="6" t="s">
        <v>15765</v>
      </c>
      <c r="B3832" s="5" t="s">
        <v>15766</v>
      </c>
      <c r="C3832" s="5" t="s">
        <v>15767</v>
      </c>
      <c r="D3832" s="5" t="s">
        <v>15768</v>
      </c>
      <c r="E3832" s="5" t="s">
        <v>15739</v>
      </c>
      <c r="F3832" s="5" t="str">
        <f>HYPERLINK("http://bordiga1888.it/","bordiga1888.it")</f>
        <v>bordiga1888.it</v>
      </c>
    </row>
    <row r="3833" spans="1:6" ht="43.05" customHeight="1" x14ac:dyDescent="0.25">
      <c r="A3833" s="1" t="s">
        <v>15769</v>
      </c>
      <c r="B3833" s="7" t="s">
        <v>15770</v>
      </c>
      <c r="C3833" s="7" t="s">
        <v>15771</v>
      </c>
      <c r="D3833" s="7" t="s">
        <v>15772</v>
      </c>
      <c r="E3833" s="7" t="s">
        <v>15773</v>
      </c>
      <c r="F3833" s="7" t="str">
        <f>HYPERLINK("http://www.roccamadre.it/","www.roccamadre.it")</f>
        <v>www.roccamadre.it</v>
      </c>
    </row>
    <row r="3834" spans="1:6" ht="29.55" customHeight="1" x14ac:dyDescent="0.25">
      <c r="A3834" s="6" t="s">
        <v>15777</v>
      </c>
      <c r="B3834" s="5" t="s">
        <v>15778</v>
      </c>
      <c r="C3834" s="5" t="s">
        <v>15779</v>
      </c>
      <c r="D3834" s="5" t="s">
        <v>15780</v>
      </c>
      <c r="E3834" s="5" t="s">
        <v>15776</v>
      </c>
      <c r="F3834" s="5" t="str">
        <f>HYPERLINK("http://www.turricchiavini.it/","http://www.turricchiavini.it")</f>
        <v>http://www.turricchiavini.it</v>
      </c>
    </row>
    <row r="3835" spans="1:6" ht="16.95" customHeight="1" x14ac:dyDescent="0.25">
      <c r="A3835" s="1" t="s">
        <v>15781</v>
      </c>
      <c r="B3835" s="7" t="s">
        <v>15782</v>
      </c>
      <c r="C3835" s="7" t="s">
        <v>15775</v>
      </c>
      <c r="D3835" s="7" t="s">
        <v>15783</v>
      </c>
      <c r="E3835" s="7" t="s">
        <v>15773</v>
      </c>
      <c r="F3835" s="7" t="str">
        <f>HYPERLINK("http://terrargillosa.com/","terrargillosa.com")</f>
        <v>terrargillosa.com</v>
      </c>
    </row>
    <row r="3836" spans="1:6" ht="43.05" customHeight="1" x14ac:dyDescent="0.25">
      <c r="A3836" s="1" t="s">
        <v>15786</v>
      </c>
      <c r="B3836" s="7" t="s">
        <v>15787</v>
      </c>
      <c r="C3836" s="7" t="s">
        <v>15788</v>
      </c>
      <c r="D3836" s="7" t="s">
        <v>15789</v>
      </c>
      <c r="E3836" s="7" t="s">
        <v>15784</v>
      </c>
      <c r="F3836" s="7" t="str">
        <f>HYPERLINK("http://tenuta-gironda-agriturismo-san-floro.business.site/","tenuta-gironda-agriturismo-san-floro.business.site")</f>
        <v>tenuta-gironda-agriturismo-san-floro.business.site</v>
      </c>
    </row>
    <row r="3837" spans="1:6" ht="29.55" customHeight="1" x14ac:dyDescent="0.25">
      <c r="A3837" s="1" t="s">
        <v>15790</v>
      </c>
      <c r="B3837" s="7" t="s">
        <v>15791</v>
      </c>
      <c r="C3837" s="7" t="s">
        <v>15774</v>
      </c>
      <c r="D3837" s="7" t="s">
        <v>15792</v>
      </c>
      <c r="E3837" s="7" t="s">
        <v>15793</v>
      </c>
      <c r="F3837" s="7" t="str">
        <f>HYPERLINK("http://erbabonavco.it/","erbabonavco.it")</f>
        <v>erbabonavco.it</v>
      </c>
    </row>
    <row r="3838" spans="1:6" ht="16.95" customHeight="1" x14ac:dyDescent="0.25">
      <c r="A3838" s="6" t="s">
        <v>15794</v>
      </c>
      <c r="B3838" s="5" t="s">
        <v>15795</v>
      </c>
      <c r="C3838" s="5" t="s">
        <v>15796</v>
      </c>
      <c r="D3838" s="5" t="s">
        <v>15797</v>
      </c>
      <c r="E3838" s="5" t="s">
        <v>15793</v>
      </c>
      <c r="F3838" s="5" t="str">
        <f>HYPERLINK("http://spacejunglecbd.it/","spacejunglecbd.it")</f>
        <v>spacejunglecbd.it</v>
      </c>
    </row>
    <row r="3839" spans="1:6" ht="29.55" customHeight="1" x14ac:dyDescent="0.25">
      <c r="A3839" s="1" t="s">
        <v>15799</v>
      </c>
      <c r="B3839" s="7" t="s">
        <v>15800</v>
      </c>
      <c r="C3839" s="7" t="s">
        <v>15798</v>
      </c>
      <c r="D3839" s="7" t="s">
        <v>15801</v>
      </c>
      <c r="E3839" s="7" t="s">
        <v>15785</v>
      </c>
      <c r="F3839" s="7" t="str">
        <f>HYPERLINK("http://www.antichisaporibiancavilla.it/","www.antichisaporibiancavilla.it")</f>
        <v>www.antichisaporibiancavilla.it</v>
      </c>
    </row>
    <row r="3840" spans="1:6" ht="43.05" customHeight="1" x14ac:dyDescent="0.25">
      <c r="A3840" s="1" t="s">
        <v>15802</v>
      </c>
      <c r="B3840" s="7" t="s">
        <v>15803</v>
      </c>
      <c r="C3840" s="7" t="s">
        <v>15804</v>
      </c>
      <c r="D3840" s="7" t="s">
        <v>15805</v>
      </c>
      <c r="E3840" s="7" t="s">
        <v>15806</v>
      </c>
      <c r="F3840" s="7" t="str">
        <f>HYPERLINK("http://www.facebook.com/tenuta-donna-maria-alvignano-100874658062787/","www.facebook.com/tenuta-donna-maria-alvignano-100874658062787/")</f>
        <v>www.facebook.com/tenuta-donna-maria-alvignano-100874658062787/</v>
      </c>
    </row>
    <row r="3841" spans="1:6" ht="43.05" customHeight="1" x14ac:dyDescent="0.25">
      <c r="A3841" s="6" t="s">
        <v>15810</v>
      </c>
      <c r="B3841" s="5" t="s">
        <v>15811</v>
      </c>
      <c r="C3841" s="5" t="s">
        <v>15812</v>
      </c>
      <c r="D3841" s="5" t="s">
        <v>15813</v>
      </c>
      <c r="E3841" s="5" t="s">
        <v>15809</v>
      </c>
      <c r="F3841" s="5" t="str">
        <f>HYPERLINK("http://www.duecomuni.com/","www.duecomuni.com")</f>
        <v>www.duecomuni.com</v>
      </c>
    </row>
    <row r="3842" spans="1:6" ht="29.55" customHeight="1" x14ac:dyDescent="0.25">
      <c r="A3842" s="1" t="s">
        <v>15816</v>
      </c>
      <c r="B3842" s="7" t="s">
        <v>15817</v>
      </c>
      <c r="C3842" s="7" t="s">
        <v>15814</v>
      </c>
      <c r="D3842" s="7" t="s">
        <v>15818</v>
      </c>
      <c r="E3842" s="7" t="s">
        <v>15819</v>
      </c>
      <c r="F3842" s="7" t="str">
        <f>HYPERLINK("http://societaagricolamontegrappa.it/","societaagricolamontegrappa.it")</f>
        <v>societaagricolamontegrappa.it</v>
      </c>
    </row>
    <row r="3843" spans="1:6" ht="29.55" customHeight="1" x14ac:dyDescent="0.25">
      <c r="A3843" s="6" t="s">
        <v>15820</v>
      </c>
      <c r="B3843" s="5" t="s">
        <v>15821</v>
      </c>
      <c r="C3843" s="5" t="s">
        <v>15822</v>
      </c>
      <c r="D3843" s="5" t="s">
        <v>15823</v>
      </c>
      <c r="E3843" s="5" t="s">
        <v>15809</v>
      </c>
      <c r="F3843" s="5" t="str">
        <f>HYPERLINK("http://www.ilborgodellacanapa.it/","www.ilborgodellacanapa.it")</f>
        <v>www.ilborgodellacanapa.it</v>
      </c>
    </row>
    <row r="3844" spans="1:6" ht="43.05" customHeight="1" x14ac:dyDescent="0.25">
      <c r="A3844" s="6" t="s">
        <v>15824</v>
      </c>
      <c r="B3844" s="5" t="s">
        <v>15825</v>
      </c>
      <c r="C3844" s="5" t="s">
        <v>15815</v>
      </c>
      <c r="D3844" s="5" t="s">
        <v>15826</v>
      </c>
      <c r="E3844" s="5" t="s">
        <v>15827</v>
      </c>
      <c r="F3844" s="5" t="str">
        <f>HYPERLINK("http://www.trinitarivenosa.it/","www.trinitarivenosa.it")</f>
        <v>www.trinitarivenosa.it</v>
      </c>
    </row>
    <row r="3845" spans="1:6" ht="29.55" customHeight="1" x14ac:dyDescent="0.25">
      <c r="A3845" s="1" t="s">
        <v>15828</v>
      </c>
      <c r="B3845" s="7" t="s">
        <v>15829</v>
      </c>
      <c r="C3845" s="7" t="s">
        <v>15804</v>
      </c>
      <c r="D3845" s="7" t="s">
        <v>15830</v>
      </c>
      <c r="E3845" s="7" t="s">
        <v>15806</v>
      </c>
      <c r="F3845" s="7" t="str">
        <f>HYPERLINK("http://www.tenutalafortezza.com/","http://www.tenutalafortezza.com")</f>
        <v>http://www.tenutalafortezza.com</v>
      </c>
    </row>
    <row r="3846" spans="1:6" ht="43.05" customHeight="1" x14ac:dyDescent="0.25">
      <c r="A3846" s="6" t="s">
        <v>15831</v>
      </c>
      <c r="B3846" s="5" t="s">
        <v>15832</v>
      </c>
      <c r="C3846" s="5" t="s">
        <v>15804</v>
      </c>
      <c r="D3846" s="5" t="s">
        <v>15833</v>
      </c>
      <c r="E3846" s="5" t="s">
        <v>15807</v>
      </c>
      <c r="F3846" s="5" t="str">
        <f>HYPERLINK("http://www.vignedeimastri.it/","www.vignedeimastri.it")</f>
        <v>www.vignedeimastri.it</v>
      </c>
    </row>
    <row r="3847" spans="1:6" ht="29.55" customHeight="1" x14ac:dyDescent="0.25">
      <c r="A3847" s="1" t="s">
        <v>15834</v>
      </c>
      <c r="B3847" s="7" t="s">
        <v>15835</v>
      </c>
      <c r="C3847" s="7" t="s">
        <v>15808</v>
      </c>
      <c r="D3847" s="7" t="s">
        <v>15836</v>
      </c>
      <c r="E3847" s="7" t="s">
        <v>15837</v>
      </c>
      <c r="F3847" s="7" t="str">
        <f>HYPERLINK("http://www.sanrufinodarce.it/","www.sanrufinodarce.it")</f>
        <v>www.sanrufinodarce.it</v>
      </c>
    </row>
    <row r="3848" spans="1:6" ht="43.05" customHeight="1" x14ac:dyDescent="0.25">
      <c r="A3848" s="6" t="s">
        <v>15843</v>
      </c>
      <c r="B3848" s="5" t="s">
        <v>15844</v>
      </c>
      <c r="C3848" s="5" t="s">
        <v>15845</v>
      </c>
      <c r="D3848" s="5" t="s">
        <v>15846</v>
      </c>
      <c r="E3848" s="5" t="s">
        <v>15847</v>
      </c>
      <c r="F3848" s="5" t="str">
        <f>HYPERLINK("http://fondazionepaideia.it/","fondazionepaideia.it")</f>
        <v>fondazionepaideia.it</v>
      </c>
    </row>
    <row r="3849" spans="1:6" ht="43.05" customHeight="1" x14ac:dyDescent="0.25">
      <c r="A3849" s="6" t="s">
        <v>15849</v>
      </c>
      <c r="B3849" s="5" t="s">
        <v>15850</v>
      </c>
      <c r="C3849" s="5" t="s">
        <v>15851</v>
      </c>
      <c r="D3849" s="5" t="s">
        <v>15852</v>
      </c>
      <c r="E3849" s="5" t="s">
        <v>15853</v>
      </c>
      <c r="F3849" s="5" t="str">
        <f>HYPERLINK("http://agricolazaccariangelo.com/","agricolazaccariangelo.com")</f>
        <v>agricolazaccariangelo.com</v>
      </c>
    </row>
    <row r="3850" spans="1:6" ht="29.55" customHeight="1" x14ac:dyDescent="0.25">
      <c r="A3850" s="1" t="s">
        <v>15854</v>
      </c>
      <c r="B3850" s="7" t="s">
        <v>15855</v>
      </c>
      <c r="C3850" s="7" t="s">
        <v>15856</v>
      </c>
      <c r="D3850" s="7" t="s">
        <v>15857</v>
      </c>
      <c r="E3850" s="7" t="s">
        <v>15847</v>
      </c>
      <c r="F3850" s="7" t="str">
        <f>HYPERLINK("http://www.lamasca.it/","www.lamasca.it")</f>
        <v>www.lamasca.it</v>
      </c>
    </row>
    <row r="3851" spans="1:6" ht="29.55" customHeight="1" x14ac:dyDescent="0.25">
      <c r="A3851" s="6" t="s">
        <v>15858</v>
      </c>
      <c r="B3851" s="5" t="s">
        <v>15859</v>
      </c>
      <c r="C3851" s="5" t="s">
        <v>15838</v>
      </c>
      <c r="D3851" s="5" t="s">
        <v>15860</v>
      </c>
      <c r="E3851" s="5" t="s">
        <v>15861</v>
      </c>
      <c r="F3851" s="5" t="str">
        <f>HYPERLINK("http://laquietevenditadiretta.it/","laquietevenditadiretta.it")</f>
        <v>laquietevenditadiretta.it</v>
      </c>
    </row>
    <row r="3852" spans="1:6" ht="29.55" customHeight="1" x14ac:dyDescent="0.25">
      <c r="A3852" s="6" t="s">
        <v>15864</v>
      </c>
      <c r="B3852" s="5" t="s">
        <v>15865</v>
      </c>
      <c r="C3852" s="5" t="s">
        <v>15840</v>
      </c>
      <c r="D3852" s="5" t="s">
        <v>15862</v>
      </c>
      <c r="E3852" s="5" t="s">
        <v>15863</v>
      </c>
      <c r="F3852" s="5" t="str">
        <f>HYPERLINK("http://www.agrifides.it/","www.agrifides.it")</f>
        <v>www.agrifides.it</v>
      </c>
    </row>
    <row r="3853" spans="1:6" ht="29.55" customHeight="1" x14ac:dyDescent="0.25">
      <c r="A3853" s="6" t="s">
        <v>15866</v>
      </c>
      <c r="B3853" s="5" t="s">
        <v>15867</v>
      </c>
      <c r="C3853" s="5" t="s">
        <v>15868</v>
      </c>
      <c r="D3853" s="5" t="s">
        <v>15869</v>
      </c>
      <c r="E3853" s="5" t="s">
        <v>15870</v>
      </c>
      <c r="F3853" s="5" t="str">
        <f>HYPERLINK("http://www.agricolascarafile.com/","www.agricolascarafile.com/")</f>
        <v>www.agricolascarafile.com/</v>
      </c>
    </row>
    <row r="3854" spans="1:6" ht="16.95" customHeight="1" x14ac:dyDescent="0.25">
      <c r="A3854" s="1" t="s">
        <v>15871</v>
      </c>
      <c r="B3854" s="7" t="s">
        <v>15872</v>
      </c>
      <c r="C3854" s="7" t="s">
        <v>15845</v>
      </c>
      <c r="D3854" s="7" t="s">
        <v>15873</v>
      </c>
      <c r="E3854" s="7" t="s">
        <v>15839</v>
      </c>
      <c r="F3854" s="7" t="str">
        <f>HYPERLINK("http://www.hotel-cima.it/","www.hotel-cima.it")</f>
        <v>www.hotel-cima.it</v>
      </c>
    </row>
    <row r="3855" spans="1:6" ht="43.05" customHeight="1" x14ac:dyDescent="0.25">
      <c r="A3855" s="6" t="s">
        <v>15874</v>
      </c>
      <c r="B3855" s="5" t="s">
        <v>15875</v>
      </c>
      <c r="C3855" s="5" t="s">
        <v>15876</v>
      </c>
      <c r="D3855" s="5" t="s">
        <v>15860</v>
      </c>
      <c r="E3855" s="5" t="s">
        <v>15861</v>
      </c>
      <c r="F3855" s="5" t="str">
        <f>HYPERLINK("http://www.agriturismolaselva.it/","www.agriturismolaselva.it")</f>
        <v>www.agriturismolaselva.it</v>
      </c>
    </row>
    <row r="3856" spans="1:6" ht="29.55" customHeight="1" x14ac:dyDescent="0.25">
      <c r="A3856" s="6" t="s">
        <v>15878</v>
      </c>
      <c r="B3856" s="5" t="s">
        <v>15879</v>
      </c>
      <c r="C3856" s="5" t="s">
        <v>15848</v>
      </c>
      <c r="D3856" s="5" t="s">
        <v>15841</v>
      </c>
      <c r="E3856" s="5" t="s">
        <v>15842</v>
      </c>
      <c r="F3856" s="5" t="str">
        <f>HYPERLINK("http://www.facebook.com/pg/ilcasale800","www.facebook.com/pg/ilcasale800")</f>
        <v>www.facebook.com/pg/ilcasale800</v>
      </c>
    </row>
    <row r="3857" spans="1:6" ht="29.55" customHeight="1" x14ac:dyDescent="0.25">
      <c r="A3857" s="1" t="s">
        <v>15880</v>
      </c>
      <c r="B3857" s="7" t="s">
        <v>15881</v>
      </c>
      <c r="C3857" s="7" t="s">
        <v>15838</v>
      </c>
      <c r="D3857" s="7" t="s">
        <v>15860</v>
      </c>
      <c r="E3857" s="7" t="s">
        <v>15861</v>
      </c>
      <c r="F3857" s="7" t="str">
        <f>HYPERLINK("http://villailpoggino.com/","villailpoggino.com")</f>
        <v>villailpoggino.com</v>
      </c>
    </row>
    <row r="3858" spans="1:6" ht="29.55" customHeight="1" x14ac:dyDescent="0.25">
      <c r="A3858" s="1" t="s">
        <v>15882</v>
      </c>
      <c r="B3858" s="7" t="s">
        <v>15883</v>
      </c>
      <c r="C3858" s="7" t="s">
        <v>15877</v>
      </c>
      <c r="D3858" s="7" t="s">
        <v>15884</v>
      </c>
      <c r="E3858" s="7" t="s">
        <v>15839</v>
      </c>
      <c r="F3858" s="7" t="str">
        <f>HYPERLINK("http://www.agriturismocalealta.it/","www.agriturismocalealta.it")</f>
        <v>www.agriturismocalealta.it</v>
      </c>
    </row>
    <row r="3859" spans="1:6" ht="29.55" customHeight="1" x14ac:dyDescent="0.25">
      <c r="A3859" s="6" t="s">
        <v>15885</v>
      </c>
      <c r="B3859" s="5" t="s">
        <v>15886</v>
      </c>
      <c r="C3859" s="5" t="s">
        <v>15840</v>
      </c>
      <c r="D3859" s="5" t="s">
        <v>15857</v>
      </c>
      <c r="E3859" s="5" t="s">
        <v>15847</v>
      </c>
      <c r="F3859" s="5" t="str">
        <f>HYPERLINK("http://www.castelgaro.it/","www.castelgaro.it")</f>
        <v>www.castelgaro.it</v>
      </c>
    </row>
    <row r="3860" spans="1:6" ht="43.05" customHeight="1" x14ac:dyDescent="0.25">
      <c r="A3860" s="1" t="s">
        <v>15888</v>
      </c>
      <c r="B3860" s="7" t="s">
        <v>15889</v>
      </c>
      <c r="C3860" s="7" t="s">
        <v>15887</v>
      </c>
      <c r="D3860" s="7" t="s">
        <v>15890</v>
      </c>
      <c r="E3860" s="7" t="s">
        <v>15891</v>
      </c>
      <c r="F3860" s="7" t="str">
        <f>HYPERLINK("http://www.sanvitis.it/","www.sanvitis.it")</f>
        <v>www.sanvitis.it</v>
      </c>
    </row>
    <row r="3861" spans="1:6" ht="29.55" customHeight="1" x14ac:dyDescent="0.25">
      <c r="A3861" s="6" t="s">
        <v>15892</v>
      </c>
      <c r="B3861" s="5" t="s">
        <v>15893</v>
      </c>
      <c r="C3861" s="5" t="s">
        <v>15887</v>
      </c>
      <c r="D3861" s="5" t="s">
        <v>15894</v>
      </c>
      <c r="E3861" s="5" t="s">
        <v>15895</v>
      </c>
      <c r="F3861" s="5" t="str">
        <f>HYPERLINK("http://www.santimartini.it/","www.santimartini.it")</f>
        <v>www.santimartini.it</v>
      </c>
    </row>
    <row r="3862" spans="1:6" ht="29.55" customHeight="1" x14ac:dyDescent="0.25">
      <c r="A3862" s="1" t="s">
        <v>15896</v>
      </c>
      <c r="B3862" s="7" t="s">
        <v>15897</v>
      </c>
      <c r="C3862" s="7" t="s">
        <v>15887</v>
      </c>
      <c r="D3862" s="7" t="s">
        <v>15898</v>
      </c>
      <c r="E3862" s="7" t="s">
        <v>15899</v>
      </c>
      <c r="F3862" s="7" t="str">
        <f>HYPERLINK("http://www.fattoriaponeta.it/","www.fattoriaponeta.it")</f>
        <v>www.fattoriaponeta.it</v>
      </c>
    </row>
    <row r="3863" spans="1:6" ht="29.55" customHeight="1" x14ac:dyDescent="0.25">
      <c r="A3863" s="6" t="s">
        <v>15901</v>
      </c>
      <c r="B3863" s="5" t="s">
        <v>15902</v>
      </c>
      <c r="C3863" s="5" t="s">
        <v>15903</v>
      </c>
      <c r="D3863" s="5" t="s">
        <v>15904</v>
      </c>
      <c r="E3863" s="5" t="s">
        <v>15905</v>
      </c>
      <c r="F3863" s="5" t="str">
        <f>HYPERLINK("http://www.castelloviscontidisanvito.it/","www.castelloviscontidisanvito.it")</f>
        <v>www.castelloviscontidisanvito.it</v>
      </c>
    </row>
    <row r="3864" spans="1:6" ht="29.55" customHeight="1" x14ac:dyDescent="0.25">
      <c r="A3864" s="6" t="s">
        <v>15906</v>
      </c>
      <c r="B3864" s="5" t="s">
        <v>15907</v>
      </c>
      <c r="C3864" s="5" t="s">
        <v>15887</v>
      </c>
      <c r="D3864" s="5" t="s">
        <v>15908</v>
      </c>
      <c r="E3864" s="5" t="s">
        <v>15909</v>
      </c>
      <c r="F3864" s="5" t="str">
        <f>HYPERLINK("http://www.ciandugiorgiwinery.com/","www.ciandugiorgiwinery.com")</f>
        <v>www.ciandugiorgiwinery.com</v>
      </c>
    </row>
    <row r="3865" spans="1:6" ht="29.55" customHeight="1" x14ac:dyDescent="0.25">
      <c r="A3865" s="6" t="s">
        <v>15910</v>
      </c>
      <c r="B3865" s="5" t="s">
        <v>15911</v>
      </c>
      <c r="C3865" s="5" t="s">
        <v>15887</v>
      </c>
      <c r="D3865" s="5" t="s">
        <v>15912</v>
      </c>
      <c r="E3865" s="5" t="s">
        <v>15913</v>
      </c>
      <c r="F3865" s="5" t="str">
        <f>HYPERLINK("http://www.carbonevini.it/","www.carbonevini.it")</f>
        <v>www.carbonevini.it</v>
      </c>
    </row>
    <row r="3866" spans="1:6" ht="29.55" customHeight="1" x14ac:dyDescent="0.25">
      <c r="A3866" s="1" t="s">
        <v>15914</v>
      </c>
      <c r="B3866" s="7" t="s">
        <v>15915</v>
      </c>
      <c r="C3866" s="7" t="s">
        <v>15916</v>
      </c>
      <c r="D3866" s="7" t="s">
        <v>15917</v>
      </c>
      <c r="E3866" s="7" t="s">
        <v>15891</v>
      </c>
      <c r="F3866" s="7" t="str">
        <f>HYPERLINK("http://francigenabio.eu/","francigenabio.eu")</f>
        <v>francigenabio.eu</v>
      </c>
    </row>
    <row r="3867" spans="1:6" ht="29.55" customHeight="1" x14ac:dyDescent="0.25">
      <c r="A3867" s="1" t="s">
        <v>15918</v>
      </c>
      <c r="B3867" s="7" t="s">
        <v>15919</v>
      </c>
      <c r="C3867" s="7" t="s">
        <v>15887</v>
      </c>
      <c r="D3867" s="7" t="s">
        <v>15920</v>
      </c>
      <c r="E3867" s="7" t="s">
        <v>15900</v>
      </c>
      <c r="F3867" s="7" t="str">
        <f>HYPERLINK("http://www.monteruello.it/","www.monteruello.it")</f>
        <v>www.monteruello.it</v>
      </c>
    </row>
    <row r="3868" spans="1:6" ht="16.95" customHeight="1" x14ac:dyDescent="0.25">
      <c r="A3868" s="6" t="s">
        <v>15922</v>
      </c>
      <c r="B3868" s="5" t="s">
        <v>15923</v>
      </c>
      <c r="C3868" s="5" t="s">
        <v>15924</v>
      </c>
      <c r="D3868" s="5" t="s">
        <v>15925</v>
      </c>
      <c r="E3868" s="5" t="s">
        <v>15926</v>
      </c>
      <c r="F3868" s="5" t="str">
        <f>HYPERLINK("http://www.mieleada.it/","www.mieleada.it")</f>
        <v>www.mieleada.it</v>
      </c>
    </row>
    <row r="3869" spans="1:6" ht="29.55" customHeight="1" x14ac:dyDescent="0.25">
      <c r="A3869" s="6" t="s">
        <v>15928</v>
      </c>
      <c r="B3869" s="5" t="s">
        <v>15929</v>
      </c>
      <c r="C3869" s="5" t="s">
        <v>15930</v>
      </c>
      <c r="D3869" s="5" t="s">
        <v>15931</v>
      </c>
      <c r="E3869" s="5" t="s">
        <v>15932</v>
      </c>
      <c r="F3869" s="5" t="str">
        <f>HYPERLINK("http://www.aleepier.com/","www.aleepier.com")</f>
        <v>www.aleepier.com</v>
      </c>
    </row>
    <row r="3870" spans="1:6" ht="29.55" customHeight="1" x14ac:dyDescent="0.25">
      <c r="A3870" s="1" t="s">
        <v>15933</v>
      </c>
      <c r="B3870" s="7" t="s">
        <v>15934</v>
      </c>
      <c r="C3870" s="7" t="s">
        <v>15930</v>
      </c>
      <c r="D3870" s="7" t="s">
        <v>15935</v>
      </c>
      <c r="E3870" s="7" t="s">
        <v>15927</v>
      </c>
      <c r="F3870" s="7" t="str">
        <f>HYPERLINK("http://www.castellodilucignano.com/","www.castellodilucignano.com")</f>
        <v>www.castellodilucignano.com</v>
      </c>
    </row>
    <row r="3871" spans="1:6" ht="29.55" customHeight="1" x14ac:dyDescent="0.25">
      <c r="A3871" s="6" t="s">
        <v>15936</v>
      </c>
      <c r="B3871" s="5" t="s">
        <v>15937</v>
      </c>
      <c r="C3871" s="5" t="s">
        <v>15938</v>
      </c>
      <c r="D3871" s="5" t="s">
        <v>15939</v>
      </c>
      <c r="E3871" s="5" t="s">
        <v>15927</v>
      </c>
      <c r="F3871" s="5" t="str">
        <f>HYPERLINK("http://www.iparkpisa.it/","www.iparkpisa.it")</f>
        <v>www.iparkpisa.it</v>
      </c>
    </row>
    <row r="3872" spans="1:6" ht="29.55" customHeight="1" x14ac:dyDescent="0.25">
      <c r="A3872" s="1" t="s">
        <v>15940</v>
      </c>
      <c r="B3872" s="7" t="s">
        <v>15941</v>
      </c>
      <c r="C3872" s="7" t="s">
        <v>15930</v>
      </c>
      <c r="D3872" s="7" t="s">
        <v>15942</v>
      </c>
      <c r="E3872" s="7" t="s">
        <v>15943</v>
      </c>
      <c r="F3872" s="7" t="str">
        <f>HYPERLINK("http://www.cortecapitelli.it/","www.cortecapitelli.it")</f>
        <v>www.cortecapitelli.it</v>
      </c>
    </row>
    <row r="3873" spans="1:6" ht="29.55" customHeight="1" x14ac:dyDescent="0.25">
      <c r="A3873" s="6" t="s">
        <v>15946</v>
      </c>
      <c r="B3873" s="5" t="s">
        <v>15947</v>
      </c>
      <c r="C3873" s="5" t="s">
        <v>15924</v>
      </c>
      <c r="D3873" s="5" t="s">
        <v>15944</v>
      </c>
      <c r="E3873" s="5" t="s">
        <v>15945</v>
      </c>
      <c r="F3873" s="5" t="str">
        <f>HYPERLINK("http://www.fruithub.it/","www.fruithub.it")</f>
        <v>www.fruithub.it</v>
      </c>
    </row>
    <row r="3874" spans="1:6" ht="43.05" customHeight="1" x14ac:dyDescent="0.25">
      <c r="A3874" s="6" t="s">
        <v>15948</v>
      </c>
      <c r="B3874" s="5" t="s">
        <v>15949</v>
      </c>
      <c r="C3874" s="5" t="s">
        <v>15930</v>
      </c>
      <c r="D3874" s="5" t="s">
        <v>15935</v>
      </c>
      <c r="E3874" s="5" t="s">
        <v>15927</v>
      </c>
      <c r="F3874" s="5" t="str">
        <f>HYPERLINK("http://www.aabelvedere.com/","www.aabelvedere.com")</f>
        <v>www.aabelvedere.com</v>
      </c>
    </row>
    <row r="3875" spans="1:6" ht="29.55" customHeight="1" x14ac:dyDescent="0.25">
      <c r="A3875" s="6" t="s">
        <v>15950</v>
      </c>
      <c r="B3875" s="5" t="s">
        <v>15951</v>
      </c>
      <c r="C3875" s="5" t="s">
        <v>15930</v>
      </c>
      <c r="D3875" s="5" t="s">
        <v>15952</v>
      </c>
      <c r="E3875" s="5" t="s">
        <v>15953</v>
      </c>
      <c r="F3875" s="5" t="str">
        <f>HYPERLINK("http://marencovini.com/","marencovini.com")</f>
        <v>marencovini.com</v>
      </c>
    </row>
    <row r="3876" spans="1:6" ht="29.55" customHeight="1" x14ac:dyDescent="0.25">
      <c r="A3876" s="6" t="s">
        <v>15954</v>
      </c>
      <c r="B3876" s="5" t="s">
        <v>15955</v>
      </c>
      <c r="C3876" s="5" t="s">
        <v>15930</v>
      </c>
      <c r="D3876" s="5" t="s">
        <v>15956</v>
      </c>
      <c r="E3876" s="5" t="s">
        <v>15921</v>
      </c>
      <c r="F3876" s="5" t="str">
        <f>HYPERLINK("http://aziendeagricoledaddario.com/","aziendeagricoledaddario.com")</f>
        <v>aziendeagricoledaddario.com</v>
      </c>
    </row>
    <row r="3877" spans="1:6" ht="29.55" customHeight="1" x14ac:dyDescent="0.25">
      <c r="A3877" s="1" t="s">
        <v>15968</v>
      </c>
      <c r="B3877" s="7" t="s">
        <v>15969</v>
      </c>
      <c r="C3877" s="7" t="s">
        <v>15963</v>
      </c>
      <c r="D3877" s="7" t="s">
        <v>15958</v>
      </c>
      <c r="E3877" s="7" t="s">
        <v>15958</v>
      </c>
      <c r="F3877" s="7" t="str">
        <f>HYPERLINK("http://www.bonimores.it/","www.bonimores.it")</f>
        <v>www.bonimores.it</v>
      </c>
    </row>
    <row r="3878" spans="1:6" ht="43.05" customHeight="1" x14ac:dyDescent="0.25">
      <c r="A3878" s="1" t="s">
        <v>15970</v>
      </c>
      <c r="B3878" s="7" t="s">
        <v>15971</v>
      </c>
      <c r="C3878" s="7" t="s">
        <v>15966</v>
      </c>
      <c r="D3878" s="7" t="s">
        <v>15972</v>
      </c>
      <c r="E3878" s="7" t="s">
        <v>15957</v>
      </c>
      <c r="F3878" s="7" t="str">
        <f>HYPERLINK("http://www.pruvas.it/","www.pruvas.it")</f>
        <v>www.pruvas.it</v>
      </c>
    </row>
    <row r="3879" spans="1:6" ht="29.55" customHeight="1" x14ac:dyDescent="0.25">
      <c r="A3879" s="6" t="s">
        <v>15973</v>
      </c>
      <c r="B3879" s="5" t="s">
        <v>15974</v>
      </c>
      <c r="C3879" s="5" t="s">
        <v>15963</v>
      </c>
      <c r="D3879" s="5" t="s">
        <v>15975</v>
      </c>
      <c r="E3879" s="5" t="s">
        <v>15967</v>
      </c>
      <c r="F3879" s="5" t="str">
        <f>HYPERLINK("http://www.oliosortino.com/","www.oliosortino.com")</f>
        <v>www.oliosortino.com</v>
      </c>
    </row>
    <row r="3880" spans="1:6" ht="29.55" customHeight="1" x14ac:dyDescent="0.25">
      <c r="A3880" s="1" t="s">
        <v>15976</v>
      </c>
      <c r="B3880" s="7" t="s">
        <v>15977</v>
      </c>
      <c r="C3880" s="7" t="s">
        <v>15965</v>
      </c>
      <c r="D3880" s="7" t="s">
        <v>15978</v>
      </c>
      <c r="E3880" s="7" t="s">
        <v>15961</v>
      </c>
      <c r="F3880" s="7" t="str">
        <f>HYPERLINK("http://www.webuildvalue.com/","www.webuildvalue.com")</f>
        <v>www.webuildvalue.com</v>
      </c>
    </row>
    <row r="3881" spans="1:6" ht="43.05" customHeight="1" x14ac:dyDescent="0.25">
      <c r="A3881" s="6" t="s">
        <v>15979</v>
      </c>
      <c r="B3881" s="5" t="s">
        <v>15980</v>
      </c>
      <c r="C3881" s="5" t="s">
        <v>15981</v>
      </c>
      <c r="D3881" s="5" t="s">
        <v>15982</v>
      </c>
      <c r="E3881" s="5" t="s">
        <v>15962</v>
      </c>
      <c r="F3881" s="5" t="str">
        <f>HYPERLINK("http://it-it.facebook.com/aziendaagricolalarosa/","it-it.facebook.com/aziendaagricolalarosa/")</f>
        <v>it-it.facebook.com/aziendaagricolalarosa/</v>
      </c>
    </row>
    <row r="3882" spans="1:6" ht="55.65" customHeight="1" x14ac:dyDescent="0.25">
      <c r="A3882" s="1" t="s">
        <v>15983</v>
      </c>
      <c r="B3882" s="7" t="s">
        <v>15984</v>
      </c>
      <c r="C3882" s="7" t="s">
        <v>15985</v>
      </c>
      <c r="D3882" s="7" t="s">
        <v>15964</v>
      </c>
      <c r="E3882" s="7" t="s">
        <v>15957</v>
      </c>
      <c r="F3882" s="7" t="str">
        <f>HYPERLINK("http://www.masseriacalandrella.it/","www.masseriacalandrella.it")</f>
        <v>www.masseriacalandrella.it</v>
      </c>
    </row>
    <row r="3883" spans="1:6" ht="55.65" customHeight="1" x14ac:dyDescent="0.25">
      <c r="A3883" s="1" t="s">
        <v>15988</v>
      </c>
      <c r="B3883" s="7" t="s">
        <v>15989</v>
      </c>
      <c r="C3883" s="7" t="s">
        <v>15960</v>
      </c>
      <c r="D3883" s="7" t="s">
        <v>15986</v>
      </c>
      <c r="E3883" s="7" t="s">
        <v>15987</v>
      </c>
      <c r="F3883" s="7" t="str">
        <f>HYPERLINK("http://www.ageallianz.it/fiorenzuoladarda423/","www.ageallianz.it/fiorenzuoladarda423/")</f>
        <v>www.ageallianz.it/fiorenzuoladarda423/</v>
      </c>
    </row>
    <row r="3884" spans="1:6" ht="29.55" customHeight="1" x14ac:dyDescent="0.25">
      <c r="A3884" s="6" t="s">
        <v>15990</v>
      </c>
      <c r="B3884" s="5" t="s">
        <v>15991</v>
      </c>
      <c r="C3884" s="5" t="s">
        <v>15963</v>
      </c>
      <c r="D3884" s="5" t="s">
        <v>15992</v>
      </c>
      <c r="E3884" s="5" t="s">
        <v>15959</v>
      </c>
      <c r="F3884" s="5" t="str">
        <f>HYPERLINK("http://www.uliveticastelsanmartino.it/","www.uliveticastelsanmartino.it")</f>
        <v>www.uliveticastelsanmartino.it</v>
      </c>
    </row>
    <row r="3885" spans="1:6" ht="29.55" customHeight="1" x14ac:dyDescent="0.25">
      <c r="A3885" s="6" t="s">
        <v>15994</v>
      </c>
      <c r="B3885" s="5" t="s">
        <v>15995</v>
      </c>
      <c r="C3885" s="5" t="s">
        <v>15996</v>
      </c>
      <c r="D3885" s="5" t="s">
        <v>15997</v>
      </c>
      <c r="E3885" s="5" t="s">
        <v>15998</v>
      </c>
      <c r="F3885" s="5" t="str">
        <f>HYPERLINK("http://www.fungorobica.it/","www.fungorobica.it")</f>
        <v>www.fungorobica.it</v>
      </c>
    </row>
    <row r="3886" spans="1:6" ht="29.55" customHeight="1" x14ac:dyDescent="0.25">
      <c r="A3886" s="1" t="s">
        <v>15999</v>
      </c>
      <c r="B3886" s="7" t="s">
        <v>16000</v>
      </c>
      <c r="C3886" s="7" t="s">
        <v>16001</v>
      </c>
      <c r="D3886" s="7" t="s">
        <v>16002</v>
      </c>
      <c r="E3886" s="7" t="s">
        <v>16002</v>
      </c>
      <c r="F3886" s="7" t="str">
        <f>HYPERLINK("http://www.forrestgumpvda.org/","www.forrestgumpvda.org")</f>
        <v>www.forrestgumpvda.org</v>
      </c>
    </row>
    <row r="3887" spans="1:6" ht="43.05" customHeight="1" x14ac:dyDescent="0.25">
      <c r="A3887" s="6" t="s">
        <v>16006</v>
      </c>
      <c r="B3887" s="5" t="s">
        <v>16007</v>
      </c>
      <c r="C3887" s="5" t="s">
        <v>16008</v>
      </c>
      <c r="D3887" s="5" t="s">
        <v>16009</v>
      </c>
      <c r="E3887" s="5" t="s">
        <v>16010</v>
      </c>
      <c r="F3887" s="5" t="str">
        <f>HYPERLINK("http://www.domuslutea.it/","www.domuslutea.it")</f>
        <v>www.domuslutea.it</v>
      </c>
    </row>
    <row r="3888" spans="1:6" ht="29.55" customHeight="1" x14ac:dyDescent="0.25">
      <c r="A3888" s="1" t="s">
        <v>16011</v>
      </c>
      <c r="B3888" s="7" t="s">
        <v>16012</v>
      </c>
      <c r="C3888" s="7" t="s">
        <v>15993</v>
      </c>
      <c r="D3888" s="7" t="s">
        <v>16013</v>
      </c>
      <c r="E3888" s="7" t="s">
        <v>16014</v>
      </c>
      <c r="F3888" s="7" t="str">
        <f>HYPERLINK("http://www.giovenzo.com/","www.giovenzo.com")</f>
        <v>www.giovenzo.com</v>
      </c>
    </row>
    <row r="3889" spans="1:6" ht="29.55" customHeight="1" x14ac:dyDescent="0.25">
      <c r="A3889" s="6" t="s">
        <v>16017</v>
      </c>
      <c r="B3889" s="5" t="s">
        <v>16018</v>
      </c>
      <c r="C3889" s="5" t="s">
        <v>16003</v>
      </c>
      <c r="D3889" s="5" t="s">
        <v>16019</v>
      </c>
      <c r="E3889" s="5" t="s">
        <v>16010</v>
      </c>
      <c r="F3889" s="5" t="str">
        <f>HYPERLINK("http://www.villaselvagrande.com/","www.villaselvagrande.com")</f>
        <v>www.villaselvagrande.com</v>
      </c>
    </row>
    <row r="3890" spans="1:6" ht="43.05" customHeight="1" x14ac:dyDescent="0.25">
      <c r="A3890" s="6" t="s">
        <v>16021</v>
      </c>
      <c r="B3890" s="5" t="s">
        <v>16022</v>
      </c>
      <c r="C3890" s="5" t="s">
        <v>16020</v>
      </c>
      <c r="D3890" s="5" t="s">
        <v>16023</v>
      </c>
      <c r="E3890" s="5" t="s">
        <v>16024</v>
      </c>
      <c r="F3890" s="5" t="str">
        <f>HYPERLINK("http://www.ristorantelanticacartiera.it/","www.ristorantelanticacartiera.it")</f>
        <v>www.ristorantelanticacartiera.it</v>
      </c>
    </row>
    <row r="3891" spans="1:6" ht="43.05" customHeight="1" x14ac:dyDescent="0.25">
      <c r="A3891" s="1" t="s">
        <v>16026</v>
      </c>
      <c r="B3891" s="7" t="s">
        <v>16027</v>
      </c>
      <c r="C3891" s="7" t="s">
        <v>15996</v>
      </c>
      <c r="D3891" s="7" t="s">
        <v>16028</v>
      </c>
      <c r="E3891" s="7" t="s">
        <v>16029</v>
      </c>
      <c r="F3891" s="7" t="str">
        <f>HYPERLINK("http://open-farms.it/","open-farms.it")</f>
        <v>open-farms.it</v>
      </c>
    </row>
    <row r="3892" spans="1:6" ht="29.55" customHeight="1" x14ac:dyDescent="0.25">
      <c r="A3892" s="1" t="s">
        <v>16031</v>
      </c>
      <c r="B3892" s="7" t="s">
        <v>16032</v>
      </c>
      <c r="C3892" s="7" t="s">
        <v>16025</v>
      </c>
      <c r="D3892" s="7" t="s">
        <v>16004</v>
      </c>
      <c r="E3892" s="7" t="s">
        <v>16005</v>
      </c>
      <c r="F3892" s="7" t="str">
        <f>HYPERLINK("http://www.energybiofarm.it/","www.energybiofarm.it")</f>
        <v>www.energybiofarm.it</v>
      </c>
    </row>
    <row r="3893" spans="1:6" ht="43.05" customHeight="1" x14ac:dyDescent="0.25">
      <c r="A3893" s="6" t="s">
        <v>16033</v>
      </c>
      <c r="B3893" s="5" t="s">
        <v>16034</v>
      </c>
      <c r="C3893" s="5" t="s">
        <v>16016</v>
      </c>
      <c r="D3893" s="5" t="s">
        <v>16035</v>
      </c>
      <c r="E3893" s="5" t="s">
        <v>16015</v>
      </c>
      <c r="F3893" s="5" t="str">
        <f>HYPERLINK("http://www.figomoro.it/","www.figomoro.it")</f>
        <v>www.figomoro.it</v>
      </c>
    </row>
    <row r="3894" spans="1:6" ht="29.55" customHeight="1" x14ac:dyDescent="0.25">
      <c r="A3894" s="6" t="s">
        <v>16036</v>
      </c>
      <c r="B3894" s="5" t="s">
        <v>16037</v>
      </c>
      <c r="C3894" s="5" t="s">
        <v>15996</v>
      </c>
      <c r="D3894" s="5" t="s">
        <v>16030</v>
      </c>
      <c r="E3894" s="5" t="s">
        <v>16024</v>
      </c>
      <c r="F3894" s="5" t="str">
        <f>HYPERLINK("http://sites.google.com/view/agriturismo-borgo-cerquelle","sites.google.com/view/agriturismo-borgo-cerquelle")</f>
        <v>sites.google.com/view/agriturismo-borgo-cerquelle</v>
      </c>
    </row>
    <row r="3895" spans="1:6" ht="55.65" customHeight="1" x14ac:dyDescent="0.25">
      <c r="A3895" s="6" t="s">
        <v>16040</v>
      </c>
      <c r="B3895" s="5" t="s">
        <v>16041</v>
      </c>
      <c r="C3895" s="5" t="s">
        <v>16042</v>
      </c>
      <c r="D3895" s="5" t="s">
        <v>16043</v>
      </c>
      <c r="E3895" s="5" t="s">
        <v>16044</v>
      </c>
      <c r="F3895" s="5" t="str">
        <f>HYPERLINK("http://www.masseriemancadelbosco.it/","www.masseriemancadelbosco.it")</f>
        <v>www.masseriemancadelbosco.it</v>
      </c>
    </row>
    <row r="3896" spans="1:6" ht="29.55" customHeight="1" x14ac:dyDescent="0.25">
      <c r="A3896" s="6" t="s">
        <v>16045</v>
      </c>
      <c r="B3896" s="5" t="s">
        <v>16046</v>
      </c>
      <c r="C3896" s="5" t="s">
        <v>16047</v>
      </c>
      <c r="D3896" s="5" t="s">
        <v>16048</v>
      </c>
      <c r="E3896" s="5" t="s">
        <v>16049</v>
      </c>
      <c r="F3896" s="5" t="str">
        <f>HYPERLINK("http://www.biosfarm.com/","www.biosfarm.com")</f>
        <v>www.biosfarm.com</v>
      </c>
    </row>
    <row r="3897" spans="1:6" ht="16.95" customHeight="1" x14ac:dyDescent="0.25">
      <c r="A3897" s="1" t="s">
        <v>16050</v>
      </c>
      <c r="B3897" s="7" t="s">
        <v>16051</v>
      </c>
      <c r="C3897" s="7" t="s">
        <v>16052</v>
      </c>
      <c r="D3897" s="7" t="s">
        <v>16053</v>
      </c>
      <c r="E3897" s="7" t="s">
        <v>16054</v>
      </c>
      <c r="F3897" s="7" t="str">
        <f>HYPERLINK("http://www.lacorteagricola.com/","www.lacorteagricola.com")</f>
        <v>www.lacorteagricola.com</v>
      </c>
    </row>
    <row r="3898" spans="1:6" ht="29.55" customHeight="1" x14ac:dyDescent="0.25">
      <c r="A3898" s="6" t="s">
        <v>16055</v>
      </c>
      <c r="B3898" s="5" t="s">
        <v>16056</v>
      </c>
      <c r="C3898" s="5" t="s">
        <v>16038</v>
      </c>
      <c r="D3898" s="5" t="s">
        <v>16057</v>
      </c>
      <c r="E3898" s="5" t="s">
        <v>16039</v>
      </c>
      <c r="F3898" s="5" t="str">
        <f>HYPERLINK("http://www.lavillaspa.it/","www.lavillaspa.it")</f>
        <v>www.lavillaspa.it</v>
      </c>
    </row>
    <row r="3899" spans="1:6" ht="43.05" customHeight="1" x14ac:dyDescent="0.25">
      <c r="A3899" s="6" t="s">
        <v>16059</v>
      </c>
      <c r="B3899" s="5" t="s">
        <v>16060</v>
      </c>
      <c r="C3899" s="5" t="s">
        <v>16061</v>
      </c>
      <c r="D3899" s="5" t="s">
        <v>16062</v>
      </c>
      <c r="E3899" s="5" t="s">
        <v>16063</v>
      </c>
      <c r="F3899" s="5" t="str">
        <f>HYPERLINK("http://www.iciliegiselvatici.it/","www.iciliegiselvatici.it")</f>
        <v>www.iciliegiselvatici.it</v>
      </c>
    </row>
    <row r="3900" spans="1:6" ht="29.55" customHeight="1" x14ac:dyDescent="0.25">
      <c r="A3900" s="1" t="s">
        <v>16064</v>
      </c>
      <c r="B3900" s="7" t="s">
        <v>16065</v>
      </c>
      <c r="C3900" s="7" t="s">
        <v>16058</v>
      </c>
      <c r="D3900" s="7" t="s">
        <v>16066</v>
      </c>
      <c r="E3900" s="7" t="s">
        <v>16067</v>
      </c>
      <c r="F3900" s="7" t="str">
        <f>HYPERLINK("http://www.fattorialeorigini.it/","www.fattorialeorigini.it")</f>
        <v>www.fattorialeorigini.it</v>
      </c>
    </row>
    <row r="3901" spans="1:6" ht="29.55" customHeight="1" x14ac:dyDescent="0.25">
      <c r="A3901" s="1" t="s">
        <v>16069</v>
      </c>
      <c r="B3901" s="7" t="s">
        <v>16070</v>
      </c>
      <c r="C3901" s="7" t="s">
        <v>16071</v>
      </c>
      <c r="D3901" s="7" t="s">
        <v>16072</v>
      </c>
      <c r="E3901" s="7" t="s">
        <v>16073</v>
      </c>
      <c r="F3901" s="7" t="str">
        <f>HYPERLINK("http://romal-srl-societa-agricola-05748620654.quantofattura.com/","romal-srl-societa-agricola-05748620654.quantofattura.com")</f>
        <v>romal-srl-societa-agricola-05748620654.quantofattura.com</v>
      </c>
    </row>
    <row r="3902" spans="1:6" ht="43.05" customHeight="1" x14ac:dyDescent="0.25">
      <c r="A3902" s="6" t="s">
        <v>16077</v>
      </c>
      <c r="B3902" s="5" t="s">
        <v>16078</v>
      </c>
      <c r="C3902" s="5" t="s">
        <v>16079</v>
      </c>
      <c r="D3902" s="5" t="s">
        <v>16080</v>
      </c>
      <c r="E3902" s="5" t="s">
        <v>16081</v>
      </c>
      <c r="F3902" s="5" t="str">
        <f>HYPERLINK("http://www.vignaquaranti.com/","www.vignaquaranti.com")</f>
        <v>www.vignaquaranti.com</v>
      </c>
    </row>
    <row r="3903" spans="1:6" ht="16.95" customHeight="1" x14ac:dyDescent="0.25">
      <c r="A3903" s="1" t="s">
        <v>16083</v>
      </c>
      <c r="B3903" s="7" t="s">
        <v>16084</v>
      </c>
      <c r="C3903" s="7" t="s">
        <v>16082</v>
      </c>
      <c r="D3903" s="7" t="s">
        <v>16085</v>
      </c>
      <c r="E3903" s="7" t="s">
        <v>16068</v>
      </c>
      <c r="F3903" s="7" t="str">
        <f>HYPERLINK("http://www.ilcerritoio.it/","www.ilcerritoio.it")</f>
        <v>www.ilcerritoio.it</v>
      </c>
    </row>
    <row r="3904" spans="1:6" ht="29.55" customHeight="1" x14ac:dyDescent="0.25">
      <c r="A3904" s="6" t="s">
        <v>16086</v>
      </c>
      <c r="B3904" s="5" t="s">
        <v>16087</v>
      </c>
      <c r="C3904" s="5" t="s">
        <v>16079</v>
      </c>
      <c r="D3904" s="5" t="s">
        <v>16088</v>
      </c>
      <c r="E3904" s="5" t="s">
        <v>16089</v>
      </c>
      <c r="F3904" s="5" t="str">
        <f>HYPERLINK("http://lemoire.it/","lemoire.it")</f>
        <v>lemoire.it</v>
      </c>
    </row>
    <row r="3905" spans="1:6" ht="55.65" customHeight="1" x14ac:dyDescent="0.25">
      <c r="A3905" s="6" t="s">
        <v>16090</v>
      </c>
      <c r="B3905" s="5" t="s">
        <v>16091</v>
      </c>
      <c r="C3905" s="5" t="s">
        <v>16079</v>
      </c>
      <c r="D3905" s="5" t="s">
        <v>16092</v>
      </c>
      <c r="E3905" s="5" t="s">
        <v>16093</v>
      </c>
      <c r="F3905" s="5" t="str">
        <f>HYPERLINK("http://www.resuvae.it/","www.resuvae.it")</f>
        <v>www.resuvae.it</v>
      </c>
    </row>
    <row r="3906" spans="1:6" ht="29.55" customHeight="1" x14ac:dyDescent="0.25">
      <c r="A3906" s="6" t="s">
        <v>16094</v>
      </c>
      <c r="B3906" s="5" t="s">
        <v>16095</v>
      </c>
      <c r="C3906" s="5" t="s">
        <v>16079</v>
      </c>
      <c r="D3906" s="5" t="s">
        <v>16096</v>
      </c>
      <c r="E3906" s="5" t="s">
        <v>16068</v>
      </c>
      <c r="F3906" s="5" t="str">
        <f>HYPERLINK("http://www.podereilcastello.com/","www.podereilcastello.com")</f>
        <v>www.podereilcastello.com</v>
      </c>
    </row>
    <row r="3907" spans="1:6" ht="29.55" customHeight="1" x14ac:dyDescent="0.25">
      <c r="A3907" s="1" t="s">
        <v>16097</v>
      </c>
      <c r="B3907" s="7" t="s">
        <v>16098</v>
      </c>
      <c r="C3907" s="7" t="s">
        <v>16099</v>
      </c>
      <c r="D3907" s="7" t="s">
        <v>16100</v>
      </c>
      <c r="E3907" s="7" t="s">
        <v>16101</v>
      </c>
      <c r="F3907" s="7" t="str">
        <f>HYPERLINK("http://www.agriturismoterraevita.it/","www.agriturismoterraevita.it")</f>
        <v>www.agriturismoterraevita.it</v>
      </c>
    </row>
    <row r="3908" spans="1:6" ht="29.55" customHeight="1" x14ac:dyDescent="0.25">
      <c r="A3908" s="1" t="s">
        <v>16102</v>
      </c>
      <c r="B3908" s="7" t="s">
        <v>16103</v>
      </c>
      <c r="C3908" s="7" t="s">
        <v>16079</v>
      </c>
      <c r="D3908" s="7" t="s">
        <v>16104</v>
      </c>
      <c r="E3908" s="7" t="s">
        <v>16068</v>
      </c>
      <c r="F3908" s="7" t="str">
        <f>HYPERLINK("http://www.voltrona.com/","www.voltrona.com")</f>
        <v>www.voltrona.com</v>
      </c>
    </row>
    <row r="3909" spans="1:6" ht="29.55" customHeight="1" x14ac:dyDescent="0.25">
      <c r="A3909" s="1" t="s">
        <v>16105</v>
      </c>
      <c r="B3909" s="7" t="s">
        <v>16106</v>
      </c>
      <c r="C3909" s="7" t="s">
        <v>16079</v>
      </c>
      <c r="D3909" s="7" t="s">
        <v>16107</v>
      </c>
      <c r="E3909" s="7" t="s">
        <v>16076</v>
      </c>
      <c r="F3909" s="7" t="str">
        <f>HYPERLINK("http://www.spumantifaustozazzara.it/","www.spumantifaustozazzara.it")</f>
        <v>www.spumantifaustozazzara.it</v>
      </c>
    </row>
    <row r="3910" spans="1:6" ht="29.55" customHeight="1" x14ac:dyDescent="0.25">
      <c r="A3910" s="1" t="s">
        <v>16108</v>
      </c>
      <c r="B3910" s="7" t="s">
        <v>16109</v>
      </c>
      <c r="C3910" s="7" t="s">
        <v>16110</v>
      </c>
      <c r="D3910" s="7" t="s">
        <v>16074</v>
      </c>
      <c r="E3910" s="7" t="s">
        <v>16075</v>
      </c>
      <c r="F3910" s="7" t="str">
        <f>HYPERLINK("http://www.coop-coraggio.it/","www.coop-coraggio.it")</f>
        <v>www.coop-coraggio.it</v>
      </c>
    </row>
    <row r="3911" spans="1:6" ht="29.55" customHeight="1" x14ac:dyDescent="0.25">
      <c r="A3911" s="6" t="s">
        <v>16111</v>
      </c>
      <c r="B3911" s="5" t="s">
        <v>16112</v>
      </c>
      <c r="C3911" s="5" t="s">
        <v>16110</v>
      </c>
      <c r="D3911" s="5" t="s">
        <v>16113</v>
      </c>
      <c r="E3911" s="5" t="s">
        <v>16075</v>
      </c>
      <c r="F3911" s="5" t="str">
        <f>HYPERLINK("http://www.cremealimentari.it/","www.cremealimentari.it")</f>
        <v>www.cremealimentari.it</v>
      </c>
    </row>
    <row r="3912" spans="1:6" ht="29.55" customHeight="1" x14ac:dyDescent="0.25">
      <c r="A3912" s="6" t="s">
        <v>16117</v>
      </c>
      <c r="B3912" s="5" t="s">
        <v>16118</v>
      </c>
      <c r="C3912" s="5" t="s">
        <v>16119</v>
      </c>
      <c r="D3912" s="5" t="s">
        <v>16120</v>
      </c>
      <c r="E3912" s="5" t="s">
        <v>16121</v>
      </c>
      <c r="F3912" s="5" t="str">
        <f>HYPERLINK("http://www.terraegente.it/","www.terraegente.it")</f>
        <v>www.terraegente.it</v>
      </c>
    </row>
    <row r="3913" spans="1:6" ht="43.05" customHeight="1" x14ac:dyDescent="0.25">
      <c r="A3913" s="1" t="s">
        <v>16122</v>
      </c>
      <c r="B3913" s="7" t="s">
        <v>16123</v>
      </c>
      <c r="C3913" s="7" t="s">
        <v>16124</v>
      </c>
      <c r="D3913" s="7" t="s">
        <v>16125</v>
      </c>
      <c r="E3913" s="7" t="s">
        <v>16126</v>
      </c>
      <c r="F3913" s="7" t="str">
        <f>HYPERLINK("http://www.vivaigardenia.it/","www.vivaigardenia.it")</f>
        <v>www.vivaigardenia.it</v>
      </c>
    </row>
    <row r="3914" spans="1:6" ht="29.55" customHeight="1" x14ac:dyDescent="0.25">
      <c r="A3914" s="1" t="s">
        <v>16127</v>
      </c>
      <c r="B3914" s="7" t="s">
        <v>16128</v>
      </c>
      <c r="C3914" s="7" t="s">
        <v>16119</v>
      </c>
      <c r="D3914" s="7" t="s">
        <v>16129</v>
      </c>
      <c r="E3914" s="7" t="s">
        <v>16116</v>
      </c>
      <c r="F3914" s="7" t="str">
        <f>HYPERLINK("http://tenutenavarra.com/","tenutenavarra.com")</f>
        <v>tenutenavarra.com</v>
      </c>
    </row>
    <row r="3915" spans="1:6" ht="29.55" customHeight="1" x14ac:dyDescent="0.25">
      <c r="A3915" s="6" t="s">
        <v>16130</v>
      </c>
      <c r="B3915" s="5" t="s">
        <v>16131</v>
      </c>
      <c r="C3915" s="5" t="s">
        <v>16119</v>
      </c>
      <c r="D3915" s="5" t="s">
        <v>16120</v>
      </c>
      <c r="E3915" s="5" t="s">
        <v>16121</v>
      </c>
      <c r="F3915" s="5" t="str">
        <f>HYPERLINK("http://tenutadeire.it/","tenutadeire.it")</f>
        <v>tenutadeire.it</v>
      </c>
    </row>
    <row r="3916" spans="1:6" ht="29.55" customHeight="1" x14ac:dyDescent="0.25">
      <c r="A3916" s="6" t="s">
        <v>16135</v>
      </c>
      <c r="B3916" s="5" t="s">
        <v>16136</v>
      </c>
      <c r="C3916" s="5" t="s">
        <v>16114</v>
      </c>
      <c r="D3916" s="5" t="s">
        <v>16134</v>
      </c>
      <c r="E3916" s="5" t="s">
        <v>16115</v>
      </c>
      <c r="F3916" s="5" t="str">
        <f>HYPERLINK("http://www.messergesualdo.it/","www.messergesualdo.it")</f>
        <v>www.messergesualdo.it</v>
      </c>
    </row>
    <row r="3917" spans="1:6" ht="29.55" customHeight="1" x14ac:dyDescent="0.25">
      <c r="A3917" s="1" t="s">
        <v>16137</v>
      </c>
      <c r="B3917" s="7" t="s">
        <v>16138</v>
      </c>
      <c r="C3917" s="7" t="s">
        <v>16119</v>
      </c>
      <c r="D3917" s="7" t="s">
        <v>16132</v>
      </c>
      <c r="E3917" s="7" t="s">
        <v>16116</v>
      </c>
      <c r="F3917" s="7" t="str">
        <f>HYPERLINK("http://www.tenutazero.it/","www.tenutazero.it")</f>
        <v>www.tenutazero.it</v>
      </c>
    </row>
    <row r="3918" spans="1:6" ht="29.55" customHeight="1" x14ac:dyDescent="0.25">
      <c r="A3918" s="1" t="s">
        <v>16139</v>
      </c>
      <c r="B3918" s="7" t="s">
        <v>16140</v>
      </c>
      <c r="C3918" s="7" t="s">
        <v>16119</v>
      </c>
      <c r="D3918" s="7" t="s">
        <v>16141</v>
      </c>
      <c r="E3918" s="7" t="s">
        <v>16133</v>
      </c>
      <c r="F3918" s="7" t="str">
        <f>HYPERLINK("http://biofattorialemurelle.it/","biofattorialemurelle.it")</f>
        <v>biofattorialemurelle.it</v>
      </c>
    </row>
    <row r="3919" spans="1:6" ht="43.05" customHeight="1" x14ac:dyDescent="0.25">
      <c r="A3919" s="1" t="s">
        <v>16142</v>
      </c>
      <c r="B3919" s="7" t="s">
        <v>16143</v>
      </c>
      <c r="C3919" s="7" t="s">
        <v>16144</v>
      </c>
      <c r="D3919" s="7" t="s">
        <v>16145</v>
      </c>
      <c r="E3919" s="7" t="s">
        <v>16146</v>
      </c>
      <c r="F3919" s="7" t="str">
        <f>HYPERLINK("http://www.seguilo.it/","www.seguilo.it")</f>
        <v>www.seguilo.it</v>
      </c>
    </row>
    <row r="3920" spans="1:6" ht="29.55" customHeight="1" x14ac:dyDescent="0.25">
      <c r="A3920" s="6" t="s">
        <v>16148</v>
      </c>
      <c r="B3920" s="5" t="s">
        <v>16149</v>
      </c>
      <c r="C3920" s="5" t="s">
        <v>16150</v>
      </c>
      <c r="D3920" s="5" t="s">
        <v>16151</v>
      </c>
      <c r="E3920" s="5" t="s">
        <v>16152</v>
      </c>
      <c r="F3920" s="5" t="str">
        <f>HYPERLINK("http://www.equilab.live/","www.equilab.live")</f>
        <v>www.equilab.live</v>
      </c>
    </row>
    <row r="3921" spans="1:6" ht="29.55" customHeight="1" x14ac:dyDescent="0.25">
      <c r="A3921" s="1" t="s">
        <v>16155</v>
      </c>
      <c r="B3921" s="7" t="s">
        <v>16156</v>
      </c>
      <c r="C3921" s="7" t="s">
        <v>16154</v>
      </c>
      <c r="D3921" s="7" t="s">
        <v>16157</v>
      </c>
      <c r="E3921" s="7" t="s">
        <v>16158</v>
      </c>
      <c r="F3921" s="7" t="str">
        <f>HYPERLINK("http://www.delleselve.it/","www.delleselve.it")</f>
        <v>www.delleselve.it</v>
      </c>
    </row>
    <row r="3922" spans="1:6" ht="43.05" customHeight="1" x14ac:dyDescent="0.25">
      <c r="A3922" s="1" t="s">
        <v>16159</v>
      </c>
      <c r="B3922" s="7" t="s">
        <v>16160</v>
      </c>
      <c r="C3922" s="7" t="s">
        <v>16161</v>
      </c>
      <c r="D3922" s="7" t="s">
        <v>16162</v>
      </c>
      <c r="E3922" s="7" t="s">
        <v>16163</v>
      </c>
      <c r="F3922" s="7" t="str">
        <f>HYPERLINK("http://www.amamieli.it/","www.amamieli.it")</f>
        <v>www.amamieli.it</v>
      </c>
    </row>
    <row r="3923" spans="1:6" ht="55.65" customHeight="1" x14ac:dyDescent="0.25">
      <c r="A3923" s="6" t="s">
        <v>16164</v>
      </c>
      <c r="B3923" s="5" t="s">
        <v>16165</v>
      </c>
      <c r="C3923" s="5" t="s">
        <v>16166</v>
      </c>
      <c r="D3923" s="5" t="s">
        <v>16167</v>
      </c>
      <c r="E3923" s="5" t="s">
        <v>16163</v>
      </c>
      <c r="F3923" s="5" t="str">
        <f>HYPERLINK("http://www.tenutepavoletti.it/","www.tenutepavoletti.it")</f>
        <v>www.tenutepavoletti.it</v>
      </c>
    </row>
    <row r="3924" spans="1:6" ht="55.65" customHeight="1" x14ac:dyDescent="0.25">
      <c r="A3924" s="6" t="s">
        <v>16168</v>
      </c>
      <c r="B3924" s="5" t="s">
        <v>16169</v>
      </c>
      <c r="C3924" s="5" t="s">
        <v>16153</v>
      </c>
      <c r="D3924" s="5" t="s">
        <v>16170</v>
      </c>
      <c r="E3924" s="5" t="s">
        <v>16147</v>
      </c>
      <c r="F3924" s="5" t="str">
        <f>HYPERLINK("http://www.giannasca.it/","www.giannasca.it")</f>
        <v>www.giannasca.it</v>
      </c>
    </row>
    <row r="3925" spans="1:6" ht="29.55" customHeight="1" x14ac:dyDescent="0.25">
      <c r="A3925" s="1" t="s">
        <v>16172</v>
      </c>
      <c r="B3925" s="7" t="s">
        <v>16173</v>
      </c>
      <c r="C3925" s="7" t="s">
        <v>16154</v>
      </c>
      <c r="D3925" s="7" t="s">
        <v>16174</v>
      </c>
      <c r="E3925" s="7" t="s">
        <v>16171</v>
      </c>
      <c r="F3925" s="7" t="str">
        <f>HYPERLINK("http://www.cantinasesterzio.it/","www.cantinasesterzio.it")</f>
        <v>www.cantinasesterzio.it</v>
      </c>
    </row>
    <row r="3926" spans="1:6" ht="29.55" customHeight="1" x14ac:dyDescent="0.25">
      <c r="A3926" s="6" t="s">
        <v>16180</v>
      </c>
      <c r="B3926" s="5" t="s">
        <v>16181</v>
      </c>
      <c r="C3926" s="5" t="s">
        <v>16175</v>
      </c>
      <c r="D3926" s="5" t="s">
        <v>16182</v>
      </c>
      <c r="E3926" s="5" t="s">
        <v>16176</v>
      </c>
      <c r="F3926" s="5" t="str">
        <f>HYPERLINK("http://www.terredellangelo.com/","www.terredellangelo.com")</f>
        <v>www.terredellangelo.com</v>
      </c>
    </row>
    <row r="3927" spans="1:6" ht="29.55" customHeight="1" x14ac:dyDescent="0.25">
      <c r="A3927" s="1" t="s">
        <v>16184</v>
      </c>
      <c r="B3927" s="7" t="s">
        <v>16185</v>
      </c>
      <c r="C3927" s="7" t="s">
        <v>16186</v>
      </c>
      <c r="D3927" s="7" t="s">
        <v>16187</v>
      </c>
      <c r="E3927" s="7" t="s">
        <v>16188</v>
      </c>
      <c r="F3927" s="7" t="str">
        <f>HYPERLINK("http://acquaviva.com/","acquaviva.com")</f>
        <v>acquaviva.com</v>
      </c>
    </row>
    <row r="3928" spans="1:6" ht="16.95" customHeight="1" x14ac:dyDescent="0.25">
      <c r="A3928" s="1" t="s">
        <v>16193</v>
      </c>
      <c r="B3928" s="7" t="s">
        <v>16194</v>
      </c>
      <c r="C3928" s="7" t="s">
        <v>16175</v>
      </c>
      <c r="D3928" s="7" t="s">
        <v>16195</v>
      </c>
      <c r="E3928" s="7" t="s">
        <v>16183</v>
      </c>
      <c r="F3928" s="7" t="str">
        <f>HYPERLINK("http://www.agriturismoaiavecchia.com/","www.agriturismoaiavecchia.com")</f>
        <v>www.agriturismoaiavecchia.com</v>
      </c>
    </row>
    <row r="3929" spans="1:6" ht="29.55" customHeight="1" x14ac:dyDescent="0.25">
      <c r="A3929" s="1" t="s">
        <v>16197</v>
      </c>
      <c r="B3929" s="7" t="s">
        <v>16198</v>
      </c>
      <c r="C3929" s="7" t="s">
        <v>16189</v>
      </c>
      <c r="D3929" s="7" t="s">
        <v>16178</v>
      </c>
      <c r="E3929" s="7" t="s">
        <v>16179</v>
      </c>
      <c r="F3929" s="7" t="str">
        <f>HYPERLINK("http://www.oleificiosocialesabino.it/","www.oleificiosocialesabino.it")</f>
        <v>www.oleificiosocialesabino.it</v>
      </c>
    </row>
    <row r="3930" spans="1:6" ht="29.55" customHeight="1" x14ac:dyDescent="0.25">
      <c r="A3930" s="6" t="s">
        <v>16199</v>
      </c>
      <c r="B3930" s="5" t="s">
        <v>16200</v>
      </c>
      <c r="C3930" s="5" t="s">
        <v>16192</v>
      </c>
      <c r="D3930" s="5" t="s">
        <v>16201</v>
      </c>
      <c r="E3930" s="5" t="s">
        <v>16191</v>
      </c>
      <c r="F3930" s="5" t="str">
        <f>HYPERLINK("http://www.tenutetozzi.it/","www.tenutetozzi.it")</f>
        <v>www.tenutetozzi.it</v>
      </c>
    </row>
    <row r="3931" spans="1:6" ht="29.55" customHeight="1" x14ac:dyDescent="0.25">
      <c r="A3931" s="1" t="s">
        <v>16202</v>
      </c>
      <c r="B3931" s="7" t="s">
        <v>16203</v>
      </c>
      <c r="C3931" s="7" t="s">
        <v>16177</v>
      </c>
      <c r="D3931" s="7" t="s">
        <v>16204</v>
      </c>
      <c r="E3931" s="7" t="s">
        <v>16205</v>
      </c>
      <c r="F3931" s="7" t="str">
        <f>HYPERLINK("http://www.risicoltoripolesani.it/","www.risicoltoripolesani.it")</f>
        <v>www.risicoltoripolesani.it</v>
      </c>
    </row>
    <row r="3932" spans="1:6" ht="94.2" customHeight="1" x14ac:dyDescent="0.25">
      <c r="A3932" s="6" t="s">
        <v>16206</v>
      </c>
      <c r="B3932" s="5" t="s">
        <v>16207</v>
      </c>
      <c r="C3932" s="5" t="s">
        <v>16208</v>
      </c>
      <c r="D3932" s="5" t="s">
        <v>16195</v>
      </c>
      <c r="E3932" s="5" t="s">
        <v>16183</v>
      </c>
      <c r="F3932" s="5" t="str">
        <f>HYPERLINK("http://www.borgo-pievina.it/","www.borgo-pievina.it")</f>
        <v>www.borgo-pievina.it</v>
      </c>
    </row>
    <row r="3933" spans="1:6" ht="29.55" customHeight="1" x14ac:dyDescent="0.25">
      <c r="A3933" s="1" t="s">
        <v>16209</v>
      </c>
      <c r="B3933" s="7" t="s">
        <v>16210</v>
      </c>
      <c r="C3933" s="7" t="s">
        <v>16175</v>
      </c>
      <c r="D3933" s="7" t="s">
        <v>16211</v>
      </c>
      <c r="E3933" s="7" t="s">
        <v>16183</v>
      </c>
      <c r="F3933" s="7" t="str">
        <f>HYPERLINK("http://ageroliva.it/","ageroliva.it")</f>
        <v>ageroliva.it</v>
      </c>
    </row>
    <row r="3934" spans="1:6" ht="68.099999999999994" customHeight="1" x14ac:dyDescent="0.25">
      <c r="A3934" s="6" t="s">
        <v>16212</v>
      </c>
      <c r="B3934" s="5" t="s">
        <v>16213</v>
      </c>
      <c r="C3934" s="5" t="s">
        <v>16214</v>
      </c>
      <c r="D3934" s="5" t="s">
        <v>16196</v>
      </c>
      <c r="E3934" s="5" t="s">
        <v>16190</v>
      </c>
      <c r="F3934" s="5" t="str">
        <f>HYPERLINK("http://perusia-vivai-societa-agricola-a-responsabilita-li-03519910545.quantofattura.com/","perusia-vivai-societa-agricola-a-responsabilita-li-03519910545.quantofattura.com")</f>
        <v>perusia-vivai-societa-agricola-a-responsabilita-li-03519910545.quantofattura.com</v>
      </c>
    </row>
    <row r="3935" spans="1:6" ht="16.95" customHeight="1" x14ac:dyDescent="0.25">
      <c r="A3935" s="6" t="s">
        <v>16215</v>
      </c>
      <c r="B3935" s="5" t="s">
        <v>16216</v>
      </c>
      <c r="C3935" s="5" t="s">
        <v>16217</v>
      </c>
      <c r="D3935" s="5" t="s">
        <v>16201</v>
      </c>
      <c r="E3935" s="5" t="s">
        <v>16191</v>
      </c>
      <c r="F3935" s="5" t="str">
        <f>HYPERLINK("http://www.feudomondello.it/","www.feudomondello.it")</f>
        <v>www.feudomondello.it</v>
      </c>
    </row>
    <row r="3936" spans="1:6" ht="29.55" customHeight="1" x14ac:dyDescent="0.25">
      <c r="A3936" s="1" t="s">
        <v>16218</v>
      </c>
      <c r="B3936" s="7" t="s">
        <v>16219</v>
      </c>
      <c r="C3936" s="7" t="s">
        <v>16217</v>
      </c>
      <c r="D3936" s="7" t="s">
        <v>16196</v>
      </c>
      <c r="E3936" s="7" t="s">
        <v>16190</v>
      </c>
      <c r="F3936" s="7" t="str">
        <f>HYPERLINK("http://www.agriturismosantachiara.com/","www.agriturismosantachiara.com")</f>
        <v>www.agriturismosantachiara.com</v>
      </c>
    </row>
    <row r="3937" spans="1:6" ht="29.55" customHeight="1" x14ac:dyDescent="0.25">
      <c r="A3937" s="6" t="s">
        <v>16220</v>
      </c>
      <c r="B3937" s="5" t="s">
        <v>16221</v>
      </c>
      <c r="C3937" s="5" t="s">
        <v>16222</v>
      </c>
      <c r="D3937" s="5" t="s">
        <v>16223</v>
      </c>
      <c r="E3937" s="5" t="s">
        <v>16188</v>
      </c>
      <c r="F3937" s="5" t="str">
        <f>HYPERLINK("http://www.galfarm.it/","www.galfarm.it")</f>
        <v>www.galfarm.it</v>
      </c>
    </row>
    <row r="3938" spans="1:6" ht="43.05" customHeight="1" x14ac:dyDescent="0.25">
      <c r="A3938" s="1" t="s">
        <v>16228</v>
      </c>
      <c r="B3938" s="7" t="s">
        <v>16229</v>
      </c>
      <c r="C3938" s="7" t="s">
        <v>16226</v>
      </c>
      <c r="D3938" s="7" t="s">
        <v>16230</v>
      </c>
      <c r="E3938" s="7" t="s">
        <v>16227</v>
      </c>
      <c r="F3938" s="7" t="str">
        <f>HYPERLINK("http://www.aziendaagricolasanbeatrice.it/","www.aziendaagricolasanbeatrice.it")</f>
        <v>www.aziendaagricolasanbeatrice.it</v>
      </c>
    </row>
    <row r="3939" spans="1:6" ht="29.55" customHeight="1" x14ac:dyDescent="0.25">
      <c r="A3939" s="6" t="s">
        <v>16232</v>
      </c>
      <c r="B3939" s="5" t="s">
        <v>16233</v>
      </c>
      <c r="C3939" s="5" t="s">
        <v>16234</v>
      </c>
      <c r="D3939" s="5" t="s">
        <v>16235</v>
      </c>
      <c r="E3939" s="5" t="s">
        <v>16227</v>
      </c>
      <c r="F3939" s="5" t="str">
        <f>HYPERLINK("http://www.poderelepozze.it/","www.poderelepozze.it")</f>
        <v>www.poderelepozze.it</v>
      </c>
    </row>
    <row r="3940" spans="1:6" ht="43.05" customHeight="1" x14ac:dyDescent="0.25">
      <c r="A3940" s="6" t="s">
        <v>16236</v>
      </c>
      <c r="B3940" s="5" t="s">
        <v>16237</v>
      </c>
      <c r="C3940" s="5" t="s">
        <v>16238</v>
      </c>
      <c r="D3940" s="5" t="s">
        <v>16239</v>
      </c>
      <c r="E3940" s="5" t="s">
        <v>16231</v>
      </c>
      <c r="F3940" s="5" t="str">
        <f>HYPERLINK("http://vivai-diamante-del-mediterraneo-societa-cooperativ-02226910848.quantofattura.com/","vivai-diamante-del-mediterraneo-societa-cooperativ-02226910848.quantofattura.com")</f>
        <v>vivai-diamante-del-mediterraneo-societa-cooperativ-02226910848.quantofattura.com</v>
      </c>
    </row>
    <row r="3941" spans="1:6" ht="29.55" customHeight="1" x14ac:dyDescent="0.25">
      <c r="A3941" s="1" t="s">
        <v>16240</v>
      </c>
      <c r="B3941" s="7" t="s">
        <v>16241</v>
      </c>
      <c r="C3941" s="7" t="s">
        <v>16242</v>
      </c>
      <c r="D3941" s="7" t="s">
        <v>16224</v>
      </c>
      <c r="E3941" s="7" t="s">
        <v>16225</v>
      </c>
      <c r="F3941" s="7" t="str">
        <f>HYPERLINK("http://losetta.weebly.com/","losetta.weebly.com")</f>
        <v>losetta.weebly.com</v>
      </c>
    </row>
    <row r="3942" spans="1:6" ht="29.55" customHeight="1" x14ac:dyDescent="0.25">
      <c r="A3942" s="6" t="s">
        <v>16244</v>
      </c>
      <c r="B3942" s="5" t="s">
        <v>16245</v>
      </c>
      <c r="C3942" s="5" t="s">
        <v>16246</v>
      </c>
      <c r="D3942" s="5" t="s">
        <v>16247</v>
      </c>
      <c r="E3942" s="5" t="s">
        <v>16248</v>
      </c>
      <c r="F3942" s="5" t="str">
        <f>HYPERLINK("http://tenutacorano.it/","tenutacorano.it")</f>
        <v>tenutacorano.it</v>
      </c>
    </row>
    <row r="3943" spans="1:6" ht="43.05" customHeight="1" x14ac:dyDescent="0.25">
      <c r="A3943" s="1" t="s">
        <v>16249</v>
      </c>
      <c r="B3943" s="7" t="s">
        <v>16250</v>
      </c>
      <c r="C3943" s="7" t="s">
        <v>16251</v>
      </c>
      <c r="D3943" s="7" t="s">
        <v>16252</v>
      </c>
      <c r="E3943" s="7" t="s">
        <v>16253</v>
      </c>
      <c r="F3943" s="7" t="str">
        <f>HYPERLINK("http://bagliosanvincenzo.it/","bagliosanvincenzo.it")</f>
        <v>bagliosanvincenzo.it</v>
      </c>
    </row>
    <row r="3944" spans="1:6" ht="29.55" customHeight="1" x14ac:dyDescent="0.25">
      <c r="A3944" s="6" t="s">
        <v>16254</v>
      </c>
      <c r="B3944" s="5" t="s">
        <v>16255</v>
      </c>
      <c r="C3944" s="5" t="s">
        <v>16251</v>
      </c>
      <c r="D3944" s="5" t="s">
        <v>16256</v>
      </c>
      <c r="E3944" s="5" t="s">
        <v>16257</v>
      </c>
      <c r="F3944" s="5" t="str">
        <f>HYPERLINK("http://www.torcilacqua.it/","www.torcilacqua.it")</f>
        <v>www.torcilacqua.it</v>
      </c>
    </row>
    <row r="3945" spans="1:6" ht="16.95" customHeight="1" x14ac:dyDescent="0.25">
      <c r="A3945" s="1" t="s">
        <v>16258</v>
      </c>
      <c r="B3945" s="7" t="s">
        <v>16259</v>
      </c>
      <c r="C3945" s="7" t="s">
        <v>16260</v>
      </c>
      <c r="D3945" s="7" t="s">
        <v>16261</v>
      </c>
      <c r="E3945" s="7" t="s">
        <v>16262</v>
      </c>
      <c r="F3945" s="7" t="str">
        <f>HYPERLINK("http://www.eosgroupsrl.eu/","www.eosgroupsrl.eu")</f>
        <v>www.eosgroupsrl.eu</v>
      </c>
    </row>
    <row r="3946" spans="1:6" ht="43.05" customHeight="1" x14ac:dyDescent="0.25">
      <c r="A3946" s="6" t="s">
        <v>16263</v>
      </c>
      <c r="B3946" s="5" t="s">
        <v>16264</v>
      </c>
      <c r="C3946" s="5" t="s">
        <v>16251</v>
      </c>
      <c r="D3946" s="5" t="s">
        <v>16265</v>
      </c>
      <c r="E3946" s="5" t="s">
        <v>16266</v>
      </c>
      <c r="F3946" s="5" t="str">
        <f>HYPERLINK("http://poderelucano.com/","poderelucano.com")</f>
        <v>poderelucano.com</v>
      </c>
    </row>
    <row r="3947" spans="1:6" ht="29.55" customHeight="1" x14ac:dyDescent="0.25">
      <c r="A3947" s="1" t="s">
        <v>16267</v>
      </c>
      <c r="B3947" s="7" t="s">
        <v>16268</v>
      </c>
      <c r="C3947" s="7" t="s">
        <v>16251</v>
      </c>
      <c r="D3947" s="7" t="s">
        <v>16269</v>
      </c>
      <c r="E3947" s="7" t="s">
        <v>16266</v>
      </c>
      <c r="F3947" s="7" t="str">
        <f>HYPERLINK("http://radino.it/","radino.it")</f>
        <v>radino.it</v>
      </c>
    </row>
    <row r="3948" spans="1:6" ht="29.55" customHeight="1" x14ac:dyDescent="0.25">
      <c r="A3948" s="6" t="s">
        <v>16272</v>
      </c>
      <c r="B3948" s="5" t="s">
        <v>16273</v>
      </c>
      <c r="C3948" s="5" t="s">
        <v>16251</v>
      </c>
      <c r="D3948" s="5" t="s">
        <v>16270</v>
      </c>
      <c r="E3948" s="5" t="s">
        <v>16271</v>
      </c>
      <c r="F3948" s="5" t="str">
        <f>HYPERLINK("http://www.sclavia.com/","www.sclavia.com")</f>
        <v>www.sclavia.com</v>
      </c>
    </row>
    <row r="3949" spans="1:6" ht="29.55" customHeight="1" x14ac:dyDescent="0.25">
      <c r="A3949" s="6" t="s">
        <v>16275</v>
      </c>
      <c r="B3949" s="5" t="s">
        <v>16276</v>
      </c>
      <c r="C3949" s="5" t="s">
        <v>16243</v>
      </c>
      <c r="D3949" s="5" t="s">
        <v>16277</v>
      </c>
      <c r="E3949" s="5" t="s">
        <v>16253</v>
      </c>
      <c r="F3949" s="5" t="str">
        <f>HYPERLINK("http://poggiobbaranello.it/1.0/","poggiobbaranello.it/1.0/")</f>
        <v>poggiobbaranello.it/1.0/</v>
      </c>
    </row>
    <row r="3950" spans="1:6" ht="16.95" customHeight="1" x14ac:dyDescent="0.25">
      <c r="A3950" s="1" t="s">
        <v>16279</v>
      </c>
      <c r="B3950" s="7" t="s">
        <v>16280</v>
      </c>
      <c r="C3950" s="7" t="s">
        <v>16274</v>
      </c>
      <c r="D3950" s="7" t="s">
        <v>16278</v>
      </c>
      <c r="E3950" s="7" t="s">
        <v>16271</v>
      </c>
      <c r="F3950" s="7" t="str">
        <f>HYPERLINK("http://www.moiobio.it/","www.moiobio.it")</f>
        <v>www.moiobio.it</v>
      </c>
    </row>
    <row r="3951" spans="1:6" ht="29.55" customHeight="1" x14ac:dyDescent="0.25">
      <c r="A3951" s="1" t="s">
        <v>16281</v>
      </c>
      <c r="B3951" s="7" t="s">
        <v>16282</v>
      </c>
      <c r="C3951" s="7" t="s">
        <v>16251</v>
      </c>
      <c r="D3951" s="7" t="s">
        <v>16256</v>
      </c>
      <c r="E3951" s="7" t="s">
        <v>16257</v>
      </c>
      <c r="F3951" s="7" t="str">
        <f>HYPERLINK("http://querciamatta.it/","querciamatta.it")</f>
        <v>querciamatta.it</v>
      </c>
    </row>
    <row r="3952" spans="1:6" ht="29.55" customHeight="1" x14ac:dyDescent="0.25">
      <c r="A3952" s="1" t="s">
        <v>16291</v>
      </c>
      <c r="B3952" s="7" t="s">
        <v>16292</v>
      </c>
      <c r="C3952" s="7" t="s">
        <v>16293</v>
      </c>
      <c r="D3952" s="7" t="s">
        <v>16294</v>
      </c>
      <c r="E3952" s="7" t="s">
        <v>16295</v>
      </c>
      <c r="F3952" s="7" t="str">
        <f>HYPERLINK("http://bifarm.it/","bifarm.it")</f>
        <v>bifarm.it</v>
      </c>
    </row>
    <row r="3953" spans="1:6" ht="43.05" customHeight="1" x14ac:dyDescent="0.25">
      <c r="A3953" s="6" t="s">
        <v>16297</v>
      </c>
      <c r="B3953" s="5" t="s">
        <v>16298</v>
      </c>
      <c r="C3953" s="5" t="s">
        <v>16290</v>
      </c>
      <c r="D3953" s="5" t="s">
        <v>16299</v>
      </c>
      <c r="E3953" s="5" t="s">
        <v>16288</v>
      </c>
      <c r="F3953" s="5" t="str">
        <f>HYPERLINK("http://www.birrificioladiana.com/","www.birrificioladiana.com")</f>
        <v>www.birrificioladiana.com</v>
      </c>
    </row>
    <row r="3954" spans="1:6" ht="81.75" customHeight="1" x14ac:dyDescent="0.25">
      <c r="A3954" s="1" t="s">
        <v>16300</v>
      </c>
      <c r="B3954" s="7" t="s">
        <v>16301</v>
      </c>
      <c r="C3954" s="7" t="s">
        <v>16302</v>
      </c>
      <c r="D3954" s="7" t="s">
        <v>16286</v>
      </c>
      <c r="E3954" s="7" t="s">
        <v>16287</v>
      </c>
      <c r="F3954" s="7" t="str">
        <f>HYPERLINK("http://pappaluga.it/","pappaluga.it")</f>
        <v>pappaluga.it</v>
      </c>
    </row>
    <row r="3955" spans="1:6" ht="29.55" customHeight="1" x14ac:dyDescent="0.25">
      <c r="A3955" s="1" t="s">
        <v>16304</v>
      </c>
      <c r="B3955" s="7" t="s">
        <v>16305</v>
      </c>
      <c r="C3955" s="7" t="s">
        <v>16306</v>
      </c>
      <c r="D3955" s="7" t="s">
        <v>16307</v>
      </c>
      <c r="E3955" s="7" t="s">
        <v>16288</v>
      </c>
      <c r="F3955" s="7" t="str">
        <f>HYPERLINK("http://www.agriturismoresortlerose.it/","www.agriturismoresortlerose.it")</f>
        <v>www.agriturismoresortlerose.it</v>
      </c>
    </row>
    <row r="3956" spans="1:6" ht="29.55" customHeight="1" x14ac:dyDescent="0.25">
      <c r="A3956" s="6" t="s">
        <v>16308</v>
      </c>
      <c r="B3956" s="5" t="s">
        <v>16309</v>
      </c>
      <c r="C3956" s="5" t="s">
        <v>16310</v>
      </c>
      <c r="D3956" s="5" t="s">
        <v>16311</v>
      </c>
      <c r="E3956" s="5" t="s">
        <v>16312</v>
      </c>
      <c r="F3956" s="5" t="str">
        <f>HYPERLINK("http://www.wsteinhaus.it/","www.wsteinhaus.it")</f>
        <v>www.wsteinhaus.it</v>
      </c>
    </row>
    <row r="3957" spans="1:6" ht="29.55" customHeight="1" x14ac:dyDescent="0.25">
      <c r="A3957" s="6" t="s">
        <v>16313</v>
      </c>
      <c r="B3957" s="5" t="s">
        <v>16314</v>
      </c>
      <c r="C3957" s="5" t="s">
        <v>16293</v>
      </c>
      <c r="D3957" s="5" t="s">
        <v>16284</v>
      </c>
      <c r="E3957" s="5" t="s">
        <v>16285</v>
      </c>
      <c r="F3957" s="5" t="str">
        <f>HYPERLINK("http://www.soraincecchini.it/","www.soraincecchini.it")</f>
        <v>www.soraincecchini.it</v>
      </c>
    </row>
    <row r="3958" spans="1:6" ht="29.55" customHeight="1" x14ac:dyDescent="0.25">
      <c r="A3958" s="1" t="s">
        <v>16315</v>
      </c>
      <c r="B3958" s="7" t="s">
        <v>16316</v>
      </c>
      <c r="C3958" s="7" t="s">
        <v>16317</v>
      </c>
      <c r="D3958" s="7" t="s">
        <v>16318</v>
      </c>
      <c r="E3958" s="7" t="s">
        <v>16319</v>
      </c>
      <c r="F3958" s="7" t="str">
        <f>HYPERLINK("http://www.hotelcecita-sila.it/","www.hotelcecita-sila.it")</f>
        <v>www.hotelcecita-sila.it</v>
      </c>
    </row>
    <row r="3959" spans="1:6" ht="29.55" customHeight="1" x14ac:dyDescent="0.25">
      <c r="A3959" s="1" t="s">
        <v>16321</v>
      </c>
      <c r="B3959" s="7" t="s">
        <v>16322</v>
      </c>
      <c r="C3959" s="7" t="s">
        <v>16323</v>
      </c>
      <c r="D3959" s="7" t="s">
        <v>16303</v>
      </c>
      <c r="E3959" s="7" t="s">
        <v>16289</v>
      </c>
      <c r="F3959" s="7" t="str">
        <f>HYPERLINK("http://www.facebook.com/casaledicampo/","www.facebook.com/casaledicampo/")</f>
        <v>www.facebook.com/casaledicampo/</v>
      </c>
    </row>
    <row r="3960" spans="1:6" ht="43.05" customHeight="1" x14ac:dyDescent="0.25">
      <c r="A3960" s="6" t="s">
        <v>16324</v>
      </c>
      <c r="B3960" s="5" t="s">
        <v>16325</v>
      </c>
      <c r="C3960" s="5" t="s">
        <v>16293</v>
      </c>
      <c r="D3960" s="5" t="s">
        <v>16296</v>
      </c>
      <c r="E3960" s="5" t="s">
        <v>16283</v>
      </c>
      <c r="F3960" s="5" t="str">
        <f>HYPERLINK("http://convittopizzeria.it/","convittopizzeria.it")</f>
        <v>convittopizzeria.it</v>
      </c>
    </row>
    <row r="3961" spans="1:6" ht="16.95" customHeight="1" x14ac:dyDescent="0.25">
      <c r="A3961" s="6" t="s">
        <v>16326</v>
      </c>
      <c r="B3961" s="5" t="s">
        <v>16327</v>
      </c>
      <c r="C3961" s="5" t="s">
        <v>16320</v>
      </c>
      <c r="D3961" s="5" t="s">
        <v>16328</v>
      </c>
      <c r="E3961" s="5" t="s">
        <v>16289</v>
      </c>
      <c r="F3961" s="5" t="str">
        <f>HYPERLINK("http://www.promoteragri.eu/","www.promoteragri.eu")</f>
        <v>www.promoteragri.eu</v>
      </c>
    </row>
    <row r="3962" spans="1:6" ht="16.95" customHeight="1" x14ac:dyDescent="0.25">
      <c r="A3962" s="1" t="s">
        <v>16329</v>
      </c>
      <c r="B3962" s="7" t="s">
        <v>16330</v>
      </c>
      <c r="C3962" s="7" t="s">
        <v>16331</v>
      </c>
      <c r="D3962" s="7" t="s">
        <v>16332</v>
      </c>
      <c r="E3962" s="7" t="s">
        <v>16333</v>
      </c>
      <c r="F3962" s="7" t="str">
        <f>HYPERLINK("http://www.fextal.com/","www.fextal.com")</f>
        <v>www.fextal.com</v>
      </c>
    </row>
    <row r="3963" spans="1:6" ht="43.05" customHeight="1" x14ac:dyDescent="0.25">
      <c r="A3963" s="1" t="s">
        <v>16338</v>
      </c>
      <c r="B3963" s="7" t="s">
        <v>16339</v>
      </c>
      <c r="C3963" s="7" t="s">
        <v>16337</v>
      </c>
      <c r="D3963" s="7" t="s">
        <v>16340</v>
      </c>
      <c r="E3963" s="7" t="s">
        <v>16341</v>
      </c>
      <c r="F3963" s="7" t="str">
        <f>HYPERLINK("http://www.florcirceo.com/","www.florcirceo.com")</f>
        <v>www.florcirceo.com</v>
      </c>
    </row>
    <row r="3964" spans="1:6" ht="29.55" customHeight="1" x14ac:dyDescent="0.25">
      <c r="A3964" s="1" t="s">
        <v>16344</v>
      </c>
      <c r="B3964" s="7" t="s">
        <v>16345</v>
      </c>
      <c r="C3964" s="7" t="s">
        <v>16346</v>
      </c>
      <c r="D3964" s="7" t="s">
        <v>16335</v>
      </c>
      <c r="E3964" s="7" t="s">
        <v>16336</v>
      </c>
      <c r="F3964" s="7" t="str">
        <f>HYPERLINK("http://www.aziendagricolazarrilli.it/","www.aziendagricolazarrilli.it")</f>
        <v>www.aziendagricolazarrilli.it</v>
      </c>
    </row>
    <row r="3965" spans="1:6" ht="43.05" customHeight="1" x14ac:dyDescent="0.25">
      <c r="A3965" s="6" t="s">
        <v>16349</v>
      </c>
      <c r="B3965" s="5" t="s">
        <v>16350</v>
      </c>
      <c r="C3965" s="5" t="s">
        <v>16351</v>
      </c>
      <c r="D3965" s="5" t="s">
        <v>16352</v>
      </c>
      <c r="E3965" s="5" t="s">
        <v>16343</v>
      </c>
      <c r="F3965" s="5" t="str">
        <f>HYPERLINK("http://www.riservasanbernardino.it/","www.riservasanbernardino.it")</f>
        <v>www.riservasanbernardino.it</v>
      </c>
    </row>
    <row r="3966" spans="1:6" ht="43.05" customHeight="1" x14ac:dyDescent="0.25">
      <c r="A3966" s="6" t="s">
        <v>16354</v>
      </c>
      <c r="B3966" s="5" t="s">
        <v>16355</v>
      </c>
      <c r="C3966" s="5" t="s">
        <v>16334</v>
      </c>
      <c r="D3966" s="5" t="s">
        <v>16356</v>
      </c>
      <c r="E3966" s="5" t="s">
        <v>16333</v>
      </c>
      <c r="F3966" s="5" t="str">
        <f>HYPERLINK("http://www.olivicoltorilagodicomo.it/","www.olivicoltorilagodicomo.it")</f>
        <v>www.olivicoltorilagodicomo.it</v>
      </c>
    </row>
    <row r="3967" spans="1:6" ht="29.55" customHeight="1" x14ac:dyDescent="0.25">
      <c r="A3967" s="6" t="s">
        <v>16357</v>
      </c>
      <c r="B3967" s="5" t="s">
        <v>16358</v>
      </c>
      <c r="C3967" s="5" t="s">
        <v>16359</v>
      </c>
      <c r="D3967" s="5" t="s">
        <v>16360</v>
      </c>
      <c r="E3967" s="5" t="s">
        <v>16348</v>
      </c>
      <c r="F3967" s="5" t="str">
        <f>HYPERLINK("http://ristoranteboscomantico.it/","ristoranteboscomantico.it")</f>
        <v>ristoranteboscomantico.it</v>
      </c>
    </row>
    <row r="3968" spans="1:6" ht="29.55" customHeight="1" x14ac:dyDescent="0.25">
      <c r="A3968" s="6" t="s">
        <v>16361</v>
      </c>
      <c r="B3968" s="5" t="s">
        <v>16362</v>
      </c>
      <c r="C3968" s="5" t="s">
        <v>16342</v>
      </c>
      <c r="D3968" s="5" t="s">
        <v>16353</v>
      </c>
      <c r="E3968" s="5" t="s">
        <v>16343</v>
      </c>
      <c r="F3968" s="5" t="str">
        <f>HYPERLINK("http://www.gropella.it/","www.gropella.it")</f>
        <v>www.gropella.it</v>
      </c>
    </row>
    <row r="3969" spans="1:6" ht="81.75" customHeight="1" x14ac:dyDescent="0.25">
      <c r="A3969" s="6" t="s">
        <v>16363</v>
      </c>
      <c r="B3969" s="5" t="s">
        <v>16364</v>
      </c>
      <c r="C3969" s="5" t="s">
        <v>16342</v>
      </c>
      <c r="D3969" s="5" t="s">
        <v>16365</v>
      </c>
      <c r="E3969" s="5" t="s">
        <v>16347</v>
      </c>
      <c r="F3969" s="5" t="str">
        <f>HYPERLINK("http://www.frantoioleonardi.it/","www.frantoioleonardi.it")</f>
        <v>www.frantoioleonardi.it</v>
      </c>
    </row>
    <row r="3970" spans="1:6" ht="29.55" customHeight="1" x14ac:dyDescent="0.25">
      <c r="A3970" s="1" t="s">
        <v>16370</v>
      </c>
      <c r="B3970" s="7" t="s">
        <v>16371</v>
      </c>
      <c r="C3970" s="7" t="s">
        <v>16372</v>
      </c>
      <c r="D3970" s="7" t="s">
        <v>16373</v>
      </c>
      <c r="E3970" s="7" t="s">
        <v>16374</v>
      </c>
      <c r="F3970" s="7" t="str">
        <f>HYPERLINK("http://canapacampana.eu/","canapacampana.eu")</f>
        <v>canapacampana.eu</v>
      </c>
    </row>
    <row r="3971" spans="1:6" ht="29.55" customHeight="1" x14ac:dyDescent="0.25">
      <c r="A3971" s="6" t="s">
        <v>16375</v>
      </c>
      <c r="B3971" s="5" t="s">
        <v>16376</v>
      </c>
      <c r="C3971" s="5" t="s">
        <v>16377</v>
      </c>
      <c r="D3971" s="5" t="s">
        <v>16378</v>
      </c>
      <c r="E3971" s="5" t="s">
        <v>16369</v>
      </c>
      <c r="F3971" s="5" t="str">
        <f>HYPERLINK("http://www.melagranadisicilia.it/","www.melagranadisicilia.it")</f>
        <v>www.melagranadisicilia.it</v>
      </c>
    </row>
    <row r="3972" spans="1:6" ht="43.05" customHeight="1" x14ac:dyDescent="0.25">
      <c r="A3972" s="6" t="s">
        <v>16380</v>
      </c>
      <c r="B3972" s="5" t="s">
        <v>16381</v>
      </c>
      <c r="C3972" s="5" t="s">
        <v>16366</v>
      </c>
      <c r="D3972" s="5" t="s">
        <v>16382</v>
      </c>
      <c r="E3972" s="5" t="s">
        <v>16383</v>
      </c>
      <c r="F3972" s="5" t="str">
        <f>HYPERLINK("http://www.aziendagricolasangermano.com/","www.aziendagricolasangermano.com")</f>
        <v>www.aziendagricolasangermano.com</v>
      </c>
    </row>
    <row r="3973" spans="1:6" ht="29.55" customHeight="1" x14ac:dyDescent="0.25">
      <c r="A3973" s="6" t="s">
        <v>16387</v>
      </c>
      <c r="B3973" s="5" t="s">
        <v>16388</v>
      </c>
      <c r="C3973" s="5" t="s">
        <v>16384</v>
      </c>
      <c r="D3973" s="5" t="s">
        <v>16389</v>
      </c>
      <c r="E3973" s="5" t="s">
        <v>16379</v>
      </c>
      <c r="F3973" s="5" t="str">
        <f>HYPERLINK("http://cantinasandonaci.eu/","cantinasandonaci.eu")</f>
        <v>cantinasandonaci.eu</v>
      </c>
    </row>
    <row r="3974" spans="1:6" ht="55.65" customHeight="1" x14ac:dyDescent="0.25">
      <c r="A3974" s="1" t="s">
        <v>16391</v>
      </c>
      <c r="B3974" s="7" t="s">
        <v>16392</v>
      </c>
      <c r="C3974" s="7" t="s">
        <v>16393</v>
      </c>
      <c r="D3974" s="7" t="s">
        <v>16394</v>
      </c>
      <c r="E3974" s="7" t="s">
        <v>16395</v>
      </c>
      <c r="F3974" s="7" t="str">
        <f>HYPERLINK("http://www.apzcalabria.it/","www.apzcalabria.it")</f>
        <v>www.apzcalabria.it</v>
      </c>
    </row>
    <row r="3975" spans="1:6" ht="29.55" customHeight="1" x14ac:dyDescent="0.25">
      <c r="A3975" s="6" t="s">
        <v>16396</v>
      </c>
      <c r="B3975" s="5" t="s">
        <v>16397</v>
      </c>
      <c r="C3975" s="5" t="s">
        <v>16390</v>
      </c>
      <c r="D3975" s="5" t="s">
        <v>16398</v>
      </c>
      <c r="E3975" s="5" t="s">
        <v>16395</v>
      </c>
      <c r="F3975" s="5" t="str">
        <f>HYPERLINK("http://www.agricoladerosis.it/","www.agricoladerosis.it")</f>
        <v>www.agricoladerosis.it</v>
      </c>
    </row>
    <row r="3976" spans="1:6" ht="43.05" customHeight="1" x14ac:dyDescent="0.25">
      <c r="A3976" s="1" t="s">
        <v>16399</v>
      </c>
      <c r="B3976" s="7" t="s">
        <v>16400</v>
      </c>
      <c r="C3976" s="7" t="s">
        <v>16367</v>
      </c>
      <c r="D3976" s="7" t="s">
        <v>16401</v>
      </c>
      <c r="E3976" s="7" t="s">
        <v>16379</v>
      </c>
      <c r="F3976" s="7" t="str">
        <f>HYPERLINK("http://www.agricolamastroserio.it/","www.agricolamastroserio.it")</f>
        <v>www.agricolamastroserio.it</v>
      </c>
    </row>
    <row r="3977" spans="1:6" ht="43.05" customHeight="1" x14ac:dyDescent="0.25">
      <c r="A3977" s="6" t="s">
        <v>16402</v>
      </c>
      <c r="B3977" s="5" t="s">
        <v>16403</v>
      </c>
      <c r="C3977" s="5" t="s">
        <v>16404</v>
      </c>
      <c r="D3977" s="5" t="s">
        <v>16385</v>
      </c>
      <c r="E3977" s="5" t="s">
        <v>16386</v>
      </c>
      <c r="F3977" s="5" t="str">
        <f>HYPERLINK("http://casalecapaldino.it/","casalecapaldino.it")</f>
        <v>casalecapaldino.it</v>
      </c>
    </row>
    <row r="3978" spans="1:6" ht="43.05" customHeight="1" x14ac:dyDescent="0.25">
      <c r="A3978" s="6" t="s">
        <v>16405</v>
      </c>
      <c r="B3978" s="5" t="s">
        <v>16406</v>
      </c>
      <c r="C3978" s="5" t="s">
        <v>16407</v>
      </c>
      <c r="D3978" s="5" t="s">
        <v>16408</v>
      </c>
      <c r="E3978" s="5" t="s">
        <v>16409</v>
      </c>
      <c r="F3978" s="5" t="str">
        <f>HYPERLINK("http://cooperativapanesignore.it/","cooperativapanesignore.it")</f>
        <v>cooperativapanesignore.it</v>
      </c>
    </row>
    <row r="3979" spans="1:6" ht="29.55" customHeight="1" x14ac:dyDescent="0.25">
      <c r="A3979" s="1" t="s">
        <v>16410</v>
      </c>
      <c r="B3979" s="7" t="s">
        <v>16411</v>
      </c>
      <c r="C3979" s="7" t="s">
        <v>16367</v>
      </c>
      <c r="D3979" s="7" t="s">
        <v>16368</v>
      </c>
      <c r="E3979" s="7" t="s">
        <v>16369</v>
      </c>
      <c r="F3979" s="7" t="str">
        <f>HYPERLINK("http://www.agricolaproverbio.com/","www.agricolaproverbio.com")</f>
        <v>www.agricolaproverbio.com</v>
      </c>
    </row>
    <row r="3980" spans="1:6" ht="29.55" customHeight="1" x14ac:dyDescent="0.25">
      <c r="A3980" s="6" t="s">
        <v>16414</v>
      </c>
      <c r="B3980" s="5" t="s">
        <v>16415</v>
      </c>
      <c r="C3980" s="5" t="s">
        <v>16416</v>
      </c>
      <c r="D3980" s="5" t="s">
        <v>16417</v>
      </c>
      <c r="E3980" s="5" t="s">
        <v>16418</v>
      </c>
      <c r="F3980" s="5" t="str">
        <f>HYPERLINK("http://www.poderelavilla.it/","www.poderelavilla.it")</f>
        <v>www.poderelavilla.it</v>
      </c>
    </row>
    <row r="3981" spans="1:6" ht="29.55" customHeight="1" x14ac:dyDescent="0.25">
      <c r="A3981" s="1" t="s">
        <v>16419</v>
      </c>
      <c r="B3981" s="7" t="s">
        <v>16420</v>
      </c>
      <c r="C3981" s="7" t="s">
        <v>16421</v>
      </c>
      <c r="D3981" s="7" t="s">
        <v>16422</v>
      </c>
      <c r="E3981" s="7" t="s">
        <v>16413</v>
      </c>
      <c r="F3981" s="7" t="str">
        <f>HYPERLINK("http://www.bionatura.eu/","www.bionatura.eu")</f>
        <v>www.bionatura.eu</v>
      </c>
    </row>
    <row r="3982" spans="1:6" ht="16.95" customHeight="1" x14ac:dyDescent="0.25">
      <c r="A3982" s="6" t="s">
        <v>16425</v>
      </c>
      <c r="B3982" s="5" t="s">
        <v>16426</v>
      </c>
      <c r="C3982" s="5" t="s">
        <v>16424</v>
      </c>
      <c r="D3982" s="5" t="s">
        <v>16427</v>
      </c>
      <c r="E3982" s="5" t="s">
        <v>16428</v>
      </c>
      <c r="F3982" s="5" t="str">
        <f>HYPERLINK("http://www.localfloraseed.com/","www.localfloraseed.com")</f>
        <v>www.localfloraseed.com</v>
      </c>
    </row>
    <row r="3983" spans="1:6" ht="29.55" customHeight="1" x14ac:dyDescent="0.25">
      <c r="A3983" s="1" t="s">
        <v>16429</v>
      </c>
      <c r="B3983" s="7" t="s">
        <v>16430</v>
      </c>
      <c r="C3983" s="7" t="s">
        <v>16431</v>
      </c>
      <c r="D3983" s="7" t="s">
        <v>16432</v>
      </c>
      <c r="E3983" s="7" t="s">
        <v>16418</v>
      </c>
      <c r="F3983" s="7" t="str">
        <f>HYPERLINK("http://www.borgolegiunchiglie.com/","www.borgolegiunchiglie.com")</f>
        <v>www.borgolegiunchiglie.com</v>
      </c>
    </row>
    <row r="3984" spans="1:6" ht="55.65" customHeight="1" x14ac:dyDescent="0.25">
      <c r="A3984" s="6" t="s">
        <v>16433</v>
      </c>
      <c r="B3984" s="5" t="s">
        <v>16434</v>
      </c>
      <c r="C3984" s="5" t="s">
        <v>16435</v>
      </c>
      <c r="D3984" s="5" t="s">
        <v>16436</v>
      </c>
      <c r="E3984" s="5" t="s">
        <v>16423</v>
      </c>
      <c r="F3984" s="5" t="str">
        <f>HYPERLINK("http://www.olioextravergineilmaximo.it/","www.olioextravergineilmaximo.it")</f>
        <v>www.olioextravergineilmaximo.it</v>
      </c>
    </row>
    <row r="3985" spans="1:6" ht="29.55" customHeight="1" x14ac:dyDescent="0.25">
      <c r="A3985" s="6" t="s">
        <v>16438</v>
      </c>
      <c r="B3985" s="5" t="s">
        <v>16439</v>
      </c>
      <c r="C3985" s="5" t="s">
        <v>16440</v>
      </c>
      <c r="D3985" s="5" t="s">
        <v>16437</v>
      </c>
      <c r="E3985" s="5" t="s">
        <v>16413</v>
      </c>
      <c r="F3985" s="5" t="str">
        <f>HYPERLINK("http://www.filiereque.it/","www.filiereque.it")</f>
        <v>www.filiereque.it</v>
      </c>
    </row>
    <row r="3986" spans="1:6" ht="29.55" customHeight="1" x14ac:dyDescent="0.25">
      <c r="A3986" s="1" t="s">
        <v>16441</v>
      </c>
      <c r="B3986" s="7" t="s">
        <v>16442</v>
      </c>
      <c r="C3986" s="7" t="s">
        <v>16412</v>
      </c>
      <c r="D3986" s="7" t="s">
        <v>16443</v>
      </c>
      <c r="E3986" s="7" t="s">
        <v>16444</v>
      </c>
      <c r="F3986" s="7" t="str">
        <f>HYPERLINK("http://www.poderecastelloaurin.it/","www.poderecastelloaurin.it")</f>
        <v>www.poderecastelloaurin.it</v>
      </c>
    </row>
    <row r="3987" spans="1:6" ht="43.05" customHeight="1" x14ac:dyDescent="0.25">
      <c r="A3987" s="1" t="s">
        <v>16445</v>
      </c>
      <c r="B3987" s="7" t="s">
        <v>16446</v>
      </c>
      <c r="C3987" s="7" t="s">
        <v>16431</v>
      </c>
      <c r="D3987" s="7" t="s">
        <v>16447</v>
      </c>
      <c r="E3987" s="7" t="s">
        <v>16448</v>
      </c>
      <c r="F3987" s="7" t="str">
        <f>HYPERLINK("http://www.ilpoggiodelpicchio.com/","www.ilpoggiodelpicchio.com")</f>
        <v>www.ilpoggiodelpicchio.com</v>
      </c>
    </row>
    <row r="3988" spans="1:6" ht="106.65" customHeight="1" x14ac:dyDescent="0.25">
      <c r="A3988" s="1" t="s">
        <v>16449</v>
      </c>
      <c r="B3988" s="7" t="s">
        <v>16450</v>
      </c>
      <c r="C3988" s="7" t="s">
        <v>16451</v>
      </c>
      <c r="D3988" s="7" t="s">
        <v>16452</v>
      </c>
      <c r="E3988" s="7" t="s">
        <v>16418</v>
      </c>
      <c r="F3988" s="7" t="str">
        <f>HYPERLINK("http://www.francesconivivai.it/","www.francesconivivai.it")</f>
        <v>www.francesconivivai.it</v>
      </c>
    </row>
    <row r="3989" spans="1:6" ht="29.55" customHeight="1" x14ac:dyDescent="0.25">
      <c r="A3989" s="6" t="s">
        <v>16455</v>
      </c>
      <c r="B3989" s="5" t="s">
        <v>16456</v>
      </c>
      <c r="C3989" s="5" t="s">
        <v>16457</v>
      </c>
      <c r="D3989" s="5" t="s">
        <v>16458</v>
      </c>
      <c r="E3989" s="5" t="s">
        <v>16459</v>
      </c>
      <c r="F3989" s="5" t="str">
        <f>HYPERLINK("http://www.terredelpapa.com/","www.terredelpapa.com")</f>
        <v>www.terredelpapa.com</v>
      </c>
    </row>
    <row r="3990" spans="1:6" ht="29.55" customHeight="1" x14ac:dyDescent="0.25">
      <c r="A3990" s="6" t="s">
        <v>16463</v>
      </c>
      <c r="B3990" s="5" t="s">
        <v>16464</v>
      </c>
      <c r="C3990" s="5" t="s">
        <v>16453</v>
      </c>
      <c r="D3990" s="5" t="s">
        <v>16460</v>
      </c>
      <c r="E3990" s="5" t="s">
        <v>16454</v>
      </c>
      <c r="F3990" s="5" t="str">
        <f>HYPERLINK("http://www.fattoriafabio.it/","www.fattoriafabio.it")</f>
        <v>www.fattoriafabio.it</v>
      </c>
    </row>
    <row r="3991" spans="1:6" ht="29.55" customHeight="1" x14ac:dyDescent="0.25">
      <c r="A3991" s="1" t="s">
        <v>16465</v>
      </c>
      <c r="B3991" s="7" t="s">
        <v>16466</v>
      </c>
      <c r="C3991" s="7" t="s">
        <v>16462</v>
      </c>
      <c r="D3991" s="7" t="s">
        <v>16467</v>
      </c>
      <c r="E3991" s="7" t="s">
        <v>16468</v>
      </c>
      <c r="F3991" s="7" t="str">
        <f>HYPERLINK("http://www.prolocogavorrano.it/","www.prolocogavorrano.it")</f>
        <v>www.prolocogavorrano.it</v>
      </c>
    </row>
    <row r="3992" spans="1:6" ht="43.05" customHeight="1" x14ac:dyDescent="0.25">
      <c r="A3992" s="6" t="s">
        <v>16469</v>
      </c>
      <c r="B3992" s="5" t="s">
        <v>16470</v>
      </c>
      <c r="C3992" s="5" t="s">
        <v>16461</v>
      </c>
      <c r="D3992" s="5" t="s">
        <v>16471</v>
      </c>
      <c r="E3992" s="5" t="s">
        <v>16472</v>
      </c>
      <c r="F3992" s="5" t="str">
        <f>HYPERLINK("http://natura.coop/","natura.coop")</f>
        <v>natura.coop</v>
      </c>
    </row>
    <row r="3993" spans="1:6" ht="29.55" customHeight="1" x14ac:dyDescent="0.25">
      <c r="A3993" s="1" t="s">
        <v>16476</v>
      </c>
      <c r="B3993" s="7" t="s">
        <v>16477</v>
      </c>
      <c r="C3993" s="7" t="s">
        <v>16473</v>
      </c>
      <c r="D3993" s="7" t="s">
        <v>16478</v>
      </c>
      <c r="E3993" s="7" t="s">
        <v>16475</v>
      </c>
      <c r="F3993" s="7" t="str">
        <f>HYPERLINK("http://www.cortonaholidayhomes.it/","www.cortonaholidayhomes.it")</f>
        <v>www.cortonaholidayhomes.it</v>
      </c>
    </row>
    <row r="3994" spans="1:6" ht="29.55" customHeight="1" x14ac:dyDescent="0.25">
      <c r="A3994" s="6" t="s">
        <v>16479</v>
      </c>
      <c r="B3994" s="5" t="s">
        <v>16480</v>
      </c>
      <c r="C3994" s="5" t="s">
        <v>16481</v>
      </c>
      <c r="D3994" s="5" t="s">
        <v>16482</v>
      </c>
      <c r="E3994" s="5" t="s">
        <v>16474</v>
      </c>
      <c r="F3994" s="5" t="str">
        <f>HYPERLINK("http://tenuteventurinifoschi.com/","tenuteventurinifoschi.com")</f>
        <v>tenuteventurinifoschi.com</v>
      </c>
    </row>
    <row r="3995" spans="1:6" ht="16.95" customHeight="1" x14ac:dyDescent="0.25">
      <c r="A3995" s="6" t="s">
        <v>16485</v>
      </c>
      <c r="B3995" s="5" t="s">
        <v>16486</v>
      </c>
      <c r="C3995" s="5" t="s">
        <v>16484</v>
      </c>
      <c r="D3995" s="5" t="s">
        <v>16487</v>
      </c>
      <c r="E3995" s="5" t="s">
        <v>16483</v>
      </c>
      <c r="F3995" s="5" t="str">
        <f>HYPERLINK("http://agriarte.it/","agriarte.it")</f>
        <v>agriarte.it</v>
      </c>
    </row>
    <row r="3996" spans="1:6" ht="29.55" customHeight="1" x14ac:dyDescent="0.25">
      <c r="A3996" s="1" t="s">
        <v>16488</v>
      </c>
      <c r="B3996" s="7" t="s">
        <v>16489</v>
      </c>
      <c r="C3996" s="7" t="s">
        <v>16490</v>
      </c>
      <c r="D3996" s="7" t="s">
        <v>16491</v>
      </c>
      <c r="E3996" s="7" t="s">
        <v>16492</v>
      </c>
      <c r="F3996" s="7" t="str">
        <f>HYPERLINK("http://villa-rosalia.it/","villa-rosalia.it")</f>
        <v>villa-rosalia.it</v>
      </c>
    </row>
    <row r="3997" spans="1:6" ht="29.55" customHeight="1" x14ac:dyDescent="0.25">
      <c r="A3997" s="6" t="s">
        <v>16493</v>
      </c>
      <c r="B3997" s="5" t="s">
        <v>16494</v>
      </c>
      <c r="C3997" s="5" t="s">
        <v>16490</v>
      </c>
      <c r="D3997" s="5" t="s">
        <v>16495</v>
      </c>
      <c r="E3997" s="5" t="s">
        <v>16496</v>
      </c>
      <c r="F3997" s="5" t="str">
        <f>HYPERLINK("http://johann-kiem-srl-00318440211.quantofattura.com/","johann-kiem-srl-00318440211.quantofattura.com")</f>
        <v>johann-kiem-srl-00318440211.quantofattura.com</v>
      </c>
    </row>
    <row r="3998" spans="1:6" ht="29.55" customHeight="1" x14ac:dyDescent="0.25">
      <c r="A3998" s="6" t="s">
        <v>16498</v>
      </c>
      <c r="B3998" s="5" t="s">
        <v>16499</v>
      </c>
      <c r="C3998" s="5" t="s">
        <v>16497</v>
      </c>
      <c r="D3998" s="5" t="s">
        <v>16478</v>
      </c>
      <c r="E3998" s="5" t="s">
        <v>16475</v>
      </c>
      <c r="F3998" s="5" t="str">
        <f>HYPERLINK("http://www.agricolaoriolo.com/","www.agricolaoriolo.com")</f>
        <v>www.agricolaoriolo.com</v>
      </c>
    </row>
    <row r="3999" spans="1:6" ht="29.55" customHeight="1" x14ac:dyDescent="0.25">
      <c r="A3999" s="1" t="s">
        <v>16500</v>
      </c>
      <c r="B3999" s="7" t="s">
        <v>16501</v>
      </c>
      <c r="C3999" s="7" t="s">
        <v>16473</v>
      </c>
      <c r="D3999" s="7" t="s">
        <v>16502</v>
      </c>
      <c r="E3999" s="7" t="s">
        <v>16483</v>
      </c>
      <c r="F3999" s="7" t="str">
        <f>HYPERLINK("http://agriturismostatiano.com/","agriturismostatiano.com")</f>
        <v>agriturismostatiano.com</v>
      </c>
    </row>
    <row r="4000" spans="1:6" ht="29.55" customHeight="1" x14ac:dyDescent="0.25">
      <c r="A4000" s="6" t="s">
        <v>16504</v>
      </c>
      <c r="B4000" s="5" t="s">
        <v>16505</v>
      </c>
      <c r="C4000" s="5" t="s">
        <v>16506</v>
      </c>
      <c r="D4000" s="5" t="s">
        <v>16507</v>
      </c>
      <c r="E4000" s="5" t="s">
        <v>16508</v>
      </c>
      <c r="F4000" s="5" t="str">
        <f>HYPERLINK("http://www.comunitadonmilani.it/","www.comunitadonmilani.it")</f>
        <v>www.comunitadonmilani.it</v>
      </c>
    </row>
    <row r="4001" spans="1:6" ht="29.55" customHeight="1" x14ac:dyDescent="0.25">
      <c r="A4001" s="1" t="s">
        <v>16511</v>
      </c>
      <c r="B4001" s="7" t="s">
        <v>16512</v>
      </c>
      <c r="C4001" s="7" t="s">
        <v>16513</v>
      </c>
      <c r="D4001" s="7" t="s">
        <v>16514</v>
      </c>
      <c r="E4001" s="7" t="s">
        <v>16515</v>
      </c>
      <c r="F4001" s="7" t="str">
        <f>HYPERLINK("http://www.lanuovabellaria.it/","www.lanuovabellaria.it")</f>
        <v>www.lanuovabellaria.it</v>
      </c>
    </row>
    <row r="4002" spans="1:6" ht="29.55" customHeight="1" x14ac:dyDescent="0.25">
      <c r="A4002" s="1" t="s">
        <v>16516</v>
      </c>
      <c r="B4002" s="7" t="s">
        <v>16517</v>
      </c>
      <c r="C4002" s="7" t="s">
        <v>16518</v>
      </c>
      <c r="D4002" s="7" t="s">
        <v>16519</v>
      </c>
      <c r="E4002" s="7" t="s">
        <v>16520</v>
      </c>
      <c r="F4002" s="7" t="str">
        <f>HYPERLINK("http://tecnoagri.net/","tecnoagri.net")</f>
        <v>tecnoagri.net</v>
      </c>
    </row>
    <row r="4003" spans="1:6" ht="29.55" customHeight="1" x14ac:dyDescent="0.25">
      <c r="A4003" s="1" t="s">
        <v>16521</v>
      </c>
      <c r="B4003" s="7" t="s">
        <v>16522</v>
      </c>
      <c r="C4003" s="7" t="s">
        <v>16523</v>
      </c>
      <c r="D4003" s="7" t="s">
        <v>16524</v>
      </c>
      <c r="E4003" s="7" t="s">
        <v>16525</v>
      </c>
      <c r="F4003" s="7" t="str">
        <f>HYPERLINK("http://www.colleserrano.com/","www.colleserrano.com")</f>
        <v>www.colleserrano.com</v>
      </c>
    </row>
    <row r="4004" spans="1:6" ht="29.55" customHeight="1" x14ac:dyDescent="0.25">
      <c r="A4004" s="6" t="s">
        <v>16526</v>
      </c>
      <c r="B4004" s="5" t="s">
        <v>16527</v>
      </c>
      <c r="C4004" s="5" t="s">
        <v>16513</v>
      </c>
      <c r="D4004" s="5" t="s">
        <v>16528</v>
      </c>
      <c r="E4004" s="5" t="s">
        <v>16529</v>
      </c>
      <c r="F4004" s="5" t="str">
        <f>HYPERLINK("http://www.casulavinaria.com/","www.casulavinaria.com")</f>
        <v>www.casulavinaria.com</v>
      </c>
    </row>
    <row r="4005" spans="1:6" ht="43.05" customHeight="1" x14ac:dyDescent="0.25">
      <c r="A4005" s="1" t="s">
        <v>16530</v>
      </c>
      <c r="B4005" s="7" t="s">
        <v>16531</v>
      </c>
      <c r="C4005" s="7" t="s">
        <v>16503</v>
      </c>
      <c r="D4005" s="7" t="s">
        <v>16532</v>
      </c>
      <c r="E4005" s="7" t="s">
        <v>16533</v>
      </c>
      <c r="F4005" s="7" t="str">
        <f>HYPERLINK("http://www.facebook.com/germinalecooperativa","www.facebook.com/germinalecooperativa")</f>
        <v>www.facebook.com/germinalecooperativa</v>
      </c>
    </row>
    <row r="4006" spans="1:6" ht="29.55" customHeight="1" x14ac:dyDescent="0.25">
      <c r="A4006" s="6" t="s">
        <v>16534</v>
      </c>
      <c r="B4006" s="5" t="s">
        <v>16535</v>
      </c>
      <c r="C4006" s="5" t="s">
        <v>16513</v>
      </c>
      <c r="D4006" s="5" t="s">
        <v>16509</v>
      </c>
      <c r="E4006" s="5" t="s">
        <v>16510</v>
      </c>
      <c r="F4006" s="5" t="str">
        <f>HYPERLINK("http://www.cantinamena.com/","www.cantinamena.com")</f>
        <v>www.cantinamena.com</v>
      </c>
    </row>
    <row r="4007" spans="1:6" ht="16.95" customHeight="1" x14ac:dyDescent="0.25">
      <c r="A4007" s="1" t="s">
        <v>16536</v>
      </c>
      <c r="B4007" s="7" t="s">
        <v>16537</v>
      </c>
      <c r="C4007" s="7" t="s">
        <v>16513</v>
      </c>
      <c r="D4007" s="7" t="s">
        <v>16538</v>
      </c>
      <c r="E4007" s="7" t="s">
        <v>16539</v>
      </c>
      <c r="F4007" s="7" t="str">
        <f>HYPERLINK("http://www.cantinedistefano.com/","www.cantinedistefano.com")</f>
        <v>www.cantinedistefano.com</v>
      </c>
    </row>
    <row r="4008" spans="1:6" ht="29.55" customHeight="1" x14ac:dyDescent="0.25">
      <c r="A4008" s="6" t="s">
        <v>16543</v>
      </c>
      <c r="B4008" s="5" t="s">
        <v>16544</v>
      </c>
      <c r="C4008" s="5" t="s">
        <v>16545</v>
      </c>
      <c r="D4008" s="5" t="s">
        <v>16546</v>
      </c>
      <c r="E4008" s="5" t="s">
        <v>16542</v>
      </c>
      <c r="F4008" s="5" t="str">
        <f>HYPERLINK("http://italgiglio-srl-societa-agricola-01866670597.quantofattura.com/","italgiglio-srl-societa-agricola-01866670597.quantofattura.com")</f>
        <v>italgiglio-srl-societa-agricola-01866670597.quantofattura.com</v>
      </c>
    </row>
    <row r="4009" spans="1:6" ht="29.55" customHeight="1" x14ac:dyDescent="0.25">
      <c r="A4009" s="1" t="s">
        <v>16547</v>
      </c>
      <c r="B4009" s="7" t="s">
        <v>16548</v>
      </c>
      <c r="C4009" s="7" t="s">
        <v>16549</v>
      </c>
      <c r="D4009" s="7" t="s">
        <v>16550</v>
      </c>
      <c r="E4009" s="7" t="s">
        <v>16551</v>
      </c>
      <c r="F4009" s="7" t="str">
        <f>HYPERLINK("http://www.pensioneanimaliwittydoghotel.com/","www.pensioneanimaliwittydoghotel.com")</f>
        <v>www.pensioneanimaliwittydoghotel.com</v>
      </c>
    </row>
    <row r="4010" spans="1:6" ht="43.05" customHeight="1" x14ac:dyDescent="0.25">
      <c r="A4010" s="6" t="s">
        <v>16553</v>
      </c>
      <c r="B4010" s="5" t="s">
        <v>16554</v>
      </c>
      <c r="C4010" s="5" t="s">
        <v>16552</v>
      </c>
      <c r="D4010" s="5" t="s">
        <v>16540</v>
      </c>
      <c r="E4010" s="5" t="s">
        <v>16541</v>
      </c>
      <c r="F4010" s="5" t="str">
        <f>HYPERLINK("http://spiritoagricolo.com/","spiritoagricolo.com")</f>
        <v>spiritoagricolo.com</v>
      </c>
    </row>
    <row r="4011" spans="1:6" ht="43.05" customHeight="1" x14ac:dyDescent="0.25">
      <c r="A4011" s="1" t="s">
        <v>16555</v>
      </c>
      <c r="B4011" s="7" t="s">
        <v>16556</v>
      </c>
      <c r="C4011" s="7" t="s">
        <v>16557</v>
      </c>
      <c r="D4011" s="7" t="s">
        <v>16558</v>
      </c>
      <c r="E4011" s="7" t="s">
        <v>16559</v>
      </c>
      <c r="F4011" s="7" t="str">
        <f>HYPERLINK("http://oleificiopiandellevigne.it/","oleificiopiandellevigne.it")</f>
        <v>oleificiopiandellevigne.it</v>
      </c>
    </row>
    <row r="4012" spans="1:6" ht="16.95" customHeight="1" x14ac:dyDescent="0.25">
      <c r="A4012" s="1" t="s">
        <v>16560</v>
      </c>
      <c r="B4012" s="7" t="s">
        <v>16561</v>
      </c>
      <c r="C4012" s="7" t="s">
        <v>16562</v>
      </c>
      <c r="D4012" s="7" t="s">
        <v>16563</v>
      </c>
      <c r="E4012" s="7" t="s">
        <v>16564</v>
      </c>
      <c r="F4012" s="7" t="str">
        <f>HYPERLINK("http://www.labiscolla.it/","www.labiscolla.it")</f>
        <v>www.labiscolla.it</v>
      </c>
    </row>
    <row r="4013" spans="1:6" ht="16.95" customHeight="1" x14ac:dyDescent="0.25">
      <c r="A4013" s="1" t="s">
        <v>16567</v>
      </c>
      <c r="B4013" s="7" t="s">
        <v>16568</v>
      </c>
      <c r="C4013" s="7" t="s">
        <v>16569</v>
      </c>
      <c r="D4013" s="7" t="s">
        <v>16570</v>
      </c>
      <c r="E4013" s="7" t="s">
        <v>16571</v>
      </c>
      <c r="F4013" s="7" t="str">
        <f>HYPERLINK("http://agriturismopostamangieri.com/","agriturismopostamangieri.com")</f>
        <v>agriturismopostamangieri.com</v>
      </c>
    </row>
    <row r="4014" spans="1:6" ht="68.099999999999994" customHeight="1" x14ac:dyDescent="0.25">
      <c r="A4014" s="1" t="s">
        <v>16572</v>
      </c>
      <c r="B4014" s="7" t="s">
        <v>16573</v>
      </c>
      <c r="C4014" s="7" t="s">
        <v>16574</v>
      </c>
      <c r="D4014" s="7" t="s">
        <v>16575</v>
      </c>
      <c r="E4014" s="7" t="s">
        <v>16576</v>
      </c>
      <c r="F4014" s="7" t="str">
        <f>HYPERLINK("http://www.casagiafari.it/en/contacts/","www.casagiafari.it/en/contacts/")</f>
        <v>www.casagiafari.it/en/contacts/</v>
      </c>
    </row>
    <row r="4015" spans="1:6" ht="29.55" customHeight="1" x14ac:dyDescent="0.25">
      <c r="A4015" s="6" t="s">
        <v>16578</v>
      </c>
      <c r="B4015" s="5" t="s">
        <v>16579</v>
      </c>
      <c r="C4015" s="5" t="s">
        <v>16577</v>
      </c>
      <c r="D4015" s="5" t="s">
        <v>16565</v>
      </c>
      <c r="E4015" s="5" t="s">
        <v>16566</v>
      </c>
      <c r="F4015" s="5" t="str">
        <f>HYPERLINK("http://solareagricola.it/","solareagricola.it")</f>
        <v>solareagricola.it</v>
      </c>
    </row>
    <row r="4016" spans="1:6" ht="29.55" customHeight="1" x14ac:dyDescent="0.25">
      <c r="A4016" s="1" t="s">
        <v>16580</v>
      </c>
      <c r="B4016" s="7" t="s">
        <v>16581</v>
      </c>
      <c r="C4016" s="7" t="s">
        <v>16574</v>
      </c>
      <c r="D4016" s="7" t="s">
        <v>16582</v>
      </c>
      <c r="E4016" s="7" t="s">
        <v>16583</v>
      </c>
      <c r="F4016" s="7" t="str">
        <f>HYPERLINK("http://umacasanatura.com/","umacasanatura.com")</f>
        <v>umacasanatura.com</v>
      </c>
    </row>
    <row r="4017" spans="1:6" ht="55.65" customHeight="1" x14ac:dyDescent="0.25">
      <c r="A4017" s="6" t="s">
        <v>16584</v>
      </c>
      <c r="B4017" s="5" t="s">
        <v>16585</v>
      </c>
      <c r="C4017" s="5" t="s">
        <v>16586</v>
      </c>
      <c r="D4017" s="5" t="s">
        <v>16587</v>
      </c>
      <c r="E4017" s="5" t="s">
        <v>16571</v>
      </c>
      <c r="F4017" s="5" t="str">
        <f>HYPERLINK("http://www.masseriacasinabaronale.com/","www.masseriacasinabaronale.com")</f>
        <v>www.masseriacasinabaronale.com</v>
      </c>
    </row>
    <row r="4018" spans="1:6" ht="29.55" customHeight="1" x14ac:dyDescent="0.25">
      <c r="A4018" s="1" t="s">
        <v>16588</v>
      </c>
      <c r="B4018" s="7" t="s">
        <v>16589</v>
      </c>
      <c r="C4018" s="7" t="s">
        <v>16590</v>
      </c>
      <c r="D4018" s="7" t="s">
        <v>16591</v>
      </c>
      <c r="E4018" s="7" t="s">
        <v>16592</v>
      </c>
      <c r="F4018" s="7" t="str">
        <f>HYPERLINK("http://www.sementarecce.com/","www.sementarecce.com")</f>
        <v>www.sementarecce.com</v>
      </c>
    </row>
    <row r="4019" spans="1:6" ht="29.55" customHeight="1" x14ac:dyDescent="0.25">
      <c r="A4019" s="1" t="s">
        <v>16595</v>
      </c>
      <c r="B4019" s="7" t="s">
        <v>16596</v>
      </c>
      <c r="C4019" s="7" t="s">
        <v>16597</v>
      </c>
      <c r="D4019" s="7" t="s">
        <v>16598</v>
      </c>
      <c r="E4019" s="7" t="s">
        <v>16599</v>
      </c>
      <c r="F4019" s="7" t="str">
        <f>HYPERLINK("http://azienda-agricola-srl.it/","azienda-agricola-srl.it")</f>
        <v>azienda-agricola-srl.it</v>
      </c>
    </row>
    <row r="4020" spans="1:6" ht="29.55" customHeight="1" x14ac:dyDescent="0.25">
      <c r="A4020" s="6" t="s">
        <v>16601</v>
      </c>
      <c r="B4020" s="5" t="s">
        <v>16602</v>
      </c>
      <c r="C4020" s="5" t="s">
        <v>16594</v>
      </c>
      <c r="D4020" s="5" t="s">
        <v>16603</v>
      </c>
      <c r="E4020" s="5" t="s">
        <v>16604</v>
      </c>
      <c r="F4020" s="5" t="str">
        <f>HYPERLINK("http://www.fattoriarecchi.it/","www.fattoriarecchi.it")</f>
        <v>www.fattoriarecchi.it</v>
      </c>
    </row>
    <row r="4021" spans="1:6" ht="29.55" customHeight="1" x14ac:dyDescent="0.25">
      <c r="A4021" s="1" t="s">
        <v>16605</v>
      </c>
      <c r="B4021" s="7" t="s">
        <v>16606</v>
      </c>
      <c r="C4021" s="7" t="s">
        <v>16600</v>
      </c>
      <c r="D4021" s="7" t="s">
        <v>16607</v>
      </c>
      <c r="E4021" s="7" t="s">
        <v>16608</v>
      </c>
      <c r="F4021" s="7" t="str">
        <f>HYPERLINK("http://www.agriturismoilgualdo.com/","www.agriturismoilgualdo.com")</f>
        <v>www.agriturismoilgualdo.com</v>
      </c>
    </row>
    <row r="4022" spans="1:6" ht="29.55" customHeight="1" x14ac:dyDescent="0.25">
      <c r="A4022" s="1" t="s">
        <v>16609</v>
      </c>
      <c r="B4022" s="7" t="s">
        <v>16610</v>
      </c>
      <c r="C4022" s="7" t="s">
        <v>16593</v>
      </c>
      <c r="D4022" s="7" t="s">
        <v>16611</v>
      </c>
      <c r="E4022" s="7" t="s">
        <v>16599</v>
      </c>
      <c r="F4022" s="7" t="str">
        <f>HYPERLINK("http://ponterotto.it/","ponterotto.it")</f>
        <v>ponterotto.it</v>
      </c>
    </row>
    <row r="4023" spans="1:6" ht="29.55" customHeight="1" x14ac:dyDescent="0.25">
      <c r="A4023" s="6" t="s">
        <v>16613</v>
      </c>
      <c r="B4023" s="5" t="s">
        <v>16614</v>
      </c>
      <c r="C4023" s="5" t="s">
        <v>16594</v>
      </c>
      <c r="D4023" s="5" t="s">
        <v>16615</v>
      </c>
      <c r="E4023" s="5" t="s">
        <v>16608</v>
      </c>
      <c r="F4023" s="5" t="str">
        <f>HYPERLINK("http://www.scuderiailpicchio.it/","www.scuderiailpicchio.it")</f>
        <v>www.scuderiailpicchio.it</v>
      </c>
    </row>
    <row r="4024" spans="1:6" ht="16.95" customHeight="1" x14ac:dyDescent="0.25">
      <c r="A4024" s="1" t="s">
        <v>16616</v>
      </c>
      <c r="B4024" s="7" t="s">
        <v>16617</v>
      </c>
      <c r="C4024" s="7" t="s">
        <v>16593</v>
      </c>
      <c r="D4024" s="7" t="s">
        <v>16618</v>
      </c>
      <c r="E4024" s="7" t="s">
        <v>16619</v>
      </c>
      <c r="F4024" s="7" t="str">
        <f>HYPERLINK("http://www.tenutamonteilice.com/","www.tenutamonteilice.com")</f>
        <v>www.tenutamonteilice.com</v>
      </c>
    </row>
    <row r="4025" spans="1:6" ht="29.55" customHeight="1" x14ac:dyDescent="0.25">
      <c r="A4025" s="6" t="s">
        <v>16620</v>
      </c>
      <c r="B4025" s="5" t="s">
        <v>16621</v>
      </c>
      <c r="C4025" s="5" t="s">
        <v>16612</v>
      </c>
      <c r="D4025" s="5" t="s">
        <v>16622</v>
      </c>
      <c r="E4025" s="5" t="s">
        <v>16623</v>
      </c>
      <c r="F4025" s="5" t="str">
        <f>HYPERLINK("http://www.marsosbirra.it/","www.marsosbirra.it")</f>
        <v>www.marsosbirra.it</v>
      </c>
    </row>
    <row r="4026" spans="1:6" ht="55.65" customHeight="1" x14ac:dyDescent="0.25">
      <c r="A4026" s="6" t="s">
        <v>16624</v>
      </c>
      <c r="B4026" s="5" t="s">
        <v>16625</v>
      </c>
      <c r="C4026" s="5" t="s">
        <v>16626</v>
      </c>
      <c r="D4026" s="5" t="s">
        <v>16627</v>
      </c>
      <c r="E4026" s="5" t="s">
        <v>16628</v>
      </c>
      <c r="F4026" s="5" t="str">
        <f>HYPERLINK("http://laconteadellaterradimezzo.com/","laconteadellaterradimezzo.com/")</f>
        <v>laconteadellaterradimezzo.com/</v>
      </c>
    </row>
    <row r="4027" spans="1:6" ht="43.05" customHeight="1" x14ac:dyDescent="0.25">
      <c r="A4027" s="1" t="s">
        <v>16633</v>
      </c>
      <c r="B4027" s="7" t="s">
        <v>16634</v>
      </c>
      <c r="C4027" s="7" t="s">
        <v>16635</v>
      </c>
      <c r="D4027" s="7" t="s">
        <v>16636</v>
      </c>
      <c r="E4027" s="7" t="s">
        <v>16632</v>
      </c>
      <c r="F4027" s="7" t="str">
        <f>HYPERLINK("http://www.viticoltoridelcasavecchia.it/","www.viticoltoridelcasavecchia.it")</f>
        <v>www.viticoltoridelcasavecchia.it</v>
      </c>
    </row>
    <row r="4028" spans="1:6" ht="29.55" customHeight="1" x14ac:dyDescent="0.25">
      <c r="A4028" s="6" t="s">
        <v>16637</v>
      </c>
      <c r="B4028" s="5" t="s">
        <v>16638</v>
      </c>
      <c r="C4028" s="5" t="s">
        <v>16630</v>
      </c>
      <c r="D4028" s="5" t="s">
        <v>16639</v>
      </c>
      <c r="E4028" s="5" t="s">
        <v>16640</v>
      </c>
      <c r="F4028" s="5" t="str">
        <f>HYPERLINK("http://www.agricolavartuli.com/","www.agricolavartuli.com")</f>
        <v>www.agricolavartuli.com</v>
      </c>
    </row>
    <row r="4029" spans="1:6" ht="16.95" customHeight="1" x14ac:dyDescent="0.25">
      <c r="A4029" s="6" t="s">
        <v>16643</v>
      </c>
      <c r="B4029" s="5" t="s">
        <v>16644</v>
      </c>
      <c r="C4029" s="5" t="s">
        <v>16645</v>
      </c>
      <c r="D4029" s="5" t="s">
        <v>16646</v>
      </c>
      <c r="E4029" s="5" t="s">
        <v>16629</v>
      </c>
      <c r="F4029" s="5" t="str">
        <f>HYPERLINK("http://www.rotoflex-poligrafica.it/","www.rotoflex-poligrafica.it")</f>
        <v>www.rotoflex-poligrafica.it</v>
      </c>
    </row>
    <row r="4030" spans="1:6" ht="29.55" customHeight="1" x14ac:dyDescent="0.25">
      <c r="A4030" s="6" t="s">
        <v>16647</v>
      </c>
      <c r="B4030" s="5" t="s">
        <v>16648</v>
      </c>
      <c r="C4030" s="5" t="s">
        <v>16631</v>
      </c>
      <c r="D4030" s="5" t="s">
        <v>16649</v>
      </c>
      <c r="E4030" s="5" t="s">
        <v>16642</v>
      </c>
      <c r="F4030" s="5" t="str">
        <f>HYPERLINK("http://www.aziendasantanna.com/","www.aziendasantanna.com")</f>
        <v>www.aziendasantanna.com</v>
      </c>
    </row>
    <row r="4031" spans="1:6" ht="29.55" customHeight="1" x14ac:dyDescent="0.25">
      <c r="A4031" s="1" t="s">
        <v>16650</v>
      </c>
      <c r="B4031" s="7" t="s">
        <v>16651</v>
      </c>
      <c r="C4031" s="7" t="s">
        <v>16641</v>
      </c>
      <c r="D4031" s="7" t="s">
        <v>16652</v>
      </c>
      <c r="E4031" s="7" t="s">
        <v>16653</v>
      </c>
      <c r="F4031" s="7" t="str">
        <f>HYPERLINK("http://www.allecamelie.it/","www.allecamelie.it")</f>
        <v>www.allecamelie.it</v>
      </c>
    </row>
    <row r="4032" spans="1:6" ht="29.55" customHeight="1" x14ac:dyDescent="0.25">
      <c r="A4032" s="6" t="s">
        <v>16655</v>
      </c>
      <c r="B4032" s="5" t="s">
        <v>16656</v>
      </c>
      <c r="C4032" s="5" t="s">
        <v>16635</v>
      </c>
      <c r="D4032" s="5" t="s">
        <v>16657</v>
      </c>
      <c r="E4032" s="5" t="s">
        <v>16654</v>
      </c>
      <c r="F4032" s="5" t="str">
        <f>HYPERLINK("http://www.tenutagiustini.it/","www.tenutagiustini.it")</f>
        <v>www.tenutagiustini.it</v>
      </c>
    </row>
    <row r="4033" spans="1:6" ht="43.05" customHeight="1" x14ac:dyDescent="0.25">
      <c r="A4033" s="6" t="s">
        <v>16658</v>
      </c>
      <c r="B4033" s="5" t="s">
        <v>16659</v>
      </c>
      <c r="C4033" s="5" t="s">
        <v>16641</v>
      </c>
      <c r="D4033" s="5" t="s">
        <v>16660</v>
      </c>
      <c r="E4033" s="5" t="s">
        <v>16653</v>
      </c>
      <c r="F4033" s="5" t="str">
        <f>HYPERLINK("http://www.valborgina.com/","www.valborgina.com")</f>
        <v>www.valborgina.com</v>
      </c>
    </row>
    <row r="4034" spans="1:6" ht="29.55" customHeight="1" x14ac:dyDescent="0.25">
      <c r="A4034" s="1" t="s">
        <v>16661</v>
      </c>
      <c r="B4034" s="7" t="s">
        <v>16662</v>
      </c>
      <c r="C4034" s="7" t="s">
        <v>16663</v>
      </c>
      <c r="D4034" s="7" t="s">
        <v>16664</v>
      </c>
      <c r="E4034" s="7" t="s">
        <v>16665</v>
      </c>
      <c r="F4034" s="7" t="str">
        <f>HYPERLINK("http://www.casalarola.com/","www.casalarola.com")</f>
        <v>www.casalarola.com</v>
      </c>
    </row>
    <row r="4035" spans="1:6" ht="29.55" customHeight="1" x14ac:dyDescent="0.25">
      <c r="A4035" s="6" t="s">
        <v>16666</v>
      </c>
      <c r="B4035" s="5" t="s">
        <v>16667</v>
      </c>
      <c r="C4035" s="5" t="s">
        <v>16668</v>
      </c>
      <c r="D4035" s="5" t="s">
        <v>16669</v>
      </c>
      <c r="E4035" s="5" t="s">
        <v>16670</v>
      </c>
      <c r="F4035" s="5" t="str">
        <f>HYPERLINK("http://www.leremoduzupaolo.com/","www.leremoduzupaolo.com")</f>
        <v>www.leremoduzupaolo.com</v>
      </c>
    </row>
    <row r="4036" spans="1:6" ht="16.95" customHeight="1" x14ac:dyDescent="0.25">
      <c r="A4036" s="1" t="s">
        <v>16674</v>
      </c>
      <c r="B4036" s="7" t="s">
        <v>16675</v>
      </c>
      <c r="C4036" s="7" t="s">
        <v>16663</v>
      </c>
      <c r="D4036" s="7" t="s">
        <v>16676</v>
      </c>
      <c r="E4036" s="7" t="s">
        <v>16677</v>
      </c>
      <c r="F4036" s="7" t="str">
        <f>HYPERLINK("http://www.agricolabes.it/","www.agricolabes.it")</f>
        <v>www.agricolabes.it</v>
      </c>
    </row>
    <row r="4037" spans="1:6" ht="43.05" customHeight="1" x14ac:dyDescent="0.25">
      <c r="A4037" s="6" t="s">
        <v>16678</v>
      </c>
      <c r="B4037" s="5" t="s">
        <v>16679</v>
      </c>
      <c r="C4037" s="5" t="s">
        <v>16673</v>
      </c>
      <c r="D4037" s="5" t="s">
        <v>16680</v>
      </c>
      <c r="E4037" s="5" t="s">
        <v>16681</v>
      </c>
      <c r="F4037" s="5" t="str">
        <f>HYPERLINK("http://www.contitonidicigoli.it/","www.contitonidicigoli.it")</f>
        <v>www.contitonidicigoli.it</v>
      </c>
    </row>
    <row r="4038" spans="1:6" ht="29.55" customHeight="1" x14ac:dyDescent="0.25">
      <c r="A4038" s="1" t="s">
        <v>16682</v>
      </c>
      <c r="B4038" s="7" t="s">
        <v>16683</v>
      </c>
      <c r="C4038" s="7" t="s">
        <v>16684</v>
      </c>
      <c r="D4038" s="7" t="s">
        <v>16685</v>
      </c>
      <c r="E4038" s="7" t="s">
        <v>16677</v>
      </c>
      <c r="F4038" s="7" t="str">
        <f>HYPERLINK("http://www.cantinazanello.it/","www.cantinazanello.it")</f>
        <v>www.cantinazanello.it</v>
      </c>
    </row>
    <row r="4039" spans="1:6" ht="43.05" customHeight="1" x14ac:dyDescent="0.25">
      <c r="A4039" s="1" t="s">
        <v>16687</v>
      </c>
      <c r="B4039" s="7" t="s">
        <v>16688</v>
      </c>
      <c r="C4039" s="7" t="s">
        <v>16671</v>
      </c>
      <c r="D4039" s="7" t="s">
        <v>16686</v>
      </c>
      <c r="E4039" s="7" t="s">
        <v>16672</v>
      </c>
      <c r="F4039" s="7" t="str">
        <f>HYPERLINK("http://www.lacollinadeimelograni.it/","www.lacollinadeimelograni.it")</f>
        <v>www.lacollinadeimelograni.it</v>
      </c>
    </row>
    <row r="4040" spans="1:6" ht="29.55" customHeight="1" x14ac:dyDescent="0.25">
      <c r="A4040" s="1" t="s">
        <v>16693</v>
      </c>
      <c r="B4040" s="7" t="s">
        <v>16694</v>
      </c>
      <c r="C4040" s="7" t="s">
        <v>16695</v>
      </c>
      <c r="D4040" s="7" t="s">
        <v>16696</v>
      </c>
      <c r="E4040" s="7" t="s">
        <v>16697</v>
      </c>
      <c r="F4040" s="7" t="str">
        <f>HYPERLINK("http://www.rossellacicalese.it/","www.rossellacicalese.it")</f>
        <v>www.rossellacicalese.it</v>
      </c>
    </row>
    <row r="4041" spans="1:6" ht="29.55" customHeight="1" x14ac:dyDescent="0.25">
      <c r="A4041" s="6" t="s">
        <v>16698</v>
      </c>
      <c r="B4041" s="5" t="s">
        <v>16699</v>
      </c>
      <c r="C4041" s="5" t="s">
        <v>16700</v>
      </c>
      <c r="D4041" s="5" t="s">
        <v>16701</v>
      </c>
      <c r="E4041" s="5" t="s">
        <v>16702</v>
      </c>
      <c r="F4041" s="5" t="str">
        <f>HYPERLINK("http://www.macchiesanvincenzo.it/","www.macchiesanvincenzo.it")</f>
        <v>www.macchiesanvincenzo.it</v>
      </c>
    </row>
    <row r="4042" spans="1:6" ht="29.55" customHeight="1" x14ac:dyDescent="0.25">
      <c r="A4042" s="6" t="s">
        <v>16704</v>
      </c>
      <c r="B4042" s="5" t="s">
        <v>16705</v>
      </c>
      <c r="C4042" s="5" t="s">
        <v>16690</v>
      </c>
      <c r="D4042" s="5" t="s">
        <v>16701</v>
      </c>
      <c r="E4042" s="5" t="s">
        <v>16702</v>
      </c>
      <c r="F4042" s="5" t="str">
        <f>HYPERLINK("http://lacantinapizzolato.com/","lacantinapizzolato.com")</f>
        <v>lacantinapizzolato.com</v>
      </c>
    </row>
    <row r="4043" spans="1:6" ht="55.65" customHeight="1" x14ac:dyDescent="0.25">
      <c r="A4043" s="1" t="s">
        <v>16708</v>
      </c>
      <c r="B4043" s="7" t="s">
        <v>16709</v>
      </c>
      <c r="C4043" s="7" t="s">
        <v>16706</v>
      </c>
      <c r="D4043" s="7" t="s">
        <v>16710</v>
      </c>
      <c r="E4043" s="7" t="s">
        <v>16702</v>
      </c>
      <c r="F4043" s="7" t="str">
        <f>HYPERLINK("http://www.lecapannelledimontorsaio.it/","www.lecapannelledimontorsaio.it")</f>
        <v>www.lecapannelledimontorsaio.it</v>
      </c>
    </row>
    <row r="4044" spans="1:6" ht="43.05" customHeight="1" x14ac:dyDescent="0.25">
      <c r="A4044" s="6" t="s">
        <v>16712</v>
      </c>
      <c r="B4044" s="5" t="s">
        <v>16713</v>
      </c>
      <c r="C4044" s="5" t="s">
        <v>16706</v>
      </c>
      <c r="D4044" s="5" t="s">
        <v>16701</v>
      </c>
      <c r="E4044" s="5" t="s">
        <v>16702</v>
      </c>
      <c r="F4044" s="5" t="str">
        <f>HYPERLINK("http://www.ilpoggiarelloagriturismo.com/","www.ilpoggiarelloagriturismo.com")</f>
        <v>www.ilpoggiarelloagriturismo.com</v>
      </c>
    </row>
    <row r="4045" spans="1:6" ht="29.55" customHeight="1" x14ac:dyDescent="0.25">
      <c r="A4045" s="6" t="s">
        <v>16714</v>
      </c>
      <c r="B4045" s="5" t="s">
        <v>16715</v>
      </c>
      <c r="C4045" s="5" t="s">
        <v>16690</v>
      </c>
      <c r="D4045" s="5" t="s">
        <v>16711</v>
      </c>
      <c r="E4045" s="5" t="s">
        <v>16697</v>
      </c>
      <c r="F4045" s="5" t="str">
        <f>HYPERLINK("http://www.alepa.it/","www.alepa.it")</f>
        <v>www.alepa.it</v>
      </c>
    </row>
    <row r="4046" spans="1:6" ht="43.05" customHeight="1" x14ac:dyDescent="0.25">
      <c r="A4046" s="1" t="s">
        <v>16716</v>
      </c>
      <c r="B4046" s="7" t="s">
        <v>16717</v>
      </c>
      <c r="C4046" s="7" t="s">
        <v>16707</v>
      </c>
      <c r="D4046" s="7" t="s">
        <v>16691</v>
      </c>
      <c r="E4046" s="7" t="s">
        <v>16692</v>
      </c>
      <c r="F4046" s="7" t="str">
        <f>HYPERLINK("http://www.ilpoggiale.com/","www.ilpoggiale.com")</f>
        <v>www.ilpoggiale.com</v>
      </c>
    </row>
    <row r="4047" spans="1:6" ht="29.55" customHeight="1" x14ac:dyDescent="0.25">
      <c r="A4047" s="6" t="s">
        <v>16718</v>
      </c>
      <c r="B4047" s="5" t="s">
        <v>16719</v>
      </c>
      <c r="C4047" s="5" t="s">
        <v>16690</v>
      </c>
      <c r="D4047" s="5" t="s">
        <v>16720</v>
      </c>
      <c r="E4047" s="5" t="s">
        <v>16702</v>
      </c>
      <c r="F4047" s="5" t="str">
        <f>HYPERLINK("http://societa-agricola-casa-sesta-srl-06765040487.quantofattura.com/","societa-agricola-casa-sesta-srl-06765040487.quantofattura.com")</f>
        <v>societa-agricola-casa-sesta-srl-06765040487.quantofattura.com</v>
      </c>
    </row>
    <row r="4048" spans="1:6" ht="29.55" customHeight="1" x14ac:dyDescent="0.25">
      <c r="A4048" s="1" t="s">
        <v>16721</v>
      </c>
      <c r="B4048" s="7" t="s">
        <v>16722</v>
      </c>
      <c r="C4048" s="7" t="s">
        <v>16700</v>
      </c>
      <c r="D4048" s="7" t="s">
        <v>16723</v>
      </c>
      <c r="E4048" s="7" t="s">
        <v>16689</v>
      </c>
      <c r="F4048" s="7" t="str">
        <f>HYPERLINK("http://trattoria-moncucca-di-bigoni.business.site/","trattoria-moncucca-di-bigoni.business.site/")</f>
        <v>trattoria-moncucca-di-bigoni.business.site/</v>
      </c>
    </row>
    <row r="4049" spans="1:6" ht="43.05" customHeight="1" x14ac:dyDescent="0.25">
      <c r="A4049" s="6" t="s">
        <v>16724</v>
      </c>
      <c r="B4049" s="5" t="s">
        <v>16725</v>
      </c>
      <c r="C4049" s="5" t="s">
        <v>16726</v>
      </c>
      <c r="D4049" s="5" t="s">
        <v>16727</v>
      </c>
      <c r="E4049" s="5" t="s">
        <v>16689</v>
      </c>
      <c r="F4049" s="5" t="str">
        <f>HYPERLINK("http://produttoriagricoliticino.it/","produttoriagricoliticino.it")</f>
        <v>produttoriagricoliticino.it</v>
      </c>
    </row>
    <row r="4050" spans="1:6" ht="29.55" customHeight="1" x14ac:dyDescent="0.25">
      <c r="A4050" s="1" t="s">
        <v>16728</v>
      </c>
      <c r="B4050" s="7" t="s">
        <v>16729</v>
      </c>
      <c r="C4050" s="7" t="s">
        <v>16703</v>
      </c>
      <c r="D4050" s="7" t="s">
        <v>16730</v>
      </c>
      <c r="E4050" s="7" t="s">
        <v>16731</v>
      </c>
      <c r="F4050" s="7" t="str">
        <f>HYPERLINK("http://larevella.com/","larevella.com")</f>
        <v>larevella.com</v>
      </c>
    </row>
    <row r="4051" spans="1:6" ht="68.099999999999994" customHeight="1" x14ac:dyDescent="0.25">
      <c r="A4051" s="6" t="s">
        <v>16735</v>
      </c>
      <c r="B4051" s="5" t="s">
        <v>16736</v>
      </c>
      <c r="C4051" s="5" t="s">
        <v>16732</v>
      </c>
      <c r="D4051" s="5" t="s">
        <v>16737</v>
      </c>
      <c r="E4051" s="5" t="s">
        <v>16738</v>
      </c>
      <c r="F4051" s="5" t="str">
        <f>HYPERLINK("http://www.orodoliva.it/","www.orodoliva.it")</f>
        <v>www.orodoliva.it</v>
      </c>
    </row>
    <row r="4052" spans="1:6" ht="29.55" customHeight="1" x14ac:dyDescent="0.25">
      <c r="A4052" s="6" t="s">
        <v>16740</v>
      </c>
      <c r="B4052" s="5" t="s">
        <v>16741</v>
      </c>
      <c r="C4052" s="5" t="s">
        <v>16739</v>
      </c>
      <c r="D4052" s="5" t="s">
        <v>16742</v>
      </c>
      <c r="E4052" s="5" t="s">
        <v>16743</v>
      </c>
      <c r="F4052" s="5" t="str">
        <f>HYPERLINK("http://www.aziendasanna.it/","www.aziendasanna.it")</f>
        <v>www.aziendasanna.it</v>
      </c>
    </row>
    <row r="4053" spans="1:6" ht="29.55" customHeight="1" x14ac:dyDescent="0.25">
      <c r="A4053" s="1" t="s">
        <v>16744</v>
      </c>
      <c r="B4053" s="7" t="s">
        <v>16745</v>
      </c>
      <c r="C4053" s="7" t="s">
        <v>16734</v>
      </c>
      <c r="D4053" s="7" t="s">
        <v>16746</v>
      </c>
      <c r="E4053" s="7" t="s">
        <v>16747</v>
      </c>
      <c r="F4053" s="7" t="str">
        <f>HYPERLINK("http://www.caseificiobucena.it/","www.caseificiobucena.it")</f>
        <v>www.caseificiobucena.it</v>
      </c>
    </row>
    <row r="4054" spans="1:6" ht="29.55" customHeight="1" x14ac:dyDescent="0.25">
      <c r="A4054" s="1" t="s">
        <v>16749</v>
      </c>
      <c r="B4054" s="7" t="s">
        <v>16750</v>
      </c>
      <c r="C4054" s="7" t="s">
        <v>16734</v>
      </c>
      <c r="D4054" s="7" t="s">
        <v>16751</v>
      </c>
      <c r="E4054" s="7" t="s">
        <v>16748</v>
      </c>
      <c r="F4054" s="7" t="str">
        <f>HYPERLINK("http://www.oasideisapori.net/","www.oasideisapori.net")</f>
        <v>www.oasideisapori.net</v>
      </c>
    </row>
    <row r="4055" spans="1:6" ht="29.55" customHeight="1" x14ac:dyDescent="0.25">
      <c r="A4055" s="1" t="s">
        <v>16752</v>
      </c>
      <c r="B4055" s="7" t="s">
        <v>16753</v>
      </c>
      <c r="C4055" s="7" t="s">
        <v>16732</v>
      </c>
      <c r="D4055" s="7" t="s">
        <v>16754</v>
      </c>
      <c r="E4055" s="7" t="s">
        <v>16733</v>
      </c>
      <c r="F4055" s="7" t="str">
        <f>HYPERLINK("http://www.terredimolinara.it/","www.terredimolinara.it")</f>
        <v>www.terredimolinara.it</v>
      </c>
    </row>
    <row r="4056" spans="1:6" ht="29.55" customHeight="1" x14ac:dyDescent="0.25">
      <c r="A4056" s="1" t="s">
        <v>16755</v>
      </c>
      <c r="B4056" s="7" t="s">
        <v>16756</v>
      </c>
      <c r="C4056" s="7" t="s">
        <v>16757</v>
      </c>
      <c r="D4056" s="7" t="s">
        <v>16751</v>
      </c>
      <c r="E4056" s="7" t="s">
        <v>16748</v>
      </c>
      <c r="F4056" s="7" t="str">
        <f>HYPERLINK("http://azienda-agricola-tenuta-panaccione.business.site/","azienda-agricola-tenuta-panaccione.business.site/")</f>
        <v>azienda-agricola-tenuta-panaccione.business.site/</v>
      </c>
    </row>
    <row r="4057" spans="1:6" ht="43.05" customHeight="1" x14ac:dyDescent="0.25">
      <c r="A4057" s="1" t="s">
        <v>16759</v>
      </c>
      <c r="B4057" s="7" t="s">
        <v>16760</v>
      </c>
      <c r="C4057" s="7" t="s">
        <v>16758</v>
      </c>
      <c r="D4057" s="7" t="s">
        <v>16761</v>
      </c>
      <c r="E4057" s="7" t="s">
        <v>16762</v>
      </c>
      <c r="F4057" s="7" t="str">
        <f>HYPERLINK("http://www.lodovicowine.it/","www.lodovicowine.it")</f>
        <v>www.lodovicowine.it</v>
      </c>
    </row>
    <row r="4058" spans="1:6" ht="16.95" customHeight="1" x14ac:dyDescent="0.25">
      <c r="A4058" s="1" t="s">
        <v>16765</v>
      </c>
      <c r="B4058" s="7" t="s">
        <v>16766</v>
      </c>
      <c r="C4058" s="7" t="s">
        <v>16764</v>
      </c>
      <c r="D4058" s="7" t="s">
        <v>16767</v>
      </c>
      <c r="E4058" s="7" t="s">
        <v>16768</v>
      </c>
      <c r="F4058" s="7" t="str">
        <f>HYPERLINK("http://orto-biologico.it/","orto-biologico.it")</f>
        <v>orto-biologico.it</v>
      </c>
    </row>
    <row r="4059" spans="1:6" ht="43.05" customHeight="1" x14ac:dyDescent="0.25">
      <c r="A4059" s="6" t="s">
        <v>16772</v>
      </c>
      <c r="B4059" s="5" t="s">
        <v>16773</v>
      </c>
      <c r="C4059" s="5" t="s">
        <v>16769</v>
      </c>
      <c r="D4059" s="5" t="s">
        <v>16774</v>
      </c>
      <c r="E4059" s="5" t="s">
        <v>16763</v>
      </c>
      <c r="F4059" s="5" t="str">
        <f>HYPERLINK("http://www.olionece.it/","www.olionece.it")</f>
        <v>www.olionece.it</v>
      </c>
    </row>
    <row r="4060" spans="1:6" ht="43.05" customHeight="1" x14ac:dyDescent="0.25">
      <c r="A4060" s="1" t="s">
        <v>16775</v>
      </c>
      <c r="B4060" s="7" t="s">
        <v>16776</v>
      </c>
      <c r="C4060" s="7" t="s">
        <v>16777</v>
      </c>
      <c r="D4060" s="7" t="s">
        <v>16778</v>
      </c>
      <c r="E4060" s="7" t="s">
        <v>16779</v>
      </c>
      <c r="F4060" s="7" t="str">
        <f>HYPERLINK("http://www.agricolabaldoericcia.it/","www.agricolabaldoericcia.it")</f>
        <v>www.agricolabaldoericcia.it</v>
      </c>
    </row>
    <row r="4061" spans="1:6" ht="29.55" customHeight="1" x14ac:dyDescent="0.25">
      <c r="A4061" s="6" t="s">
        <v>16780</v>
      </c>
      <c r="B4061" s="5" t="s">
        <v>16781</v>
      </c>
      <c r="C4061" s="5" t="s">
        <v>16782</v>
      </c>
      <c r="D4061" s="5" t="s">
        <v>16774</v>
      </c>
      <c r="E4061" s="5" t="s">
        <v>16763</v>
      </c>
      <c r="F4061" s="5" t="str">
        <f>HYPERLINK("http://societa-orticola-laziale-srl-01007750589.quantofattura.com/","societa-orticola-laziale-srl-01007750589.quantofattura.com")</f>
        <v>societa-orticola-laziale-srl-01007750589.quantofattura.com</v>
      </c>
    </row>
    <row r="4062" spans="1:6" ht="29.55" customHeight="1" x14ac:dyDescent="0.25">
      <c r="A4062" s="6" t="s">
        <v>16783</v>
      </c>
      <c r="B4062" s="5" t="s">
        <v>16784</v>
      </c>
      <c r="C4062" s="5" t="s">
        <v>16764</v>
      </c>
      <c r="D4062" s="5" t="s">
        <v>16785</v>
      </c>
      <c r="E4062" s="5" t="s">
        <v>16770</v>
      </c>
      <c r="F4062" s="5" t="str">
        <f>HYPERLINK("http://www.terredellarinascita.com/","www.terredellarinascita.com")</f>
        <v>www.terredellarinascita.com</v>
      </c>
    </row>
    <row r="4063" spans="1:6" ht="29.55" customHeight="1" x14ac:dyDescent="0.25">
      <c r="A4063" s="1" t="s">
        <v>16786</v>
      </c>
      <c r="B4063" s="7" t="s">
        <v>16787</v>
      </c>
      <c r="C4063" s="7" t="s">
        <v>16764</v>
      </c>
      <c r="D4063" s="7" t="s">
        <v>16788</v>
      </c>
      <c r="E4063" s="7" t="s">
        <v>16789</v>
      </c>
      <c r="F4063" s="7" t="str">
        <f>HYPERLINK("http://www.saporedilanga.it/","www.saporedilanga.it")</f>
        <v>www.saporedilanga.it</v>
      </c>
    </row>
    <row r="4064" spans="1:6" ht="29.55" customHeight="1" x14ac:dyDescent="0.25">
      <c r="A4064" s="6" t="s">
        <v>16790</v>
      </c>
      <c r="B4064" s="5" t="s">
        <v>16791</v>
      </c>
      <c r="C4064" s="5" t="s">
        <v>16771</v>
      </c>
      <c r="D4064" s="5" t="s">
        <v>16792</v>
      </c>
      <c r="E4064" s="5" t="s">
        <v>16793</v>
      </c>
      <c r="F4064" s="5" t="str">
        <f>HYPERLINK("http://casabonaria.com/","casabonaria.com")</f>
        <v>casabonaria.com</v>
      </c>
    </row>
    <row r="4065" spans="1:6" ht="16.95" customHeight="1" x14ac:dyDescent="0.25">
      <c r="A4065" s="1" t="s">
        <v>16801</v>
      </c>
      <c r="B4065" s="7" t="s">
        <v>16802</v>
      </c>
      <c r="C4065" s="7" t="s">
        <v>16794</v>
      </c>
      <c r="D4065" s="7" t="s">
        <v>16803</v>
      </c>
      <c r="E4065" s="7" t="s">
        <v>16804</v>
      </c>
      <c r="F4065" s="7" t="str">
        <f>HYPERLINK("http://www.residenzatorreacquatino.com/","www.residenzatorreacquatino.com")</f>
        <v>www.residenzatorreacquatino.com</v>
      </c>
    </row>
    <row r="4066" spans="1:6" ht="29.55" customHeight="1" x14ac:dyDescent="0.25">
      <c r="A4066" s="1" t="s">
        <v>16805</v>
      </c>
      <c r="B4066" s="7" t="s">
        <v>16806</v>
      </c>
      <c r="C4066" s="7" t="s">
        <v>16800</v>
      </c>
      <c r="D4066" s="7" t="s">
        <v>16797</v>
      </c>
      <c r="E4066" s="7" t="s">
        <v>16798</v>
      </c>
      <c r="F4066" s="7" t="str">
        <f>HYPERLINK("http://www.coopagri.it/","www.coopagri.it")</f>
        <v>www.coopagri.it</v>
      </c>
    </row>
    <row r="4067" spans="1:6" ht="43.05" customHeight="1" x14ac:dyDescent="0.25">
      <c r="A4067" s="1" t="s">
        <v>16807</v>
      </c>
      <c r="B4067" s="7" t="s">
        <v>16808</v>
      </c>
      <c r="C4067" s="7" t="s">
        <v>16809</v>
      </c>
      <c r="D4067" s="7" t="s">
        <v>16810</v>
      </c>
      <c r="E4067" s="7" t="s">
        <v>16811</v>
      </c>
      <c r="F4067" s="7" t="str">
        <f>HYPERLINK("http://www.villapuri.com/","www.villapuri.com")</f>
        <v>www.villapuri.com</v>
      </c>
    </row>
    <row r="4068" spans="1:6" ht="29.55" customHeight="1" x14ac:dyDescent="0.25">
      <c r="A4068" s="6" t="s">
        <v>16813</v>
      </c>
      <c r="B4068" s="5" t="s">
        <v>16814</v>
      </c>
      <c r="C4068" s="5" t="s">
        <v>16815</v>
      </c>
      <c r="D4068" s="5" t="s">
        <v>16812</v>
      </c>
      <c r="E4068" s="5" t="s">
        <v>16798</v>
      </c>
      <c r="F4068" s="5" t="str">
        <f>HYPERLINK("http://www.enacpuglia.org/","www.enacpuglia.org")</f>
        <v>www.enacpuglia.org</v>
      </c>
    </row>
    <row r="4069" spans="1:6" ht="43.05" customHeight="1" x14ac:dyDescent="0.25">
      <c r="A4069" s="1" t="s">
        <v>16816</v>
      </c>
      <c r="B4069" s="7" t="s">
        <v>16817</v>
      </c>
      <c r="C4069" s="7" t="s">
        <v>16818</v>
      </c>
      <c r="D4069" s="7" t="s">
        <v>16819</v>
      </c>
      <c r="E4069" s="7" t="s">
        <v>16820</v>
      </c>
      <c r="F4069" s="7" t="str">
        <f>HYPERLINK("http://www.aziendaagricolabarbieriadele.it/","www.aziendaagricolabarbieriadele.it")</f>
        <v>www.aziendaagricolabarbieriadele.it</v>
      </c>
    </row>
    <row r="4070" spans="1:6" ht="68.099999999999994" customHeight="1" x14ac:dyDescent="0.25">
      <c r="A4070" s="6" t="s">
        <v>16821</v>
      </c>
      <c r="B4070" s="5" t="s">
        <v>16822</v>
      </c>
      <c r="C4070" s="5" t="s">
        <v>16809</v>
      </c>
      <c r="D4070" s="5" t="s">
        <v>16823</v>
      </c>
      <c r="E4070" s="5" t="s">
        <v>16824</v>
      </c>
      <c r="F4070" s="5" t="str">
        <f>HYPERLINK("http://www.fortidelvento.com/","www.fortidelvento.com")</f>
        <v>www.fortidelvento.com</v>
      </c>
    </row>
    <row r="4071" spans="1:6" ht="29.55" customHeight="1" x14ac:dyDescent="0.25">
      <c r="A4071" s="6" t="s">
        <v>16825</v>
      </c>
      <c r="B4071" s="5" t="s">
        <v>16826</v>
      </c>
      <c r="C4071" s="5" t="s">
        <v>16815</v>
      </c>
      <c r="D4071" s="5" t="s">
        <v>16827</v>
      </c>
      <c r="E4071" s="5" t="s">
        <v>16811</v>
      </c>
      <c r="F4071" s="5" t="str">
        <f>HYPERLINK("http://www.aabelvedere.com/","www.aabelvedere.com")</f>
        <v>www.aabelvedere.com</v>
      </c>
    </row>
    <row r="4072" spans="1:6" ht="29.55" customHeight="1" x14ac:dyDescent="0.25">
      <c r="A4072" s="6" t="s">
        <v>16828</v>
      </c>
      <c r="B4072" s="5" t="s">
        <v>16829</v>
      </c>
      <c r="C4072" s="5" t="s">
        <v>16809</v>
      </c>
      <c r="D4072" s="5" t="s">
        <v>16795</v>
      </c>
      <c r="E4072" s="5" t="s">
        <v>16796</v>
      </c>
      <c r="F4072" s="5" t="str">
        <f>HYPERLINK("http://www.labusca.it/","www.labusca.it")</f>
        <v>www.labusca.it</v>
      </c>
    </row>
    <row r="4073" spans="1:6" ht="43.05" customHeight="1" x14ac:dyDescent="0.25">
      <c r="A4073" s="6" t="s">
        <v>16831</v>
      </c>
      <c r="B4073" s="5" t="s">
        <v>16832</v>
      </c>
      <c r="C4073" s="5" t="s">
        <v>16799</v>
      </c>
      <c r="D4073" s="5" t="s">
        <v>16833</v>
      </c>
      <c r="E4073" s="5" t="s">
        <v>16834</v>
      </c>
      <c r="F4073" s="5" t="str">
        <f>HYPERLINK("http://www.tenutapescarina.it/","www.tenutapescarina.it")</f>
        <v>www.tenutapescarina.it</v>
      </c>
    </row>
    <row r="4074" spans="1:6" ht="29.55" customHeight="1" x14ac:dyDescent="0.25">
      <c r="A4074" s="6" t="s">
        <v>16835</v>
      </c>
      <c r="B4074" s="5" t="s">
        <v>16836</v>
      </c>
      <c r="C4074" s="5" t="s">
        <v>16837</v>
      </c>
      <c r="D4074" s="5" t="s">
        <v>16830</v>
      </c>
      <c r="E4074" s="5" t="s">
        <v>16804</v>
      </c>
      <c r="F4074" s="5" t="str">
        <f>HYPERLINK("http://www.naturalmiele.org/","www.naturalmiele.org")</f>
        <v>www.naturalmiele.org</v>
      </c>
    </row>
    <row r="4075" spans="1:6" ht="29.55" customHeight="1" x14ac:dyDescent="0.25">
      <c r="A4075" s="1" t="s">
        <v>16838</v>
      </c>
      <c r="B4075" s="7" t="s">
        <v>16839</v>
      </c>
      <c r="C4075" s="7" t="s">
        <v>16840</v>
      </c>
      <c r="D4075" s="7" t="s">
        <v>16841</v>
      </c>
      <c r="E4075" s="7" t="s">
        <v>16842</v>
      </c>
      <c r="F4075" s="7" t="str">
        <f>HYPERLINK("http://www.agriveglie.it/","www.agriveglie.it")</f>
        <v>www.agriveglie.it</v>
      </c>
    </row>
    <row r="4076" spans="1:6" ht="29.55" customHeight="1" x14ac:dyDescent="0.25">
      <c r="A4076" s="6" t="s">
        <v>16843</v>
      </c>
      <c r="B4076" s="5" t="s">
        <v>16844</v>
      </c>
      <c r="C4076" s="5" t="s">
        <v>16840</v>
      </c>
      <c r="D4076" s="5" t="s">
        <v>16841</v>
      </c>
      <c r="E4076" s="5" t="s">
        <v>16842</v>
      </c>
      <c r="F4076" s="5" t="str">
        <f>HYPERLINK("http://www.casaledelicanti.it/","www.casaledelicanti.it")</f>
        <v>www.casaledelicanti.it</v>
      </c>
    </row>
    <row r="4077" spans="1:6" ht="29.55" customHeight="1" x14ac:dyDescent="0.25">
      <c r="A4077" s="6" t="s">
        <v>16848</v>
      </c>
      <c r="B4077" s="5" t="s">
        <v>16849</v>
      </c>
      <c r="C4077" s="5" t="s">
        <v>16840</v>
      </c>
      <c r="D4077" s="5" t="s">
        <v>16850</v>
      </c>
      <c r="E4077" s="5" t="s">
        <v>16851</v>
      </c>
      <c r="F4077" s="5" t="str">
        <f>HYPERLINK("http://www.masseriadeinunzi.com/","www.masseriadeinunzi.com")</f>
        <v>www.masseriadeinunzi.com</v>
      </c>
    </row>
    <row r="4078" spans="1:6" ht="29.55" customHeight="1" x14ac:dyDescent="0.25">
      <c r="A4078" s="1" t="s">
        <v>16852</v>
      </c>
      <c r="B4078" s="7" t="s">
        <v>16853</v>
      </c>
      <c r="C4078" s="7" t="s">
        <v>16854</v>
      </c>
      <c r="D4078" s="7" t="s">
        <v>16855</v>
      </c>
      <c r="E4078" s="7" t="s">
        <v>16846</v>
      </c>
      <c r="F4078" s="7" t="str">
        <f>HYPERLINK("http://www.villaloggio.it/","www.villaloggio.it")</f>
        <v>www.villaloggio.it</v>
      </c>
    </row>
    <row r="4079" spans="1:6" ht="29.55" customHeight="1" x14ac:dyDescent="0.25">
      <c r="A4079" s="1" t="s">
        <v>16858</v>
      </c>
      <c r="B4079" s="7" t="s">
        <v>16859</v>
      </c>
      <c r="C4079" s="7" t="s">
        <v>16860</v>
      </c>
      <c r="D4079" s="7" t="s">
        <v>16861</v>
      </c>
      <c r="E4079" s="7" t="s">
        <v>16846</v>
      </c>
      <c r="F4079" s="7" t="str">
        <f>HYPERLINK("http://www.villatolomeihotel.it/","www.villatolomeihotel.it")</f>
        <v>www.villatolomeihotel.it</v>
      </c>
    </row>
    <row r="4080" spans="1:6" ht="29.55" customHeight="1" x14ac:dyDescent="0.25">
      <c r="A4080" s="6" t="s">
        <v>16863</v>
      </c>
      <c r="B4080" s="5" t="s">
        <v>16864</v>
      </c>
      <c r="C4080" s="5" t="s">
        <v>16862</v>
      </c>
      <c r="D4080" s="5" t="s">
        <v>16865</v>
      </c>
      <c r="E4080" s="5" t="s">
        <v>16847</v>
      </c>
      <c r="F4080" s="5" t="str">
        <f>HYPERLINK("http://www.rosyogradyscuttinghorse.com/","www.rosyogradyscuttinghorse.com")</f>
        <v>www.rosyogradyscuttinghorse.com</v>
      </c>
    </row>
    <row r="4081" spans="1:6" ht="29.55" customHeight="1" x14ac:dyDescent="0.25">
      <c r="A4081" s="1" t="s">
        <v>16866</v>
      </c>
      <c r="B4081" s="7" t="s">
        <v>16867</v>
      </c>
      <c r="C4081" s="7" t="s">
        <v>16840</v>
      </c>
      <c r="D4081" s="7" t="s">
        <v>16868</v>
      </c>
      <c r="E4081" s="7" t="s">
        <v>16869</v>
      </c>
      <c r="F4081" s="7" t="str">
        <f>HYPERLINK("http://oliosalvo.it/","oliosalvo.it")</f>
        <v>oliosalvo.it</v>
      </c>
    </row>
    <row r="4082" spans="1:6" ht="43.05" customHeight="1" x14ac:dyDescent="0.25">
      <c r="A4082" s="1" t="s">
        <v>16870</v>
      </c>
      <c r="B4082" s="7" t="s">
        <v>16871</v>
      </c>
      <c r="C4082" s="7" t="s">
        <v>16872</v>
      </c>
      <c r="D4082" s="7" t="s">
        <v>16873</v>
      </c>
      <c r="E4082" s="7" t="s">
        <v>16845</v>
      </c>
      <c r="F4082" s="7" t="str">
        <f>HYPERLINK("http://lororossodisicilia.it/","lororossodisicilia.it")</f>
        <v>lororossodisicilia.it</v>
      </c>
    </row>
    <row r="4083" spans="1:6" ht="55.65" customHeight="1" x14ac:dyDescent="0.25">
      <c r="A4083" s="1" t="s">
        <v>16874</v>
      </c>
      <c r="B4083" s="7" t="s">
        <v>16875</v>
      </c>
      <c r="C4083" s="7" t="s">
        <v>16876</v>
      </c>
      <c r="D4083" s="7" t="s">
        <v>16877</v>
      </c>
      <c r="E4083" s="7" t="s">
        <v>16878</v>
      </c>
      <c r="F4083" s="7" t="str">
        <f>HYPERLINK("http://www.vitiver.it/","www.vitiver.it")</f>
        <v>www.vitiver.it</v>
      </c>
    </row>
    <row r="4084" spans="1:6" ht="29.55" customHeight="1" x14ac:dyDescent="0.25">
      <c r="A4084" s="1" t="s">
        <v>16879</v>
      </c>
      <c r="B4084" s="7" t="s">
        <v>16880</v>
      </c>
      <c r="C4084" s="7" t="s">
        <v>16881</v>
      </c>
      <c r="D4084" s="7" t="s">
        <v>16856</v>
      </c>
      <c r="E4084" s="7" t="s">
        <v>16857</v>
      </c>
      <c r="F4084" s="7" t="str">
        <f>HYPERLINK("http://www.latticinirocca.it/","www.latticinirocca.it")</f>
        <v>www.latticinirocca.it</v>
      </c>
    </row>
    <row r="4085" spans="1:6" ht="43.05" customHeight="1" x14ac:dyDescent="0.25">
      <c r="A4085" s="1" t="s">
        <v>16882</v>
      </c>
      <c r="B4085" s="7" t="s">
        <v>16883</v>
      </c>
      <c r="C4085" s="7" t="s">
        <v>16884</v>
      </c>
      <c r="D4085" s="7" t="s">
        <v>16885</v>
      </c>
      <c r="E4085" s="7" t="s">
        <v>16886</v>
      </c>
      <c r="F4085" s="7" t="str">
        <f>HYPERLINK("http://www.facebook.com/cooperativa-sociale-lo-scudo-246582852367597/","www.facebook.com/cooperativa-sociale-lo-scudo-246582852367597/")</f>
        <v>www.facebook.com/cooperativa-sociale-lo-scudo-246582852367597/</v>
      </c>
    </row>
    <row r="4086" spans="1:6" ht="29.55" customHeight="1" x14ac:dyDescent="0.25">
      <c r="A4086" s="6" t="s">
        <v>16890</v>
      </c>
      <c r="B4086" s="5" t="s">
        <v>16891</v>
      </c>
      <c r="C4086" s="5" t="s">
        <v>16892</v>
      </c>
      <c r="D4086" s="5" t="s">
        <v>16893</v>
      </c>
      <c r="E4086" s="5" t="s">
        <v>16894</v>
      </c>
      <c r="F4086" s="5" t="str">
        <f>HYPERLINK("http://www.millequerce.it/","www.millequerce.it")</f>
        <v>www.millequerce.it</v>
      </c>
    </row>
    <row r="4087" spans="1:6" ht="29.55" customHeight="1" x14ac:dyDescent="0.25">
      <c r="A4087" s="6" t="s">
        <v>16896</v>
      </c>
      <c r="B4087" s="5" t="s">
        <v>16897</v>
      </c>
      <c r="C4087" s="5" t="s">
        <v>16887</v>
      </c>
      <c r="D4087" s="5" t="s">
        <v>16898</v>
      </c>
      <c r="E4087" s="5" t="s">
        <v>16895</v>
      </c>
      <c r="F4087" s="5" t="str">
        <f>HYPERLINK("http://www.castellodirigutinelli.it/","www.castellodirigutinelli.it")</f>
        <v>www.castellodirigutinelli.it</v>
      </c>
    </row>
    <row r="4088" spans="1:6" ht="29.55" customHeight="1" x14ac:dyDescent="0.25">
      <c r="A4088" s="6" t="s">
        <v>16899</v>
      </c>
      <c r="B4088" s="5" t="s">
        <v>16900</v>
      </c>
      <c r="C4088" s="5" t="s">
        <v>16888</v>
      </c>
      <c r="D4088" s="5" t="s">
        <v>16901</v>
      </c>
      <c r="E4088" s="5" t="s">
        <v>16889</v>
      </c>
      <c r="F4088" s="5" t="str">
        <f>HYPERLINK("http://gapdisinfestazioni.com/","gapdisinfestazioni.com")</f>
        <v>gapdisinfestazioni.com</v>
      </c>
    </row>
    <row r="4089" spans="1:6" ht="29.55" customHeight="1" x14ac:dyDescent="0.25">
      <c r="A4089" s="6" t="s">
        <v>16903</v>
      </c>
      <c r="B4089" s="5" t="s">
        <v>16904</v>
      </c>
      <c r="C4089" s="5" t="s">
        <v>16905</v>
      </c>
      <c r="D4089" s="5" t="s">
        <v>16906</v>
      </c>
      <c r="E4089" s="5" t="s">
        <v>16907</v>
      </c>
      <c r="F4089" s="5" t="str">
        <f>HYPERLINK("http://www.tenutacervelli.com/","www.tenutacervelli.com")</f>
        <v>www.tenutacervelli.com</v>
      </c>
    </row>
    <row r="4090" spans="1:6" ht="29.55" customHeight="1" x14ac:dyDescent="0.25">
      <c r="A4090" s="1" t="s">
        <v>16910</v>
      </c>
      <c r="B4090" s="7" t="s">
        <v>16911</v>
      </c>
      <c r="C4090" s="7" t="s">
        <v>16912</v>
      </c>
      <c r="D4090" s="7" t="s">
        <v>16913</v>
      </c>
      <c r="E4090" s="7" t="s">
        <v>16914</v>
      </c>
      <c r="F4090" s="7" t="str">
        <f>HYPERLINK("http://www.aliceanddaisy.it/","www.aliceanddaisy.it")</f>
        <v>www.aliceanddaisy.it</v>
      </c>
    </row>
    <row r="4091" spans="1:6" ht="16.95" customHeight="1" x14ac:dyDescent="0.25">
      <c r="A4091" s="6" t="s">
        <v>16915</v>
      </c>
      <c r="B4091" s="5" t="s">
        <v>16916</v>
      </c>
      <c r="C4091" s="5" t="s">
        <v>16917</v>
      </c>
      <c r="D4091" s="5" t="s">
        <v>16909</v>
      </c>
      <c r="E4091" s="5" t="s">
        <v>16902</v>
      </c>
      <c r="F4091" s="5" t="str">
        <f>HYPERLINK("http://www.vignavecchia.net/","www.vignavecchia.net")</f>
        <v>www.vignavecchia.net</v>
      </c>
    </row>
    <row r="4092" spans="1:6" ht="43.05" customHeight="1" x14ac:dyDescent="0.25">
      <c r="A4092" s="1" t="s">
        <v>16918</v>
      </c>
      <c r="B4092" s="7" t="s">
        <v>16919</v>
      </c>
      <c r="C4092" s="7" t="s">
        <v>16908</v>
      </c>
      <c r="D4092" s="7" t="s">
        <v>16920</v>
      </c>
      <c r="E4092" s="7" t="s">
        <v>16921</v>
      </c>
      <c r="F4092" s="7" t="str">
        <f>HYPERLINK("http://lecascinebio.it/","lecascinebio.it")</f>
        <v>lecascinebio.it</v>
      </c>
    </row>
    <row r="4093" spans="1:6" ht="29.55" customHeight="1" x14ac:dyDescent="0.25">
      <c r="A4093" s="1" t="s">
        <v>16922</v>
      </c>
      <c r="B4093" s="7" t="s">
        <v>16923</v>
      </c>
      <c r="C4093" s="7" t="s">
        <v>16924</v>
      </c>
      <c r="D4093" s="7" t="s">
        <v>16925</v>
      </c>
      <c r="E4093" s="7" t="s">
        <v>16926</v>
      </c>
      <c r="F4093" s="7" t="str">
        <f>HYPERLINK("http://rafaelstravelexperience.com/agriturismo-poggio-repenti-italy","rafaelstravelexperience.com/agriturismo-poggio-repenti-italy")</f>
        <v>rafaelstravelexperience.com/agriturismo-poggio-repenti-italy</v>
      </c>
    </row>
    <row r="4094" spans="1:6" ht="29.55" customHeight="1" x14ac:dyDescent="0.25">
      <c r="A4094" s="1" t="s">
        <v>16934</v>
      </c>
      <c r="B4094" s="7" t="s">
        <v>16935</v>
      </c>
      <c r="C4094" s="7" t="s">
        <v>16930</v>
      </c>
      <c r="D4094" s="7" t="s">
        <v>16931</v>
      </c>
      <c r="E4094" s="7" t="s">
        <v>16932</v>
      </c>
      <c r="F4094" s="7" t="str">
        <f>HYPERLINK("http://www.bellerogreenfactory.it/","www.bellerogreenfactory.it")</f>
        <v>www.bellerogreenfactory.it</v>
      </c>
    </row>
    <row r="4095" spans="1:6" ht="43.05" customHeight="1" x14ac:dyDescent="0.25">
      <c r="A4095" s="6" t="s">
        <v>16939</v>
      </c>
      <c r="B4095" s="5" t="s">
        <v>16940</v>
      </c>
      <c r="C4095" s="5" t="s">
        <v>16927</v>
      </c>
      <c r="D4095" s="5" t="s">
        <v>16941</v>
      </c>
      <c r="E4095" s="5" t="s">
        <v>16932</v>
      </c>
      <c r="F4095" s="5" t="str">
        <f>HYPERLINK("http://www.consorziodellacastagna.it/","www.consorziodellacastagna.it")</f>
        <v>www.consorziodellacastagna.it</v>
      </c>
    </row>
    <row r="4096" spans="1:6" ht="29.55" customHeight="1" x14ac:dyDescent="0.25">
      <c r="A4096" s="6" t="s">
        <v>16943</v>
      </c>
      <c r="B4096" s="5" t="s">
        <v>16944</v>
      </c>
      <c r="C4096" s="5" t="s">
        <v>16945</v>
      </c>
      <c r="D4096" s="5" t="s">
        <v>16946</v>
      </c>
      <c r="E4096" s="5" t="s">
        <v>16928</v>
      </c>
      <c r="F4096" s="5" t="str">
        <f>HYPERLINK("http://www.seficostruzioni.it/","www.seficostruzioni.it")</f>
        <v>www.seficostruzioni.it</v>
      </c>
    </row>
    <row r="4097" spans="1:6" ht="29.55" customHeight="1" x14ac:dyDescent="0.25">
      <c r="A4097" s="6" t="s">
        <v>16947</v>
      </c>
      <c r="B4097" s="5" t="s">
        <v>16948</v>
      </c>
      <c r="C4097" s="5" t="s">
        <v>16938</v>
      </c>
      <c r="D4097" s="5" t="s">
        <v>16936</v>
      </c>
      <c r="E4097" s="5" t="s">
        <v>16937</v>
      </c>
      <c r="F4097" s="5" t="str">
        <f>HYPERLINK("http://www.agriresortlamassaria.it/","www.agriresortlamassaria.it")</f>
        <v>www.agriresortlamassaria.it</v>
      </c>
    </row>
    <row r="4098" spans="1:6" ht="16.95" customHeight="1" x14ac:dyDescent="0.25">
      <c r="A4098" s="1" t="s">
        <v>16949</v>
      </c>
      <c r="B4098" s="7" t="s">
        <v>16950</v>
      </c>
      <c r="C4098" s="7" t="s">
        <v>16951</v>
      </c>
      <c r="D4098" s="7" t="s">
        <v>16952</v>
      </c>
      <c r="E4098" s="7" t="s">
        <v>16942</v>
      </c>
      <c r="F4098" s="7" t="str">
        <f>HYPERLINK("http://www.agricoladream.it/","www.agricoladream.it")</f>
        <v>www.agricoladream.it</v>
      </c>
    </row>
    <row r="4099" spans="1:6" ht="16.95" customHeight="1" x14ac:dyDescent="0.25">
      <c r="A4099" s="1" t="s">
        <v>16953</v>
      </c>
      <c r="B4099" s="7" t="s">
        <v>16954</v>
      </c>
      <c r="C4099" s="7" t="s">
        <v>16930</v>
      </c>
      <c r="D4099" s="7" t="s">
        <v>16955</v>
      </c>
      <c r="E4099" s="7" t="s">
        <v>16933</v>
      </c>
      <c r="F4099" s="7" t="str">
        <f>HYPERLINK("http://www.conteadealtavilla.com/","www.conteadealtavilla.com")</f>
        <v>www.conteadealtavilla.com</v>
      </c>
    </row>
    <row r="4100" spans="1:6" ht="43.05" customHeight="1" x14ac:dyDescent="0.25">
      <c r="A4100" s="6" t="s">
        <v>16956</v>
      </c>
      <c r="B4100" s="5" t="s">
        <v>16957</v>
      </c>
      <c r="C4100" s="5" t="s">
        <v>16929</v>
      </c>
      <c r="D4100" s="5" t="s">
        <v>16958</v>
      </c>
      <c r="E4100" s="5" t="s">
        <v>16942</v>
      </c>
      <c r="F4100" s="5" t="str">
        <f>HYPERLINK("http://cooperativaluppoliitaliani.it/","cooperativaluppoliitaliani.it")</f>
        <v>cooperativaluppoliitaliani.it</v>
      </c>
    </row>
    <row r="4101" spans="1:6" ht="29.55" customHeight="1" x14ac:dyDescent="0.25">
      <c r="A4101" s="1" t="s">
        <v>16959</v>
      </c>
      <c r="B4101" s="7" t="s">
        <v>16960</v>
      </c>
      <c r="C4101" s="7" t="s">
        <v>16961</v>
      </c>
      <c r="D4101" s="7" t="s">
        <v>16962</v>
      </c>
      <c r="E4101" s="7" t="s">
        <v>16928</v>
      </c>
      <c r="F4101" s="7" t="str">
        <f>HYPERLINK("http://www.aziendaagricolaseduttoreangelo.it/","www.aziendaagricolaseduttoreangelo.it")</f>
        <v>www.aziendaagricolaseduttoreangelo.it</v>
      </c>
    </row>
    <row r="4102" spans="1:6" ht="29.55" customHeight="1" x14ac:dyDescent="0.25">
      <c r="A4102" s="6" t="s">
        <v>16963</v>
      </c>
      <c r="B4102" s="5" t="s">
        <v>16964</v>
      </c>
      <c r="C4102" s="5" t="s">
        <v>16927</v>
      </c>
      <c r="D4102" s="5" t="s">
        <v>16965</v>
      </c>
      <c r="E4102" s="5" t="s">
        <v>16966</v>
      </c>
      <c r="F4102" s="5" t="str">
        <f>HYPERLINK("http://www.lacontradadelloca.it/","www.lacontradadelloca.it")</f>
        <v>www.lacontradadelloca.it</v>
      </c>
    </row>
    <row r="4103" spans="1:6" ht="29.55" customHeight="1" x14ac:dyDescent="0.25">
      <c r="A4103" s="1" t="s">
        <v>16967</v>
      </c>
      <c r="B4103" s="7" t="s">
        <v>16968</v>
      </c>
      <c r="C4103" s="7" t="s">
        <v>16969</v>
      </c>
      <c r="D4103" s="7" t="s">
        <v>16970</v>
      </c>
      <c r="E4103" s="7" t="s">
        <v>16971</v>
      </c>
      <c r="F4103" s="7" t="str">
        <f>HYPERLINK("http://www.agrinaviglio.com/","www.agrinaviglio.com")</f>
        <v>www.agrinaviglio.com</v>
      </c>
    </row>
    <row r="4104" spans="1:6" ht="29.55" customHeight="1" x14ac:dyDescent="0.25">
      <c r="A4104" s="6" t="s">
        <v>16972</v>
      </c>
      <c r="B4104" s="5" t="s">
        <v>16973</v>
      </c>
      <c r="C4104" s="5" t="s">
        <v>16974</v>
      </c>
      <c r="D4104" s="5" t="s">
        <v>16975</v>
      </c>
      <c r="E4104" s="5" t="s">
        <v>16976</v>
      </c>
      <c r="F4104" s="5" t="str">
        <f>HYPERLINK("http://www.laricolla.com/","www.laricolla.com")</f>
        <v>www.laricolla.com</v>
      </c>
    </row>
    <row r="4105" spans="1:6" ht="43.05" customHeight="1" x14ac:dyDescent="0.25">
      <c r="A4105" s="6" t="s">
        <v>16978</v>
      </c>
      <c r="B4105" s="5" t="s">
        <v>16979</v>
      </c>
      <c r="C4105" s="5" t="s">
        <v>16980</v>
      </c>
      <c r="D4105" s="5" t="s">
        <v>16981</v>
      </c>
      <c r="E4105" s="5" t="s">
        <v>16977</v>
      </c>
      <c r="F4105" s="5" t="str">
        <f>HYPERLINK("http://ristoranteanticamaremma.myadj.it/v/ristoranteanticamaremma","ristoranteanticamaremma.myadj.it/v/ristoranteanticamaremma")</f>
        <v>ristoranteanticamaremma.myadj.it/v/ristoranteanticamaremma</v>
      </c>
    </row>
    <row r="4106" spans="1:6" ht="29.55" customHeight="1" x14ac:dyDescent="0.25">
      <c r="A4106" s="6" t="s">
        <v>16982</v>
      </c>
      <c r="B4106" s="5" t="s">
        <v>16983</v>
      </c>
      <c r="C4106" s="5" t="s">
        <v>16974</v>
      </c>
      <c r="D4106" s="5" t="s">
        <v>16984</v>
      </c>
      <c r="E4106" s="5" t="s">
        <v>16977</v>
      </c>
      <c r="F4106" s="5" t="str">
        <f>HYPERLINK("http://marinaromin.com/","marinaromin.com")</f>
        <v>marinaromin.com</v>
      </c>
    </row>
    <row r="4107" spans="1:6" ht="29.55" customHeight="1" x14ac:dyDescent="0.25">
      <c r="A4107" s="1" t="s">
        <v>16986</v>
      </c>
      <c r="B4107" s="7" t="s">
        <v>16987</v>
      </c>
      <c r="C4107" s="7" t="s">
        <v>16969</v>
      </c>
      <c r="D4107" s="7" t="s">
        <v>16988</v>
      </c>
      <c r="E4107" s="7" t="s">
        <v>16971</v>
      </c>
      <c r="F4107" s="7" t="str">
        <f>HYPERLINK("http://www.strashare.it/","www.strashare.it")</f>
        <v>www.strashare.it</v>
      </c>
    </row>
    <row r="4108" spans="1:6" ht="29.55" customHeight="1" x14ac:dyDescent="0.25">
      <c r="A4108" s="6" t="s">
        <v>16989</v>
      </c>
      <c r="B4108" s="5" t="s">
        <v>16990</v>
      </c>
      <c r="C4108" s="5" t="s">
        <v>16969</v>
      </c>
      <c r="D4108" s="5" t="s">
        <v>16991</v>
      </c>
      <c r="E4108" s="5" t="s">
        <v>16992</v>
      </c>
      <c r="F4108" s="5" t="str">
        <f>HYPERLINK("http://svap.es/","svap.es")</f>
        <v>svap.es</v>
      </c>
    </row>
    <row r="4109" spans="1:6" ht="29.55" customHeight="1" x14ac:dyDescent="0.25">
      <c r="A4109" s="6" t="s">
        <v>16993</v>
      </c>
      <c r="B4109" s="5" t="s">
        <v>16994</v>
      </c>
      <c r="C4109" s="5" t="s">
        <v>16995</v>
      </c>
      <c r="D4109" s="5" t="s">
        <v>16996</v>
      </c>
      <c r="E4109" s="5" t="s">
        <v>16997</v>
      </c>
      <c r="F4109" s="5" t="str">
        <f>HYPERLINK("http://www.resortmonviso.com/","www.resortmonviso.com/")</f>
        <v>www.resortmonviso.com/</v>
      </c>
    </row>
    <row r="4110" spans="1:6" ht="16.95" customHeight="1" x14ac:dyDescent="0.25">
      <c r="A4110" s="1" t="s">
        <v>16998</v>
      </c>
      <c r="B4110" s="7" t="s">
        <v>16999</v>
      </c>
      <c r="C4110" s="7" t="s">
        <v>16985</v>
      </c>
      <c r="D4110" s="7" t="s">
        <v>17000</v>
      </c>
      <c r="E4110" s="7" t="s">
        <v>17001</v>
      </c>
      <c r="F4110" s="7" t="str">
        <f>HYPERLINK("http://www.impiantiantigrandinefeder.it/","www.impiantiantigrandinefeder.it")</f>
        <v>www.impiantiantigrandinefeder.it</v>
      </c>
    </row>
    <row r="4111" spans="1:6" ht="81.75" customHeight="1" x14ac:dyDescent="0.25">
      <c r="A4111" s="1" t="s">
        <v>17002</v>
      </c>
      <c r="B4111" s="7" t="s">
        <v>17003</v>
      </c>
      <c r="C4111" s="7" t="s">
        <v>17004</v>
      </c>
      <c r="D4111" s="7" t="s">
        <v>17005</v>
      </c>
      <c r="E4111" s="7" t="s">
        <v>16992</v>
      </c>
      <c r="F4111" s="7" t="str">
        <f>HYPERLINK("http://www.tenutavaldelmelo.com/","www.tenutavaldelmelo.com")</f>
        <v>www.tenutavaldelmelo.com</v>
      </c>
    </row>
    <row r="4112" spans="1:6" ht="29.55" customHeight="1" x14ac:dyDescent="0.25">
      <c r="A4112" s="6" t="s">
        <v>17006</v>
      </c>
      <c r="B4112" s="5" t="s">
        <v>17007</v>
      </c>
      <c r="C4112" s="5" t="s">
        <v>17008</v>
      </c>
      <c r="D4112" s="5" t="s">
        <v>17009</v>
      </c>
      <c r="E4112" s="5" t="s">
        <v>17010</v>
      </c>
      <c r="F4112" s="5" t="str">
        <f>HYPERLINK("http://www.tenutailguerriero.it/","www.tenutailguerriero.it")</f>
        <v>www.tenutailguerriero.it</v>
      </c>
    </row>
    <row r="4113" spans="1:6" ht="29.55" customHeight="1" x14ac:dyDescent="0.25">
      <c r="A4113" s="6" t="s">
        <v>17018</v>
      </c>
      <c r="B4113" s="5" t="s">
        <v>17019</v>
      </c>
      <c r="C4113" s="5" t="s">
        <v>17017</v>
      </c>
      <c r="D4113" s="5" t="s">
        <v>17013</v>
      </c>
      <c r="E4113" s="5" t="s">
        <v>17014</v>
      </c>
      <c r="F4113" s="5" t="str">
        <f>HYPERLINK("http://www.cascinasantalberto.it/","www.cascinasantalberto.it")</f>
        <v>www.cascinasantalberto.it</v>
      </c>
    </row>
    <row r="4114" spans="1:6" ht="29.55" customHeight="1" x14ac:dyDescent="0.25">
      <c r="A4114" s="1" t="s">
        <v>17020</v>
      </c>
      <c r="B4114" s="7" t="s">
        <v>17021</v>
      </c>
      <c r="C4114" s="7" t="s">
        <v>17022</v>
      </c>
      <c r="D4114" s="7" t="s">
        <v>17023</v>
      </c>
      <c r="E4114" s="7" t="s">
        <v>17016</v>
      </c>
      <c r="F4114" s="7" t="str">
        <f>HYPERLINK("http://www.nidodiseta.com/","www.nidodiseta.com")</f>
        <v>www.nidodiseta.com</v>
      </c>
    </row>
    <row r="4115" spans="1:6" ht="29.55" customHeight="1" x14ac:dyDescent="0.25">
      <c r="A4115" s="1" t="s">
        <v>17024</v>
      </c>
      <c r="B4115" s="7" t="s">
        <v>17025</v>
      </c>
      <c r="C4115" s="7" t="s">
        <v>17017</v>
      </c>
      <c r="D4115" s="7" t="s">
        <v>17026</v>
      </c>
      <c r="E4115" s="7" t="s">
        <v>17015</v>
      </c>
      <c r="F4115" s="7" t="str">
        <f>HYPERLINK("http://www.gmpozzuto.it/","www.gmpozzuto.it")</f>
        <v>www.gmpozzuto.it</v>
      </c>
    </row>
    <row r="4116" spans="1:6" ht="29.55" customHeight="1" x14ac:dyDescent="0.25">
      <c r="A4116" s="1" t="s">
        <v>17027</v>
      </c>
      <c r="B4116" s="7" t="s">
        <v>17028</v>
      </c>
      <c r="C4116" s="7" t="s">
        <v>17017</v>
      </c>
      <c r="D4116" s="7" t="s">
        <v>17012</v>
      </c>
      <c r="E4116" s="7" t="s">
        <v>17011</v>
      </c>
      <c r="F4116" s="7" t="str">
        <f>HYPERLINK("http://www.licoagricola.it/","www.licoagricola.it")</f>
        <v>www.licoagricola.it</v>
      </c>
    </row>
    <row r="4117" spans="1:6" ht="29.55" customHeight="1" x14ac:dyDescent="0.25">
      <c r="A4117" s="6" t="s">
        <v>17032</v>
      </c>
      <c r="B4117" s="5" t="s">
        <v>17033</v>
      </c>
      <c r="C4117" s="5" t="s">
        <v>17034</v>
      </c>
      <c r="D4117" s="5" t="s">
        <v>17035</v>
      </c>
      <c r="E4117" s="5" t="s">
        <v>17036</v>
      </c>
      <c r="F4117" s="5" t="str">
        <f>HYPERLINK("http://www.coopcanapa.it/","www.coopcanapa.it")</f>
        <v>www.coopcanapa.it</v>
      </c>
    </row>
    <row r="4118" spans="1:6" ht="43.05" customHeight="1" x14ac:dyDescent="0.25">
      <c r="A4118" s="1" t="s">
        <v>17038</v>
      </c>
      <c r="B4118" s="7" t="s">
        <v>17039</v>
      </c>
      <c r="C4118" s="7" t="s">
        <v>17029</v>
      </c>
      <c r="D4118" s="7" t="s">
        <v>17040</v>
      </c>
      <c r="E4118" s="7" t="s">
        <v>17041</v>
      </c>
      <c r="F4118" s="7" t="str">
        <f>HYPERLINK("http://www.pupoli.com/","www.pupoli.com")</f>
        <v>www.pupoli.com</v>
      </c>
    </row>
    <row r="4119" spans="1:6" ht="29.55" customHeight="1" x14ac:dyDescent="0.25">
      <c r="A4119" s="1" t="s">
        <v>17042</v>
      </c>
      <c r="B4119" s="7" t="s">
        <v>17043</v>
      </c>
      <c r="C4119" s="7" t="s">
        <v>17037</v>
      </c>
      <c r="D4119" s="7" t="s">
        <v>17030</v>
      </c>
      <c r="E4119" s="7" t="s">
        <v>17031</v>
      </c>
      <c r="F4119" s="7" t="str">
        <f>HYPERLINK("http://terredisanfelice.it/","terredisanfelice.it")</f>
        <v>terredisanfelice.it</v>
      </c>
    </row>
    <row r="4120" spans="1:6" ht="29.55" customHeight="1" x14ac:dyDescent="0.25">
      <c r="A4120" s="1" t="s">
        <v>17047</v>
      </c>
      <c r="B4120" s="7" t="s">
        <v>17048</v>
      </c>
      <c r="C4120" s="7" t="s">
        <v>17049</v>
      </c>
      <c r="D4120" s="7" t="s">
        <v>17050</v>
      </c>
      <c r="E4120" s="7" t="s">
        <v>17051</v>
      </c>
      <c r="F4120" s="7" t="str">
        <f>HYPERLINK("http://www.ferti-fluid.com/","www.ferti-fluid.com")</f>
        <v>www.ferti-fluid.com</v>
      </c>
    </row>
    <row r="4121" spans="1:6" ht="29.55" customHeight="1" x14ac:dyDescent="0.25">
      <c r="A4121" s="1" t="s">
        <v>17052</v>
      </c>
      <c r="B4121" s="7" t="s">
        <v>17053</v>
      </c>
      <c r="C4121" s="7" t="s">
        <v>17054</v>
      </c>
      <c r="D4121" s="7" t="s">
        <v>17055</v>
      </c>
      <c r="E4121" s="7" t="s">
        <v>17056</v>
      </c>
      <c r="F4121" s="7" t="str">
        <f>HYPERLINK("http://www.lariservadelre.it/","www.lariservadelre.it")</f>
        <v>www.lariservadelre.it</v>
      </c>
    </row>
    <row r="4122" spans="1:6" ht="43.05" customHeight="1" x14ac:dyDescent="0.25">
      <c r="A4122" s="1" t="s">
        <v>17057</v>
      </c>
      <c r="B4122" s="7" t="s">
        <v>17058</v>
      </c>
      <c r="C4122" s="7" t="s">
        <v>17044</v>
      </c>
      <c r="D4122" s="7" t="s">
        <v>17059</v>
      </c>
      <c r="E4122" s="7" t="s">
        <v>17060</v>
      </c>
      <c r="F4122" s="7" t="str">
        <f>HYPERLINK("http://www.prodottitipicidieccellenza.it/","www.prodottitipicidieccellenza.it")</f>
        <v>www.prodottitipicidieccellenza.it</v>
      </c>
    </row>
    <row r="4123" spans="1:6" ht="55.65" customHeight="1" x14ac:dyDescent="0.25">
      <c r="A4123" s="6" t="s">
        <v>17061</v>
      </c>
      <c r="B4123" s="5" t="s">
        <v>17062</v>
      </c>
      <c r="C4123" s="5" t="s">
        <v>17046</v>
      </c>
      <c r="D4123" s="5" t="s">
        <v>17063</v>
      </c>
      <c r="E4123" s="5" t="s">
        <v>17064</v>
      </c>
      <c r="F4123" s="5" t="str">
        <f>HYPERLINK("http://www.lasteccata.it/","www.lasteccata.it")</f>
        <v>www.lasteccata.it</v>
      </c>
    </row>
    <row r="4124" spans="1:6" ht="29.55" customHeight="1" x14ac:dyDescent="0.25">
      <c r="A4124" s="1" t="s">
        <v>17065</v>
      </c>
      <c r="B4124" s="7" t="s">
        <v>17066</v>
      </c>
      <c r="C4124" s="7" t="s">
        <v>17044</v>
      </c>
      <c r="D4124" s="7" t="s">
        <v>17067</v>
      </c>
      <c r="E4124" s="7" t="s">
        <v>17051</v>
      </c>
      <c r="F4124" s="7" t="str">
        <f>HYPERLINK("http://rocciarossa.com/","rocciarossa.com")</f>
        <v>rocciarossa.com</v>
      </c>
    </row>
    <row r="4125" spans="1:6" ht="43.05" customHeight="1" x14ac:dyDescent="0.25">
      <c r="A4125" s="1" t="s">
        <v>17068</v>
      </c>
      <c r="B4125" s="7" t="s">
        <v>17069</v>
      </c>
      <c r="C4125" s="7" t="s">
        <v>17070</v>
      </c>
      <c r="D4125" s="7" t="s">
        <v>17071</v>
      </c>
      <c r="E4125" s="7" t="s">
        <v>17045</v>
      </c>
      <c r="F4125" s="7" t="str">
        <f>HYPERLINK("http://connyblaas.it/","connyblaas.it")</f>
        <v>connyblaas.it</v>
      </c>
    </row>
    <row r="4126" spans="1:6" ht="29.55" customHeight="1" x14ac:dyDescent="0.25">
      <c r="A4126" s="1" t="s">
        <v>17072</v>
      </c>
      <c r="B4126" s="7" t="s">
        <v>17073</v>
      </c>
      <c r="C4126" s="7" t="s">
        <v>17074</v>
      </c>
      <c r="D4126" s="7" t="s">
        <v>17075</v>
      </c>
      <c r="E4126" s="7" t="s">
        <v>17056</v>
      </c>
      <c r="F4126" s="7" t="str">
        <f>HYPERLINK("http://www.exentiae.it/","www.exentiae.it")</f>
        <v>www.exentiae.it</v>
      </c>
    </row>
    <row r="4127" spans="1:6" ht="43.05" customHeight="1" x14ac:dyDescent="0.25">
      <c r="A4127" s="1" t="s">
        <v>17078</v>
      </c>
      <c r="B4127" s="7" t="s">
        <v>17079</v>
      </c>
      <c r="C4127" s="7" t="s">
        <v>17080</v>
      </c>
      <c r="D4127" s="7" t="s">
        <v>17081</v>
      </c>
      <c r="E4127" s="7" t="s">
        <v>17082</v>
      </c>
      <c r="F4127" s="7" t="str">
        <f>HYPERLINK("http://www.lechicchedimafalda.it/","www.lechicchedimafalda.it")</f>
        <v>www.lechicchedimafalda.it</v>
      </c>
    </row>
    <row r="4128" spans="1:6" ht="16.95" customHeight="1" x14ac:dyDescent="0.25">
      <c r="A4128" s="6" t="s">
        <v>17084</v>
      </c>
      <c r="B4128" s="5" t="s">
        <v>17085</v>
      </c>
      <c r="C4128" s="5" t="s">
        <v>17086</v>
      </c>
      <c r="D4128" s="5" t="s">
        <v>17087</v>
      </c>
      <c r="E4128" s="5" t="s">
        <v>17088</v>
      </c>
      <c r="F4128" s="5" t="str">
        <f>HYPERLINK("http://www.tharrosworld.com/","www.tharrosworld.com")</f>
        <v>www.tharrosworld.com</v>
      </c>
    </row>
    <row r="4129" spans="1:6" ht="29.55" customHeight="1" x14ac:dyDescent="0.25">
      <c r="A4129" s="1" t="s">
        <v>17090</v>
      </c>
      <c r="B4129" s="7" t="s">
        <v>17091</v>
      </c>
      <c r="C4129" s="7" t="s">
        <v>17083</v>
      </c>
      <c r="D4129" s="7" t="s">
        <v>17089</v>
      </c>
      <c r="E4129" s="7" t="s">
        <v>17076</v>
      </c>
      <c r="F4129" s="7" t="str">
        <f>HYPERLINK("http://cantineantonionapolitano.it/","cantineantonionapolitano.it")</f>
        <v>cantineantonionapolitano.it</v>
      </c>
    </row>
    <row r="4130" spans="1:6" ht="43.05" customHeight="1" x14ac:dyDescent="0.25">
      <c r="A4130" s="6" t="s">
        <v>17093</v>
      </c>
      <c r="B4130" s="5" t="s">
        <v>17094</v>
      </c>
      <c r="C4130" s="5" t="s">
        <v>17095</v>
      </c>
      <c r="D4130" s="5" t="s">
        <v>17096</v>
      </c>
      <c r="E4130" s="5" t="s">
        <v>17077</v>
      </c>
      <c r="F4130" s="5" t="str">
        <f>HYPERLINK("http://www.terredelfaro.it/","www.terredelfaro.it")</f>
        <v>www.terredelfaro.it</v>
      </c>
    </row>
    <row r="4131" spans="1:6" ht="29.55" customHeight="1" x14ac:dyDescent="0.25">
      <c r="A4131" s="1" t="s">
        <v>17099</v>
      </c>
      <c r="B4131" s="7" t="s">
        <v>17100</v>
      </c>
      <c r="C4131" s="7" t="s">
        <v>17097</v>
      </c>
      <c r="D4131" s="7" t="s">
        <v>17101</v>
      </c>
      <c r="E4131" s="7" t="s">
        <v>17102</v>
      </c>
      <c r="F4131" s="7" t="str">
        <f>HYPERLINK("http://www.poggioallupo.it/","www.poggioallupo.it")</f>
        <v>www.poggioallupo.it</v>
      </c>
    </row>
    <row r="4132" spans="1:6" ht="55.65" customHeight="1" x14ac:dyDescent="0.25">
      <c r="A4132" s="6" t="s">
        <v>17103</v>
      </c>
      <c r="B4132" s="5" t="s">
        <v>17104</v>
      </c>
      <c r="C4132" s="5" t="s">
        <v>17098</v>
      </c>
      <c r="D4132" s="5" t="s">
        <v>17105</v>
      </c>
      <c r="E4132" s="5" t="s">
        <v>17092</v>
      </c>
      <c r="F4132" s="5" t="str">
        <f>HYPERLINK("http://www.caseificiodelmastro.it/","www.caseificiodelmastro.it")</f>
        <v>www.caseificiodelmastro.it</v>
      </c>
    </row>
    <row r="4133" spans="1:6" ht="43.05" customHeight="1" x14ac:dyDescent="0.25">
      <c r="A4133" s="1" t="s">
        <v>17106</v>
      </c>
      <c r="B4133" s="7" t="s">
        <v>17107</v>
      </c>
      <c r="C4133" s="7" t="s">
        <v>17108</v>
      </c>
      <c r="D4133" s="7" t="s">
        <v>17109</v>
      </c>
      <c r="E4133" s="7" t="s">
        <v>17110</v>
      </c>
      <c r="F4133" s="7" t="str">
        <f>HYPERLINK("http://hsnemesi.altervista.org/","hsnemesi.altervista.org")</f>
        <v>hsnemesi.altervista.org</v>
      </c>
    </row>
    <row r="4134" spans="1:6" ht="16.95" customHeight="1" x14ac:dyDescent="0.25">
      <c r="A4134" s="6" t="s">
        <v>17111</v>
      </c>
      <c r="B4134" s="5" t="s">
        <v>17112</v>
      </c>
      <c r="C4134" s="5" t="s">
        <v>17113</v>
      </c>
      <c r="D4134" s="5" t="s">
        <v>17114</v>
      </c>
      <c r="E4134" s="5" t="s">
        <v>17110</v>
      </c>
      <c r="F4134" s="5" t="str">
        <f>HYPERLINK("http://budbros.it/","budbros.it")</f>
        <v>budbros.it</v>
      </c>
    </row>
    <row r="4135" spans="1:6" ht="43.05" customHeight="1" x14ac:dyDescent="0.25">
      <c r="A4135" s="1" t="s">
        <v>17119</v>
      </c>
      <c r="B4135" s="7" t="s">
        <v>17120</v>
      </c>
      <c r="C4135" s="7" t="s">
        <v>17121</v>
      </c>
      <c r="D4135" s="7" t="s">
        <v>17116</v>
      </c>
      <c r="E4135" s="7" t="s">
        <v>17110</v>
      </c>
      <c r="F4135" s="7" t="str">
        <f>HYPERLINK("http://www.masseriapepemaruggio.it/","www.masseriapepemaruggio.it")</f>
        <v>www.masseriapepemaruggio.it</v>
      </c>
    </row>
    <row r="4136" spans="1:6" ht="29.55" customHeight="1" x14ac:dyDescent="0.25">
      <c r="A4136" s="1" t="s">
        <v>17122</v>
      </c>
      <c r="B4136" s="7" t="s">
        <v>17123</v>
      </c>
      <c r="C4136" s="7" t="s">
        <v>17115</v>
      </c>
      <c r="D4136" s="7" t="s">
        <v>17124</v>
      </c>
      <c r="E4136" s="7" t="s">
        <v>17125</v>
      </c>
      <c r="F4136" s="7" t="str">
        <f>HYPERLINK("http://lamoscabiancabio.it/","lamoscabiancabio.it")</f>
        <v>lamoscabiancabio.it</v>
      </c>
    </row>
    <row r="4137" spans="1:6" ht="29.55" customHeight="1" x14ac:dyDescent="0.25">
      <c r="A4137" s="1" t="s">
        <v>17126</v>
      </c>
      <c r="B4137" s="7" t="s">
        <v>17127</v>
      </c>
      <c r="C4137" s="7" t="s">
        <v>17118</v>
      </c>
      <c r="D4137" s="7" t="s">
        <v>17124</v>
      </c>
      <c r="E4137" s="7" t="s">
        <v>17125</v>
      </c>
      <c r="F4137" s="7" t="str">
        <f>HYPERLINK("http://www.rosetcarne.com/","www.rosetcarne.com")</f>
        <v>www.rosetcarne.com</v>
      </c>
    </row>
    <row r="4138" spans="1:6" ht="29.55" customHeight="1" x14ac:dyDescent="0.25">
      <c r="A4138" s="6" t="s">
        <v>17128</v>
      </c>
      <c r="B4138" s="5" t="s">
        <v>17129</v>
      </c>
      <c r="C4138" s="5" t="s">
        <v>17115</v>
      </c>
      <c r="D4138" s="5" t="s">
        <v>17130</v>
      </c>
      <c r="E4138" s="5" t="s">
        <v>17117</v>
      </c>
      <c r="F4138" s="5" t="str">
        <f>HYPERLINK("http://www.boscoromagno.it/","www.boscoromagno.it")</f>
        <v>www.boscoromagno.it</v>
      </c>
    </row>
    <row r="4139" spans="1:6" ht="43.05" customHeight="1" x14ac:dyDescent="0.25">
      <c r="A4139" s="1" t="s">
        <v>17131</v>
      </c>
      <c r="B4139" s="7" t="s">
        <v>17132</v>
      </c>
      <c r="C4139" s="7" t="s">
        <v>17133</v>
      </c>
      <c r="D4139" s="7" t="s">
        <v>17134</v>
      </c>
      <c r="E4139" s="7" t="s">
        <v>17135</v>
      </c>
      <c r="F4139" s="7" t="str">
        <f>HYPERLINK("http://terradellaluna.it/","terradellaluna.it")</f>
        <v>terradellaluna.it</v>
      </c>
    </row>
    <row r="4140" spans="1:6" ht="43.05" customHeight="1" x14ac:dyDescent="0.25">
      <c r="A4140" s="6" t="s">
        <v>17136</v>
      </c>
      <c r="B4140" s="5" t="s">
        <v>17137</v>
      </c>
      <c r="C4140" s="5" t="s">
        <v>17138</v>
      </c>
      <c r="D4140" s="5" t="s">
        <v>17139</v>
      </c>
      <c r="E4140" s="5" t="s">
        <v>17140</v>
      </c>
      <c r="F4140" s="5" t="str">
        <f>HYPERLINK("http://www.la-palombara.it/","www.la-palombara.it")</f>
        <v>www.la-palombara.it</v>
      </c>
    </row>
    <row r="4141" spans="1:6" ht="29.55" customHeight="1" x14ac:dyDescent="0.25">
      <c r="A4141" s="1" t="s">
        <v>17142</v>
      </c>
      <c r="B4141" s="7" t="s">
        <v>17143</v>
      </c>
      <c r="C4141" s="7" t="s">
        <v>17144</v>
      </c>
      <c r="D4141" s="7" t="s">
        <v>17145</v>
      </c>
      <c r="E4141" s="7" t="s">
        <v>17146</v>
      </c>
      <c r="F4141" s="7" t="str">
        <f>HYPERLINK("http://consorziosangiorgio.wordpress.com/","consorziosangiorgio.wordpress.com")</f>
        <v>consorziosangiorgio.wordpress.com</v>
      </c>
    </row>
    <row r="4142" spans="1:6" ht="29.55" customHeight="1" x14ac:dyDescent="0.25">
      <c r="A4142" s="1" t="s">
        <v>17148</v>
      </c>
      <c r="B4142" s="7" t="s">
        <v>17149</v>
      </c>
      <c r="C4142" s="7" t="s">
        <v>17150</v>
      </c>
      <c r="D4142" s="7" t="s">
        <v>17151</v>
      </c>
      <c r="E4142" s="7" t="s">
        <v>17152</v>
      </c>
      <c r="F4142" s="7" t="str">
        <f>HYPERLINK("http://www.villabernese.it/","www.villabernese.it")</f>
        <v>www.villabernese.it</v>
      </c>
    </row>
    <row r="4143" spans="1:6" ht="16.95" customHeight="1" x14ac:dyDescent="0.25">
      <c r="A4143" s="1" t="s">
        <v>17156</v>
      </c>
      <c r="B4143" s="7" t="s">
        <v>17157</v>
      </c>
      <c r="C4143" s="7" t="s">
        <v>17158</v>
      </c>
      <c r="D4143" s="7" t="s">
        <v>17159</v>
      </c>
      <c r="E4143" s="7" t="s">
        <v>17154</v>
      </c>
      <c r="F4143" s="7" t="str">
        <f>HYPERLINK("http://www.aziendaagricolaortosole.it/","www.aziendaagricolaortosole.it")</f>
        <v>www.aziendaagricolaortosole.it</v>
      </c>
    </row>
    <row r="4144" spans="1:6" ht="55.65" customHeight="1" x14ac:dyDescent="0.25">
      <c r="A4144" s="6" t="s">
        <v>17160</v>
      </c>
      <c r="B4144" s="5" t="s">
        <v>17161</v>
      </c>
      <c r="C4144" s="5" t="s">
        <v>17162</v>
      </c>
      <c r="D4144" s="5" t="s">
        <v>17163</v>
      </c>
      <c r="E4144" s="5" t="s">
        <v>17164</v>
      </c>
      <c r="F4144" s="5" t="str">
        <f>HYPERLINK("http://www.coopdererumnatura.it/","www.coopdererumnatura.it")</f>
        <v>www.coopdererumnatura.it</v>
      </c>
    </row>
    <row r="4145" spans="1:6" ht="29.55" customHeight="1" x14ac:dyDescent="0.25">
      <c r="A4145" s="1" t="s">
        <v>17165</v>
      </c>
      <c r="B4145" s="7" t="s">
        <v>17166</v>
      </c>
      <c r="C4145" s="7" t="s">
        <v>17167</v>
      </c>
      <c r="D4145" s="7" t="s">
        <v>17168</v>
      </c>
      <c r="E4145" s="7" t="s">
        <v>17169</v>
      </c>
      <c r="F4145" s="7" t="str">
        <f>HYPERLINK("http://www.basilicatainguscio.it/","www.basilicatainguscio.it")</f>
        <v>www.basilicatainguscio.it</v>
      </c>
    </row>
    <row r="4146" spans="1:6" ht="29.55" customHeight="1" x14ac:dyDescent="0.25">
      <c r="A4146" s="1" t="s">
        <v>17170</v>
      </c>
      <c r="B4146" s="7" t="s">
        <v>17171</v>
      </c>
      <c r="C4146" s="7" t="s">
        <v>17155</v>
      </c>
      <c r="D4146" s="7" t="s">
        <v>17153</v>
      </c>
      <c r="E4146" s="7" t="s">
        <v>17154</v>
      </c>
      <c r="F4146" s="7" t="str">
        <f>HYPERLINK("http://www.lisoladelsale.it/","www.lisoladelsale.it")</f>
        <v>www.lisoladelsale.it</v>
      </c>
    </row>
    <row r="4147" spans="1:6" ht="43.05" customHeight="1" x14ac:dyDescent="0.25">
      <c r="A4147" s="1" t="s">
        <v>17172</v>
      </c>
      <c r="B4147" s="7" t="s">
        <v>17173</v>
      </c>
      <c r="C4147" s="7" t="s">
        <v>17141</v>
      </c>
      <c r="D4147" s="7" t="s">
        <v>17174</v>
      </c>
      <c r="E4147" s="7" t="s">
        <v>17175</v>
      </c>
      <c r="F4147" s="7" t="str">
        <f>HYPERLINK("http://kastia.it/","kastia.it")</f>
        <v>kastia.it</v>
      </c>
    </row>
    <row r="4148" spans="1:6" ht="29.55" customHeight="1" x14ac:dyDescent="0.25">
      <c r="A4148" s="6" t="s">
        <v>17176</v>
      </c>
      <c r="B4148" s="5" t="s">
        <v>17177</v>
      </c>
      <c r="C4148" s="5" t="s">
        <v>17178</v>
      </c>
      <c r="D4148" s="5" t="s">
        <v>17179</v>
      </c>
      <c r="E4148" s="5" t="s">
        <v>17147</v>
      </c>
      <c r="F4148" s="5" t="str">
        <f>HYPERLINK("http://cascinasantamarta.it/","cascinasantamarta.it")</f>
        <v>cascinasantamarta.it</v>
      </c>
    </row>
    <row r="4149" spans="1:6" ht="43.05" customHeight="1" x14ac:dyDescent="0.25">
      <c r="A4149" s="1" t="s">
        <v>17180</v>
      </c>
      <c r="B4149" s="7" t="s">
        <v>17181</v>
      </c>
      <c r="C4149" s="7" t="s">
        <v>17182</v>
      </c>
      <c r="D4149" s="7" t="s">
        <v>17183</v>
      </c>
      <c r="E4149" s="7" t="s">
        <v>17146</v>
      </c>
      <c r="F4149" s="7" t="str">
        <f>HYPERLINK("http://instagram.com/agriturismo.la.cantina_","instagram.com/agriturismo.la.cantina_")</f>
        <v>instagram.com/agriturismo.la.cantina_</v>
      </c>
    </row>
    <row r="4150" spans="1:6" ht="29.55" customHeight="1" x14ac:dyDescent="0.25">
      <c r="A4150" s="6" t="s">
        <v>17184</v>
      </c>
      <c r="B4150" s="5" t="s">
        <v>17185</v>
      </c>
      <c r="C4150" s="5" t="s">
        <v>17186</v>
      </c>
      <c r="D4150" s="5" t="s">
        <v>17187</v>
      </c>
      <c r="E4150" s="5" t="s">
        <v>17154</v>
      </c>
      <c r="F4150" s="5" t="str">
        <f>HYPERLINK("http://www.gaishotels.com/2007/tenuta-chiuse-del-signore","www.gaishotels.com/2007/tenuta-chiuse-del-signore")</f>
        <v>www.gaishotels.com/2007/tenuta-chiuse-del-signore</v>
      </c>
    </row>
    <row r="4151" spans="1:6" ht="16.95" customHeight="1" x14ac:dyDescent="0.25">
      <c r="A4151" s="1" t="s">
        <v>17193</v>
      </c>
      <c r="B4151" s="7" t="s">
        <v>17194</v>
      </c>
      <c r="C4151" s="7" t="s">
        <v>17195</v>
      </c>
      <c r="D4151" s="7" t="s">
        <v>17196</v>
      </c>
      <c r="E4151" s="7" t="s">
        <v>17197</v>
      </c>
      <c r="F4151" s="7" t="str">
        <f>HYPERLINK("http://www.oliolembo.com/","www.oliolembo.com")</f>
        <v>www.oliolembo.com</v>
      </c>
    </row>
    <row r="4152" spans="1:6" ht="29.55" customHeight="1" x14ac:dyDescent="0.25">
      <c r="A4152" s="6" t="s">
        <v>17198</v>
      </c>
      <c r="B4152" s="5" t="s">
        <v>17199</v>
      </c>
      <c r="C4152" s="5" t="s">
        <v>17190</v>
      </c>
      <c r="D4152" s="5" t="s">
        <v>17200</v>
      </c>
      <c r="E4152" s="5" t="s">
        <v>17201</v>
      </c>
      <c r="F4152" s="5" t="str">
        <f>HYPERLINK("http://www.systemmultiservice.com/","www.systemmultiservice.com")</f>
        <v>www.systemmultiservice.com</v>
      </c>
    </row>
    <row r="4153" spans="1:6" ht="29.55" customHeight="1" x14ac:dyDescent="0.25">
      <c r="A4153" s="6" t="s">
        <v>17202</v>
      </c>
      <c r="B4153" s="5" t="s">
        <v>17203</v>
      </c>
      <c r="C4153" s="5" t="s">
        <v>17188</v>
      </c>
      <c r="D4153" s="5" t="s">
        <v>17204</v>
      </c>
      <c r="E4153" s="5" t="s">
        <v>17192</v>
      </c>
      <c r="F4153" s="5" t="str">
        <f>HYPERLINK("http://lavinicoladeltiterno.it/","lavinicoladeltiterno.it")</f>
        <v>lavinicoladeltiterno.it</v>
      </c>
    </row>
    <row r="4154" spans="1:6" ht="55.65" customHeight="1" x14ac:dyDescent="0.25">
      <c r="A4154" s="1" t="s">
        <v>17205</v>
      </c>
      <c r="B4154" s="7" t="s">
        <v>17206</v>
      </c>
      <c r="C4154" s="7" t="s">
        <v>17207</v>
      </c>
      <c r="D4154" s="7" t="s">
        <v>17208</v>
      </c>
      <c r="E4154" s="7" t="s">
        <v>17192</v>
      </c>
      <c r="F4154" s="7" t="str">
        <f>HYPERLINK("http://www.comeunavoltacilento.it/","www.comeunavoltacilento.it")</f>
        <v>www.comeunavoltacilento.it</v>
      </c>
    </row>
    <row r="4155" spans="1:6" ht="29.55" customHeight="1" x14ac:dyDescent="0.25">
      <c r="A4155" s="1" t="s">
        <v>17209</v>
      </c>
      <c r="B4155" s="7" t="s">
        <v>17210</v>
      </c>
      <c r="C4155" s="7" t="s">
        <v>17211</v>
      </c>
      <c r="D4155" s="7" t="s">
        <v>17212</v>
      </c>
      <c r="E4155" s="7" t="s">
        <v>17201</v>
      </c>
      <c r="F4155" s="7" t="str">
        <f>HYPERLINK("http://gliangelidiriccardodalisi.blogspot.com/","gliangelidiriccardodalisi.blogspot.com")</f>
        <v>gliangelidiriccardodalisi.blogspot.com</v>
      </c>
    </row>
    <row r="4156" spans="1:6" ht="29.55" customHeight="1" x14ac:dyDescent="0.25">
      <c r="A4156" s="6" t="s">
        <v>17213</v>
      </c>
      <c r="B4156" s="5" t="s">
        <v>17214</v>
      </c>
      <c r="C4156" s="5" t="s">
        <v>17189</v>
      </c>
      <c r="D4156" s="5" t="s">
        <v>17215</v>
      </c>
      <c r="E4156" s="5" t="s">
        <v>17191</v>
      </c>
      <c r="F4156" s="5" t="str">
        <f>HYPERLINK("http://www.oliobonomo.com/","www.oliobonomo.com")</f>
        <v>www.oliobonomo.com</v>
      </c>
    </row>
    <row r="4157" spans="1:6" ht="29.55" customHeight="1" x14ac:dyDescent="0.25">
      <c r="A4157" s="1" t="s">
        <v>17216</v>
      </c>
      <c r="B4157" s="7" t="s">
        <v>17217</v>
      </c>
      <c r="C4157" s="7" t="s">
        <v>17188</v>
      </c>
      <c r="D4157" s="7" t="s">
        <v>17218</v>
      </c>
      <c r="E4157" s="7" t="s">
        <v>17219</v>
      </c>
      <c r="F4157" s="7" t="str">
        <f>HYPERLINK("http://www.galavera.com/","www.galavera.com")</f>
        <v>www.galavera.com</v>
      </c>
    </row>
    <row r="4158" spans="1:6" ht="43.05" customHeight="1" x14ac:dyDescent="0.25">
      <c r="A4158" s="6" t="s">
        <v>17221</v>
      </c>
      <c r="B4158" s="5" t="s">
        <v>17222</v>
      </c>
      <c r="C4158" s="5" t="s">
        <v>17223</v>
      </c>
      <c r="D4158" s="5" t="s">
        <v>17224</v>
      </c>
      <c r="E4158" s="5" t="s">
        <v>17225</v>
      </c>
      <c r="F4158" s="5" t="str">
        <f>HYPERLINK("http://www.iuraetarma.com/","www.iuraetarma.com")</f>
        <v>www.iuraetarma.com</v>
      </c>
    </row>
    <row r="4159" spans="1:6" ht="43.05" customHeight="1" x14ac:dyDescent="0.25">
      <c r="A4159" s="1" t="s">
        <v>17228</v>
      </c>
      <c r="B4159" s="7" t="s">
        <v>17229</v>
      </c>
      <c r="C4159" s="7" t="s">
        <v>17230</v>
      </c>
      <c r="D4159" s="7" t="s">
        <v>17231</v>
      </c>
      <c r="E4159" s="7" t="s">
        <v>17220</v>
      </c>
      <c r="F4159" s="7" t="str">
        <f>HYPERLINK("http://www.convase.it/","www.convase.it")</f>
        <v>www.convase.it</v>
      </c>
    </row>
    <row r="4160" spans="1:6" ht="43.05" customHeight="1" x14ac:dyDescent="0.25">
      <c r="A4160" s="6" t="s">
        <v>17232</v>
      </c>
      <c r="B4160" s="5" t="s">
        <v>17233</v>
      </c>
      <c r="C4160" s="5" t="s">
        <v>17223</v>
      </c>
      <c r="D4160" s="5" t="s">
        <v>17234</v>
      </c>
      <c r="E4160" s="5" t="s">
        <v>17227</v>
      </c>
      <c r="F4160" s="5" t="str">
        <f>HYPERLINK("http://www.agrieinnesti.it/","www.agrieinnesti.it")</f>
        <v>www.agrieinnesti.it</v>
      </c>
    </row>
    <row r="4161" spans="1:6" ht="29.55" customHeight="1" x14ac:dyDescent="0.25">
      <c r="A4161" s="1" t="s">
        <v>17235</v>
      </c>
      <c r="B4161" s="7" t="s">
        <v>17236</v>
      </c>
      <c r="C4161" s="7" t="s">
        <v>17237</v>
      </c>
      <c r="D4161" s="7" t="s">
        <v>17238</v>
      </c>
      <c r="E4161" s="7" t="s">
        <v>17239</v>
      </c>
      <c r="F4161" s="7" t="str">
        <f>HYPERLINK("http://www.verdedifara.com/","www.verdedifara.com")</f>
        <v>www.verdedifara.com</v>
      </c>
    </row>
    <row r="4162" spans="1:6" ht="29.55" customHeight="1" x14ac:dyDescent="0.25">
      <c r="A4162" s="6" t="s">
        <v>17240</v>
      </c>
      <c r="B4162" s="5" t="s">
        <v>17241</v>
      </c>
      <c r="C4162" s="5" t="s">
        <v>17242</v>
      </c>
      <c r="D4162" s="5" t="s">
        <v>17243</v>
      </c>
      <c r="E4162" s="5" t="s">
        <v>17226</v>
      </c>
      <c r="F4162" s="5" t="str">
        <f>HYPERLINK("http://www.greenyard.group/","www.greenyard.group")</f>
        <v>www.greenyard.group</v>
      </c>
    </row>
    <row r="4163" spans="1:6" ht="43.05" customHeight="1" x14ac:dyDescent="0.25">
      <c r="A4163" s="6" t="s">
        <v>17244</v>
      </c>
      <c r="B4163" s="5" t="s">
        <v>17245</v>
      </c>
      <c r="C4163" s="5" t="s">
        <v>17223</v>
      </c>
      <c r="D4163" s="5" t="s">
        <v>17246</v>
      </c>
      <c r="E4163" s="5" t="s">
        <v>17247</v>
      </c>
      <c r="F4163" s="5" t="str">
        <f>HYPERLINK("http://castellodiazeglio.it/","castellodiazeglio.it")</f>
        <v>castellodiazeglio.it</v>
      </c>
    </row>
    <row r="4164" spans="1:6" ht="29.55" customHeight="1" x14ac:dyDescent="0.25">
      <c r="A4164" s="6" t="s">
        <v>17252</v>
      </c>
      <c r="B4164" s="5" t="s">
        <v>17253</v>
      </c>
      <c r="C4164" s="5" t="s">
        <v>17248</v>
      </c>
      <c r="D4164" s="5" t="s">
        <v>17250</v>
      </c>
      <c r="E4164" s="5" t="s">
        <v>17251</v>
      </c>
      <c r="F4164" s="5" t="str">
        <f>HYPERLINK("http://www.safina.it/","www.safina.it")</f>
        <v>www.safina.it</v>
      </c>
    </row>
    <row r="4165" spans="1:6" ht="29.55" customHeight="1" x14ac:dyDescent="0.25">
      <c r="A4165" s="1" t="s">
        <v>17254</v>
      </c>
      <c r="B4165" s="7" t="s">
        <v>17255</v>
      </c>
      <c r="C4165" s="7" t="s">
        <v>17256</v>
      </c>
      <c r="D4165" s="7" t="s">
        <v>17257</v>
      </c>
      <c r="E4165" s="7" t="s">
        <v>17249</v>
      </c>
      <c r="F4165" s="7" t="str">
        <f>HYPERLINK("http://www.tapaolearia.it/","www.tapaolearia.it")</f>
        <v>www.tapaolearia.it</v>
      </c>
    </row>
    <row r="4166" spans="1:6" ht="43.05" customHeight="1" x14ac:dyDescent="0.25">
      <c r="A4166" s="1" t="s">
        <v>17261</v>
      </c>
      <c r="B4166" s="7" t="s">
        <v>17262</v>
      </c>
      <c r="C4166" s="7" t="s">
        <v>17263</v>
      </c>
      <c r="D4166" s="7" t="s">
        <v>17264</v>
      </c>
      <c r="E4166" s="7" t="s">
        <v>17251</v>
      </c>
      <c r="F4166" s="7" t="str">
        <f>HYPERLINK("http://www.santabarbaracountryhouse.it/","www.santabarbaracountryhouse.it")</f>
        <v>www.santabarbaracountryhouse.it</v>
      </c>
    </row>
    <row r="4167" spans="1:6" ht="43.05" customHeight="1" x14ac:dyDescent="0.25">
      <c r="A4167" s="6" t="s">
        <v>17265</v>
      </c>
      <c r="B4167" s="5" t="s">
        <v>17266</v>
      </c>
      <c r="C4167" s="5" t="s">
        <v>17260</v>
      </c>
      <c r="D4167" s="5" t="s">
        <v>17258</v>
      </c>
      <c r="E4167" s="5" t="s">
        <v>17259</v>
      </c>
      <c r="F4167" s="5" t="str">
        <f>HYPERLINK("http://olioantichemacine.com/","olioantichemacine.com")</f>
        <v>olioantichemacine.com</v>
      </c>
    </row>
    <row r="4168" spans="1:6" ht="29.55" customHeight="1" x14ac:dyDescent="0.25">
      <c r="A4168" s="6" t="s">
        <v>17272</v>
      </c>
      <c r="B4168" s="5" t="s">
        <v>17273</v>
      </c>
      <c r="C4168" s="5" t="s">
        <v>17274</v>
      </c>
      <c r="D4168" s="5" t="s">
        <v>17275</v>
      </c>
      <c r="E4168" s="5" t="s">
        <v>17276</v>
      </c>
      <c r="F4168" s="5" t="str">
        <f>HYPERLINK("http://www.agliodivessalico.com/","www.agliodivessalico.com")</f>
        <v>www.agliodivessalico.com</v>
      </c>
    </row>
    <row r="4169" spans="1:6" ht="29.55" customHeight="1" x14ac:dyDescent="0.25">
      <c r="A4169" s="6" t="s">
        <v>17277</v>
      </c>
      <c r="B4169" s="5" t="s">
        <v>17278</v>
      </c>
      <c r="C4169" s="5" t="s">
        <v>17279</v>
      </c>
      <c r="D4169" s="5" t="s">
        <v>17280</v>
      </c>
      <c r="E4169" s="5" t="s">
        <v>17281</v>
      </c>
      <c r="F4169" s="5" t="str">
        <f>HYPERLINK("http://www.aziendagricolagraci.it/","www.aziendagricolagraci.it")</f>
        <v>www.aziendagricolagraci.it</v>
      </c>
    </row>
    <row r="4170" spans="1:6" ht="29.55" customHeight="1" x14ac:dyDescent="0.25">
      <c r="A4170" s="1" t="s">
        <v>17282</v>
      </c>
      <c r="B4170" s="7" t="s">
        <v>17283</v>
      </c>
      <c r="C4170" s="7" t="s">
        <v>17284</v>
      </c>
      <c r="D4170" s="7" t="s">
        <v>17285</v>
      </c>
      <c r="E4170" s="7" t="s">
        <v>17271</v>
      </c>
      <c r="F4170" s="7" t="str">
        <f>HYPERLINK("http://cantinebuonanno.it/","cantinebuonanno.it")</f>
        <v>cantinebuonanno.it</v>
      </c>
    </row>
    <row r="4171" spans="1:6" ht="29.55" customHeight="1" x14ac:dyDescent="0.25">
      <c r="A4171" s="6" t="s">
        <v>17286</v>
      </c>
      <c r="B4171" s="5" t="s">
        <v>17287</v>
      </c>
      <c r="C4171" s="5" t="s">
        <v>17267</v>
      </c>
      <c r="D4171" s="5" t="s">
        <v>17288</v>
      </c>
      <c r="E4171" s="5" t="s">
        <v>17289</v>
      </c>
      <c r="F4171" s="5" t="str">
        <f>HYPERLINK("http://www.santafrancesca.it/","www.santafrancesca.it")</f>
        <v>www.santafrancesca.it</v>
      </c>
    </row>
    <row r="4172" spans="1:6" ht="55.65" customHeight="1" x14ac:dyDescent="0.25">
      <c r="A4172" s="1" t="s">
        <v>17291</v>
      </c>
      <c r="B4172" s="7" t="s">
        <v>17292</v>
      </c>
      <c r="C4172" s="7" t="s">
        <v>17284</v>
      </c>
      <c r="D4172" s="7" t="s">
        <v>17293</v>
      </c>
      <c r="E4172" s="7" t="s">
        <v>17271</v>
      </c>
      <c r="F4172" s="7" t="str">
        <f>HYPERLINK("http://www.fattoriemogavero.it/","www.fattoriemogavero.it")</f>
        <v>www.fattoriemogavero.it</v>
      </c>
    </row>
    <row r="4173" spans="1:6" ht="16.95" customHeight="1" x14ac:dyDescent="0.25">
      <c r="A4173" s="6" t="s">
        <v>17294</v>
      </c>
      <c r="B4173" s="5" t="s">
        <v>17295</v>
      </c>
      <c r="C4173" s="5" t="s">
        <v>17296</v>
      </c>
      <c r="D4173" s="5" t="s">
        <v>17297</v>
      </c>
      <c r="E4173" s="5" t="s">
        <v>17268</v>
      </c>
      <c r="F4173" s="5" t="str">
        <f>HYPERLINK("http://www.magodamore.it/","www.magodamore.it")</f>
        <v>www.magodamore.it</v>
      </c>
    </row>
    <row r="4174" spans="1:6" ht="43.05" customHeight="1" x14ac:dyDescent="0.25">
      <c r="A4174" s="1" t="s">
        <v>17298</v>
      </c>
      <c r="B4174" s="7" t="s">
        <v>17299</v>
      </c>
      <c r="C4174" s="7" t="s">
        <v>17290</v>
      </c>
      <c r="D4174" s="7" t="s">
        <v>17300</v>
      </c>
      <c r="E4174" s="7" t="s">
        <v>17289</v>
      </c>
      <c r="F4174" s="7" t="str">
        <f>HYPERLINK("http://www.agriturismolebadie.it/","www.agriturismolebadie.it")</f>
        <v>www.agriturismolebadie.it</v>
      </c>
    </row>
    <row r="4175" spans="1:6" ht="29.55" customHeight="1" x14ac:dyDescent="0.25">
      <c r="A4175" s="6" t="s">
        <v>17301</v>
      </c>
      <c r="B4175" s="5" t="s">
        <v>17302</v>
      </c>
      <c r="C4175" s="5" t="s">
        <v>17303</v>
      </c>
      <c r="D4175" s="5" t="s">
        <v>17300</v>
      </c>
      <c r="E4175" s="5" t="s">
        <v>17289</v>
      </c>
      <c r="F4175" s="5" t="str">
        <f>HYPERLINK("http://www.montevaso.it/","www.montevaso.it")</f>
        <v>www.montevaso.it</v>
      </c>
    </row>
    <row r="4176" spans="1:6" ht="29.55" customHeight="1" x14ac:dyDescent="0.25">
      <c r="A4176" s="6" t="s">
        <v>17304</v>
      </c>
      <c r="B4176" s="5" t="s">
        <v>17305</v>
      </c>
      <c r="C4176" s="5" t="s">
        <v>17269</v>
      </c>
      <c r="D4176" s="5" t="s">
        <v>17270</v>
      </c>
      <c r="E4176" s="5" t="s">
        <v>17271</v>
      </c>
      <c r="F4176" s="5" t="str">
        <f>HYPERLINK("http://www.scalafenicia.com/","www.scalafenicia.com")</f>
        <v>www.scalafenicia.com</v>
      </c>
    </row>
    <row r="4177" spans="1:6" ht="43.05" customHeight="1" x14ac:dyDescent="0.25">
      <c r="A4177" s="1" t="s">
        <v>17306</v>
      </c>
      <c r="B4177" s="7" t="s">
        <v>17307</v>
      </c>
      <c r="C4177" s="7" t="s">
        <v>17308</v>
      </c>
      <c r="D4177" s="7" t="s">
        <v>17309</v>
      </c>
      <c r="E4177" s="7" t="s">
        <v>17281</v>
      </c>
      <c r="F4177" s="7" t="str">
        <f>HYPERLINK("http://ilsoleacavallo.bio/","http://ilsoleacavallo.bio/")</f>
        <v>http://ilsoleacavallo.bio/</v>
      </c>
    </row>
    <row r="4178" spans="1:6" ht="29.55" customHeight="1" x14ac:dyDescent="0.25">
      <c r="A4178" s="6" t="s">
        <v>17310</v>
      </c>
      <c r="B4178" s="5" t="s">
        <v>17311</v>
      </c>
      <c r="C4178" s="5" t="s">
        <v>17312</v>
      </c>
      <c r="D4178" s="5" t="s">
        <v>17313</v>
      </c>
      <c r="E4178" s="5" t="s">
        <v>17314</v>
      </c>
      <c r="F4178" s="5" t="str">
        <f>HYPERLINK("http://www.nuovavite.it/","www.nuovavite.it")</f>
        <v>www.nuovavite.it</v>
      </c>
    </row>
    <row r="4179" spans="1:6" ht="29.55" customHeight="1" x14ac:dyDescent="0.25">
      <c r="A4179" s="1" t="s">
        <v>17318</v>
      </c>
      <c r="B4179" s="7" t="s">
        <v>17319</v>
      </c>
      <c r="C4179" s="7" t="s">
        <v>17315</v>
      </c>
      <c r="D4179" s="7" t="s">
        <v>17320</v>
      </c>
      <c r="E4179" s="7" t="s">
        <v>17321</v>
      </c>
      <c r="F4179" s="7" t="str">
        <f>HYPERLINK("http://www.villaninetta.com/","www.villaninetta.com")</f>
        <v>www.villaninetta.com</v>
      </c>
    </row>
    <row r="4180" spans="1:6" ht="29.55" customHeight="1" x14ac:dyDescent="0.25">
      <c r="A4180" s="1" t="s">
        <v>17322</v>
      </c>
      <c r="B4180" s="7" t="s">
        <v>17323</v>
      </c>
      <c r="C4180" s="7" t="s">
        <v>17324</v>
      </c>
      <c r="D4180" s="7" t="s">
        <v>17325</v>
      </c>
      <c r="E4180" s="7" t="s">
        <v>17326</v>
      </c>
      <c r="F4180" s="7" t="str">
        <f>HYPERLINK("http://www.seremus.it/","www.seremus.it")</f>
        <v>www.seremus.it</v>
      </c>
    </row>
    <row r="4181" spans="1:6" ht="16.95" customHeight="1" x14ac:dyDescent="0.25">
      <c r="A4181" s="1" t="s">
        <v>17327</v>
      </c>
      <c r="B4181" s="7" t="s">
        <v>17328</v>
      </c>
      <c r="C4181" s="7" t="s">
        <v>17329</v>
      </c>
      <c r="D4181" s="7" t="s">
        <v>17316</v>
      </c>
      <c r="E4181" s="7" t="s">
        <v>17317</v>
      </c>
      <c r="F4181" s="7" t="str">
        <f>HYPERLINK("http://www.ilcolle-wedding.it/","www.ilcolle-wedding.it")</f>
        <v>www.ilcolle-wedding.it</v>
      </c>
    </row>
    <row r="4182" spans="1:6" ht="16.95" customHeight="1" x14ac:dyDescent="0.25">
      <c r="A4182" s="1" t="s">
        <v>17332</v>
      </c>
      <c r="B4182" s="7" t="s">
        <v>17333</v>
      </c>
      <c r="C4182" s="7" t="s">
        <v>17334</v>
      </c>
      <c r="D4182" s="7" t="s">
        <v>17335</v>
      </c>
      <c r="E4182" s="7" t="s">
        <v>17336</v>
      </c>
      <c r="F4182" s="7" t="str">
        <f>HYPERLINK("http://studioceri.it/","studioceri.it")</f>
        <v>studioceri.it</v>
      </c>
    </row>
    <row r="4183" spans="1:6" ht="29.55" customHeight="1" x14ac:dyDescent="0.25">
      <c r="A4183" s="1" t="s">
        <v>17339</v>
      </c>
      <c r="B4183" s="7" t="s">
        <v>17340</v>
      </c>
      <c r="C4183" s="7" t="s">
        <v>17341</v>
      </c>
      <c r="D4183" s="7" t="s">
        <v>17342</v>
      </c>
      <c r="E4183" s="7" t="s">
        <v>17343</v>
      </c>
      <c r="F4183" s="7" t="str">
        <f>HYPERLINK("http://www.agriturismoalranch.it/","www.agriturismoalranch.it")</f>
        <v>www.agriturismoalranch.it</v>
      </c>
    </row>
    <row r="4184" spans="1:6" ht="16.95" customHeight="1" x14ac:dyDescent="0.25">
      <c r="A4184" s="1" t="s">
        <v>17345</v>
      </c>
      <c r="B4184" s="7" t="s">
        <v>17346</v>
      </c>
      <c r="C4184" s="7" t="s">
        <v>17338</v>
      </c>
      <c r="D4184" s="7" t="s">
        <v>17347</v>
      </c>
      <c r="E4184" s="7" t="s">
        <v>17336</v>
      </c>
      <c r="F4184" s="7" t="str">
        <f>HYPERLINK("http://podereruggeri.com/","podereruggeri.com")</f>
        <v>podereruggeri.com</v>
      </c>
    </row>
    <row r="4185" spans="1:6" ht="16.95" customHeight="1" x14ac:dyDescent="0.25">
      <c r="A4185" s="6" t="s">
        <v>17348</v>
      </c>
      <c r="B4185" s="5" t="s">
        <v>17349</v>
      </c>
      <c r="C4185" s="5" t="s">
        <v>17337</v>
      </c>
      <c r="D4185" s="5" t="s">
        <v>17350</v>
      </c>
      <c r="E4185" s="5" t="s">
        <v>17344</v>
      </c>
      <c r="F4185" s="5" t="str">
        <f>HYPERLINK("http://www.regaltruffle.it/","www.regaltruffle.it")</f>
        <v>www.regaltruffle.it</v>
      </c>
    </row>
    <row r="4186" spans="1:6" ht="16.95" customHeight="1" x14ac:dyDescent="0.25">
      <c r="A4186" s="6" t="s">
        <v>17351</v>
      </c>
      <c r="B4186" s="5" t="s">
        <v>17352</v>
      </c>
      <c r="C4186" s="5" t="s">
        <v>17334</v>
      </c>
      <c r="D4186" s="5" t="s">
        <v>17330</v>
      </c>
      <c r="E4186" s="5" t="s">
        <v>17331</v>
      </c>
      <c r="F4186" s="5" t="str">
        <f>HYPERLINK("http://www.relaisnadyne.com/","www.relaisnadyne.com")</f>
        <v>www.relaisnadyne.com</v>
      </c>
    </row>
    <row r="4187" spans="1:6" ht="55.65" customHeight="1" x14ac:dyDescent="0.25">
      <c r="A4187" s="1" t="s">
        <v>17353</v>
      </c>
      <c r="B4187" s="7" t="s">
        <v>17354</v>
      </c>
      <c r="C4187" s="7" t="s">
        <v>17355</v>
      </c>
      <c r="D4187" s="7" t="s">
        <v>17356</v>
      </c>
      <c r="E4187" s="7" t="s">
        <v>17357</v>
      </c>
      <c r="F4187" s="7" t="str">
        <f>HYPERLINK("http://www.dellaterra.it/","www.dellaterra.it")</f>
        <v>www.dellaterra.it</v>
      </c>
    </row>
    <row r="4188" spans="1:6" ht="16.95" customHeight="1" x14ac:dyDescent="0.25">
      <c r="A4188" s="1" t="s">
        <v>17358</v>
      </c>
      <c r="B4188" s="7" t="s">
        <v>17359</v>
      </c>
      <c r="C4188" s="7" t="s">
        <v>17360</v>
      </c>
      <c r="D4188" s="7" t="s">
        <v>17361</v>
      </c>
      <c r="E4188" s="7" t="s">
        <v>17336</v>
      </c>
      <c r="F4188" s="7" t="str">
        <f>HYPERLINK("http://www.aimassi.it/","www.aimassi.it")</f>
        <v>www.aimassi.it</v>
      </c>
    </row>
    <row r="4189" spans="1:6" ht="29.55" customHeight="1" x14ac:dyDescent="0.25">
      <c r="A4189" s="6" t="s">
        <v>17365</v>
      </c>
      <c r="B4189" s="5" t="s">
        <v>17366</v>
      </c>
      <c r="C4189" s="5" t="s">
        <v>17367</v>
      </c>
      <c r="D4189" s="5" t="s">
        <v>17368</v>
      </c>
      <c r="E4189" s="5" t="s">
        <v>17364</v>
      </c>
      <c r="F4189" s="5" t="str">
        <f>HYPERLINK("http://www.oliocassiavetus.it/","www.oliocassiavetus.it")</f>
        <v>www.oliocassiavetus.it</v>
      </c>
    </row>
    <row r="4190" spans="1:6" ht="43.05" customHeight="1" x14ac:dyDescent="0.25">
      <c r="A4190" s="1" t="s">
        <v>17369</v>
      </c>
      <c r="B4190" s="7" t="s">
        <v>17370</v>
      </c>
      <c r="C4190" s="7" t="s">
        <v>17371</v>
      </c>
      <c r="D4190" s="7" t="s">
        <v>17372</v>
      </c>
      <c r="E4190" s="7" t="s">
        <v>17373</v>
      </c>
      <c r="F4190" s="7" t="str">
        <f>HYPERLINK("http://www.collinediaffile.it/","www.collinediaffile.it")</f>
        <v>www.collinediaffile.it</v>
      </c>
    </row>
    <row r="4191" spans="1:6" ht="29.55" customHeight="1" x14ac:dyDescent="0.25">
      <c r="A4191" s="1" t="s">
        <v>17378</v>
      </c>
      <c r="B4191" s="7" t="s">
        <v>17379</v>
      </c>
      <c r="C4191" s="7" t="s">
        <v>17376</v>
      </c>
      <c r="D4191" s="7" t="s">
        <v>17380</v>
      </c>
      <c r="E4191" s="7" t="s">
        <v>17377</v>
      </c>
      <c r="F4191" s="7" t="str">
        <f>HYPERLINK("http://www.casaleronchetto.it/","www.casaleronchetto.it")</f>
        <v>www.casaleronchetto.it</v>
      </c>
    </row>
    <row r="4192" spans="1:6" ht="29.55" customHeight="1" x14ac:dyDescent="0.25">
      <c r="A4192" s="6" t="s">
        <v>17381</v>
      </c>
      <c r="B4192" s="5" t="s">
        <v>17382</v>
      </c>
      <c r="C4192" s="5" t="s">
        <v>17383</v>
      </c>
      <c r="D4192" s="5" t="s">
        <v>17384</v>
      </c>
      <c r="E4192" s="5" t="s">
        <v>17385</v>
      </c>
      <c r="F4192" s="5" t="str">
        <f>HYPERLINK("http://www.struss.it/","www.struss.it")</f>
        <v>www.struss.it</v>
      </c>
    </row>
    <row r="4193" spans="1:6" ht="81.75" customHeight="1" x14ac:dyDescent="0.25">
      <c r="A4193" s="6" t="s">
        <v>17387</v>
      </c>
      <c r="B4193" s="5" t="s">
        <v>17388</v>
      </c>
      <c r="C4193" s="5" t="s">
        <v>17389</v>
      </c>
      <c r="D4193" s="5" t="s">
        <v>17390</v>
      </c>
      <c r="E4193" s="5" t="s">
        <v>17364</v>
      </c>
      <c r="F4193" s="5" t="str">
        <f>HYPERLINK("http://www.biserno.it/","www.biserno.it")</f>
        <v>www.biserno.it</v>
      </c>
    </row>
    <row r="4194" spans="1:6" ht="55.65" customHeight="1" x14ac:dyDescent="0.25">
      <c r="A4194" s="1" t="s">
        <v>17391</v>
      </c>
      <c r="B4194" s="7" t="s">
        <v>17392</v>
      </c>
      <c r="C4194" s="7" t="s">
        <v>17362</v>
      </c>
      <c r="D4194" s="7" t="s">
        <v>17372</v>
      </c>
      <c r="E4194" s="7" t="s">
        <v>17373</v>
      </c>
      <c r="F4194" s="7" t="str">
        <f>HYPERLINK("http://www.absfoodsolutions.com/","www.absfoodsolutions.com")</f>
        <v>www.absfoodsolutions.com</v>
      </c>
    </row>
    <row r="4195" spans="1:6" ht="55.65" customHeight="1" x14ac:dyDescent="0.25">
      <c r="A4195" s="6" t="s">
        <v>17393</v>
      </c>
      <c r="B4195" s="5" t="s">
        <v>17394</v>
      </c>
      <c r="C4195" s="5" t="s">
        <v>17395</v>
      </c>
      <c r="D4195" s="5" t="s">
        <v>17396</v>
      </c>
      <c r="E4195" s="5" t="s">
        <v>17397</v>
      </c>
      <c r="F4195" s="5" t="str">
        <f>HYPERLINK("http://www.ilpostodelleviole.com/","www.ilpostodelleviole.com")</f>
        <v>www.ilpostodelleviole.com</v>
      </c>
    </row>
    <row r="4196" spans="1:6" ht="29.55" customHeight="1" x14ac:dyDescent="0.25">
      <c r="A4196" s="6" t="s">
        <v>17398</v>
      </c>
      <c r="B4196" s="5" t="s">
        <v>17399</v>
      </c>
      <c r="C4196" s="5" t="s">
        <v>17400</v>
      </c>
      <c r="D4196" s="5" t="s">
        <v>17401</v>
      </c>
      <c r="E4196" s="5" t="s">
        <v>17402</v>
      </c>
      <c r="F4196" s="5" t="str">
        <f>HYPERLINK("http://www.leterredellacarolea.it/","www.leterredellacarolea.it")</f>
        <v>www.leterredellacarolea.it</v>
      </c>
    </row>
    <row r="4197" spans="1:6" ht="29.55" customHeight="1" x14ac:dyDescent="0.25">
      <c r="A4197" s="6" t="s">
        <v>17403</v>
      </c>
      <c r="B4197" s="5" t="s">
        <v>17404</v>
      </c>
      <c r="C4197" s="5" t="s">
        <v>17362</v>
      </c>
      <c r="D4197" s="5" t="s">
        <v>17405</v>
      </c>
      <c r="E4197" s="5" t="s">
        <v>17402</v>
      </c>
      <c r="F4197" s="5" t="str">
        <f>HYPERLINK("http://www.agricolabrigha.com/","www.agricolabrigha.com")</f>
        <v>www.agricolabrigha.com</v>
      </c>
    </row>
    <row r="4198" spans="1:6" ht="43.05" customHeight="1" x14ac:dyDescent="0.25">
      <c r="A4198" s="1" t="s">
        <v>17406</v>
      </c>
      <c r="B4198" s="7" t="s">
        <v>17407</v>
      </c>
      <c r="C4198" s="7" t="s">
        <v>17383</v>
      </c>
      <c r="D4198" s="7" t="s">
        <v>17374</v>
      </c>
      <c r="E4198" s="7" t="s">
        <v>17375</v>
      </c>
      <c r="F4198" s="7" t="str">
        <f>HYPERLINK("http://www.latofres.com/lavorazioni/","www.latofres.com/lavorazioni/")</f>
        <v>www.latofres.com/lavorazioni/</v>
      </c>
    </row>
    <row r="4199" spans="1:6" ht="29.55" customHeight="1" x14ac:dyDescent="0.25">
      <c r="A4199" s="1" t="s">
        <v>17408</v>
      </c>
      <c r="B4199" s="7" t="s">
        <v>17409</v>
      </c>
      <c r="C4199" s="7" t="s">
        <v>17410</v>
      </c>
      <c r="D4199" s="7" t="s">
        <v>17411</v>
      </c>
      <c r="E4199" s="7" t="s">
        <v>17386</v>
      </c>
      <c r="F4199" s="7" t="str">
        <f>HYPERLINK("http://www.agrobiol.com/","www.agrobiol.com")</f>
        <v>www.agrobiol.com</v>
      </c>
    </row>
    <row r="4200" spans="1:6" ht="29.55" customHeight="1" x14ac:dyDescent="0.25">
      <c r="A4200" s="6" t="s">
        <v>17412</v>
      </c>
      <c r="B4200" s="5" t="s">
        <v>17413</v>
      </c>
      <c r="C4200" s="5" t="s">
        <v>17414</v>
      </c>
      <c r="D4200" s="5" t="s">
        <v>17415</v>
      </c>
      <c r="E4200" s="5" t="s">
        <v>17416</v>
      </c>
      <c r="F4200" s="5" t="str">
        <f>HYPERLINK("http://www.shardanaevents.com/","www.shardanaevents.com")</f>
        <v>www.shardanaevents.com</v>
      </c>
    </row>
    <row r="4201" spans="1:6" ht="43.05" customHeight="1" x14ac:dyDescent="0.25">
      <c r="A4201" s="1" t="s">
        <v>17417</v>
      </c>
      <c r="B4201" s="7" t="s">
        <v>17418</v>
      </c>
      <c r="C4201" s="7" t="s">
        <v>17419</v>
      </c>
      <c r="D4201" s="7" t="s">
        <v>17363</v>
      </c>
      <c r="E4201" s="7" t="s">
        <v>17364</v>
      </c>
      <c r="F4201" s="7" t="str">
        <f>HYPERLINK("http://www.circuito.biz/","www.circuito.biz")</f>
        <v>www.circuito.biz</v>
      </c>
    </row>
    <row r="4202" spans="1:6" ht="29.55" customHeight="1" x14ac:dyDescent="0.25">
      <c r="A4202" s="6" t="s">
        <v>17421</v>
      </c>
      <c r="B4202" s="5" t="s">
        <v>17422</v>
      </c>
      <c r="C4202" s="5" t="s">
        <v>17420</v>
      </c>
      <c r="D4202" s="5" t="s">
        <v>17423</v>
      </c>
      <c r="E4202" s="5" t="s">
        <v>17424</v>
      </c>
      <c r="F4202" s="5" t="str">
        <f>HYPERLINK("http://www.uniagro.it/","www.uniagro.it")</f>
        <v>www.uniagro.it</v>
      </c>
    </row>
    <row r="4203" spans="1:6" ht="29.55" customHeight="1" x14ac:dyDescent="0.25">
      <c r="A4203" s="6" t="s">
        <v>17427</v>
      </c>
      <c r="B4203" s="5" t="s">
        <v>17428</v>
      </c>
      <c r="C4203" s="5" t="s">
        <v>17429</v>
      </c>
      <c r="D4203" s="5" t="s">
        <v>17430</v>
      </c>
      <c r="E4203" s="5" t="s">
        <v>17431</v>
      </c>
      <c r="F4203" s="5" t="str">
        <f>HYPERLINK("http://www.sciaraviva.it/","www.sciaraviva.it")</f>
        <v>www.sciaraviva.it</v>
      </c>
    </row>
    <row r="4204" spans="1:6" ht="29.55" customHeight="1" x14ac:dyDescent="0.25">
      <c r="A4204" s="6" t="s">
        <v>17433</v>
      </c>
      <c r="B4204" s="5" t="s">
        <v>17434</v>
      </c>
      <c r="C4204" s="5" t="s">
        <v>17435</v>
      </c>
      <c r="D4204" s="5" t="s">
        <v>17436</v>
      </c>
      <c r="E4204" s="5" t="s">
        <v>17437</v>
      </c>
      <c r="F4204" s="5" t="str">
        <f>HYPERLINK("http://www.facebook.com/profile.php?id=100086999527792","www.facebook.com/profile.php?id=100086999527792")</f>
        <v>www.facebook.com/profile.php?id=100086999527792</v>
      </c>
    </row>
    <row r="4205" spans="1:6" ht="29.55" customHeight="1" x14ac:dyDescent="0.25">
      <c r="A4205" s="6" t="s">
        <v>17438</v>
      </c>
      <c r="B4205" s="5" t="s">
        <v>17439</v>
      </c>
      <c r="C4205" s="5" t="s">
        <v>17440</v>
      </c>
      <c r="D4205" s="5" t="s">
        <v>17441</v>
      </c>
      <c r="E4205" s="5" t="s">
        <v>17432</v>
      </c>
      <c r="F4205" s="5" t="str">
        <f>HYPERLINK("http://www.allevamentodelripa.it/","www.allevamentodelripa.it")</f>
        <v>www.allevamentodelripa.it</v>
      </c>
    </row>
    <row r="4206" spans="1:6" ht="16.95" customHeight="1" x14ac:dyDescent="0.25">
      <c r="A4206" s="6" t="s">
        <v>17442</v>
      </c>
      <c r="B4206" s="5" t="s">
        <v>17443</v>
      </c>
      <c r="C4206" s="5" t="s">
        <v>17444</v>
      </c>
      <c r="D4206" s="5" t="s">
        <v>17445</v>
      </c>
      <c r="E4206" s="5" t="s">
        <v>17446</v>
      </c>
      <c r="F4206" s="5" t="str">
        <f>HYPERLINK("http://www.demastart.simplesite.com/","www.demastart.simplesite.com")</f>
        <v>www.demastart.simplesite.com</v>
      </c>
    </row>
    <row r="4207" spans="1:6" ht="29.55" customHeight="1" x14ac:dyDescent="0.25">
      <c r="A4207" s="6" t="s">
        <v>17448</v>
      </c>
      <c r="B4207" s="5" t="s">
        <v>17449</v>
      </c>
      <c r="C4207" s="5" t="s">
        <v>17450</v>
      </c>
      <c r="D4207" s="5" t="s">
        <v>17451</v>
      </c>
      <c r="E4207" s="5" t="s">
        <v>17425</v>
      </c>
      <c r="F4207" s="5" t="str">
        <f>HYPERLINK("http://caprabio.it/","caprabio.it")</f>
        <v>caprabio.it</v>
      </c>
    </row>
    <row r="4208" spans="1:6" ht="43.05" customHeight="1" x14ac:dyDescent="0.25">
      <c r="A4208" s="1" t="s">
        <v>17452</v>
      </c>
      <c r="B4208" s="7" t="s">
        <v>17453</v>
      </c>
      <c r="C4208" s="7" t="s">
        <v>17454</v>
      </c>
      <c r="D4208" s="7" t="s">
        <v>17430</v>
      </c>
      <c r="E4208" s="7" t="s">
        <v>17431</v>
      </c>
      <c r="F4208" s="7" t="str">
        <f>HYPERLINK("http://www.castelbolo.it/","www.castelbolo.it")</f>
        <v>www.castelbolo.it</v>
      </c>
    </row>
    <row r="4209" spans="1:6" ht="29.55" customHeight="1" x14ac:dyDescent="0.25">
      <c r="A4209" s="1" t="s">
        <v>17455</v>
      </c>
      <c r="B4209" s="7" t="s">
        <v>17456</v>
      </c>
      <c r="C4209" s="7" t="s">
        <v>17457</v>
      </c>
      <c r="D4209" s="7" t="s">
        <v>17430</v>
      </c>
      <c r="E4209" s="7" t="s">
        <v>17431</v>
      </c>
      <c r="F4209" s="7" t="str">
        <f>HYPERLINK("http://societaagricolagreenlife.com/","societaagricolagreenlife.com")</f>
        <v>societaagricolagreenlife.com</v>
      </c>
    </row>
    <row r="4210" spans="1:6" ht="55.65" customHeight="1" x14ac:dyDescent="0.25">
      <c r="A4210" s="6" t="s">
        <v>17460</v>
      </c>
      <c r="B4210" s="5" t="s">
        <v>17461</v>
      </c>
      <c r="C4210" s="5" t="s">
        <v>17426</v>
      </c>
      <c r="D4210" s="5" t="s">
        <v>17458</v>
      </c>
      <c r="E4210" s="5" t="s">
        <v>17459</v>
      </c>
      <c r="F4210" s="5" t="str">
        <f>HYPERLINK("http://www.agricolacolfiorito.it/","www.agricolacolfiorito.it")</f>
        <v>www.agricolacolfiorito.it</v>
      </c>
    </row>
    <row r="4211" spans="1:6" ht="43.05" customHeight="1" x14ac:dyDescent="0.25">
      <c r="A4211" s="1" t="s">
        <v>17462</v>
      </c>
      <c r="B4211" s="7" t="s">
        <v>17463</v>
      </c>
      <c r="C4211" s="7" t="s">
        <v>17447</v>
      </c>
      <c r="D4211" s="7" t="s">
        <v>17436</v>
      </c>
      <c r="E4211" s="7" t="s">
        <v>17437</v>
      </c>
      <c r="F4211" s="7" t="str">
        <f>HYPERLINK("http://www.barimedical.it/","www.barimedical.it")</f>
        <v>www.barimedical.it</v>
      </c>
    </row>
    <row r="4212" spans="1:6" ht="68.099999999999994" customHeight="1" x14ac:dyDescent="0.25">
      <c r="A4212" s="1" t="s">
        <v>17466</v>
      </c>
      <c r="B4212" s="7" t="s">
        <v>17467</v>
      </c>
      <c r="C4212" s="7" t="s">
        <v>17468</v>
      </c>
      <c r="D4212" s="7" t="s">
        <v>17469</v>
      </c>
      <c r="E4212" s="7" t="s">
        <v>17464</v>
      </c>
      <c r="F4212" s="7" t="str">
        <f>HYPERLINK("http://www.querceta.com/","www.querceta.com")</f>
        <v>www.querceta.com</v>
      </c>
    </row>
    <row r="4213" spans="1:6" ht="43.05" customHeight="1" x14ac:dyDescent="0.25">
      <c r="A4213" s="6" t="s">
        <v>17470</v>
      </c>
      <c r="B4213" s="5" t="s">
        <v>17471</v>
      </c>
      <c r="C4213" s="5" t="s">
        <v>17472</v>
      </c>
      <c r="D4213" s="5" t="s">
        <v>17473</v>
      </c>
      <c r="E4213" s="5" t="s">
        <v>17474</v>
      </c>
      <c r="F4213" s="5" t="str">
        <f>HYPERLINK("http://www.mulinobencivenga.it/","www.mulinobencivenga.it")</f>
        <v>www.mulinobencivenga.it</v>
      </c>
    </row>
    <row r="4214" spans="1:6" ht="29.55" customHeight="1" x14ac:dyDescent="0.25">
      <c r="A4214" s="1" t="s">
        <v>17476</v>
      </c>
      <c r="B4214" s="7" t="s">
        <v>17477</v>
      </c>
      <c r="C4214" s="7" t="s">
        <v>17478</v>
      </c>
      <c r="D4214" s="7" t="s">
        <v>17479</v>
      </c>
      <c r="E4214" s="7" t="s">
        <v>17480</v>
      </c>
      <c r="F4214" s="7" t="str">
        <f>HYPERLINK("http://m.valdorciaterresenesi.com/","m.valdorciaterresenesi.com")</f>
        <v>m.valdorciaterresenesi.com</v>
      </c>
    </row>
    <row r="4215" spans="1:6" ht="16.95" customHeight="1" x14ac:dyDescent="0.25">
      <c r="A4215" s="1" t="s">
        <v>17482</v>
      </c>
      <c r="B4215" s="7" t="s">
        <v>17483</v>
      </c>
      <c r="C4215" s="7" t="s">
        <v>17465</v>
      </c>
      <c r="D4215" s="7" t="s">
        <v>17484</v>
      </c>
      <c r="E4215" s="7" t="s">
        <v>17485</v>
      </c>
      <c r="F4215" s="7" t="str">
        <f>HYPERLINK("http://www.gruppoluzi.it/","www.gruppoluzi.it")</f>
        <v>www.gruppoluzi.it</v>
      </c>
    </row>
    <row r="4216" spans="1:6" ht="94.2" customHeight="1" x14ac:dyDescent="0.25">
      <c r="A4216" s="1" t="s">
        <v>17486</v>
      </c>
      <c r="B4216" s="7" t="s">
        <v>17487</v>
      </c>
      <c r="C4216" s="7" t="s">
        <v>17478</v>
      </c>
      <c r="D4216" s="7" t="s">
        <v>17479</v>
      </c>
      <c r="E4216" s="7" t="s">
        <v>17480</v>
      </c>
      <c r="F4216" s="7" t="str">
        <f>HYPERLINK("http://www.hotelsanleonino.com/","www.hotelsanleonino.com")</f>
        <v>www.hotelsanleonino.com</v>
      </c>
    </row>
    <row r="4217" spans="1:6" ht="29.55" customHeight="1" x14ac:dyDescent="0.25">
      <c r="A4217" s="6" t="s">
        <v>17488</v>
      </c>
      <c r="B4217" s="5" t="s">
        <v>17489</v>
      </c>
      <c r="C4217" s="5" t="s">
        <v>17478</v>
      </c>
      <c r="D4217" s="5" t="s">
        <v>17490</v>
      </c>
      <c r="E4217" s="5" t="s">
        <v>17491</v>
      </c>
      <c r="F4217" s="5" t="str">
        <f>HYPERLINK("http://villaclementina.com/","villaclementina.com")</f>
        <v>villaclementina.com</v>
      </c>
    </row>
    <row r="4218" spans="1:6" ht="29.55" customHeight="1" x14ac:dyDescent="0.25">
      <c r="A4218" s="1" t="s">
        <v>17492</v>
      </c>
      <c r="B4218" s="7" t="s">
        <v>17493</v>
      </c>
      <c r="C4218" s="7" t="s">
        <v>17475</v>
      </c>
      <c r="D4218" s="7" t="s">
        <v>17494</v>
      </c>
      <c r="E4218" s="7" t="s">
        <v>17495</v>
      </c>
      <c r="F4218" s="7" t="str">
        <f>HYPERLINK("http://agricolaicare.it/","agricolaicare.it")</f>
        <v>agricolaicare.it</v>
      </c>
    </row>
    <row r="4219" spans="1:6" ht="43.05" customHeight="1" x14ac:dyDescent="0.25">
      <c r="A4219" s="1" t="s">
        <v>17498</v>
      </c>
      <c r="B4219" s="7" t="s">
        <v>17499</v>
      </c>
      <c r="C4219" s="7" t="s">
        <v>17497</v>
      </c>
      <c r="D4219" s="7" t="s">
        <v>17500</v>
      </c>
      <c r="E4219" s="7" t="s">
        <v>17496</v>
      </c>
      <c r="F4219" s="7" t="str">
        <f>HYPERLINK("http://www.ildivinpensatore.com/","www.ildivinpensatore.com")</f>
        <v>www.ildivinpensatore.com</v>
      </c>
    </row>
    <row r="4220" spans="1:6" ht="43.05" customHeight="1" x14ac:dyDescent="0.25">
      <c r="A4220" s="6" t="s">
        <v>17501</v>
      </c>
      <c r="B4220" s="5" t="s">
        <v>17502</v>
      </c>
      <c r="C4220" s="5" t="s">
        <v>17503</v>
      </c>
      <c r="D4220" s="5" t="s">
        <v>17481</v>
      </c>
      <c r="E4220" s="5" t="s">
        <v>17464</v>
      </c>
      <c r="F4220" s="5" t="str">
        <f>HYPERLINK("http://www.fascinoanticotrulli.com/","www.fascinoanticotrulli.com")</f>
        <v>www.fascinoanticotrulli.com</v>
      </c>
    </row>
    <row r="4221" spans="1:6" ht="29.55" customHeight="1" x14ac:dyDescent="0.25">
      <c r="A4221" s="1" t="s">
        <v>17504</v>
      </c>
      <c r="B4221" s="7" t="s">
        <v>17505</v>
      </c>
      <c r="C4221" s="7" t="s">
        <v>17506</v>
      </c>
      <c r="D4221" s="7" t="s">
        <v>17507</v>
      </c>
      <c r="E4221" s="7" t="s">
        <v>17508</v>
      </c>
      <c r="F4221" s="7" t="str">
        <f>HYPERLINK("http://en.rasinia.com/","en.rasinia.com")</f>
        <v>en.rasinia.com</v>
      </c>
    </row>
    <row r="4222" spans="1:6" ht="29.55" customHeight="1" x14ac:dyDescent="0.25">
      <c r="A4222" s="1" t="s">
        <v>17509</v>
      </c>
      <c r="B4222" s="7" t="s">
        <v>17510</v>
      </c>
      <c r="C4222" s="7" t="s">
        <v>17511</v>
      </c>
      <c r="D4222" s="7" t="s">
        <v>17512</v>
      </c>
      <c r="E4222" s="7" t="s">
        <v>17513</v>
      </c>
      <c r="F4222" s="7" t="str">
        <f>HYPERLINK("http://www.humansgarden.com/","www.humansgarden.com")</f>
        <v>www.humansgarden.com</v>
      </c>
    </row>
    <row r="4223" spans="1:6" ht="43.05" customHeight="1" x14ac:dyDescent="0.25">
      <c r="A4223" s="6" t="s">
        <v>17514</v>
      </c>
      <c r="B4223" s="5" t="s">
        <v>17515</v>
      </c>
      <c r="C4223" s="5" t="s">
        <v>17516</v>
      </c>
      <c r="D4223" s="5" t="s">
        <v>17517</v>
      </c>
      <c r="E4223" s="5" t="s">
        <v>17518</v>
      </c>
      <c r="F4223" s="5" t="str">
        <f>HYPERLINK("http://www.tenutaclivodelcardinale.it/","www.tenutaclivodelcardinale.it")</f>
        <v>www.tenutaclivodelcardinale.it</v>
      </c>
    </row>
    <row r="4224" spans="1:6" ht="16.95" customHeight="1" x14ac:dyDescent="0.25">
      <c r="A4224" s="1" t="s">
        <v>17522</v>
      </c>
      <c r="B4224" s="7" t="s">
        <v>17523</v>
      </c>
      <c r="C4224" s="7" t="s">
        <v>17521</v>
      </c>
      <c r="D4224" s="7" t="s">
        <v>17524</v>
      </c>
      <c r="E4224" s="7" t="s">
        <v>17519</v>
      </c>
      <c r="F4224" s="7" t="str">
        <f>HYPERLINK("http://www.asotom.it/","www.asotom.it")</f>
        <v>www.asotom.it</v>
      </c>
    </row>
    <row r="4225" spans="1:6" ht="68.099999999999994" customHeight="1" x14ac:dyDescent="0.25">
      <c r="A4225" s="6" t="s">
        <v>17527</v>
      </c>
      <c r="B4225" s="5" t="s">
        <v>17528</v>
      </c>
      <c r="C4225" s="5" t="s">
        <v>17529</v>
      </c>
      <c r="D4225" s="5" t="s">
        <v>17517</v>
      </c>
      <c r="E4225" s="5" t="s">
        <v>17518</v>
      </c>
      <c r="F4225" s="5" t="str">
        <f>HYPERLINK("http://www.helycase.com/","www.helycase.com")</f>
        <v>www.helycase.com</v>
      </c>
    </row>
    <row r="4226" spans="1:6" ht="29.55" customHeight="1" x14ac:dyDescent="0.25">
      <c r="A4226" s="6" t="s">
        <v>17530</v>
      </c>
      <c r="B4226" s="5" t="s">
        <v>17531</v>
      </c>
      <c r="C4226" s="5" t="s">
        <v>17520</v>
      </c>
      <c r="D4226" s="5" t="s">
        <v>17507</v>
      </c>
      <c r="E4226" s="5" t="s">
        <v>17508</v>
      </c>
      <c r="F4226" s="5" t="str">
        <f>HYPERLINK("http://www.ferrari-iris.com/","www.ferrari-iris.com")</f>
        <v>www.ferrari-iris.com</v>
      </c>
    </row>
    <row r="4227" spans="1:6" ht="29.55" customHeight="1" x14ac:dyDescent="0.25">
      <c r="A4227" s="6" t="s">
        <v>17532</v>
      </c>
      <c r="B4227" s="5" t="s">
        <v>17533</v>
      </c>
      <c r="C4227" s="5" t="s">
        <v>17521</v>
      </c>
      <c r="D4227" s="5" t="s">
        <v>17525</v>
      </c>
      <c r="E4227" s="5" t="s">
        <v>17526</v>
      </c>
      <c r="F4227" s="5" t="str">
        <f>HYPERLINK("http://farmhouse-il-giardino-di-lorenzo-biagina.realitaly.top/","farmhouse-il-giardino-di-lorenzo-biagina.realitaly.top")</f>
        <v>farmhouse-il-giardino-di-lorenzo-biagina.realitaly.top</v>
      </c>
    </row>
    <row r="4228" spans="1:6" ht="29.55" customHeight="1" x14ac:dyDescent="0.25">
      <c r="A4228" s="6" t="s">
        <v>17537</v>
      </c>
      <c r="B4228" s="5" t="s">
        <v>17538</v>
      </c>
      <c r="C4228" s="5" t="s">
        <v>17539</v>
      </c>
      <c r="D4228" s="5" t="s">
        <v>17540</v>
      </c>
      <c r="E4228" s="5" t="s">
        <v>17541</v>
      </c>
      <c r="F4228" s="5" t="str">
        <f>HYPERLINK("http://www.ilcervorampante.it/","www.ilcervorampante.it")</f>
        <v>www.ilcervorampante.it</v>
      </c>
    </row>
    <row r="4229" spans="1:6" ht="16.95" customHeight="1" x14ac:dyDescent="0.25">
      <c r="A4229" s="6" t="s">
        <v>17543</v>
      </c>
      <c r="B4229" s="5" t="s">
        <v>17544</v>
      </c>
      <c r="C4229" s="5" t="s">
        <v>17539</v>
      </c>
      <c r="D4229" s="5" t="s">
        <v>17545</v>
      </c>
      <c r="E4229" s="5" t="s">
        <v>17546</v>
      </c>
      <c r="F4229" s="5" t="str">
        <f>HYPERLINK("http://www.agricoladuetorri.it/","www.agricoladuetorri.it")</f>
        <v>www.agricoladuetorri.it</v>
      </c>
    </row>
    <row r="4230" spans="1:6" ht="29.55" customHeight="1" x14ac:dyDescent="0.25">
      <c r="A4230" s="6" t="s">
        <v>17548</v>
      </c>
      <c r="B4230" s="5" t="s">
        <v>17549</v>
      </c>
      <c r="C4230" s="5" t="s">
        <v>17534</v>
      </c>
      <c r="D4230" s="5" t="s">
        <v>17535</v>
      </c>
      <c r="E4230" s="5" t="s">
        <v>17536</v>
      </c>
      <c r="F4230" s="5" t="str">
        <f>HYPERLINK("http://grigeiro.com/","grigeiro.com")</f>
        <v>grigeiro.com</v>
      </c>
    </row>
    <row r="4231" spans="1:6" ht="29.55" customHeight="1" x14ac:dyDescent="0.25">
      <c r="A4231" s="6" t="s">
        <v>17551</v>
      </c>
      <c r="B4231" s="5" t="s">
        <v>17552</v>
      </c>
      <c r="C4231" s="5" t="s">
        <v>17534</v>
      </c>
      <c r="D4231" s="5" t="s">
        <v>17553</v>
      </c>
      <c r="E4231" s="5" t="s">
        <v>17542</v>
      </c>
      <c r="F4231" s="5" t="str">
        <f>HYPERLINK("http://www.lafontursia.it/","www.lafontursia.it")</f>
        <v>www.lafontursia.it</v>
      </c>
    </row>
    <row r="4232" spans="1:6" ht="43.05" customHeight="1" x14ac:dyDescent="0.25">
      <c r="A4232" s="6" t="s">
        <v>17555</v>
      </c>
      <c r="B4232" s="5" t="s">
        <v>17556</v>
      </c>
      <c r="C4232" s="5" t="s">
        <v>17554</v>
      </c>
      <c r="D4232" s="5" t="s">
        <v>17540</v>
      </c>
      <c r="E4232" s="5" t="s">
        <v>17541</v>
      </c>
      <c r="F4232" s="5" t="str">
        <f>HYPERLINK("http://www.gramigna.org/","www.gramigna.org")</f>
        <v>www.gramigna.org</v>
      </c>
    </row>
    <row r="4233" spans="1:6" ht="43.05" customHeight="1" x14ac:dyDescent="0.25">
      <c r="A4233" s="6" t="s">
        <v>17557</v>
      </c>
      <c r="B4233" s="5" t="s">
        <v>17558</v>
      </c>
      <c r="C4233" s="5" t="s">
        <v>17559</v>
      </c>
      <c r="D4233" s="5" t="s">
        <v>17540</v>
      </c>
      <c r="E4233" s="5" t="s">
        <v>17541</v>
      </c>
      <c r="F4233" s="5" t="str">
        <f>HYPERLINK("http://recchia442.wixsite.com/cantinacastelromano","recchia442.wixsite.com/cantinacastelromano")</f>
        <v>recchia442.wixsite.com/cantinacastelromano</v>
      </c>
    </row>
    <row r="4234" spans="1:6" ht="29.55" customHeight="1" x14ac:dyDescent="0.25">
      <c r="A4234" s="6" t="s">
        <v>17560</v>
      </c>
      <c r="B4234" s="5" t="s">
        <v>17561</v>
      </c>
      <c r="C4234" s="5" t="s">
        <v>17550</v>
      </c>
      <c r="D4234" s="5" t="s">
        <v>17562</v>
      </c>
      <c r="E4234" s="5" t="s">
        <v>17547</v>
      </c>
      <c r="F4234" s="5" t="str">
        <f>HYPERLINK("http://www.berrylab.it/","www.berrylab.it")</f>
        <v>www.berrylab.it</v>
      </c>
    </row>
    <row r="4235" spans="1:6" ht="43.05" customHeight="1" x14ac:dyDescent="0.25">
      <c r="A4235" s="1" t="s">
        <v>17569</v>
      </c>
      <c r="B4235" s="7" t="s">
        <v>17570</v>
      </c>
      <c r="C4235" s="7" t="s">
        <v>17567</v>
      </c>
      <c r="D4235" s="7" t="s">
        <v>17571</v>
      </c>
      <c r="E4235" s="7" t="s">
        <v>17566</v>
      </c>
      <c r="F4235" s="7" t="str">
        <f>HYPERLINK("http://www.villahumbourg.it/","www.villahumbourg.it")</f>
        <v>www.villahumbourg.it</v>
      </c>
    </row>
    <row r="4236" spans="1:6" ht="29.55" customHeight="1" x14ac:dyDescent="0.25">
      <c r="A4236" s="6" t="s">
        <v>17572</v>
      </c>
      <c r="B4236" s="5" t="s">
        <v>17573</v>
      </c>
      <c r="C4236" s="5" t="s">
        <v>17574</v>
      </c>
      <c r="D4236" s="5" t="s">
        <v>17575</v>
      </c>
      <c r="E4236" s="5" t="s">
        <v>17576</v>
      </c>
      <c r="F4236" s="5" t="str">
        <f>HYPERLINK("http://cantinavolverino.it/","cantinavolverino.it")</f>
        <v>cantinavolverino.it</v>
      </c>
    </row>
    <row r="4237" spans="1:6" ht="29.55" customHeight="1" x14ac:dyDescent="0.25">
      <c r="A4237" s="1" t="s">
        <v>17580</v>
      </c>
      <c r="B4237" s="7" t="s">
        <v>17581</v>
      </c>
      <c r="C4237" s="7" t="s">
        <v>17574</v>
      </c>
      <c r="D4237" s="7" t="s">
        <v>17582</v>
      </c>
      <c r="E4237" s="7" t="s">
        <v>17583</v>
      </c>
      <c r="F4237" s="7" t="str">
        <f>HYPERLINK("http://www.pratumcoller.it/","www.pratumcoller.it")</f>
        <v>www.pratumcoller.it</v>
      </c>
    </row>
    <row r="4238" spans="1:6" ht="43.05" customHeight="1" x14ac:dyDescent="0.25">
      <c r="A4238" s="6" t="s">
        <v>17584</v>
      </c>
      <c r="B4238" s="5" t="s">
        <v>17585</v>
      </c>
      <c r="C4238" s="5" t="s">
        <v>17567</v>
      </c>
      <c r="D4238" s="5" t="s">
        <v>17586</v>
      </c>
      <c r="E4238" s="5" t="s">
        <v>17568</v>
      </c>
      <c r="F4238" s="5" t="str">
        <f>HYPERLINK("http://www.laquerciadelcavaliere.com/","www.laquerciadelcavaliere.com")</f>
        <v>www.laquerciadelcavaliere.com</v>
      </c>
    </row>
    <row r="4239" spans="1:6" ht="29.55" customHeight="1" x14ac:dyDescent="0.25">
      <c r="A4239" s="6" t="s">
        <v>17587</v>
      </c>
      <c r="B4239" s="5" t="s">
        <v>17588</v>
      </c>
      <c r="C4239" s="5" t="s">
        <v>17579</v>
      </c>
      <c r="D4239" s="5" t="s">
        <v>17589</v>
      </c>
      <c r="E4239" s="5" t="s">
        <v>17578</v>
      </c>
      <c r="F4239" s="5" t="str">
        <f>HYPERLINK("http://www.agromeccanicareali.it/","www.agromeccanicareali.it")</f>
        <v>www.agromeccanicareali.it</v>
      </c>
    </row>
    <row r="4240" spans="1:6" ht="29.55" customHeight="1" x14ac:dyDescent="0.25">
      <c r="A4240" s="1" t="s">
        <v>17590</v>
      </c>
      <c r="B4240" s="7" t="s">
        <v>17591</v>
      </c>
      <c r="C4240" s="7" t="s">
        <v>17564</v>
      </c>
      <c r="D4240" s="7" t="s">
        <v>17577</v>
      </c>
      <c r="E4240" s="7" t="s">
        <v>17578</v>
      </c>
      <c r="F4240" s="7" t="str">
        <f>HYPERLINK("http://www.farcitalia.com/","www.farcitalia.com")</f>
        <v>www.farcitalia.com</v>
      </c>
    </row>
    <row r="4241" spans="1:6" ht="29.55" customHeight="1" x14ac:dyDescent="0.25">
      <c r="A4241" s="1" t="s">
        <v>17592</v>
      </c>
      <c r="B4241" s="7" t="s">
        <v>17593</v>
      </c>
      <c r="C4241" s="7" t="s">
        <v>17565</v>
      </c>
      <c r="D4241" s="7" t="s">
        <v>17594</v>
      </c>
      <c r="E4241" s="7" t="s">
        <v>17563</v>
      </c>
      <c r="F4241" s="7" t="str">
        <f>HYPERLINK("http://www.iruscioli.it/","www.iruscioli.it")</f>
        <v>www.iruscioli.it</v>
      </c>
    </row>
    <row r="4242" spans="1:6" ht="29.55" customHeight="1" x14ac:dyDescent="0.25">
      <c r="A4242" s="6" t="s">
        <v>17602</v>
      </c>
      <c r="B4242" s="5" t="s">
        <v>17603</v>
      </c>
      <c r="C4242" s="5" t="s">
        <v>17595</v>
      </c>
      <c r="D4242" s="5" t="s">
        <v>17604</v>
      </c>
      <c r="E4242" s="5" t="s">
        <v>17601</v>
      </c>
      <c r="F4242" s="5" t="str">
        <f>HYPERLINK("http://ilcuoredidioniso.com/","ilcuoredidioniso.com")</f>
        <v>ilcuoredidioniso.com</v>
      </c>
    </row>
    <row r="4243" spans="1:6" ht="29.55" customHeight="1" x14ac:dyDescent="0.25">
      <c r="A4243" s="1" t="s">
        <v>17607</v>
      </c>
      <c r="B4243" s="7" t="s">
        <v>17608</v>
      </c>
      <c r="C4243" s="7" t="s">
        <v>17605</v>
      </c>
      <c r="D4243" s="7" t="s">
        <v>17609</v>
      </c>
      <c r="E4243" s="7" t="s">
        <v>17610</v>
      </c>
      <c r="F4243" s="7" t="str">
        <f>HYPERLINK("http://www.splendidomus.it/","www.splendidomus.it")</f>
        <v>www.splendidomus.it</v>
      </c>
    </row>
    <row r="4244" spans="1:6" ht="29.55" customHeight="1" x14ac:dyDescent="0.25">
      <c r="A4244" s="1" t="s">
        <v>17612</v>
      </c>
      <c r="B4244" s="7" t="s">
        <v>17613</v>
      </c>
      <c r="C4244" s="7" t="s">
        <v>17606</v>
      </c>
      <c r="D4244" s="7" t="s">
        <v>17614</v>
      </c>
      <c r="E4244" s="7" t="s">
        <v>17615</v>
      </c>
      <c r="F4244" s="7" t="str">
        <f>HYPERLINK("http://cantinetonelli.it/","cantinetonelli.it")</f>
        <v>cantinetonelli.it</v>
      </c>
    </row>
    <row r="4245" spans="1:6" ht="43.05" customHeight="1" x14ac:dyDescent="0.25">
      <c r="A4245" s="6" t="s">
        <v>17616</v>
      </c>
      <c r="B4245" s="5" t="s">
        <v>17617</v>
      </c>
      <c r="C4245" s="5" t="s">
        <v>17595</v>
      </c>
      <c r="D4245" s="5" t="s">
        <v>17618</v>
      </c>
      <c r="E4245" s="5" t="s">
        <v>17619</v>
      </c>
      <c r="F4245" s="5" t="str">
        <f>HYPERLINK("http://www.agricolturarascio.com/","www.agricolturarascio.com")</f>
        <v>www.agricolturarascio.com</v>
      </c>
    </row>
    <row r="4246" spans="1:6" ht="29.55" customHeight="1" x14ac:dyDescent="0.25">
      <c r="A4246" s="6" t="s">
        <v>17620</v>
      </c>
      <c r="B4246" s="5" t="s">
        <v>17621</v>
      </c>
      <c r="C4246" s="5" t="s">
        <v>17622</v>
      </c>
      <c r="D4246" s="5" t="s">
        <v>17623</v>
      </c>
      <c r="E4246" s="5" t="s">
        <v>17619</v>
      </c>
      <c r="F4246" s="5" t="str">
        <f>HYPERLINK("http://anticatrochlea.it/","anticatrochlea.it")</f>
        <v>anticatrochlea.it</v>
      </c>
    </row>
    <row r="4247" spans="1:6" ht="29.55" customHeight="1" x14ac:dyDescent="0.25">
      <c r="A4247" s="1" t="s">
        <v>17624</v>
      </c>
      <c r="B4247" s="7" t="s">
        <v>17625</v>
      </c>
      <c r="C4247" s="7" t="s">
        <v>17597</v>
      </c>
      <c r="D4247" s="7" t="s">
        <v>17600</v>
      </c>
      <c r="E4247" s="7" t="s">
        <v>17601</v>
      </c>
      <c r="F4247" s="7" t="str">
        <f>HYPERLINK("http://www.vinipatria.it/","www.vinipatria.it")</f>
        <v>www.vinipatria.it</v>
      </c>
    </row>
    <row r="4248" spans="1:6" ht="43.05" customHeight="1" x14ac:dyDescent="0.25">
      <c r="A4248" s="6" t="s">
        <v>17626</v>
      </c>
      <c r="B4248" s="5" t="s">
        <v>17627</v>
      </c>
      <c r="C4248" s="5" t="s">
        <v>17611</v>
      </c>
      <c r="D4248" s="5" t="s">
        <v>17598</v>
      </c>
      <c r="E4248" s="5" t="s">
        <v>17599</v>
      </c>
      <c r="F4248" s="5" t="str">
        <f>HYPERLINK("http://www.agriturismomeridiana.com/","www.agriturismomeridiana.com")</f>
        <v>www.agriturismomeridiana.com</v>
      </c>
    </row>
    <row r="4249" spans="1:6" ht="43.05" customHeight="1" x14ac:dyDescent="0.25">
      <c r="A4249" s="6" t="s">
        <v>17628</v>
      </c>
      <c r="B4249" s="5" t="s">
        <v>17629</v>
      </c>
      <c r="C4249" s="5" t="s">
        <v>17630</v>
      </c>
      <c r="D4249" s="5" t="s">
        <v>17631</v>
      </c>
      <c r="E4249" s="5" t="s">
        <v>17596</v>
      </c>
      <c r="F4249" s="5" t="str">
        <f>HYPERLINK("http://www.lacanapasativa.it/","www.lacanapasativa.it")</f>
        <v>www.lacanapasativa.it</v>
      </c>
    </row>
    <row r="4250" spans="1:6" ht="29.55" customHeight="1" x14ac:dyDescent="0.25">
      <c r="A4250" s="6" t="s">
        <v>17632</v>
      </c>
      <c r="B4250" s="5" t="s">
        <v>17633</v>
      </c>
      <c r="C4250" s="5" t="s">
        <v>17634</v>
      </c>
      <c r="D4250" s="5" t="s">
        <v>17635</v>
      </c>
      <c r="E4250" s="5" t="s">
        <v>17636</v>
      </c>
      <c r="F4250" s="5" t="str">
        <f>HYPERLINK("http://www.pastapua.it/","www.pastapua.it")</f>
        <v>www.pastapua.it</v>
      </c>
    </row>
    <row r="4251" spans="1:6" ht="29.55" customHeight="1" x14ac:dyDescent="0.25">
      <c r="A4251" s="1" t="s">
        <v>17637</v>
      </c>
      <c r="B4251" s="7" t="s">
        <v>17638</v>
      </c>
      <c r="C4251" s="7" t="s">
        <v>17639</v>
      </c>
      <c r="D4251" s="7" t="s">
        <v>17640</v>
      </c>
      <c r="E4251" s="7" t="s">
        <v>17641</v>
      </c>
      <c r="F4251" s="7" t="str">
        <f>HYPERLINK("http://www.agrisibal.it/","www.agrisibal.it")</f>
        <v>www.agrisibal.it</v>
      </c>
    </row>
    <row r="4252" spans="1:6" ht="68.099999999999994" customHeight="1" x14ac:dyDescent="0.25">
      <c r="A4252" s="6" t="s">
        <v>17642</v>
      </c>
      <c r="B4252" s="5" t="s">
        <v>17643</v>
      </c>
      <c r="C4252" s="5" t="s">
        <v>17644</v>
      </c>
      <c r="D4252" s="5" t="s">
        <v>17645</v>
      </c>
      <c r="E4252" s="5" t="s">
        <v>17646</v>
      </c>
      <c r="F4252" s="5" t="str">
        <f>HYPERLINK("http://www.brigantelucano.com/","www.brigantelucano.com")</f>
        <v>www.brigantelucano.com</v>
      </c>
    </row>
    <row r="4253" spans="1:6" ht="43.05" customHeight="1" x14ac:dyDescent="0.25">
      <c r="A4253" s="1" t="s">
        <v>17650</v>
      </c>
      <c r="B4253" s="7" t="s">
        <v>17651</v>
      </c>
      <c r="C4253" s="7" t="s">
        <v>17649</v>
      </c>
      <c r="D4253" s="7" t="s">
        <v>17652</v>
      </c>
      <c r="E4253" s="7" t="s">
        <v>17653</v>
      </c>
      <c r="F4253" s="7" t="str">
        <f>HYPERLINK("http://www.agricolavalor.it/","www.agricolavalor.it")</f>
        <v>www.agricolavalor.it</v>
      </c>
    </row>
    <row r="4254" spans="1:6" ht="29.55" customHeight="1" x14ac:dyDescent="0.25">
      <c r="A4254" s="1" t="s">
        <v>17654</v>
      </c>
      <c r="B4254" s="7" t="s">
        <v>17655</v>
      </c>
      <c r="C4254" s="7" t="s">
        <v>17644</v>
      </c>
      <c r="D4254" s="7" t="s">
        <v>17656</v>
      </c>
      <c r="E4254" s="7" t="s">
        <v>17647</v>
      </c>
      <c r="F4254" s="7" t="str">
        <f>HYPERLINK("http://www.pasquinellispa.it/","www.pasquinellispa.it")</f>
        <v>www.pasquinellispa.it</v>
      </c>
    </row>
    <row r="4255" spans="1:6" ht="29.55" customHeight="1" x14ac:dyDescent="0.25">
      <c r="A4255" s="1" t="s">
        <v>17657</v>
      </c>
      <c r="B4255" s="7" t="s">
        <v>17658</v>
      </c>
      <c r="C4255" s="7" t="s">
        <v>17648</v>
      </c>
      <c r="D4255" s="7" t="s">
        <v>17640</v>
      </c>
      <c r="E4255" s="7" t="s">
        <v>17641</v>
      </c>
      <c r="F4255" s="7" t="str">
        <f>HYPERLINK("http://www.fattoriamontanine.it/","www.fattoriamontanine.it")</f>
        <v>www.fattoriamontanine.it</v>
      </c>
    </row>
    <row r="4256" spans="1:6" ht="55.65" customHeight="1" x14ac:dyDescent="0.25">
      <c r="A4256" s="6" t="s">
        <v>17659</v>
      </c>
      <c r="B4256" s="5" t="s">
        <v>17660</v>
      </c>
      <c r="C4256" s="5" t="s">
        <v>17639</v>
      </c>
      <c r="D4256" s="5" t="s">
        <v>17661</v>
      </c>
      <c r="E4256" s="5" t="s">
        <v>17636</v>
      </c>
      <c r="F4256" s="5" t="str">
        <f>HYPERLINK("http://www.cotracoop.it/","www.cotracoop.it")</f>
        <v>www.cotracoop.it</v>
      </c>
    </row>
    <row r="4257" spans="1:6" ht="68.099999999999994" customHeight="1" x14ac:dyDescent="0.25">
      <c r="A4257" s="1" t="s">
        <v>17663</v>
      </c>
      <c r="B4257" s="7" t="s">
        <v>17664</v>
      </c>
      <c r="C4257" s="7" t="s">
        <v>17665</v>
      </c>
      <c r="D4257" s="7" t="s">
        <v>17666</v>
      </c>
      <c r="E4257" s="7" t="s">
        <v>17667</v>
      </c>
      <c r="F4257" s="7" t="str">
        <f>HYPERLINK("http://www.terranimada.it/","www.terranimada.it")</f>
        <v>www.terranimada.it</v>
      </c>
    </row>
    <row r="4258" spans="1:6" ht="29.55" customHeight="1" x14ac:dyDescent="0.25">
      <c r="A4258" s="1" t="s">
        <v>17668</v>
      </c>
      <c r="B4258" s="7" t="s">
        <v>17669</v>
      </c>
      <c r="C4258" s="7" t="s">
        <v>17670</v>
      </c>
      <c r="D4258" s="7" t="s">
        <v>17671</v>
      </c>
      <c r="E4258" s="7" t="s">
        <v>17662</v>
      </c>
      <c r="F4258" s="7" t="str">
        <f>HYPERLINK("http://www.collierei.it/","www.collierei.it")</f>
        <v>www.collierei.it</v>
      </c>
    </row>
    <row r="4259" spans="1:6" ht="29.55" customHeight="1" x14ac:dyDescent="0.25">
      <c r="A4259" s="6" t="s">
        <v>17673</v>
      </c>
      <c r="B4259" s="5" t="s">
        <v>17674</v>
      </c>
      <c r="C4259" s="5" t="s">
        <v>17675</v>
      </c>
      <c r="D4259" s="5" t="s">
        <v>17676</v>
      </c>
      <c r="E4259" s="5" t="s">
        <v>17677</v>
      </c>
      <c r="F4259" s="5" t="str">
        <f>HYPERLINK("http://www.lacollinella.com/","www.lacollinella.com")</f>
        <v>www.lacollinella.com</v>
      </c>
    </row>
    <row r="4260" spans="1:6" ht="29.55" customHeight="1" x14ac:dyDescent="0.25">
      <c r="A4260" s="6" t="s">
        <v>17678</v>
      </c>
      <c r="B4260" s="5" t="s">
        <v>17679</v>
      </c>
      <c r="C4260" s="5" t="s">
        <v>17680</v>
      </c>
      <c r="D4260" s="5" t="s">
        <v>17681</v>
      </c>
      <c r="E4260" s="5" t="s">
        <v>17682</v>
      </c>
      <c r="F4260" s="5" t="str">
        <f>HYPERLINK("http://www.agriturismopoggioleone.it/","www.agriturismopoggioleone.it")</f>
        <v>www.agriturismopoggioleone.it</v>
      </c>
    </row>
    <row r="4261" spans="1:6" ht="16.95" customHeight="1" x14ac:dyDescent="0.25">
      <c r="A4261" s="1" t="s">
        <v>17683</v>
      </c>
      <c r="B4261" s="7" t="s">
        <v>17684</v>
      </c>
      <c r="C4261" s="7" t="s">
        <v>17685</v>
      </c>
      <c r="D4261" s="7" t="s">
        <v>17686</v>
      </c>
      <c r="E4261" s="7" t="s">
        <v>17687</v>
      </c>
      <c r="F4261" s="7" t="str">
        <f>HYPERLINK("http://www.montecarmelosrl.com/","www.montecarmelosrl.com")</f>
        <v>www.montecarmelosrl.com</v>
      </c>
    </row>
    <row r="4262" spans="1:6" ht="43.05" customHeight="1" x14ac:dyDescent="0.25">
      <c r="A4262" s="6" t="s">
        <v>17688</v>
      </c>
      <c r="B4262" s="5" t="s">
        <v>17689</v>
      </c>
      <c r="C4262" s="5" t="s">
        <v>17672</v>
      </c>
      <c r="D4262" s="5" t="s">
        <v>17681</v>
      </c>
      <c r="E4262" s="5" t="s">
        <v>17682</v>
      </c>
      <c r="F4262" s="5" t="str">
        <f>HYPERLINK("http://francescastraveltips.com/la-volpaia-barberino-di-val-d-39-elsa-pastine-italy","francescastraveltips.com/la-volpaia-barberino-di-val-d-39-elsa-pastine-italy")</f>
        <v>francescastraveltips.com/la-volpaia-barberino-di-val-d-39-elsa-pastine-italy</v>
      </c>
    </row>
    <row r="4263" spans="1:6" ht="43.05" customHeight="1" x14ac:dyDescent="0.25">
      <c r="A4263" s="1" t="s">
        <v>17690</v>
      </c>
      <c r="B4263" s="7" t="s">
        <v>17691</v>
      </c>
      <c r="C4263" s="7" t="s">
        <v>17692</v>
      </c>
      <c r="D4263" s="7" t="s">
        <v>17693</v>
      </c>
      <c r="E4263" s="7" t="s">
        <v>17694</v>
      </c>
      <c r="F4263" s="7" t="str">
        <f>HYPERLINK("http://www.fogliaumberto.it/","www.fogliaumberto.it")</f>
        <v>www.fogliaumberto.it</v>
      </c>
    </row>
    <row r="4264" spans="1:6" ht="29.55" customHeight="1" x14ac:dyDescent="0.25">
      <c r="A4264" s="1" t="s">
        <v>17695</v>
      </c>
      <c r="B4264" s="7" t="s">
        <v>17696</v>
      </c>
      <c r="C4264" s="7" t="s">
        <v>17692</v>
      </c>
      <c r="D4264" s="7" t="s">
        <v>17697</v>
      </c>
      <c r="E4264" s="7" t="s">
        <v>17698</v>
      </c>
      <c r="F4264" s="7" t="str">
        <f>HYPERLINK("http://www.cascinamotta.it/","www.cascinamotta.it")</f>
        <v>www.cascinamotta.it</v>
      </c>
    </row>
    <row r="4265" spans="1:6" ht="29.55" customHeight="1" x14ac:dyDescent="0.25">
      <c r="A4265" s="6" t="s">
        <v>17701</v>
      </c>
      <c r="B4265" s="5" t="s">
        <v>17702</v>
      </c>
      <c r="C4265" s="5" t="s">
        <v>17703</v>
      </c>
      <c r="D4265" s="5" t="s">
        <v>17704</v>
      </c>
      <c r="E4265" s="5" t="s">
        <v>17705</v>
      </c>
      <c r="F4265" s="5" t="str">
        <f>HYPERLINK("http://biometspa.it/","biometspa.it")</f>
        <v>biometspa.it</v>
      </c>
    </row>
    <row r="4266" spans="1:6" ht="29.55" customHeight="1" x14ac:dyDescent="0.25">
      <c r="A4266" s="6" t="s">
        <v>17706</v>
      </c>
      <c r="B4266" s="5" t="s">
        <v>17707</v>
      </c>
      <c r="C4266" s="5" t="s">
        <v>17703</v>
      </c>
      <c r="D4266" s="5" t="s">
        <v>17699</v>
      </c>
      <c r="E4266" s="5" t="s">
        <v>17700</v>
      </c>
      <c r="F4266" s="5" t="str">
        <f>HYPERLINK("http://www.solenticlivi.com/","www.solenticlivi.com")</f>
        <v>www.solenticlivi.com</v>
      </c>
    </row>
    <row r="4267" spans="1:6" ht="16.95" customHeight="1" x14ac:dyDescent="0.25">
      <c r="A4267" s="1" t="s">
        <v>17708</v>
      </c>
      <c r="B4267" s="7" t="s">
        <v>17709</v>
      </c>
      <c r="C4267" s="7" t="s">
        <v>17710</v>
      </c>
      <c r="D4267" s="7" t="s">
        <v>17711</v>
      </c>
      <c r="E4267" s="7" t="s">
        <v>17712</v>
      </c>
      <c r="F4267" s="7" t="str">
        <f>HYPERLINK("http://www.facebook.com/oleificio.ognibene/","www.facebook.com/oleificio.ognibene/")</f>
        <v>www.facebook.com/oleificio.ognibene/</v>
      </c>
    </row>
    <row r="4268" spans="1:6" ht="29.55" customHeight="1" x14ac:dyDescent="0.25">
      <c r="A4268" s="6" t="s">
        <v>17715</v>
      </c>
      <c r="B4268" s="5" t="s">
        <v>17716</v>
      </c>
      <c r="C4268" s="5" t="s">
        <v>17713</v>
      </c>
      <c r="D4268" s="5" t="s">
        <v>17714</v>
      </c>
      <c r="E4268" s="5" t="s">
        <v>17712</v>
      </c>
      <c r="F4268" s="5" t="str">
        <f>HYPERLINK("http://www.terrenormanne.com/","www.terrenormanne.com")</f>
        <v>www.terrenormanne.com</v>
      </c>
    </row>
    <row r="4269" spans="1:6" ht="29.55" customHeight="1" x14ac:dyDescent="0.25">
      <c r="A4269" s="1" t="s">
        <v>17717</v>
      </c>
      <c r="B4269" s="7" t="s">
        <v>17718</v>
      </c>
      <c r="C4269" s="7" t="s">
        <v>17719</v>
      </c>
      <c r="D4269" s="7" t="s">
        <v>17720</v>
      </c>
      <c r="E4269" s="7" t="s">
        <v>17721</v>
      </c>
      <c r="F4269" s="7" t="str">
        <f>HYPERLINK("http://opere-in-verde-srl-02336730680.quantofattura.com/","opere-in-verde-srl-02336730680.quantofattura.com")</f>
        <v>opere-in-verde-srl-02336730680.quantofattura.com</v>
      </c>
    </row>
    <row r="4270" spans="1:6" ht="29.55" customHeight="1" x14ac:dyDescent="0.25">
      <c r="A4270" s="6" t="s">
        <v>17724</v>
      </c>
      <c r="B4270" s="5" t="s">
        <v>17725</v>
      </c>
      <c r="C4270" s="5" t="s">
        <v>17726</v>
      </c>
      <c r="D4270" s="5" t="s">
        <v>17722</v>
      </c>
      <c r="E4270" s="5" t="s">
        <v>17723</v>
      </c>
      <c r="F4270" s="5" t="str">
        <f>HYPERLINK("http://www.agriturismoilnocciolo.com/","www.agriturismoilnocciolo.com")</f>
        <v>www.agriturismoilnocciolo.com</v>
      </c>
    </row>
    <row r="4271" spans="1:6" ht="29.55" customHeight="1" x14ac:dyDescent="0.25">
      <c r="A4271" s="1" t="s">
        <v>17731</v>
      </c>
      <c r="B4271" s="7" t="s">
        <v>17732</v>
      </c>
      <c r="C4271" s="7" t="s">
        <v>17730</v>
      </c>
      <c r="D4271" s="7" t="s">
        <v>17727</v>
      </c>
      <c r="E4271" s="7" t="s">
        <v>17728</v>
      </c>
      <c r="F4271" s="7" t="str">
        <f>HYPERLINK("http://tenutaio.it/","tenutaio.it")</f>
        <v>tenutaio.it</v>
      </c>
    </row>
    <row r="4272" spans="1:6" ht="55.65" customHeight="1" x14ac:dyDescent="0.25">
      <c r="A4272" s="6" t="s">
        <v>17733</v>
      </c>
      <c r="B4272" s="5" t="s">
        <v>17734</v>
      </c>
      <c r="C4272" s="5" t="s">
        <v>17735</v>
      </c>
      <c r="D4272" s="5" t="s">
        <v>17736</v>
      </c>
      <c r="E4272" s="5" t="s">
        <v>17729</v>
      </c>
      <c r="F4272" s="5" t="str">
        <f>HYPERLINK("http://orizzonti-verticali.it/","orizzonti-verticali.it")</f>
        <v>orizzonti-verticali.it</v>
      </c>
    </row>
    <row r="4273" spans="1:6" ht="29.55" customHeight="1" x14ac:dyDescent="0.25">
      <c r="A4273" s="1" t="s">
        <v>17737</v>
      </c>
      <c r="B4273" s="7" t="s">
        <v>17738</v>
      </c>
      <c r="C4273" s="7" t="s">
        <v>17730</v>
      </c>
      <c r="D4273" s="7" t="s">
        <v>17739</v>
      </c>
      <c r="E4273" s="7" t="s">
        <v>17740</v>
      </c>
      <c r="F4273" s="7" t="str">
        <f>HYPERLINK("http://www.facebook.com/tenutacastromurro/","www.facebook.com/tenutacastromurro/")</f>
        <v>www.facebook.com/tenutacastromurro/</v>
      </c>
    </row>
    <row r="4274" spans="1:6" ht="68.099999999999994" customHeight="1" x14ac:dyDescent="0.25">
      <c r="A4274" s="6" t="s">
        <v>17741</v>
      </c>
      <c r="B4274" s="5" t="s">
        <v>17742</v>
      </c>
      <c r="C4274" s="5" t="s">
        <v>17743</v>
      </c>
      <c r="D4274" s="5" t="s">
        <v>17736</v>
      </c>
      <c r="E4274" s="5" t="s">
        <v>17729</v>
      </c>
      <c r="F4274" s="5" t="str">
        <f>HYPERLINK("http://www.pirrovarone.eu/","www.pirrovarone.eu")</f>
        <v>www.pirrovarone.eu</v>
      </c>
    </row>
    <row r="4275" spans="1:6" ht="43.05" customHeight="1" x14ac:dyDescent="0.25">
      <c r="A4275" s="6" t="s">
        <v>17747</v>
      </c>
      <c r="B4275" s="5" t="s">
        <v>17748</v>
      </c>
      <c r="C4275" s="5" t="s">
        <v>17749</v>
      </c>
      <c r="D4275" s="5" t="s">
        <v>17750</v>
      </c>
      <c r="E4275" s="5" t="s">
        <v>17751</v>
      </c>
      <c r="F4275" s="5" t="str">
        <f>HYPERLINK("http://terredeivaaz.it/about/","terredeivaaz.it/about/")</f>
        <v>terredeivaaz.it/about/</v>
      </c>
    </row>
    <row r="4276" spans="1:6" ht="29.55" customHeight="1" x14ac:dyDescent="0.25">
      <c r="A4276" s="1" t="s">
        <v>17752</v>
      </c>
      <c r="B4276" s="7" t="s">
        <v>17753</v>
      </c>
      <c r="C4276" s="7" t="s">
        <v>17754</v>
      </c>
      <c r="D4276" s="7" t="s">
        <v>17755</v>
      </c>
      <c r="E4276" s="7" t="s">
        <v>17756</v>
      </c>
      <c r="F4276" s="7" t="str">
        <f>HYPERLINK("http://www.cibo-ci.it/","www.cibo-ci.it")</f>
        <v>www.cibo-ci.it</v>
      </c>
    </row>
    <row r="4277" spans="1:6" ht="43.05" customHeight="1" x14ac:dyDescent="0.25">
      <c r="A4277" s="1" t="s">
        <v>17757</v>
      </c>
      <c r="B4277" s="7" t="s">
        <v>17758</v>
      </c>
      <c r="C4277" s="7" t="s">
        <v>17759</v>
      </c>
      <c r="D4277" s="7" t="s">
        <v>17760</v>
      </c>
      <c r="E4277" s="7" t="s">
        <v>17746</v>
      </c>
      <c r="F4277" s="7" t="str">
        <f>HYPERLINK("http://www.labanditaccia.com/","www.labanditaccia.com")</f>
        <v>www.labanditaccia.com</v>
      </c>
    </row>
    <row r="4278" spans="1:6" ht="29.55" customHeight="1" x14ac:dyDescent="0.25">
      <c r="A4278" s="6" t="s">
        <v>17762</v>
      </c>
      <c r="B4278" s="5" t="s">
        <v>17763</v>
      </c>
      <c r="C4278" s="5" t="s">
        <v>17761</v>
      </c>
      <c r="D4278" s="5" t="s">
        <v>17764</v>
      </c>
      <c r="E4278" s="5" t="s">
        <v>17765</v>
      </c>
      <c r="F4278" s="5" t="str">
        <f>HYPERLINK("http://www.labidoggia.it/","www.labidoggia.it")</f>
        <v>www.labidoggia.it</v>
      </c>
    </row>
    <row r="4279" spans="1:6" ht="29.55" customHeight="1" x14ac:dyDescent="0.25">
      <c r="A4279" s="6" t="s">
        <v>17767</v>
      </c>
      <c r="B4279" s="5" t="s">
        <v>17768</v>
      </c>
      <c r="C4279" s="5" t="s">
        <v>17749</v>
      </c>
      <c r="D4279" s="5" t="s">
        <v>17769</v>
      </c>
      <c r="E4279" s="5" t="s">
        <v>17770</v>
      </c>
      <c r="F4279" s="5" t="str">
        <f>HYPERLINK("http://lecantinedifigaro.it/","lecantinedifigaro.it")</f>
        <v>lecantinedifigaro.it</v>
      </c>
    </row>
    <row r="4280" spans="1:6" ht="29.55" customHeight="1" x14ac:dyDescent="0.25">
      <c r="A4280" s="1" t="s">
        <v>17771</v>
      </c>
      <c r="B4280" s="7" t="s">
        <v>17772</v>
      </c>
      <c r="C4280" s="7" t="s">
        <v>17744</v>
      </c>
      <c r="D4280" s="7" t="s">
        <v>17773</v>
      </c>
      <c r="E4280" s="7" t="s">
        <v>17774</v>
      </c>
      <c r="F4280" s="7" t="str">
        <f>HYPERLINK("http://www.whitetail-farm.com/","www.whitetail-farm.com")</f>
        <v>www.whitetail-farm.com</v>
      </c>
    </row>
    <row r="4281" spans="1:6" ht="29.55" customHeight="1" x14ac:dyDescent="0.25">
      <c r="A4281" s="6" t="s">
        <v>17775</v>
      </c>
      <c r="B4281" s="5" t="s">
        <v>17776</v>
      </c>
      <c r="C4281" s="5" t="s">
        <v>17777</v>
      </c>
      <c r="D4281" s="5" t="s">
        <v>17750</v>
      </c>
      <c r="E4281" s="5" t="s">
        <v>17751</v>
      </c>
      <c r="F4281" s="5" t="str">
        <f>HYPERLINK("http://www.pietregiovani.com/","www.pietregiovani.com")</f>
        <v>www.pietregiovani.com</v>
      </c>
    </row>
    <row r="4282" spans="1:6" ht="43.05" customHeight="1" x14ac:dyDescent="0.25">
      <c r="A4282" s="1" t="s">
        <v>17778</v>
      </c>
      <c r="B4282" s="7" t="s">
        <v>17779</v>
      </c>
      <c r="C4282" s="7" t="s">
        <v>17780</v>
      </c>
      <c r="D4282" s="7" t="s">
        <v>17781</v>
      </c>
      <c r="E4282" s="7" t="s">
        <v>17766</v>
      </c>
      <c r="F4282" s="7" t="str">
        <f>HYPERLINK("http://www.cipof.it/","www.cipof.it")</f>
        <v>www.cipof.it</v>
      </c>
    </row>
    <row r="4283" spans="1:6" ht="29.55" customHeight="1" x14ac:dyDescent="0.25">
      <c r="A4283" s="1" t="s">
        <v>17782</v>
      </c>
      <c r="B4283" s="7" t="s">
        <v>17783</v>
      </c>
      <c r="C4283" s="7" t="s">
        <v>17784</v>
      </c>
      <c r="D4283" s="7" t="s">
        <v>17785</v>
      </c>
      <c r="E4283" s="7" t="s">
        <v>17786</v>
      </c>
      <c r="F4283" s="7" t="str">
        <f>HYPERLINK("http://www.castel-annenberg.it/","www.castel-annenberg.it")</f>
        <v>www.castel-annenberg.it</v>
      </c>
    </row>
    <row r="4284" spans="1:6" ht="29.55" customHeight="1" x14ac:dyDescent="0.25">
      <c r="A4284" s="6" t="s">
        <v>17788</v>
      </c>
      <c r="B4284" s="5" t="s">
        <v>17789</v>
      </c>
      <c r="C4284" s="5" t="s">
        <v>17787</v>
      </c>
      <c r="D4284" s="5" t="s">
        <v>17745</v>
      </c>
      <c r="E4284" s="5" t="s">
        <v>17746</v>
      </c>
      <c r="F4284" s="5" t="str">
        <f>HYPERLINK("http://www.terredeighelfi.it/","www.terredeighelfi.it")</f>
        <v>www.terredeighelfi.it</v>
      </c>
    </row>
    <row r="4285" spans="1:6" ht="29.55" customHeight="1" x14ac:dyDescent="0.25">
      <c r="A4285" s="1" t="s">
        <v>17792</v>
      </c>
      <c r="B4285" s="7" t="s">
        <v>17793</v>
      </c>
      <c r="C4285" s="7" t="s">
        <v>17794</v>
      </c>
      <c r="D4285" s="7" t="s">
        <v>17795</v>
      </c>
      <c r="E4285" s="7" t="s">
        <v>17796</v>
      </c>
      <c r="F4285" s="7" t="str">
        <f>HYPERLINK("http://www.agrilab-bergamo.com/","www.agrilab-bergamo.com")</f>
        <v>www.agrilab-bergamo.com</v>
      </c>
    </row>
    <row r="4286" spans="1:6" ht="55.65" customHeight="1" x14ac:dyDescent="0.25">
      <c r="A4286" s="1" t="s">
        <v>17799</v>
      </c>
      <c r="B4286" s="7" t="s">
        <v>17800</v>
      </c>
      <c r="C4286" s="7" t="s">
        <v>17790</v>
      </c>
      <c r="D4286" s="7" t="s">
        <v>17801</v>
      </c>
      <c r="E4286" s="7" t="s">
        <v>17802</v>
      </c>
      <c r="F4286" s="7" t="str">
        <f>HYPERLINK("http://www.laboratorioterra.it/","www.laboratorioterra.it")</f>
        <v>www.laboratorioterra.it</v>
      </c>
    </row>
    <row r="4287" spans="1:6" ht="29.55" customHeight="1" x14ac:dyDescent="0.25">
      <c r="A4287" s="6" t="s">
        <v>17803</v>
      </c>
      <c r="B4287" s="5" t="s">
        <v>17804</v>
      </c>
      <c r="C4287" s="5" t="s">
        <v>17798</v>
      </c>
      <c r="D4287" s="5" t="s">
        <v>17797</v>
      </c>
      <c r="E4287" s="5" t="s">
        <v>17791</v>
      </c>
      <c r="F4287" s="5" t="str">
        <f>HYPERLINK("http://www.oliosalento.com/","www.oliosalento.com")</f>
        <v>www.oliosalento.com</v>
      </c>
    </row>
    <row r="4288" spans="1:6" ht="29.55" customHeight="1" x14ac:dyDescent="0.25">
      <c r="A4288" s="6" t="s">
        <v>17806</v>
      </c>
      <c r="B4288" s="5" t="s">
        <v>17807</v>
      </c>
      <c r="C4288" s="5" t="s">
        <v>17808</v>
      </c>
      <c r="D4288" s="5" t="s">
        <v>17809</v>
      </c>
      <c r="E4288" s="5" t="s">
        <v>17810</v>
      </c>
      <c r="F4288" s="5" t="str">
        <f>HYPERLINK("http://www.feudidotranto.com/","www.feudidotranto.com")</f>
        <v>www.feudidotranto.com</v>
      </c>
    </row>
    <row r="4289" spans="1:6" ht="29.55" customHeight="1" x14ac:dyDescent="0.25">
      <c r="A4289" s="6" t="s">
        <v>17812</v>
      </c>
      <c r="B4289" s="5" t="s">
        <v>17813</v>
      </c>
      <c r="C4289" s="5" t="s">
        <v>17814</v>
      </c>
      <c r="D4289" s="5" t="s">
        <v>17815</v>
      </c>
      <c r="E4289" s="5" t="s">
        <v>17816</v>
      </c>
      <c r="F4289" s="5" t="str">
        <f>HYPERLINK("http://centroippicosperonedoro.weebly.com/","centroippicosperonedoro.weebly.com")</f>
        <v>centroippicosperonedoro.weebly.com</v>
      </c>
    </row>
    <row r="4290" spans="1:6" ht="29.55" customHeight="1" x14ac:dyDescent="0.25">
      <c r="A4290" s="6" t="s">
        <v>17820</v>
      </c>
      <c r="B4290" s="5" t="s">
        <v>17821</v>
      </c>
      <c r="C4290" s="5" t="s">
        <v>17817</v>
      </c>
      <c r="D4290" s="5" t="s">
        <v>17822</v>
      </c>
      <c r="E4290" s="5" t="s">
        <v>17816</v>
      </c>
      <c r="F4290" s="5" t="str">
        <f>HYPERLINK("http://www.boscodelsasso.it/","www.boscodelsasso.it")</f>
        <v>www.boscodelsasso.it</v>
      </c>
    </row>
    <row r="4291" spans="1:6" ht="43.05" customHeight="1" x14ac:dyDescent="0.25">
      <c r="A4291" s="1" t="s">
        <v>17823</v>
      </c>
      <c r="B4291" s="7" t="s">
        <v>17824</v>
      </c>
      <c r="C4291" s="7" t="s">
        <v>17817</v>
      </c>
      <c r="D4291" s="7" t="s">
        <v>17825</v>
      </c>
      <c r="E4291" s="7" t="s">
        <v>17819</v>
      </c>
      <c r="F4291" s="7" t="str">
        <f>HYPERLINK("http://tenuteiacovazzo.com/","tenuteiacovazzo.com")</f>
        <v>tenuteiacovazzo.com</v>
      </c>
    </row>
    <row r="4292" spans="1:6" ht="43.05" customHeight="1" x14ac:dyDescent="0.25">
      <c r="A4292" s="6" t="s">
        <v>17826</v>
      </c>
      <c r="B4292" s="5" t="s">
        <v>17827</v>
      </c>
      <c r="C4292" s="5" t="s">
        <v>17818</v>
      </c>
      <c r="D4292" s="5" t="s">
        <v>17828</v>
      </c>
      <c r="E4292" s="5" t="s">
        <v>17811</v>
      </c>
      <c r="F4292" s="5" t="str">
        <f>HYPERLINK("http://www.piandesomari.com/","www.piandesomari.com")</f>
        <v>www.piandesomari.com</v>
      </c>
    </row>
    <row r="4293" spans="1:6" ht="55.65" customHeight="1" x14ac:dyDescent="0.25">
      <c r="A4293" s="6" t="s">
        <v>17829</v>
      </c>
      <c r="B4293" s="5" t="s">
        <v>17830</v>
      </c>
      <c r="C4293" s="5" t="s">
        <v>17805</v>
      </c>
      <c r="D4293" s="5" t="s">
        <v>17831</v>
      </c>
      <c r="E4293" s="5" t="s">
        <v>17832</v>
      </c>
      <c r="F4293" s="5" t="str">
        <f>HYPERLINK("http://m.facebook.com/larondineamaccarello/","m.facebook.com/larondineamaccarello/")</f>
        <v>m.facebook.com/larondineamaccarello/</v>
      </c>
    </row>
    <row r="4294" spans="1:6" ht="29.55" customHeight="1" x14ac:dyDescent="0.25">
      <c r="A4294" s="1" t="s">
        <v>17837</v>
      </c>
      <c r="B4294" s="7" t="s">
        <v>17838</v>
      </c>
      <c r="C4294" s="7" t="s">
        <v>17834</v>
      </c>
      <c r="D4294" s="7" t="s">
        <v>17839</v>
      </c>
      <c r="E4294" s="7" t="s">
        <v>17833</v>
      </c>
      <c r="F4294" s="7" t="str">
        <f>HYPERLINK("http://www.eurorisorsesrl.it/index.php/contact","www.eurorisorsesrl.it/index.php/contact")</f>
        <v>www.eurorisorsesrl.it/index.php/contact</v>
      </c>
    </row>
    <row r="4295" spans="1:6" ht="29.55" customHeight="1" x14ac:dyDescent="0.25">
      <c r="A4295" s="1" t="s">
        <v>17841</v>
      </c>
      <c r="B4295" s="7" t="s">
        <v>17842</v>
      </c>
      <c r="C4295" s="7" t="s">
        <v>17836</v>
      </c>
      <c r="D4295" s="7" t="s">
        <v>17843</v>
      </c>
      <c r="E4295" s="7" t="s">
        <v>17840</v>
      </c>
      <c r="F4295" s="7" t="str">
        <f>HYPERLINK("http://hotelscheck-in.com/villaangelina","hotelscheck-in.com/villaangelina")</f>
        <v>hotelscheck-in.com/villaangelina</v>
      </c>
    </row>
    <row r="4296" spans="1:6" ht="43.05" customHeight="1" x14ac:dyDescent="0.25">
      <c r="A4296" s="6" t="s">
        <v>17844</v>
      </c>
      <c r="B4296" s="5" t="s">
        <v>17845</v>
      </c>
      <c r="C4296" s="5" t="s">
        <v>17846</v>
      </c>
      <c r="D4296" s="5" t="s">
        <v>17847</v>
      </c>
      <c r="E4296" s="5" t="s">
        <v>17848</v>
      </c>
      <c r="F4296" s="5" t="str">
        <f>HYPERLINK("http://www.oliovallecorsa.it/","www.oliovallecorsa.it")</f>
        <v>www.oliovallecorsa.it</v>
      </c>
    </row>
    <row r="4297" spans="1:6" ht="29.55" customHeight="1" x14ac:dyDescent="0.25">
      <c r="A4297" s="1" t="s">
        <v>17849</v>
      </c>
      <c r="B4297" s="7" t="s">
        <v>17850</v>
      </c>
      <c r="C4297" s="7" t="s">
        <v>17835</v>
      </c>
      <c r="D4297" s="7" t="s">
        <v>17851</v>
      </c>
      <c r="E4297" s="7" t="s">
        <v>17852</v>
      </c>
      <c r="F4297" s="7" t="str">
        <f>HYPERLINK("http://www.ferbo.net/","www.ferbo.net")</f>
        <v>www.ferbo.net</v>
      </c>
    </row>
    <row r="4298" spans="1:6" ht="43.05" customHeight="1" x14ac:dyDescent="0.25">
      <c r="A4298" s="1" t="s">
        <v>17853</v>
      </c>
      <c r="B4298" s="7" t="s">
        <v>17854</v>
      </c>
      <c r="C4298" s="7" t="s">
        <v>17855</v>
      </c>
      <c r="D4298" s="7" t="s">
        <v>17856</v>
      </c>
      <c r="E4298" s="7" t="s">
        <v>17857</v>
      </c>
      <c r="F4298" s="7" t="str">
        <f>HYPERLINK("http://www.cascinaalbaterra.it/","www.cascinaalbaterra.it")</f>
        <v>www.cascinaalbaterra.it</v>
      </c>
    </row>
    <row r="4299" spans="1:6" ht="16.95" customHeight="1" x14ac:dyDescent="0.25">
      <c r="A4299" s="6" t="s">
        <v>17863</v>
      </c>
      <c r="B4299" s="5" t="s">
        <v>17864</v>
      </c>
      <c r="C4299" s="5" t="s">
        <v>17865</v>
      </c>
      <c r="D4299" s="5" t="s">
        <v>17856</v>
      </c>
      <c r="E4299" s="5" t="s">
        <v>17857</v>
      </c>
      <c r="F4299" s="5" t="str">
        <f>HYPERLINK("http://www.dogresort.it/","www.dogresort.it")</f>
        <v>www.dogresort.it</v>
      </c>
    </row>
    <row r="4300" spans="1:6" ht="29.55" customHeight="1" x14ac:dyDescent="0.25">
      <c r="A4300" s="6" t="s">
        <v>17867</v>
      </c>
      <c r="B4300" s="5" t="s">
        <v>17868</v>
      </c>
      <c r="C4300" s="5" t="s">
        <v>17858</v>
      </c>
      <c r="D4300" s="5" t="s">
        <v>17860</v>
      </c>
      <c r="E4300" s="5" t="s">
        <v>17861</v>
      </c>
      <c r="F4300" s="5" t="str">
        <f>HYPERLINK("http://www.monnagiovannella.it/","www.monnagiovannella.it")</f>
        <v>www.monnagiovannella.it</v>
      </c>
    </row>
    <row r="4301" spans="1:6" ht="29.55" customHeight="1" x14ac:dyDescent="0.25">
      <c r="A4301" s="1" t="s">
        <v>17869</v>
      </c>
      <c r="B4301" s="7" t="s">
        <v>17870</v>
      </c>
      <c r="C4301" s="7" t="s">
        <v>17871</v>
      </c>
      <c r="D4301" s="7" t="s">
        <v>17872</v>
      </c>
      <c r="E4301" s="7" t="s">
        <v>17873</v>
      </c>
      <c r="F4301" s="7" t="str">
        <f>HYPERLINK("http://cantinefraponti.com/","cantinefraponti.com")</f>
        <v>cantinefraponti.com</v>
      </c>
    </row>
    <row r="4302" spans="1:6" ht="29.55" customHeight="1" x14ac:dyDescent="0.25">
      <c r="A4302" s="1" t="s">
        <v>17874</v>
      </c>
      <c r="B4302" s="7" t="s">
        <v>17875</v>
      </c>
      <c r="C4302" s="7" t="s">
        <v>17862</v>
      </c>
      <c r="D4302" s="7" t="s">
        <v>17876</v>
      </c>
      <c r="E4302" s="7" t="s">
        <v>17877</v>
      </c>
      <c r="F4302" s="7" t="str">
        <f>HYPERLINK("http://www.fontidelgiano.it/","www.fontidelgiano.it")</f>
        <v>www.fontidelgiano.it</v>
      </c>
    </row>
    <row r="4303" spans="1:6" ht="29.55" customHeight="1" x14ac:dyDescent="0.25">
      <c r="A4303" s="1" t="s">
        <v>17878</v>
      </c>
      <c r="B4303" s="7" t="s">
        <v>17879</v>
      </c>
      <c r="C4303" s="7" t="s">
        <v>17865</v>
      </c>
      <c r="D4303" s="7" t="s">
        <v>17880</v>
      </c>
      <c r="E4303" s="7" t="s">
        <v>17881</v>
      </c>
      <c r="F4303" s="7" t="str">
        <f>HYPERLINK("http://agrimerlano.com/","agrimerlano.com")</f>
        <v>agrimerlano.com</v>
      </c>
    </row>
    <row r="4304" spans="1:6" ht="16.95" customHeight="1" x14ac:dyDescent="0.25">
      <c r="A4304" s="1" t="s">
        <v>17882</v>
      </c>
      <c r="B4304" s="7" t="s">
        <v>17883</v>
      </c>
      <c r="C4304" s="7" t="s">
        <v>17866</v>
      </c>
      <c r="D4304" s="7" t="s">
        <v>17884</v>
      </c>
      <c r="E4304" s="7" t="s">
        <v>17859</v>
      </c>
      <c r="F4304" s="7" t="str">
        <f>HYPERLINK("http://www.bellafresca.it/","www.bellafresca.it")</f>
        <v>www.bellafresca.it</v>
      </c>
    </row>
    <row r="4305" spans="1:6" ht="43.05" customHeight="1" x14ac:dyDescent="0.25">
      <c r="A4305" s="1" t="s">
        <v>17888</v>
      </c>
      <c r="B4305" s="7" t="s">
        <v>17889</v>
      </c>
      <c r="C4305" s="7" t="s">
        <v>17890</v>
      </c>
      <c r="D4305" s="7" t="s">
        <v>17891</v>
      </c>
      <c r="E4305" s="7" t="s">
        <v>17892</v>
      </c>
      <c r="F4305" s="7" t="str">
        <f>HYPERLINK("http://www.pellhermosa.com/","www.pellhermosa.com")</f>
        <v>www.pellhermosa.com</v>
      </c>
    </row>
    <row r="4306" spans="1:6" ht="29.55" customHeight="1" x14ac:dyDescent="0.25">
      <c r="A4306" s="1" t="s">
        <v>17894</v>
      </c>
      <c r="B4306" s="7" t="s">
        <v>17895</v>
      </c>
      <c r="C4306" s="7" t="s">
        <v>17896</v>
      </c>
      <c r="D4306" s="7" t="s">
        <v>17897</v>
      </c>
      <c r="E4306" s="7" t="s">
        <v>17898</v>
      </c>
      <c r="F4306" s="7" t="str">
        <f>HYPERLINK("http://www.nocciola-market.com/","www.nocciola-market.com")</f>
        <v>www.nocciola-market.com</v>
      </c>
    </row>
    <row r="4307" spans="1:6" ht="16.95" customHeight="1" x14ac:dyDescent="0.25">
      <c r="A4307" s="1" t="s">
        <v>17900</v>
      </c>
      <c r="B4307" s="7" t="s">
        <v>17901</v>
      </c>
      <c r="C4307" s="7" t="s">
        <v>17896</v>
      </c>
      <c r="D4307" s="7" t="s">
        <v>17902</v>
      </c>
      <c r="E4307" s="7" t="s">
        <v>17887</v>
      </c>
      <c r="F4307" s="7" t="str">
        <f>HYPERLINK("http://www.torredonvirgilio.it/","www.torredonvirgilio.it")</f>
        <v>www.torredonvirgilio.it</v>
      </c>
    </row>
    <row r="4308" spans="1:6" ht="29.55" customHeight="1" x14ac:dyDescent="0.25">
      <c r="A4308" s="1" t="s">
        <v>17907</v>
      </c>
      <c r="B4308" s="7" t="s">
        <v>17908</v>
      </c>
      <c r="C4308" s="7" t="s">
        <v>17909</v>
      </c>
      <c r="D4308" s="7" t="s">
        <v>17886</v>
      </c>
      <c r="E4308" s="7" t="s">
        <v>17887</v>
      </c>
      <c r="F4308" s="7" t="str">
        <f>HYPERLINK("http://www.piantecubeda.it/","www.piantecubeda.it")</f>
        <v>www.piantecubeda.it</v>
      </c>
    </row>
    <row r="4309" spans="1:6" ht="43.05" customHeight="1" x14ac:dyDescent="0.25">
      <c r="A4309" s="1" t="s">
        <v>17913</v>
      </c>
      <c r="B4309" s="7" t="s">
        <v>17914</v>
      </c>
      <c r="C4309" s="7" t="s">
        <v>17885</v>
      </c>
      <c r="D4309" s="7" t="s">
        <v>17911</v>
      </c>
      <c r="E4309" s="7" t="s">
        <v>17912</v>
      </c>
      <c r="F4309" s="7" t="str">
        <f>HYPERLINK("http://www.agriom.it/","www.agriom.it")</f>
        <v>www.agriom.it</v>
      </c>
    </row>
    <row r="4310" spans="1:6" ht="43.05" customHeight="1" x14ac:dyDescent="0.25">
      <c r="A4310" s="6" t="s">
        <v>17915</v>
      </c>
      <c r="B4310" s="5" t="s">
        <v>17916</v>
      </c>
      <c r="C4310" s="5" t="s">
        <v>17910</v>
      </c>
      <c r="D4310" s="5" t="s">
        <v>17911</v>
      </c>
      <c r="E4310" s="5" t="s">
        <v>17912</v>
      </c>
      <c r="F4310" s="5" t="str">
        <f>HYPERLINK("http://www.pugliasveva.it/","www.pugliasveva.it")</f>
        <v>www.pugliasveva.it</v>
      </c>
    </row>
    <row r="4311" spans="1:6" ht="43.05" customHeight="1" x14ac:dyDescent="0.25">
      <c r="A4311" s="6" t="s">
        <v>17917</v>
      </c>
      <c r="B4311" s="5" t="s">
        <v>17918</v>
      </c>
      <c r="C4311" s="5" t="s">
        <v>17893</v>
      </c>
      <c r="D4311" s="5" t="s">
        <v>17904</v>
      </c>
      <c r="E4311" s="5" t="s">
        <v>17905</v>
      </c>
      <c r="F4311" s="5" t="str">
        <f>HYPERLINK("http://coop.villaggiofanciullo.org/","coop.villaggiofanciullo.org")</f>
        <v>coop.villaggiofanciullo.org</v>
      </c>
    </row>
    <row r="4312" spans="1:6" ht="29.55" customHeight="1" x14ac:dyDescent="0.25">
      <c r="A4312" s="1" t="s">
        <v>17919</v>
      </c>
      <c r="B4312" s="7" t="s">
        <v>17920</v>
      </c>
      <c r="C4312" s="7" t="s">
        <v>17899</v>
      </c>
      <c r="D4312" s="7" t="s">
        <v>17921</v>
      </c>
      <c r="E4312" s="7" t="s">
        <v>17906</v>
      </c>
      <c r="F4312" s="7" t="str">
        <f>HYPERLINK("http://lagocupo.it/","lagocupo.it")</f>
        <v>lagocupo.it</v>
      </c>
    </row>
    <row r="4313" spans="1:6" ht="29.55" customHeight="1" x14ac:dyDescent="0.25">
      <c r="A4313" s="1" t="s">
        <v>17922</v>
      </c>
      <c r="B4313" s="7" t="s">
        <v>17923</v>
      </c>
      <c r="C4313" s="7" t="s">
        <v>17924</v>
      </c>
      <c r="D4313" s="7" t="s">
        <v>17925</v>
      </c>
      <c r="E4313" s="7" t="s">
        <v>17903</v>
      </c>
      <c r="F4313" s="7" t="str">
        <f>HYPERLINK("http://www.scaharabians.com/","www.scaharabians.com")</f>
        <v>www.scaharabians.com</v>
      </c>
    </row>
    <row r="4314" spans="1:6" ht="29.55" customHeight="1" x14ac:dyDescent="0.25">
      <c r="A4314" s="1" t="s">
        <v>17932</v>
      </c>
      <c r="B4314" s="7" t="s">
        <v>17933</v>
      </c>
      <c r="C4314" s="7" t="s">
        <v>17926</v>
      </c>
      <c r="D4314" s="7" t="s">
        <v>17931</v>
      </c>
      <c r="E4314" s="7" t="s">
        <v>17929</v>
      </c>
      <c r="F4314" s="7" t="str">
        <f>HYPERLINK("http://www.vinciguerra-srl.it/","www.vinciguerra-srl.it")</f>
        <v>www.vinciguerra-srl.it</v>
      </c>
    </row>
    <row r="4315" spans="1:6" ht="29.55" customHeight="1" x14ac:dyDescent="0.25">
      <c r="A4315" s="6" t="s">
        <v>17934</v>
      </c>
      <c r="B4315" s="5" t="s">
        <v>17935</v>
      </c>
      <c r="C4315" s="5" t="s">
        <v>17928</v>
      </c>
      <c r="D4315" s="5" t="s">
        <v>17936</v>
      </c>
      <c r="E4315" s="5" t="s">
        <v>17927</v>
      </c>
      <c r="F4315" s="5" t="str">
        <f>HYPERLINK("http://www.agriturismocefalu.sicilia.it/","www.agriturismocefalu.sicilia.it")</f>
        <v>www.agriturismocefalu.sicilia.it</v>
      </c>
    </row>
    <row r="4316" spans="1:6" ht="29.55" customHeight="1" x14ac:dyDescent="0.25">
      <c r="A4316" s="6" t="s">
        <v>17937</v>
      </c>
      <c r="B4316" s="5" t="s">
        <v>17938</v>
      </c>
      <c r="C4316" s="5" t="s">
        <v>17926</v>
      </c>
      <c r="D4316" s="5" t="s">
        <v>17939</v>
      </c>
      <c r="E4316" s="5" t="s">
        <v>17930</v>
      </c>
      <c r="F4316" s="5" t="str">
        <f>HYPERLINK("http://laponca.com/","laponca.com")</f>
        <v>laponca.com</v>
      </c>
    </row>
    <row r="4317" spans="1:6" ht="29.55" customHeight="1" x14ac:dyDescent="0.25">
      <c r="A4317" s="1" t="s">
        <v>17941</v>
      </c>
      <c r="B4317" s="7" t="s">
        <v>17942</v>
      </c>
      <c r="C4317" s="7" t="s">
        <v>17943</v>
      </c>
      <c r="D4317" s="7" t="s">
        <v>17944</v>
      </c>
      <c r="E4317" s="7" t="s">
        <v>17945</v>
      </c>
      <c r="F4317" s="7" t="str">
        <f>HYPERLINK("http://www.campodibonis.it/","www.campodibonis.it")</f>
        <v>www.campodibonis.it</v>
      </c>
    </row>
    <row r="4318" spans="1:6" ht="29.55" customHeight="1" x14ac:dyDescent="0.25">
      <c r="A4318" s="1" t="s">
        <v>17950</v>
      </c>
      <c r="B4318" s="7" t="s">
        <v>17951</v>
      </c>
      <c r="C4318" s="7" t="s">
        <v>17952</v>
      </c>
      <c r="D4318" s="7" t="s">
        <v>17953</v>
      </c>
      <c r="E4318" s="7" t="s">
        <v>17946</v>
      </c>
      <c r="F4318" s="7" t="str">
        <f>HYPERLINK("http://www.agricampolungomonterosi.it/","www.agricampolungomonterosi.it")</f>
        <v>www.agricampolungomonterosi.it</v>
      </c>
    </row>
    <row r="4319" spans="1:6" ht="29.55" customHeight="1" x14ac:dyDescent="0.25">
      <c r="A4319" s="6" t="s">
        <v>17954</v>
      </c>
      <c r="B4319" s="5" t="s">
        <v>17955</v>
      </c>
      <c r="C4319" s="5" t="s">
        <v>17956</v>
      </c>
      <c r="D4319" s="5" t="s">
        <v>17957</v>
      </c>
      <c r="E4319" s="5" t="s">
        <v>17958</v>
      </c>
      <c r="F4319" s="5" t="str">
        <f>HYPERLINK("http://www.diar.farm/","www.diar.farm")</f>
        <v>www.diar.farm</v>
      </c>
    </row>
    <row r="4320" spans="1:6" ht="43.05" customHeight="1" x14ac:dyDescent="0.25">
      <c r="A4320" s="6" t="s">
        <v>17960</v>
      </c>
      <c r="B4320" s="5" t="s">
        <v>17961</v>
      </c>
      <c r="C4320" s="5" t="s">
        <v>17962</v>
      </c>
      <c r="D4320" s="5" t="s">
        <v>17963</v>
      </c>
      <c r="E4320" s="5" t="s">
        <v>17947</v>
      </c>
      <c r="F4320" s="5" t="str">
        <f>HYPERLINK("http://www.ivecchilecci.it/","www.ivecchilecci.it")</f>
        <v>www.ivecchilecci.it</v>
      </c>
    </row>
    <row r="4321" spans="1:6" ht="29.55" customHeight="1" x14ac:dyDescent="0.25">
      <c r="A4321" s="1" t="s">
        <v>17964</v>
      </c>
      <c r="B4321" s="7" t="s">
        <v>17965</v>
      </c>
      <c r="C4321" s="7" t="s">
        <v>17948</v>
      </c>
      <c r="D4321" s="7" t="s">
        <v>17966</v>
      </c>
      <c r="E4321" s="7" t="s">
        <v>17967</v>
      </c>
      <c r="F4321" s="7" t="str">
        <f>HYPERLINK("http://www.tenutadellacascinassa.it/","www.tenutadellacascinassa.it")</f>
        <v>www.tenutadellacascinassa.it</v>
      </c>
    </row>
    <row r="4322" spans="1:6" ht="29.55" customHeight="1" x14ac:dyDescent="0.25">
      <c r="A4322" s="6" t="s">
        <v>17970</v>
      </c>
      <c r="B4322" s="5" t="s">
        <v>17971</v>
      </c>
      <c r="C4322" s="5" t="s">
        <v>17972</v>
      </c>
      <c r="D4322" s="5" t="s">
        <v>17968</v>
      </c>
      <c r="E4322" s="5" t="s">
        <v>17949</v>
      </c>
      <c r="F4322" s="5" t="str">
        <f>HYPERLINK("http://sifruit.it/","sifruit.it")</f>
        <v>sifruit.it</v>
      </c>
    </row>
    <row r="4323" spans="1:6" ht="43.05" customHeight="1" x14ac:dyDescent="0.25">
      <c r="A4323" s="1" t="s">
        <v>17973</v>
      </c>
      <c r="B4323" s="7" t="s">
        <v>17974</v>
      </c>
      <c r="C4323" s="7" t="s">
        <v>17959</v>
      </c>
      <c r="D4323" s="7" t="s">
        <v>17975</v>
      </c>
      <c r="E4323" s="7" t="s">
        <v>17949</v>
      </c>
      <c r="F4323" s="7" t="str">
        <f>HYPERLINK("http://www.tuttotonda.it/","www.tuttotonda.it")</f>
        <v>www.tuttotonda.it</v>
      </c>
    </row>
    <row r="4324" spans="1:6" ht="29.55" customHeight="1" x14ac:dyDescent="0.25">
      <c r="A4324" s="1" t="s">
        <v>17976</v>
      </c>
      <c r="B4324" s="7" t="s">
        <v>17977</v>
      </c>
      <c r="C4324" s="7" t="s">
        <v>17948</v>
      </c>
      <c r="D4324" s="7" t="s">
        <v>17963</v>
      </c>
      <c r="E4324" s="7" t="s">
        <v>17947</v>
      </c>
      <c r="F4324" s="7" t="str">
        <f>HYPERLINK("http://www.villafonteregina.it/","www.villafonteregina.it")</f>
        <v>www.villafonteregina.it</v>
      </c>
    </row>
    <row r="4325" spans="1:6" ht="29.55" customHeight="1" x14ac:dyDescent="0.25">
      <c r="A4325" s="1" t="s">
        <v>17978</v>
      </c>
      <c r="B4325" s="7" t="s">
        <v>17979</v>
      </c>
      <c r="C4325" s="7" t="s">
        <v>17959</v>
      </c>
      <c r="D4325" s="7" t="s">
        <v>17980</v>
      </c>
      <c r="E4325" s="7" t="s">
        <v>17947</v>
      </c>
      <c r="F4325" s="7" t="str">
        <f>HYPERLINK("http://www.decosystem.com/","www.decosystem.com")</f>
        <v>www.decosystem.com</v>
      </c>
    </row>
    <row r="4326" spans="1:6" ht="29.55" customHeight="1" x14ac:dyDescent="0.25">
      <c r="A4326" s="6" t="s">
        <v>17981</v>
      </c>
      <c r="B4326" s="5" t="s">
        <v>17982</v>
      </c>
      <c r="C4326" s="5" t="s">
        <v>17969</v>
      </c>
      <c r="D4326" s="5" t="s">
        <v>17983</v>
      </c>
      <c r="E4326" s="5" t="s">
        <v>17940</v>
      </c>
      <c r="F4326" s="5" t="str">
        <f>HYPERLINK("http://www.masseriascaledda.it/","www.masseriascaledda.it")</f>
        <v>www.masseriascaledda.it</v>
      </c>
    </row>
    <row r="4327" spans="1:6" ht="16.95" customHeight="1" x14ac:dyDescent="0.25">
      <c r="A4327" s="1" t="s">
        <v>17984</v>
      </c>
      <c r="B4327" s="7" t="s">
        <v>17985</v>
      </c>
      <c r="C4327" s="7" t="s">
        <v>17986</v>
      </c>
      <c r="D4327" s="7" t="s">
        <v>17987</v>
      </c>
      <c r="E4327" s="7" t="s">
        <v>17988</v>
      </c>
      <c r="F4327" s="7" t="str">
        <f>HYPERLINK("http://www.truffleland.com/","www.truffleland.com")</f>
        <v>www.truffleland.com</v>
      </c>
    </row>
    <row r="4328" spans="1:6" ht="29.55" customHeight="1" x14ac:dyDescent="0.25">
      <c r="A4328" s="1" t="s">
        <v>17991</v>
      </c>
      <c r="B4328" s="7" t="s">
        <v>17992</v>
      </c>
      <c r="C4328" s="7" t="s">
        <v>17989</v>
      </c>
      <c r="D4328" s="7" t="s">
        <v>17993</v>
      </c>
      <c r="E4328" s="7" t="s">
        <v>17990</v>
      </c>
      <c r="F4328" s="7" t="str">
        <f>HYPERLINK("http://www.agricapitalsrls.it/","www.agricapitalsrls.it")</f>
        <v>www.agricapitalsrls.it</v>
      </c>
    </row>
    <row r="4329" spans="1:6" ht="29.55" customHeight="1" x14ac:dyDescent="0.25">
      <c r="A4329" s="1" t="s">
        <v>17997</v>
      </c>
      <c r="B4329" s="7" t="s">
        <v>17998</v>
      </c>
      <c r="C4329" s="7" t="s">
        <v>17999</v>
      </c>
      <c r="D4329" s="7" t="s">
        <v>17993</v>
      </c>
      <c r="E4329" s="7" t="s">
        <v>17990</v>
      </c>
      <c r="F4329" s="7" t="str">
        <f>HYPERLINK("http://www.agriturismo-agrimediterraneo.it/","www.agriturismo-agrimediterraneo.it")</f>
        <v>www.agriturismo-agrimediterraneo.it</v>
      </c>
    </row>
    <row r="4330" spans="1:6" ht="29.55" customHeight="1" x14ac:dyDescent="0.25">
      <c r="A4330" s="1" t="s">
        <v>18000</v>
      </c>
      <c r="B4330" s="7" t="s">
        <v>18001</v>
      </c>
      <c r="C4330" s="7" t="s">
        <v>17995</v>
      </c>
      <c r="D4330" s="7" t="s">
        <v>18002</v>
      </c>
      <c r="E4330" s="7" t="s">
        <v>17994</v>
      </c>
      <c r="F4330" s="7" t="str">
        <f>HYPERLINK("http://www.castelloscuro.it/","www.castelloscuro.it")</f>
        <v>www.castelloscuro.it</v>
      </c>
    </row>
    <row r="4331" spans="1:6" ht="43.05" customHeight="1" x14ac:dyDescent="0.25">
      <c r="A4331" s="1" t="s">
        <v>18003</v>
      </c>
      <c r="B4331" s="7" t="s">
        <v>18004</v>
      </c>
      <c r="C4331" s="7" t="s">
        <v>17989</v>
      </c>
      <c r="D4331" s="7" t="s">
        <v>18005</v>
      </c>
      <c r="E4331" s="7" t="s">
        <v>17996</v>
      </c>
      <c r="F4331" s="7" t="str">
        <f>HYPERLINK("http://solidarietaerinnovamento.it/","solidarietaerinnovamento.it")</f>
        <v>solidarietaerinnovamento.it</v>
      </c>
    </row>
    <row r="4332" spans="1:6" ht="29.55" customHeight="1" x14ac:dyDescent="0.25">
      <c r="A4332" s="6" t="s">
        <v>18006</v>
      </c>
      <c r="B4332" s="5" t="s">
        <v>18007</v>
      </c>
      <c r="C4332" s="5" t="s">
        <v>17999</v>
      </c>
      <c r="D4332" s="5" t="s">
        <v>18008</v>
      </c>
      <c r="E4332" s="5" t="s">
        <v>18009</v>
      </c>
      <c r="F4332" s="5" t="str">
        <f>HYPERLINK("http://www.masseriaantonucci.it/","www.masseriaantonucci.it")</f>
        <v>www.masseriaantonucci.it</v>
      </c>
    </row>
    <row r="4333" spans="1:6" ht="29.55" customHeight="1" x14ac:dyDescent="0.25">
      <c r="A4333" s="6" t="s">
        <v>18010</v>
      </c>
      <c r="B4333" s="5" t="s">
        <v>18011</v>
      </c>
      <c r="C4333" s="5" t="s">
        <v>17999</v>
      </c>
      <c r="D4333" s="5" t="s">
        <v>17987</v>
      </c>
      <c r="E4333" s="5" t="s">
        <v>17988</v>
      </c>
      <c r="F4333" s="5" t="str">
        <f>HYPERLINK("http://www.colledellapace.it/","www.colledellapace.it")</f>
        <v>www.colledellapace.it</v>
      </c>
    </row>
    <row r="4334" spans="1:6" ht="16.95" customHeight="1" x14ac:dyDescent="0.25">
      <c r="A4334" s="1" t="s">
        <v>18014</v>
      </c>
      <c r="B4334" s="7" t="s">
        <v>18015</v>
      </c>
      <c r="C4334" s="7" t="s">
        <v>18016</v>
      </c>
      <c r="D4334" s="7" t="s">
        <v>18017</v>
      </c>
      <c r="E4334" s="7" t="s">
        <v>18017</v>
      </c>
      <c r="F4334" s="7" t="str">
        <f>HYPERLINK("http://www.biancospinoagricola.com/","www.biancospinoagricola.com")</f>
        <v>www.biancospinoagricola.com</v>
      </c>
    </row>
    <row r="4335" spans="1:6" ht="29.55" customHeight="1" x14ac:dyDescent="0.25">
      <c r="A4335" s="6" t="s">
        <v>18018</v>
      </c>
      <c r="B4335" s="5" t="s">
        <v>18019</v>
      </c>
      <c r="C4335" s="5" t="s">
        <v>18020</v>
      </c>
      <c r="D4335" s="5" t="s">
        <v>18021</v>
      </c>
      <c r="E4335" s="5" t="s">
        <v>18022</v>
      </c>
      <c r="F4335" s="5" t="str">
        <f>HYPERLINK("http://www.pontevignola.it/","www.pontevignola.it")</f>
        <v>www.pontevignola.it</v>
      </c>
    </row>
    <row r="4336" spans="1:6" ht="16.95" customHeight="1" x14ac:dyDescent="0.25">
      <c r="A4336" s="6" t="s">
        <v>18023</v>
      </c>
      <c r="B4336" s="5" t="s">
        <v>18024</v>
      </c>
      <c r="C4336" s="5" t="s">
        <v>18012</v>
      </c>
      <c r="D4336" s="5" t="s">
        <v>18025</v>
      </c>
      <c r="E4336" s="5" t="s">
        <v>18026</v>
      </c>
      <c r="F4336" s="5" t="str">
        <f>HYPERLINK("http://www.regiocantina.it/","www.regiocantina.it")</f>
        <v>www.regiocantina.it</v>
      </c>
    </row>
    <row r="4337" spans="1:6" ht="29.55" customHeight="1" x14ac:dyDescent="0.25">
      <c r="A4337" s="1" t="s">
        <v>18028</v>
      </c>
      <c r="B4337" s="7" t="s">
        <v>18029</v>
      </c>
      <c r="C4337" s="7" t="s">
        <v>18012</v>
      </c>
      <c r="D4337" s="7" t="s">
        <v>18030</v>
      </c>
      <c r="E4337" s="7" t="s">
        <v>18031</v>
      </c>
      <c r="F4337" s="7" t="str">
        <f>HYPERLINK("http://cantinapetrania.it/","cantinapetrania.it")</f>
        <v>cantinapetrania.it</v>
      </c>
    </row>
    <row r="4338" spans="1:6" ht="16.95" customHeight="1" x14ac:dyDescent="0.25">
      <c r="A4338" s="1" t="s">
        <v>18032</v>
      </c>
      <c r="B4338" s="7" t="s">
        <v>18033</v>
      </c>
      <c r="C4338" s="7" t="s">
        <v>18034</v>
      </c>
      <c r="D4338" s="7" t="s">
        <v>18035</v>
      </c>
      <c r="E4338" s="7" t="s">
        <v>18013</v>
      </c>
      <c r="F4338" s="7" t="str">
        <f>HYPERLINK("http://facofertilizzanti.it/","facofertilizzanti.it")</f>
        <v>facofertilizzanti.it</v>
      </c>
    </row>
    <row r="4339" spans="1:6" ht="55.65" customHeight="1" x14ac:dyDescent="0.25">
      <c r="A4339" s="1" t="s">
        <v>18036</v>
      </c>
      <c r="B4339" s="7" t="s">
        <v>18037</v>
      </c>
      <c r="C4339" s="7" t="s">
        <v>18027</v>
      </c>
      <c r="D4339" s="7" t="s">
        <v>18038</v>
      </c>
      <c r="E4339" s="7" t="s">
        <v>18022</v>
      </c>
      <c r="F4339" s="7" t="str">
        <f>HYPERLINK("http://www.oplatium.it/","www.oplatium.it")</f>
        <v>www.oplatium.it</v>
      </c>
    </row>
    <row r="4340" spans="1:6" ht="29.55" customHeight="1" x14ac:dyDescent="0.25">
      <c r="A4340" s="6" t="s">
        <v>18040</v>
      </c>
      <c r="B4340" s="5" t="s">
        <v>18041</v>
      </c>
      <c r="C4340" s="5" t="s">
        <v>18042</v>
      </c>
      <c r="D4340" s="5" t="s">
        <v>18043</v>
      </c>
      <c r="E4340" s="5" t="s">
        <v>18044</v>
      </c>
      <c r="F4340" s="5" t="str">
        <f>HYPERLINK("http://agriturismoicalanchidicivita.strikingly.com/","agriturismoicalanchidicivita.strikingly.com")</f>
        <v>agriturismoicalanchidicivita.strikingly.com</v>
      </c>
    </row>
    <row r="4341" spans="1:6" ht="29.55" customHeight="1" x14ac:dyDescent="0.25">
      <c r="A4341" s="6" t="s">
        <v>18046</v>
      </c>
      <c r="B4341" s="5" t="s">
        <v>18047</v>
      </c>
      <c r="C4341" s="5" t="s">
        <v>18048</v>
      </c>
      <c r="D4341" s="5" t="s">
        <v>18049</v>
      </c>
      <c r="E4341" s="5" t="s">
        <v>18039</v>
      </c>
      <c r="F4341" s="5" t="str">
        <f>HYPERLINK("http://bioagrifutura.it/","bioagrifutura.it")</f>
        <v>bioagrifutura.it</v>
      </c>
    </row>
    <row r="4342" spans="1:6" ht="29.55" customHeight="1" x14ac:dyDescent="0.25">
      <c r="A4342" s="1" t="s">
        <v>18050</v>
      </c>
      <c r="B4342" s="7" t="s">
        <v>18051</v>
      </c>
      <c r="C4342" s="7" t="s">
        <v>18045</v>
      </c>
      <c r="D4342" s="7" t="s">
        <v>18052</v>
      </c>
      <c r="E4342" s="7" t="s">
        <v>18053</v>
      </c>
      <c r="F4342" s="7" t="str">
        <f>HYPERLINK("http://freddano.it/","freddano.it")</f>
        <v>freddano.it</v>
      </c>
    </row>
    <row r="4343" spans="1:6" ht="55.65" customHeight="1" x14ac:dyDescent="0.25">
      <c r="A4343" s="6" t="s">
        <v>18054</v>
      </c>
      <c r="B4343" s="5" t="s">
        <v>18055</v>
      </c>
      <c r="C4343" s="5" t="s">
        <v>18042</v>
      </c>
      <c r="D4343" s="5" t="s">
        <v>18056</v>
      </c>
      <c r="E4343" s="5" t="s">
        <v>18057</v>
      </c>
      <c r="F4343" s="5" t="str">
        <f>HYPERLINK("http://traboscoestelle.com/","traboscoestelle.com")</f>
        <v>traboscoestelle.com</v>
      </c>
    </row>
    <row r="4344" spans="1:6" ht="43.05" customHeight="1" x14ac:dyDescent="0.25">
      <c r="A4344" s="6" t="s">
        <v>18060</v>
      </c>
      <c r="B4344" s="5" t="s">
        <v>18061</v>
      </c>
      <c r="C4344" s="5" t="s">
        <v>18062</v>
      </c>
      <c r="D4344" s="5" t="s">
        <v>18063</v>
      </c>
      <c r="E4344" s="5" t="s">
        <v>18064</v>
      </c>
      <c r="F4344" s="5" t="str">
        <f>HYPERLINK("http://www.allevasondrio.it/","www.allevasondrio.it")</f>
        <v>www.allevasondrio.it</v>
      </c>
    </row>
    <row r="4345" spans="1:6" ht="29.55" customHeight="1" x14ac:dyDescent="0.25">
      <c r="A4345" s="1" t="s">
        <v>18065</v>
      </c>
      <c r="B4345" s="7" t="s">
        <v>18066</v>
      </c>
      <c r="C4345" s="7" t="s">
        <v>18058</v>
      </c>
      <c r="D4345" s="7" t="s">
        <v>18067</v>
      </c>
      <c r="E4345" s="7" t="s">
        <v>18068</v>
      </c>
      <c r="F4345" s="7" t="str">
        <f>HYPERLINK("http://www.agridue-arl.it/","www.agridue-arl.it")</f>
        <v>www.agridue-arl.it</v>
      </c>
    </row>
    <row r="4346" spans="1:6" ht="29.55" customHeight="1" x14ac:dyDescent="0.25">
      <c r="A4346" s="6" t="s">
        <v>18071</v>
      </c>
      <c r="B4346" s="5" t="s">
        <v>18072</v>
      </c>
      <c r="C4346" s="5" t="s">
        <v>18069</v>
      </c>
      <c r="D4346" s="5" t="s">
        <v>18073</v>
      </c>
      <c r="E4346" s="5" t="s">
        <v>18059</v>
      </c>
      <c r="F4346" s="5" t="str">
        <f>HYPERLINK("http://socagricolagareni.com/","socagricolagareni.com")</f>
        <v>socagricolagareni.com</v>
      </c>
    </row>
    <row r="4347" spans="1:6" ht="29.55" customHeight="1" x14ac:dyDescent="0.25">
      <c r="A4347" s="6" t="s">
        <v>18074</v>
      </c>
      <c r="B4347" s="5" t="s">
        <v>18075</v>
      </c>
      <c r="C4347" s="5" t="s">
        <v>18070</v>
      </c>
      <c r="D4347" s="5" t="s">
        <v>18076</v>
      </c>
      <c r="E4347" s="5" t="s">
        <v>18077</v>
      </c>
      <c r="F4347" s="5" t="str">
        <f>HYPERLINK("http://www.daneurope.org/","www.daneurope.org")</f>
        <v>www.daneurope.org</v>
      </c>
    </row>
    <row r="4348" spans="1:6" ht="29.55" customHeight="1" x14ac:dyDescent="0.25">
      <c r="A4348" s="1" t="s">
        <v>18082</v>
      </c>
      <c r="B4348" s="7" t="s">
        <v>18083</v>
      </c>
      <c r="C4348" s="7" t="s">
        <v>18079</v>
      </c>
      <c r="D4348" s="7" t="s">
        <v>18084</v>
      </c>
      <c r="E4348" s="7" t="s">
        <v>18081</v>
      </c>
      <c r="F4348" s="7" t="str">
        <f>HYPERLINK("http://www.parmablack.com/","www.parmablack.com")</f>
        <v>www.parmablack.com</v>
      </c>
    </row>
    <row r="4349" spans="1:6" ht="43.05" customHeight="1" x14ac:dyDescent="0.25">
      <c r="A4349" s="1" t="s">
        <v>18085</v>
      </c>
      <c r="B4349" s="7" t="s">
        <v>18086</v>
      </c>
      <c r="C4349" s="7" t="s">
        <v>18078</v>
      </c>
      <c r="D4349" s="7" t="s">
        <v>18080</v>
      </c>
      <c r="E4349" s="7" t="s">
        <v>18080</v>
      </c>
      <c r="F4349" s="7" t="str">
        <f>HYPERLINK("http://www.comunitalacollina.org/","www.comunitalacollina.org")</f>
        <v>www.comunitalacollina.org</v>
      </c>
    </row>
    <row r="4350" spans="1:6" ht="29.55" customHeight="1" x14ac:dyDescent="0.25">
      <c r="A4350" s="6" t="s">
        <v>18088</v>
      </c>
      <c r="B4350" s="5" t="s">
        <v>18089</v>
      </c>
      <c r="C4350" s="5" t="s">
        <v>18090</v>
      </c>
      <c r="D4350" s="5" t="s">
        <v>18091</v>
      </c>
      <c r="E4350" s="5" t="s">
        <v>18087</v>
      </c>
      <c r="F4350" s="5" t="str">
        <f>HYPERLINK("http://tenutasantagostino.it/","tenutasantagostino.it")</f>
        <v>tenutasantagostino.it</v>
      </c>
    </row>
    <row r="4351" spans="1:6" ht="29.55" customHeight="1" x14ac:dyDescent="0.25">
      <c r="A4351" s="1" t="s">
        <v>18094</v>
      </c>
      <c r="B4351" s="7" t="s">
        <v>18095</v>
      </c>
      <c r="C4351" s="7" t="s">
        <v>18096</v>
      </c>
      <c r="D4351" s="7" t="s">
        <v>18091</v>
      </c>
      <c r="E4351" s="7" t="s">
        <v>18087</v>
      </c>
      <c r="F4351" s="7" t="str">
        <f>HYPERLINK("http://www.settemisure.com/","www.settemisure.com")</f>
        <v>www.settemisure.com</v>
      </c>
    </row>
    <row r="4352" spans="1:6" ht="43.05" customHeight="1" x14ac:dyDescent="0.25">
      <c r="A4352" s="6" t="s">
        <v>18097</v>
      </c>
      <c r="B4352" s="5" t="s">
        <v>18098</v>
      </c>
      <c r="C4352" s="5" t="s">
        <v>18099</v>
      </c>
      <c r="D4352" s="5" t="s">
        <v>18100</v>
      </c>
      <c r="E4352" s="5" t="s">
        <v>18101</v>
      </c>
      <c r="F4352" s="5" t="str">
        <f>HYPERLINK("http://www.emanumiele.it/","www.emanumiele.it")</f>
        <v>www.emanumiele.it</v>
      </c>
    </row>
    <row r="4353" spans="1:6" ht="43.05" customHeight="1" x14ac:dyDescent="0.25">
      <c r="A4353" s="6" t="s">
        <v>18102</v>
      </c>
      <c r="B4353" s="5" t="s">
        <v>18103</v>
      </c>
      <c r="C4353" s="5" t="s">
        <v>18104</v>
      </c>
      <c r="D4353" s="5" t="s">
        <v>18092</v>
      </c>
      <c r="E4353" s="5" t="s">
        <v>18093</v>
      </c>
      <c r="F4353" s="5" t="str">
        <f>HYPERLINK("http://www.canecorsodeinegroni.com/","www.canecorsodeinegroni.com")</f>
        <v>www.canecorsodeinegroni.com</v>
      </c>
    </row>
    <row r="4354" spans="1:6" ht="16.95" customHeight="1" x14ac:dyDescent="0.25">
      <c r="A4354" s="1" t="s">
        <v>18106</v>
      </c>
      <c r="B4354" s="7" t="s">
        <v>18107</v>
      </c>
      <c r="C4354" s="7" t="s">
        <v>18090</v>
      </c>
      <c r="D4354" s="7" t="s">
        <v>18105</v>
      </c>
      <c r="E4354" s="7" t="s">
        <v>18101</v>
      </c>
      <c r="F4354" s="7" t="str">
        <f>HYPERLINK("http://www.tuccari.it/","www.tuccari.it")</f>
        <v>www.tuccari.it</v>
      </c>
    </row>
    <row r="4355" spans="1:6" ht="29.55" customHeight="1" x14ac:dyDescent="0.25">
      <c r="A4355" s="6" t="s">
        <v>18113</v>
      </c>
      <c r="B4355" s="5" t="s">
        <v>18114</v>
      </c>
      <c r="C4355" s="5" t="s">
        <v>18110</v>
      </c>
      <c r="D4355" s="5" t="s">
        <v>18115</v>
      </c>
      <c r="E4355" s="5" t="s">
        <v>18112</v>
      </c>
      <c r="F4355" s="5" t="str">
        <f>HYPERLINK("http://www.cocconito.it/","www.cocconito.it")</f>
        <v>www.cocconito.it</v>
      </c>
    </row>
    <row r="4356" spans="1:6" ht="16.95" customHeight="1" x14ac:dyDescent="0.25">
      <c r="A4356" s="1" t="s">
        <v>18116</v>
      </c>
      <c r="B4356" s="7" t="s">
        <v>18117</v>
      </c>
      <c r="C4356" s="7" t="s">
        <v>18111</v>
      </c>
      <c r="D4356" s="7" t="s">
        <v>18118</v>
      </c>
      <c r="E4356" s="7" t="s">
        <v>18119</v>
      </c>
      <c r="F4356" s="7" t="str">
        <f>HYPERLINK("http://www.countryrelaisalparco.it/","www.countryrelaisalparco.it")</f>
        <v>www.countryrelaisalparco.it</v>
      </c>
    </row>
    <row r="4357" spans="1:6" ht="43.05" customHeight="1" x14ac:dyDescent="0.25">
      <c r="A4357" s="6" t="s">
        <v>18121</v>
      </c>
      <c r="B4357" s="5" t="s">
        <v>18122</v>
      </c>
      <c r="C4357" s="5" t="s">
        <v>18123</v>
      </c>
      <c r="D4357" s="5" t="s">
        <v>18120</v>
      </c>
      <c r="E4357" s="5" t="s">
        <v>18108</v>
      </c>
      <c r="F4357" s="5" t="str">
        <f>HYPERLINK("http://www.apolivo.com/","www.apolivo.com")</f>
        <v>www.apolivo.com</v>
      </c>
    </row>
    <row r="4358" spans="1:6" ht="68.099999999999994" customHeight="1" x14ac:dyDescent="0.25">
      <c r="A4358" s="1" t="s">
        <v>18125</v>
      </c>
      <c r="B4358" s="7" t="s">
        <v>18126</v>
      </c>
      <c r="C4358" s="7" t="s">
        <v>18109</v>
      </c>
      <c r="D4358" s="7" t="s">
        <v>18120</v>
      </c>
      <c r="E4358" s="7" t="s">
        <v>18108</v>
      </c>
      <c r="F4358" s="7" t="str">
        <f>HYPERLINK("http://www.olioalmasole.it/","www.olioalmasole.it")</f>
        <v>www.olioalmasole.it</v>
      </c>
    </row>
    <row r="4359" spans="1:6" ht="29.55" customHeight="1" x14ac:dyDescent="0.25">
      <c r="A4359" s="1" t="s">
        <v>18127</v>
      </c>
      <c r="B4359" s="7" t="s">
        <v>18128</v>
      </c>
      <c r="C4359" s="7" t="s">
        <v>18129</v>
      </c>
      <c r="D4359" s="7" t="s">
        <v>18130</v>
      </c>
      <c r="E4359" s="7" t="s">
        <v>18124</v>
      </c>
      <c r="F4359" s="7" t="str">
        <f>HYPERLINK("http://www.spealeather.com/","www.spealeather.com")</f>
        <v>www.spealeather.com</v>
      </c>
    </row>
    <row r="4360" spans="1:6" ht="29.55" customHeight="1" x14ac:dyDescent="0.25">
      <c r="A4360" s="6" t="s">
        <v>18135</v>
      </c>
      <c r="B4360" s="5" t="s">
        <v>18136</v>
      </c>
      <c r="C4360" s="5" t="s">
        <v>18137</v>
      </c>
      <c r="D4360" s="5" t="s">
        <v>18138</v>
      </c>
      <c r="E4360" s="5" t="s">
        <v>18139</v>
      </c>
      <c r="F4360" s="5" t="str">
        <f>HYPERLINK("http://www.tenutatrium.it/","www.tenutatrium.it")</f>
        <v>www.tenutatrium.it</v>
      </c>
    </row>
    <row r="4361" spans="1:6" ht="29.55" customHeight="1" x14ac:dyDescent="0.25">
      <c r="A4361" s="6" t="s">
        <v>18142</v>
      </c>
      <c r="B4361" s="5" t="s">
        <v>18143</v>
      </c>
      <c r="C4361" s="5" t="s">
        <v>18137</v>
      </c>
      <c r="D4361" s="5" t="s">
        <v>18144</v>
      </c>
      <c r="E4361" s="5" t="s">
        <v>18145</v>
      </c>
      <c r="F4361" s="5" t="str">
        <f>HYPERLINK("http://www.agricolavalentino.com/","www.agricolavalentino.com")</f>
        <v>www.agricolavalentino.com</v>
      </c>
    </row>
    <row r="4362" spans="1:6" ht="29.55" customHeight="1" x14ac:dyDescent="0.25">
      <c r="A4362" s="6" t="s">
        <v>18146</v>
      </c>
      <c r="B4362" s="5" t="s">
        <v>18147</v>
      </c>
      <c r="C4362" s="5" t="s">
        <v>18148</v>
      </c>
      <c r="D4362" s="5" t="s">
        <v>18132</v>
      </c>
      <c r="E4362" s="5" t="s">
        <v>18133</v>
      </c>
      <c r="F4362" s="5" t="str">
        <f>HYPERLINK("http://www.bbsantateresa.it/","www.bbsantateresa.it")</f>
        <v>www.bbsantateresa.it</v>
      </c>
    </row>
    <row r="4363" spans="1:6" ht="29.55" customHeight="1" x14ac:dyDescent="0.25">
      <c r="A4363" s="6" t="s">
        <v>18149</v>
      </c>
      <c r="B4363" s="5" t="s">
        <v>18150</v>
      </c>
      <c r="C4363" s="5" t="s">
        <v>18131</v>
      </c>
      <c r="D4363" s="5" t="s">
        <v>18151</v>
      </c>
      <c r="E4363" s="5" t="s">
        <v>18152</v>
      </c>
      <c r="F4363" s="5" t="str">
        <f>HYPERLINK("http://www.concinnate.it/","www.concinnate.it")</f>
        <v>www.concinnate.it</v>
      </c>
    </row>
    <row r="4364" spans="1:6" ht="29.55" customHeight="1" x14ac:dyDescent="0.25">
      <c r="A4364" s="1" t="s">
        <v>18153</v>
      </c>
      <c r="B4364" s="7" t="s">
        <v>18154</v>
      </c>
      <c r="C4364" s="7" t="s">
        <v>18134</v>
      </c>
      <c r="D4364" s="7" t="s">
        <v>18155</v>
      </c>
      <c r="E4364" s="7" t="s">
        <v>18152</v>
      </c>
      <c r="F4364" s="7" t="str">
        <f>HYPERLINK("http://www.luchiano.it/","www.luchiano.it")</f>
        <v>www.luchiano.it</v>
      </c>
    </row>
    <row r="4365" spans="1:6" ht="29.55" customHeight="1" x14ac:dyDescent="0.25">
      <c r="A4365" s="6" t="s">
        <v>18156</v>
      </c>
      <c r="B4365" s="5" t="s">
        <v>18157</v>
      </c>
      <c r="C4365" s="5" t="s">
        <v>18158</v>
      </c>
      <c r="D4365" s="5" t="s">
        <v>18159</v>
      </c>
      <c r="E4365" s="5" t="s">
        <v>18160</v>
      </c>
      <c r="F4365" s="5" t="str">
        <f>HYPERLINK("http://almaitaliaspa.it/","almaitaliaspa.it")</f>
        <v>almaitaliaspa.it</v>
      </c>
    </row>
    <row r="4366" spans="1:6" ht="29.55" customHeight="1" x14ac:dyDescent="0.25">
      <c r="A4366" s="6" t="s">
        <v>18161</v>
      </c>
      <c r="B4366" s="5" t="s">
        <v>18162</v>
      </c>
      <c r="C4366" s="5" t="s">
        <v>18131</v>
      </c>
      <c r="D4366" s="5" t="s">
        <v>18140</v>
      </c>
      <c r="E4366" s="5" t="s">
        <v>18141</v>
      </c>
      <c r="F4366" s="5" t="str">
        <f>HYPERLINK("http://laiera.jimdofree.com/","laiera.jimdofree.com")</f>
        <v>laiera.jimdofree.com</v>
      </c>
    </row>
    <row r="4367" spans="1:6" ht="29.55" customHeight="1" x14ac:dyDescent="0.25">
      <c r="A4367" s="6" t="s">
        <v>18163</v>
      </c>
      <c r="B4367" s="5" t="s">
        <v>18164</v>
      </c>
      <c r="C4367" s="5" t="s">
        <v>18148</v>
      </c>
      <c r="D4367" s="5" t="s">
        <v>18165</v>
      </c>
      <c r="E4367" s="5" t="s">
        <v>18139</v>
      </c>
      <c r="F4367" s="5" t="str">
        <f>HYPERLINK("http://21sorrisi.it/","21sorrisi.it")</f>
        <v>21sorrisi.it</v>
      </c>
    </row>
    <row r="4368" spans="1:6" ht="29.55" customHeight="1" x14ac:dyDescent="0.25">
      <c r="A4368" s="1" t="s">
        <v>18168</v>
      </c>
      <c r="B4368" s="7" t="s">
        <v>18169</v>
      </c>
      <c r="C4368" s="7" t="s">
        <v>18170</v>
      </c>
      <c r="D4368" s="7" t="s">
        <v>18171</v>
      </c>
      <c r="E4368" s="7" t="s">
        <v>18167</v>
      </c>
      <c r="F4368" s="7" t="str">
        <f>HYPERLINK("http://www.buenvivirsavignano.it/","www.buenvivirsavignano.it")</f>
        <v>www.buenvivirsavignano.it</v>
      </c>
    </row>
    <row r="4369" spans="1:6" ht="29.55" customHeight="1" x14ac:dyDescent="0.25">
      <c r="A4369" s="1" t="s">
        <v>18173</v>
      </c>
      <c r="B4369" s="7" t="s">
        <v>18174</v>
      </c>
      <c r="C4369" s="7" t="s">
        <v>18175</v>
      </c>
      <c r="D4369" s="7" t="s">
        <v>18176</v>
      </c>
      <c r="E4369" s="7" t="s">
        <v>18172</v>
      </c>
      <c r="F4369" s="7" t="str">
        <f>HYPERLINK("http://myhomeresidence.it/","myhomeresidence.it")</f>
        <v>myhomeresidence.it</v>
      </c>
    </row>
    <row r="4370" spans="1:6" ht="29.55" customHeight="1" x14ac:dyDescent="0.25">
      <c r="A4370" s="1" t="s">
        <v>18178</v>
      </c>
      <c r="B4370" s="7" t="s">
        <v>18179</v>
      </c>
      <c r="C4370" s="7" t="s">
        <v>18180</v>
      </c>
      <c r="D4370" s="7" t="s">
        <v>18181</v>
      </c>
      <c r="E4370" s="7" t="s">
        <v>18182</v>
      </c>
      <c r="F4370" s="7" t="str">
        <f>HYPERLINK("http://www.villadominica.it/","www.villadominica.it")</f>
        <v>www.villadominica.it</v>
      </c>
    </row>
    <row r="4371" spans="1:6" ht="43.05" customHeight="1" x14ac:dyDescent="0.25">
      <c r="A4371" s="6" t="s">
        <v>18183</v>
      </c>
      <c r="B4371" s="5" t="s">
        <v>18184</v>
      </c>
      <c r="C4371" s="5" t="s">
        <v>18185</v>
      </c>
      <c r="D4371" s="5" t="s">
        <v>18186</v>
      </c>
      <c r="E4371" s="5" t="s">
        <v>18187</v>
      </c>
      <c r="F4371" s="5" t="str">
        <f>HYPERLINK("http://www.birrificioquattroventi.it/","www.birrificioquattroventi.it")</f>
        <v>www.birrificioquattroventi.it</v>
      </c>
    </row>
    <row r="4372" spans="1:6" ht="29.55" customHeight="1" x14ac:dyDescent="0.25">
      <c r="A4372" s="1" t="s">
        <v>18189</v>
      </c>
      <c r="B4372" s="7" t="s">
        <v>18190</v>
      </c>
      <c r="C4372" s="7" t="s">
        <v>18177</v>
      </c>
      <c r="D4372" s="7" t="s">
        <v>18191</v>
      </c>
      <c r="E4372" s="7" t="s">
        <v>18188</v>
      </c>
      <c r="F4372" s="7" t="str">
        <f>HYPERLINK("http://www.minoritransfer.it/","www.minoritransfer.it")</f>
        <v>www.minoritransfer.it</v>
      </c>
    </row>
    <row r="4373" spans="1:6" ht="29.55" customHeight="1" x14ac:dyDescent="0.25">
      <c r="A4373" s="1" t="s">
        <v>18192</v>
      </c>
      <c r="B4373" s="7" t="s">
        <v>18193</v>
      </c>
      <c r="C4373" s="7" t="s">
        <v>18166</v>
      </c>
      <c r="D4373" s="7" t="s">
        <v>18194</v>
      </c>
      <c r="E4373" s="7" t="s">
        <v>18195</v>
      </c>
      <c r="F4373" s="7" t="str">
        <f>HYPERLINK("http://www.terrediluce.com/","www.terrediluce.com")</f>
        <v>www.terrediluce.com</v>
      </c>
    </row>
    <row r="4374" spans="1:6" ht="16.95" customHeight="1" x14ac:dyDescent="0.25">
      <c r="A4374" s="6" t="s">
        <v>18196</v>
      </c>
      <c r="B4374" s="5" t="s">
        <v>18197</v>
      </c>
      <c r="C4374" s="5" t="s">
        <v>18198</v>
      </c>
      <c r="D4374" s="5" t="s">
        <v>18199</v>
      </c>
      <c r="E4374" s="5" t="s">
        <v>18200</v>
      </c>
      <c r="F4374" s="5" t="str">
        <f>HYPERLINK("http://www.andreinipiante.it/","www.andreinipiante.it")</f>
        <v>www.andreinipiante.it</v>
      </c>
    </row>
    <row r="4375" spans="1:6" ht="16.95" customHeight="1" x14ac:dyDescent="0.25">
      <c r="A4375" s="1" t="s">
        <v>18201</v>
      </c>
      <c r="B4375" s="7" t="s">
        <v>18202</v>
      </c>
      <c r="C4375" s="7" t="s">
        <v>18203</v>
      </c>
      <c r="D4375" s="7" t="s">
        <v>18204</v>
      </c>
      <c r="E4375" s="7" t="s">
        <v>18205</v>
      </c>
      <c r="F4375" s="7" t="str">
        <f>HYPERLINK("https://memmiasrl.wordpress.com/","https://memmiasrl.wordpress.com/")</f>
        <v>https://memmiasrl.wordpress.com/</v>
      </c>
    </row>
    <row r="4376" spans="1:6" ht="43.05" customHeight="1" x14ac:dyDescent="0.25">
      <c r="A4376" s="6" t="s">
        <v>18210</v>
      </c>
      <c r="B4376" s="5" t="s">
        <v>18211</v>
      </c>
      <c r="C4376" s="5" t="s">
        <v>18212</v>
      </c>
      <c r="D4376" s="5" t="s">
        <v>18213</v>
      </c>
      <c r="E4376" s="5" t="s">
        <v>18207</v>
      </c>
      <c r="F4376" s="5" t="str">
        <f>HYPERLINK("http://www.fungolog.it/","www.fungolog.it")</f>
        <v>www.fungolog.it</v>
      </c>
    </row>
    <row r="4377" spans="1:6" ht="29.55" customHeight="1" x14ac:dyDescent="0.25">
      <c r="A4377" s="6" t="s">
        <v>18215</v>
      </c>
      <c r="B4377" s="5" t="s">
        <v>18216</v>
      </c>
      <c r="C4377" s="5" t="s">
        <v>18208</v>
      </c>
      <c r="D4377" s="5" t="s">
        <v>18209</v>
      </c>
      <c r="E4377" s="5" t="s">
        <v>18207</v>
      </c>
      <c r="F4377" s="5" t="str">
        <f>HYPERLINK("http://www.cascinacanale.it/","www.cascinacanale.it")</f>
        <v>www.cascinacanale.it</v>
      </c>
    </row>
    <row r="4378" spans="1:6" ht="29.55" customHeight="1" x14ac:dyDescent="0.25">
      <c r="A4378" s="1" t="s">
        <v>18217</v>
      </c>
      <c r="B4378" s="7" t="s">
        <v>18218</v>
      </c>
      <c r="C4378" s="7" t="s">
        <v>18203</v>
      </c>
      <c r="D4378" s="7" t="s">
        <v>18214</v>
      </c>
      <c r="E4378" s="7" t="s">
        <v>18206</v>
      </c>
      <c r="F4378" s="7" t="str">
        <f>HYPERLINK("http://www.allevamentodiripoli.it/","www.allevamentodiripoli.it")</f>
        <v>www.allevamentodiripoli.it</v>
      </c>
    </row>
    <row r="4379" spans="1:6" ht="29.55" customHeight="1" x14ac:dyDescent="0.25">
      <c r="A4379" s="6" t="s">
        <v>18219</v>
      </c>
      <c r="B4379" s="5" t="s">
        <v>18220</v>
      </c>
      <c r="C4379" s="5" t="s">
        <v>18221</v>
      </c>
      <c r="D4379" s="5" t="s">
        <v>18222</v>
      </c>
      <c r="E4379" s="5" t="s">
        <v>18223</v>
      </c>
      <c r="F4379" s="5" t="str">
        <f>HYPERLINK("http://www.agricolabastia.it/","www.agricolabastia.it")</f>
        <v>www.agricolabastia.it</v>
      </c>
    </row>
    <row r="4380" spans="1:6" ht="68.099999999999994" customHeight="1" x14ac:dyDescent="0.25">
      <c r="A4380" s="1" t="s">
        <v>18226</v>
      </c>
      <c r="B4380" s="7" t="s">
        <v>18227</v>
      </c>
      <c r="C4380" s="7" t="s">
        <v>18224</v>
      </c>
      <c r="D4380" s="7" t="s">
        <v>18228</v>
      </c>
      <c r="E4380" s="7" t="s">
        <v>18229</v>
      </c>
      <c r="F4380" s="7" t="str">
        <f>HYPERLINK("http://www.torrerosano.it/","www.torrerosano.it")</f>
        <v>www.torrerosano.it</v>
      </c>
    </row>
    <row r="4381" spans="1:6" ht="106.65" customHeight="1" x14ac:dyDescent="0.25">
      <c r="A4381" s="6" t="s">
        <v>18235</v>
      </c>
      <c r="B4381" s="5" t="s">
        <v>18236</v>
      </c>
      <c r="C4381" s="5" t="s">
        <v>18237</v>
      </c>
      <c r="D4381" s="5" t="s">
        <v>18238</v>
      </c>
      <c r="E4381" s="5" t="s">
        <v>18239</v>
      </c>
      <c r="F4381" s="5" t="str">
        <f>HYPERLINK("http://www.palazzodivarignanafood.com/","www.palazzodivarignanafood.com")</f>
        <v>www.palazzodivarignanafood.com</v>
      </c>
    </row>
    <row r="4382" spans="1:6" ht="29.55" customHeight="1" x14ac:dyDescent="0.25">
      <c r="A4382" s="6" t="s">
        <v>18242</v>
      </c>
      <c r="B4382" s="5" t="s">
        <v>18243</v>
      </c>
      <c r="C4382" s="5" t="s">
        <v>18230</v>
      </c>
      <c r="D4382" s="5" t="s">
        <v>18244</v>
      </c>
      <c r="E4382" s="5" t="s">
        <v>18241</v>
      </c>
      <c r="F4382" s="5" t="str">
        <f>HYPERLINK("http://tenutabellavistaolio.it/","tenutabellavistaolio.it")</f>
        <v>tenutabellavistaolio.it</v>
      </c>
    </row>
    <row r="4383" spans="1:6" ht="16.95" customHeight="1" x14ac:dyDescent="0.25">
      <c r="A4383" s="1" t="s">
        <v>18245</v>
      </c>
      <c r="B4383" s="7" t="s">
        <v>18246</v>
      </c>
      <c r="C4383" s="7" t="s">
        <v>18247</v>
      </c>
      <c r="D4383" s="7" t="s">
        <v>18240</v>
      </c>
      <c r="E4383" s="7" t="s">
        <v>18223</v>
      </c>
      <c r="F4383" s="7" t="str">
        <f>HYPERLINK("http://mulino.borromeo.it/","mulino.borromeo.it")</f>
        <v>mulino.borromeo.it</v>
      </c>
    </row>
    <row r="4384" spans="1:6" ht="29.55" customHeight="1" x14ac:dyDescent="0.25">
      <c r="A4384" s="1" t="s">
        <v>18249</v>
      </c>
      <c r="B4384" s="7" t="s">
        <v>18250</v>
      </c>
      <c r="C4384" s="7" t="s">
        <v>18224</v>
      </c>
      <c r="D4384" s="7" t="s">
        <v>18231</v>
      </c>
      <c r="E4384" s="7" t="s">
        <v>18232</v>
      </c>
      <c r="F4384" s="7" t="str">
        <f>HYPERLINK("http://www.fattoriailgheppio.it/","www.fattoriailgheppio.it")</f>
        <v>www.fattoriailgheppio.it</v>
      </c>
    </row>
    <row r="4385" spans="1:6" ht="29.55" customHeight="1" x14ac:dyDescent="0.25">
      <c r="A4385" s="6" t="s">
        <v>18251</v>
      </c>
      <c r="B4385" s="5" t="s">
        <v>18252</v>
      </c>
      <c r="C4385" s="5" t="s">
        <v>18248</v>
      </c>
      <c r="D4385" s="5" t="s">
        <v>18233</v>
      </c>
      <c r="E4385" s="5" t="s">
        <v>18234</v>
      </c>
      <c r="F4385" s="5" t="str">
        <f>HYPERLINK("http://www.ilpinciarino.com/","www.ilpinciarino.com")</f>
        <v>www.ilpinciarino.com</v>
      </c>
    </row>
    <row r="4386" spans="1:6" ht="43.05" customHeight="1" x14ac:dyDescent="0.25">
      <c r="A4386" s="1" t="s">
        <v>18253</v>
      </c>
      <c r="B4386" s="7" t="s">
        <v>18254</v>
      </c>
      <c r="C4386" s="7" t="s">
        <v>18230</v>
      </c>
      <c r="D4386" s="7" t="s">
        <v>18255</v>
      </c>
      <c r="E4386" s="7" t="s">
        <v>18225</v>
      </c>
      <c r="F4386" s="7" t="str">
        <f>HYPERLINK("http://www.ramodimandorlo.com/","www.ramodimandorlo.com")</f>
        <v>www.ramodimandorlo.com</v>
      </c>
    </row>
    <row r="4387" spans="1:6" ht="29.55" customHeight="1" x14ac:dyDescent="0.25">
      <c r="A4387" s="1" t="s">
        <v>18256</v>
      </c>
      <c r="B4387" s="7" t="s">
        <v>18257</v>
      </c>
      <c r="C4387" s="7" t="s">
        <v>18258</v>
      </c>
      <c r="D4387" s="7" t="s">
        <v>18259</v>
      </c>
      <c r="E4387" s="7" t="s">
        <v>18239</v>
      </c>
      <c r="F4387" s="7" t="str">
        <f>HYPERLINK("http://www.isoladipaolo.it/","www.isoladipaolo.it")</f>
        <v>www.isoladipaolo.it</v>
      </c>
    </row>
    <row r="4388" spans="1:6" ht="29.55" customHeight="1" x14ac:dyDescent="0.25">
      <c r="A4388" s="1" t="s">
        <v>18260</v>
      </c>
      <c r="B4388" s="7" t="s">
        <v>18261</v>
      </c>
      <c r="C4388" s="7" t="s">
        <v>18262</v>
      </c>
      <c r="D4388" s="7" t="s">
        <v>18263</v>
      </c>
      <c r="E4388" s="7" t="s">
        <v>18264</v>
      </c>
      <c r="F4388" s="7" t="str">
        <f>HYPERLINK("http://www.vi-bu.it/","www.vi-bu.it")</f>
        <v>www.vi-bu.it</v>
      </c>
    </row>
    <row r="4389" spans="1:6" ht="43.05" customHeight="1" x14ac:dyDescent="0.25">
      <c r="A4389" s="6" t="s">
        <v>18267</v>
      </c>
      <c r="B4389" s="5" t="s">
        <v>18268</v>
      </c>
      <c r="C4389" s="5" t="s">
        <v>18269</v>
      </c>
      <c r="D4389" s="5" t="s">
        <v>18270</v>
      </c>
      <c r="E4389" s="5" t="s">
        <v>18266</v>
      </c>
      <c r="F4389" s="5" t="str">
        <f>HYPERLINK("http://www.villasermanno.it/","www.villasermanno.it")</f>
        <v>www.villasermanno.it</v>
      </c>
    </row>
    <row r="4390" spans="1:6" ht="55.65" customHeight="1" x14ac:dyDescent="0.25">
      <c r="A4390" s="1" t="s">
        <v>18273</v>
      </c>
      <c r="B4390" s="7" t="s">
        <v>18274</v>
      </c>
      <c r="C4390" s="7" t="s">
        <v>18265</v>
      </c>
      <c r="D4390" s="7" t="s">
        <v>18271</v>
      </c>
      <c r="E4390" s="7" t="s">
        <v>18272</v>
      </c>
      <c r="F4390" s="7" t="str">
        <f>HYPERLINK("http://agriturismo-masseria-serralta.vederelitalia.top/","agriturismo-masseria-serralta.vederelitalia.top")</f>
        <v>agriturismo-masseria-serralta.vederelitalia.top</v>
      </c>
    </row>
    <row r="4391" spans="1:6" ht="43.05" customHeight="1" x14ac:dyDescent="0.25">
      <c r="A4391" s="1" t="s">
        <v>18275</v>
      </c>
      <c r="B4391" s="7" t="s">
        <v>18276</v>
      </c>
      <c r="C4391" s="7" t="s">
        <v>18269</v>
      </c>
      <c r="D4391" s="7" t="s">
        <v>18271</v>
      </c>
      <c r="E4391" s="7" t="s">
        <v>18272</v>
      </c>
      <c r="F4391" s="7" t="str">
        <f>HYPERLINK("http://www.milonia.com/","www.milonia.com")</f>
        <v>www.milonia.com</v>
      </c>
    </row>
    <row r="4392" spans="1:6" ht="29.55" customHeight="1" x14ac:dyDescent="0.25">
      <c r="A4392" s="6" t="s">
        <v>18277</v>
      </c>
      <c r="B4392" s="5" t="s">
        <v>18278</v>
      </c>
      <c r="C4392" s="5" t="s">
        <v>18279</v>
      </c>
      <c r="D4392" s="5" t="s">
        <v>18280</v>
      </c>
      <c r="E4392" s="5" t="s">
        <v>18281</v>
      </c>
      <c r="F4392" s="5" t="str">
        <f>HYPERLINK("http://www.apicolturamargarito.it/","www.apicolturamargarito.it")</f>
        <v>www.apicolturamargarito.it</v>
      </c>
    </row>
    <row r="4393" spans="1:6" ht="29.55" customHeight="1" x14ac:dyDescent="0.25">
      <c r="A4393" s="6" t="s">
        <v>18283</v>
      </c>
      <c r="B4393" s="5" t="s">
        <v>18284</v>
      </c>
      <c r="C4393" s="5" t="s">
        <v>18285</v>
      </c>
      <c r="D4393" s="5" t="s">
        <v>18286</v>
      </c>
      <c r="E4393" s="5" t="s">
        <v>18287</v>
      </c>
      <c r="F4393" s="5" t="str">
        <f>HYPERLINK("http://www.agricolabimmisca.com/","www.agricolabimmisca.com")</f>
        <v>www.agricolabimmisca.com</v>
      </c>
    </row>
    <row r="4394" spans="1:6" ht="29.55" customHeight="1" x14ac:dyDescent="0.25">
      <c r="A4394" s="1" t="s">
        <v>18289</v>
      </c>
      <c r="B4394" s="7" t="s">
        <v>18290</v>
      </c>
      <c r="C4394" s="7" t="s">
        <v>18291</v>
      </c>
      <c r="D4394" s="7" t="s">
        <v>18286</v>
      </c>
      <c r="E4394" s="7" t="s">
        <v>18287</v>
      </c>
      <c r="F4394" s="7" t="str">
        <f>HYPERLINK("http://www.malecta.it/","www.malecta.it")</f>
        <v>www.malecta.it</v>
      </c>
    </row>
    <row r="4395" spans="1:6" ht="29.55" customHeight="1" x14ac:dyDescent="0.25">
      <c r="A4395" s="1" t="s">
        <v>18294</v>
      </c>
      <c r="B4395" s="7" t="s">
        <v>18295</v>
      </c>
      <c r="C4395" s="7" t="s">
        <v>18292</v>
      </c>
      <c r="D4395" s="7" t="s">
        <v>18293</v>
      </c>
      <c r="E4395" s="7" t="s">
        <v>18281</v>
      </c>
      <c r="F4395" s="7" t="str">
        <f>HYPERLINK("http://www.recypark.it/","www.recypark.it")</f>
        <v>www.recypark.it</v>
      </c>
    </row>
    <row r="4396" spans="1:6" ht="16.95" customHeight="1" x14ac:dyDescent="0.25">
      <c r="A4396" s="6" t="s">
        <v>18296</v>
      </c>
      <c r="B4396" s="5" t="s">
        <v>18297</v>
      </c>
      <c r="C4396" s="5" t="s">
        <v>18288</v>
      </c>
      <c r="D4396" s="5" t="s">
        <v>18298</v>
      </c>
      <c r="E4396" s="5" t="s">
        <v>18282</v>
      </c>
      <c r="F4396" s="5" t="str">
        <f>HYPERLINK("http://kidaorganicforest.it/","kidaorganicforest.it")</f>
        <v>kidaorganicforest.it</v>
      </c>
    </row>
    <row r="4397" spans="1:6" ht="43.05" customHeight="1" x14ac:dyDescent="0.25">
      <c r="A4397" s="1" t="s">
        <v>18302</v>
      </c>
      <c r="B4397" s="7" t="s">
        <v>18303</v>
      </c>
      <c r="C4397" s="7" t="s">
        <v>18301</v>
      </c>
      <c r="D4397" s="7" t="s">
        <v>18304</v>
      </c>
      <c r="E4397" s="7" t="s">
        <v>18299</v>
      </c>
      <c r="F4397" s="7" t="str">
        <f>HYPERLINK("http://www.devinosalvo.com/","www.devinosalvo.com")</f>
        <v>www.devinosalvo.com</v>
      </c>
    </row>
    <row r="4398" spans="1:6" ht="29.55" customHeight="1" x14ac:dyDescent="0.25">
      <c r="A4398" s="1" t="s">
        <v>18305</v>
      </c>
      <c r="B4398" s="7" t="s">
        <v>18306</v>
      </c>
      <c r="C4398" s="7" t="s">
        <v>18300</v>
      </c>
      <c r="D4398" s="7" t="s">
        <v>18307</v>
      </c>
      <c r="E4398" s="7" t="s">
        <v>18308</v>
      </c>
      <c r="F4398" s="7" t="str">
        <f>HYPERLINK("http://castelloviscogliosi.it/","castelloviscogliosi.it")</f>
        <v>castelloviscogliosi.it</v>
      </c>
    </row>
    <row r="4399" spans="1:6" ht="55.65" customHeight="1" x14ac:dyDescent="0.25">
      <c r="A4399" s="6" t="s">
        <v>18309</v>
      </c>
      <c r="B4399" s="5" t="s">
        <v>18310</v>
      </c>
      <c r="C4399" s="5" t="s">
        <v>18311</v>
      </c>
      <c r="D4399" s="5" t="s">
        <v>18312</v>
      </c>
      <c r="E4399" s="5" t="s">
        <v>18299</v>
      </c>
      <c r="F4399" s="5" t="str">
        <f>HYPERLINK("http://www.concanapatuvali.it/","www.concanapatuvali.it")</f>
        <v>www.concanapatuvali.it</v>
      </c>
    </row>
    <row r="4400" spans="1:6" ht="29.55" customHeight="1" x14ac:dyDescent="0.25">
      <c r="A4400" s="1" t="s">
        <v>18315</v>
      </c>
      <c r="B4400" s="7" t="s">
        <v>18316</v>
      </c>
      <c r="C4400" s="7" t="s">
        <v>18300</v>
      </c>
      <c r="D4400" s="7" t="s">
        <v>18314</v>
      </c>
      <c r="E4400" s="7" t="s">
        <v>18313</v>
      </c>
      <c r="F4400" s="7" t="str">
        <f>HYPERLINK("http://agricolamarangi.it/","agricolamarangi.it")</f>
        <v>agricolamarangi.it</v>
      </c>
    </row>
    <row r="4401" spans="1:6" ht="43.05" customHeight="1" x14ac:dyDescent="0.25">
      <c r="A4401" s="6" t="s">
        <v>18318</v>
      </c>
      <c r="B4401" s="5" t="s">
        <v>18319</v>
      </c>
      <c r="C4401" s="5" t="s">
        <v>18320</v>
      </c>
      <c r="D4401" s="5" t="s">
        <v>18321</v>
      </c>
      <c r="E4401" s="5" t="s">
        <v>18322</v>
      </c>
      <c r="F4401" s="5" t="str">
        <f>HYPERLINK("http://www.agriturismopoderesangiovanni.it/","www.agriturismopoderesangiovanni.it")</f>
        <v>www.agriturismopoderesangiovanni.it</v>
      </c>
    </row>
    <row r="4402" spans="1:6" ht="43.05" customHeight="1" x14ac:dyDescent="0.25">
      <c r="A4402" s="6" t="s">
        <v>18323</v>
      </c>
      <c r="B4402" s="5" t="s">
        <v>18324</v>
      </c>
      <c r="C4402" s="5" t="s">
        <v>18325</v>
      </c>
      <c r="D4402" s="5" t="s">
        <v>18326</v>
      </c>
      <c r="E4402" s="5" t="s">
        <v>18327</v>
      </c>
      <c r="F4402" s="5" t="str">
        <f>HYPERLINK("http://www.frantoiotuscia.it/","www.frantoiotuscia.it")</f>
        <v>www.frantoiotuscia.it</v>
      </c>
    </row>
    <row r="4403" spans="1:6" ht="43.05" customHeight="1" x14ac:dyDescent="0.25">
      <c r="A4403" s="6" t="s">
        <v>18328</v>
      </c>
      <c r="B4403" s="5" t="s">
        <v>18329</v>
      </c>
      <c r="C4403" s="5" t="s">
        <v>18317</v>
      </c>
      <c r="D4403" s="5" t="s">
        <v>18330</v>
      </c>
      <c r="E4403" s="5" t="s">
        <v>18331</v>
      </c>
      <c r="F4403" s="5" t="str">
        <f>HYPERLINK("http://iltrave.it/","iltrave.it")</f>
        <v>iltrave.it</v>
      </c>
    </row>
    <row r="4404" spans="1:6" ht="16.95" customHeight="1" x14ac:dyDescent="0.25">
      <c r="A4404" s="1" t="s">
        <v>18332</v>
      </c>
      <c r="B4404" s="7" t="s">
        <v>18333</v>
      </c>
      <c r="C4404" s="7" t="s">
        <v>18334</v>
      </c>
      <c r="D4404" s="7" t="s">
        <v>18335</v>
      </c>
      <c r="E4404" s="7" t="s">
        <v>18322</v>
      </c>
      <c r="F4404" s="7" t="str">
        <f>HYPERLINK("http://www.lilgreen.it/","www.lilgreen.it")</f>
        <v>www.lilgreen.it</v>
      </c>
    </row>
    <row r="4405" spans="1:6" ht="29.55" customHeight="1" x14ac:dyDescent="0.25">
      <c r="A4405" s="6" t="s">
        <v>18337</v>
      </c>
      <c r="B4405" s="5" t="s">
        <v>18338</v>
      </c>
      <c r="C4405" s="5" t="s">
        <v>18317</v>
      </c>
      <c r="D4405" s="5" t="s">
        <v>18339</v>
      </c>
      <c r="E4405" s="5" t="s">
        <v>18336</v>
      </c>
      <c r="F4405" s="5" t="str">
        <f>HYPERLINK("http://www.certosadibelriguardo.com/","www.certosadibelriguardo.com")</f>
        <v>www.certosadibelriguardo.com</v>
      </c>
    </row>
    <row r="4406" spans="1:6" ht="29.55" customHeight="1" x14ac:dyDescent="0.25">
      <c r="A4406" s="6" t="s">
        <v>18341</v>
      </c>
      <c r="B4406" s="5" t="s">
        <v>18342</v>
      </c>
      <c r="C4406" s="5" t="s">
        <v>18343</v>
      </c>
      <c r="D4406" s="5" t="s">
        <v>18340</v>
      </c>
      <c r="E4406" s="5" t="s">
        <v>18331</v>
      </c>
      <c r="F4406" s="5" t="str">
        <f>HYPERLINK("http://aurora-scrl-00687320655.quantofattura.com/","aurora-scrl-00687320655.quantofattura.com")</f>
        <v>aurora-scrl-00687320655.quantofattura.com</v>
      </c>
    </row>
    <row r="4407" spans="1:6" ht="43.05" customHeight="1" x14ac:dyDescent="0.25">
      <c r="A4407" s="6" t="s">
        <v>18344</v>
      </c>
      <c r="B4407" s="5" t="s">
        <v>18345</v>
      </c>
      <c r="C4407" s="5" t="s">
        <v>18346</v>
      </c>
      <c r="D4407" s="5" t="s">
        <v>18347</v>
      </c>
      <c r="E4407" s="5" t="s">
        <v>18322</v>
      </c>
      <c r="F4407" s="5" t="str">
        <f>HYPERLINK("http://www.cascinasanmarcotidolo.it/","www.cascinasanmarcotidolo.it")</f>
        <v>www.cascinasanmarcotidolo.it</v>
      </c>
    </row>
    <row r="4408" spans="1:6" ht="43.05" customHeight="1" x14ac:dyDescent="0.25">
      <c r="A4408" s="1" t="s">
        <v>18348</v>
      </c>
      <c r="B4408" s="7" t="s">
        <v>18349</v>
      </c>
      <c r="C4408" s="7" t="s">
        <v>18350</v>
      </c>
      <c r="D4408" s="7" t="s">
        <v>18351</v>
      </c>
      <c r="E4408" s="7" t="s">
        <v>18352</v>
      </c>
      <c r="F4408" s="7" t="str">
        <f>HYPERLINK("http://eleivatoscana.it/","eleivatoscana.it")</f>
        <v>eleivatoscana.it</v>
      </c>
    </row>
    <row r="4409" spans="1:6" ht="29.55" customHeight="1" x14ac:dyDescent="0.25">
      <c r="A4409" s="6" t="s">
        <v>18354</v>
      </c>
      <c r="B4409" s="5" t="s">
        <v>18355</v>
      </c>
      <c r="C4409" s="5" t="s">
        <v>18356</v>
      </c>
      <c r="D4409" s="5" t="s">
        <v>18357</v>
      </c>
      <c r="E4409" s="5" t="s">
        <v>18358</v>
      </c>
      <c r="F4409" s="5" t="str">
        <f>HYPERLINK("http://allevamentopoint.it/","allevamentopoint.it")</f>
        <v>allevamentopoint.it</v>
      </c>
    </row>
    <row r="4410" spans="1:6" ht="16.95" customHeight="1" x14ac:dyDescent="0.25">
      <c r="A4410" s="1" t="s">
        <v>18360</v>
      </c>
      <c r="B4410" s="7" t="s">
        <v>18361</v>
      </c>
      <c r="C4410" s="7" t="s">
        <v>18362</v>
      </c>
      <c r="D4410" s="7" t="s">
        <v>18363</v>
      </c>
      <c r="E4410" s="7" t="s">
        <v>18358</v>
      </c>
      <c r="F4410" s="7" t="str">
        <f>HYPERLINK("http://mesaroli.com/","mesaroli.com")</f>
        <v>mesaroli.com</v>
      </c>
    </row>
    <row r="4411" spans="1:6" ht="16.95" customHeight="1" x14ac:dyDescent="0.25">
      <c r="A4411" s="6" t="s">
        <v>18364</v>
      </c>
      <c r="B4411" s="5" t="s">
        <v>18365</v>
      </c>
      <c r="C4411" s="5" t="s">
        <v>18366</v>
      </c>
      <c r="D4411" s="5" t="s">
        <v>18367</v>
      </c>
      <c r="E4411" s="5" t="s">
        <v>18368</v>
      </c>
      <c r="F4411" s="5" t="str">
        <f>HYPERLINK("http://www.oliobeatrice.it/","www.oliobeatrice.it")</f>
        <v>www.oliobeatrice.it</v>
      </c>
    </row>
    <row r="4412" spans="1:6" ht="29.55" customHeight="1" x14ac:dyDescent="0.25">
      <c r="A4412" s="1" t="s">
        <v>18369</v>
      </c>
      <c r="B4412" s="7" t="s">
        <v>18370</v>
      </c>
      <c r="C4412" s="7" t="s">
        <v>18371</v>
      </c>
      <c r="D4412" s="7" t="s">
        <v>18372</v>
      </c>
      <c r="E4412" s="7" t="s">
        <v>18373</v>
      </c>
      <c r="F4412" s="7" t="str">
        <f>HYPERLINK("http://www.agricolachiusa.com/","www.agricolachiusa.com")</f>
        <v>www.agricolachiusa.com</v>
      </c>
    </row>
    <row r="4413" spans="1:6" ht="43.05" customHeight="1" x14ac:dyDescent="0.25">
      <c r="A4413" s="1" t="s">
        <v>18376</v>
      </c>
      <c r="B4413" s="7" t="s">
        <v>18377</v>
      </c>
      <c r="C4413" s="7" t="s">
        <v>18378</v>
      </c>
      <c r="D4413" s="7" t="s">
        <v>18374</v>
      </c>
      <c r="E4413" s="7" t="s">
        <v>18375</v>
      </c>
      <c r="F4413" s="7" t="str">
        <f>HYPERLINK("http://www.icsc.it/","www.icsc.it")</f>
        <v>www.icsc.it</v>
      </c>
    </row>
    <row r="4414" spans="1:6" ht="16.95" customHeight="1" x14ac:dyDescent="0.25">
      <c r="A4414" s="6" t="s">
        <v>18380</v>
      </c>
      <c r="B4414" s="5" t="s">
        <v>18381</v>
      </c>
      <c r="C4414" s="5" t="s">
        <v>18379</v>
      </c>
      <c r="D4414" s="5" t="s">
        <v>18359</v>
      </c>
      <c r="E4414" s="5" t="s">
        <v>18353</v>
      </c>
      <c r="F4414" s="5" t="str">
        <f>HYPERLINK("http://cesie.org/","cesie.org")</f>
        <v>cesie.org</v>
      </c>
    </row>
    <row r="4415" spans="1:6" ht="29.55" customHeight="1" x14ac:dyDescent="0.25">
      <c r="A4415" s="6" t="s">
        <v>18384</v>
      </c>
      <c r="B4415" s="5" t="s">
        <v>18385</v>
      </c>
      <c r="C4415" s="5" t="s">
        <v>18386</v>
      </c>
      <c r="D4415" s="5" t="s">
        <v>18387</v>
      </c>
      <c r="E4415" s="5" t="s">
        <v>18388</v>
      </c>
      <c r="F4415" s="5" t="str">
        <f>HYPERLINK("http://www.lefabriche.it/","www.lefabriche.it")</f>
        <v>www.lefabriche.it</v>
      </c>
    </row>
    <row r="4416" spans="1:6" ht="29.55" customHeight="1" x14ac:dyDescent="0.25">
      <c r="A4416" s="6" t="s">
        <v>18389</v>
      </c>
      <c r="B4416" s="5" t="s">
        <v>18390</v>
      </c>
      <c r="C4416" s="5" t="s">
        <v>18386</v>
      </c>
      <c r="D4416" s="5" t="s">
        <v>18391</v>
      </c>
      <c r="E4416" s="5" t="s">
        <v>18382</v>
      </c>
      <c r="F4416" s="5" t="str">
        <f>HYPERLINK("http://www.garzol-wine.com/","www.garzol-wine.com")</f>
        <v>www.garzol-wine.com</v>
      </c>
    </row>
    <row r="4417" spans="1:6" ht="29.55" customHeight="1" x14ac:dyDescent="0.25">
      <c r="A4417" s="1" t="s">
        <v>18395</v>
      </c>
      <c r="B4417" s="7" t="s">
        <v>18396</v>
      </c>
      <c r="C4417" s="7" t="s">
        <v>18386</v>
      </c>
      <c r="D4417" s="7" t="s">
        <v>18397</v>
      </c>
      <c r="E4417" s="7" t="s">
        <v>18392</v>
      </c>
      <c r="F4417" s="7" t="str">
        <f>HYPERLINK("http://www.terreapuane.it/","www.terreapuane.it")</f>
        <v>www.terreapuane.it</v>
      </c>
    </row>
    <row r="4418" spans="1:6" ht="43.05" customHeight="1" x14ac:dyDescent="0.25">
      <c r="A4418" s="6" t="s">
        <v>18398</v>
      </c>
      <c r="B4418" s="5" t="s">
        <v>18399</v>
      </c>
      <c r="C4418" s="5" t="s">
        <v>18383</v>
      </c>
      <c r="D4418" s="5" t="s">
        <v>18400</v>
      </c>
      <c r="E4418" s="5" t="s">
        <v>18393</v>
      </c>
      <c r="F4418" s="5" t="str">
        <f>HYPERLINK("http://www.villaathenafarm.it/","www.villaathenafarm.it")</f>
        <v>www.villaathenafarm.it</v>
      </c>
    </row>
    <row r="4419" spans="1:6" ht="29.55" customHeight="1" x14ac:dyDescent="0.25">
      <c r="A4419" s="6" t="s">
        <v>18401</v>
      </c>
      <c r="B4419" s="5" t="s">
        <v>18402</v>
      </c>
      <c r="C4419" s="5" t="s">
        <v>18383</v>
      </c>
      <c r="D4419" s="5" t="s">
        <v>18403</v>
      </c>
      <c r="E4419" s="5" t="s">
        <v>18394</v>
      </c>
      <c r="F4419" s="5" t="str">
        <f>HYPERLINK("http://www.agriturismofontedimaroglio.it/","www.agriturismofontedimaroglio.it")</f>
        <v>www.agriturismofontedimaroglio.it</v>
      </c>
    </row>
    <row r="4420" spans="1:6" ht="29.55" customHeight="1" x14ac:dyDescent="0.25">
      <c r="A4420" s="6" t="s">
        <v>18404</v>
      </c>
      <c r="B4420" s="5" t="s">
        <v>18405</v>
      </c>
      <c r="C4420" s="5" t="s">
        <v>18406</v>
      </c>
      <c r="D4420" s="5" t="s">
        <v>18407</v>
      </c>
      <c r="E4420" s="5" t="s">
        <v>18382</v>
      </c>
      <c r="F4420" s="5" t="str">
        <f>HYPERLINK("http://www.montello-spa.it/","www.montello-spa.it")</f>
        <v>www.montello-spa.it</v>
      </c>
    </row>
    <row r="4421" spans="1:6" ht="29.55" customHeight="1" x14ac:dyDescent="0.25">
      <c r="A4421" s="1" t="s">
        <v>18408</v>
      </c>
      <c r="B4421" s="7" t="s">
        <v>18409</v>
      </c>
      <c r="C4421" s="7" t="s">
        <v>18410</v>
      </c>
      <c r="D4421" s="7" t="s">
        <v>18411</v>
      </c>
      <c r="E4421" s="7" t="s">
        <v>18412</v>
      </c>
      <c r="F4421" s="7" t="str">
        <f>HYPERLINK("http://www.hortuliofficinali.com/","www.hortuliofficinali.com")</f>
        <v>www.hortuliofficinali.com</v>
      </c>
    </row>
    <row r="4422" spans="1:6" ht="29.55" customHeight="1" x14ac:dyDescent="0.25">
      <c r="A4422" s="1" t="s">
        <v>18418</v>
      </c>
      <c r="B4422" s="7" t="s">
        <v>18419</v>
      </c>
      <c r="C4422" s="7" t="s">
        <v>18420</v>
      </c>
      <c r="D4422" s="7" t="s">
        <v>18421</v>
      </c>
      <c r="E4422" s="7" t="s">
        <v>18422</v>
      </c>
      <c r="F4422" s="7" t="str">
        <f>HYPERLINK("http://fratelli-messina-societa-agricola-azienda-agricola.business.site/","fratelli-messina-societa-agricola-azienda-agricola.business.site/")</f>
        <v>fratelli-messina-societa-agricola-azienda-agricola.business.site/</v>
      </c>
    </row>
    <row r="4423" spans="1:6" ht="29.55" customHeight="1" x14ac:dyDescent="0.25">
      <c r="A4423" s="1" t="s">
        <v>18423</v>
      </c>
      <c r="B4423" s="7" t="s">
        <v>18424</v>
      </c>
      <c r="C4423" s="7" t="s">
        <v>18416</v>
      </c>
      <c r="D4423" s="7" t="s">
        <v>18413</v>
      </c>
      <c r="E4423" s="7" t="s">
        <v>18414</v>
      </c>
      <c r="F4423" s="7" t="str">
        <f>HYPERLINK("http://www.pastaferrulli.it/","www.pastaferrulli.it")</f>
        <v>www.pastaferrulli.it</v>
      </c>
    </row>
    <row r="4424" spans="1:6" ht="55.65" customHeight="1" x14ac:dyDescent="0.25">
      <c r="A4424" s="6" t="s">
        <v>18425</v>
      </c>
      <c r="B4424" s="5" t="s">
        <v>18426</v>
      </c>
      <c r="C4424" s="5" t="s">
        <v>18410</v>
      </c>
      <c r="D4424" s="5" t="s">
        <v>18417</v>
      </c>
      <c r="E4424" s="5" t="s">
        <v>18415</v>
      </c>
      <c r="F4424" s="5" t="str">
        <f>HYPERLINK("http://roma.coldiretti.it/impresa-verde/","roma.coldiretti.it/impresa-verde/")</f>
        <v>roma.coldiretti.it/impresa-verde/</v>
      </c>
    </row>
    <row r="4425" spans="1:6" ht="29.55" customHeight="1" x14ac:dyDescent="0.25">
      <c r="A4425" s="1" t="s">
        <v>18427</v>
      </c>
      <c r="B4425" s="7" t="s">
        <v>18428</v>
      </c>
      <c r="C4425" s="7" t="s">
        <v>18429</v>
      </c>
      <c r="D4425" s="7" t="s">
        <v>18430</v>
      </c>
      <c r="E4425" s="7" t="s">
        <v>18431</v>
      </c>
      <c r="F4425" s="7" t="str">
        <f>HYPERLINK("http://vinusco.it/","vinusco.it")</f>
        <v>vinusco.it</v>
      </c>
    </row>
    <row r="4426" spans="1:6" ht="29.55" customHeight="1" x14ac:dyDescent="0.25">
      <c r="A4426" s="1" t="s">
        <v>18433</v>
      </c>
      <c r="B4426" s="7" t="s">
        <v>18434</v>
      </c>
      <c r="C4426" s="7" t="s">
        <v>18435</v>
      </c>
      <c r="D4426" s="7" t="s">
        <v>18436</v>
      </c>
      <c r="E4426" s="7" t="s">
        <v>18437</v>
      </c>
      <c r="F4426" s="7" t="str">
        <f>HYPERLINK("http://www.caseificiofratellisaba.it/","www.caseificiofratellisaba.it")</f>
        <v>www.caseificiofratellisaba.it</v>
      </c>
    </row>
    <row r="4427" spans="1:6" ht="55.65" customHeight="1" x14ac:dyDescent="0.25">
      <c r="A4427" s="6" t="s">
        <v>18441</v>
      </c>
      <c r="B4427" s="5" t="s">
        <v>18442</v>
      </c>
      <c r="C4427" s="5" t="s">
        <v>18429</v>
      </c>
      <c r="D4427" s="5" t="s">
        <v>18443</v>
      </c>
      <c r="E4427" s="5" t="s">
        <v>18444</v>
      </c>
      <c r="F4427" s="5" t="str">
        <f>HYPERLINK("http://www.agrieuropea.com/","www.agrieuropea.com")</f>
        <v>www.agrieuropea.com</v>
      </c>
    </row>
    <row r="4428" spans="1:6" ht="29.55" customHeight="1" x14ac:dyDescent="0.25">
      <c r="A4428" s="1" t="s">
        <v>18445</v>
      </c>
      <c r="B4428" s="7" t="s">
        <v>18446</v>
      </c>
      <c r="C4428" s="7" t="s">
        <v>18432</v>
      </c>
      <c r="D4428" s="7" t="s">
        <v>18447</v>
      </c>
      <c r="E4428" s="7" t="s">
        <v>18439</v>
      </c>
      <c r="F4428" s="7" t="str">
        <f>HYPERLINK("http://www.sandomenicocoop.it/","www.sandomenicocoop.it")</f>
        <v>www.sandomenicocoop.it</v>
      </c>
    </row>
    <row r="4429" spans="1:6" ht="55.65" customHeight="1" x14ac:dyDescent="0.25">
      <c r="A4429" s="1" t="s">
        <v>18448</v>
      </c>
      <c r="B4429" s="7" t="s">
        <v>18449</v>
      </c>
      <c r="C4429" s="7" t="s">
        <v>18450</v>
      </c>
      <c r="D4429" s="7" t="s">
        <v>18451</v>
      </c>
      <c r="E4429" s="7" t="s">
        <v>18438</v>
      </c>
      <c r="F4429" s="7" t="str">
        <f>HYPERLINK("http://www.zafferanobenacus.com/","www.zafferanobenacus.com")</f>
        <v>www.zafferanobenacus.com</v>
      </c>
    </row>
    <row r="4430" spans="1:6" ht="29.55" customHeight="1" x14ac:dyDescent="0.25">
      <c r="A4430" s="6" t="s">
        <v>18452</v>
      </c>
      <c r="B4430" s="5" t="s">
        <v>18453</v>
      </c>
      <c r="C4430" s="5" t="s">
        <v>18454</v>
      </c>
      <c r="D4430" s="5" t="s">
        <v>18455</v>
      </c>
      <c r="E4430" s="5" t="s">
        <v>18440</v>
      </c>
      <c r="F4430" s="5" t="str">
        <f>HYPERLINK("http://pira.team/","pira.team")</f>
        <v>pira.team</v>
      </c>
    </row>
    <row r="4431" spans="1:6" ht="29.55" customHeight="1" x14ac:dyDescent="0.25">
      <c r="A4431" s="1" t="s">
        <v>18456</v>
      </c>
      <c r="B4431" s="7" t="s">
        <v>18457</v>
      </c>
      <c r="C4431" s="7" t="s">
        <v>18458</v>
      </c>
      <c r="D4431" s="7" t="s">
        <v>18459</v>
      </c>
      <c r="E4431" s="7" t="s">
        <v>18460</v>
      </c>
      <c r="F4431" s="7" t="str">
        <f>HYPERLINK("http://societa-agricola-bifulco-srl-09616781218.quantofattura.com/","societa-agricola-bifulco-srl-09616781218.quantofattura.com")</f>
        <v>societa-agricola-bifulco-srl-09616781218.quantofattura.com</v>
      </c>
    </row>
    <row r="4432" spans="1:6" ht="29.55" customHeight="1" x14ac:dyDescent="0.25">
      <c r="A4432" s="1" t="s">
        <v>18461</v>
      </c>
      <c r="B4432" s="7" t="s">
        <v>18462</v>
      </c>
      <c r="C4432" s="7" t="s">
        <v>18463</v>
      </c>
      <c r="D4432" s="7" t="s">
        <v>18464</v>
      </c>
      <c r="E4432" s="7" t="s">
        <v>18465</v>
      </c>
      <c r="F4432" s="7" t="str">
        <f>HYPERLINK("http://www.arcennituscany.com/","www.arcennituscany.com")</f>
        <v>www.arcennituscany.com</v>
      </c>
    </row>
    <row r="4433" spans="1:6" ht="81.75" customHeight="1" x14ac:dyDescent="0.25">
      <c r="A4433" s="6" t="s">
        <v>18469</v>
      </c>
      <c r="B4433" s="5" t="s">
        <v>18470</v>
      </c>
      <c r="C4433" s="5" t="s">
        <v>18466</v>
      </c>
      <c r="D4433" s="5" t="s">
        <v>18471</v>
      </c>
      <c r="E4433" s="5" t="s">
        <v>18472</v>
      </c>
      <c r="F4433" s="5" t="str">
        <f>HYPERLINK("http://anticamasseriaselinus.it/","anticamasseriaselinus.it")</f>
        <v>anticamasseriaselinus.it</v>
      </c>
    </row>
    <row r="4434" spans="1:6" ht="55.65" customHeight="1" x14ac:dyDescent="0.25">
      <c r="A4434" s="1" t="s">
        <v>18473</v>
      </c>
      <c r="B4434" s="7" t="s">
        <v>18474</v>
      </c>
      <c r="C4434" s="7" t="s">
        <v>18468</v>
      </c>
      <c r="D4434" s="7" t="s">
        <v>18475</v>
      </c>
      <c r="E4434" s="7" t="s">
        <v>18467</v>
      </c>
      <c r="F4434" s="7" t="str">
        <f>HYPERLINK("http://www.igelsidisantacristina.it/","www.igelsidisantacristina.it")</f>
        <v>www.igelsidisantacristina.it</v>
      </c>
    </row>
    <row r="4435" spans="1:6" ht="29.55" customHeight="1" x14ac:dyDescent="0.25">
      <c r="A4435" s="1" t="s">
        <v>18476</v>
      </c>
      <c r="B4435" s="7" t="s">
        <v>18477</v>
      </c>
      <c r="C4435" s="7" t="s">
        <v>18478</v>
      </c>
      <c r="D4435" s="7" t="s">
        <v>18479</v>
      </c>
      <c r="E4435" s="7" t="s">
        <v>18480</v>
      </c>
      <c r="F4435" s="7" t="str">
        <f>HYPERLINK("http://www.rsteambreeding.it/","www.rsteambreeding.it")</f>
        <v>www.rsteambreeding.it</v>
      </c>
    </row>
    <row r="4436" spans="1:6" ht="43.05" customHeight="1" x14ac:dyDescent="0.25">
      <c r="A4436" s="6" t="s">
        <v>18485</v>
      </c>
      <c r="B4436" s="5" t="s">
        <v>18486</v>
      </c>
      <c r="C4436" s="5" t="s">
        <v>18487</v>
      </c>
      <c r="D4436" s="5" t="s">
        <v>18488</v>
      </c>
      <c r="E4436" s="5" t="s">
        <v>18489</v>
      </c>
      <c r="F4436" s="5" t="str">
        <f>HYPERLINK("http://www.agricolacerchinelgrano.com/","www.agricolacerchinelgrano.com")</f>
        <v>www.agricolacerchinelgrano.com</v>
      </c>
    </row>
    <row r="4437" spans="1:6" ht="29.55" customHeight="1" x14ac:dyDescent="0.25">
      <c r="A4437" s="6" t="s">
        <v>18490</v>
      </c>
      <c r="B4437" s="5" t="s">
        <v>18491</v>
      </c>
      <c r="C4437" s="5" t="s">
        <v>18483</v>
      </c>
      <c r="D4437" s="5" t="s">
        <v>18492</v>
      </c>
      <c r="E4437" s="5" t="s">
        <v>18484</v>
      </c>
      <c r="F4437" s="5" t="str">
        <f>HYPERLINK("http://www.moringaitalia.it/","www.moringaitalia.it")</f>
        <v>www.moringaitalia.it</v>
      </c>
    </row>
    <row r="4438" spans="1:6" ht="16.95" customHeight="1" x14ac:dyDescent="0.25">
      <c r="A4438" s="1" t="s">
        <v>18493</v>
      </c>
      <c r="B4438" s="7" t="s">
        <v>18494</v>
      </c>
      <c r="C4438" s="7" t="s">
        <v>18495</v>
      </c>
      <c r="D4438" s="7" t="s">
        <v>18496</v>
      </c>
      <c r="E4438" s="7" t="s">
        <v>18497</v>
      </c>
      <c r="F4438" s="7" t="str">
        <f>HYPERLINK("http://www.crescifarm.it/","www.crescifarm.it")</f>
        <v>www.crescifarm.it</v>
      </c>
    </row>
    <row r="4439" spans="1:6" ht="16.95" customHeight="1" x14ac:dyDescent="0.25">
      <c r="A4439" s="1" t="s">
        <v>18498</v>
      </c>
      <c r="B4439" s="7" t="s">
        <v>18499</v>
      </c>
      <c r="C4439" s="7" t="s">
        <v>18495</v>
      </c>
      <c r="D4439" s="7" t="s">
        <v>18500</v>
      </c>
      <c r="E4439" s="7" t="s">
        <v>18480</v>
      </c>
      <c r="F4439" s="7" t="str">
        <f>HYPERLINK("http://www.casalesangiorgio.it/","www.casalesangiorgio.it")</f>
        <v>www.casalesangiorgio.it</v>
      </c>
    </row>
    <row r="4440" spans="1:6" ht="55.65" customHeight="1" x14ac:dyDescent="0.25">
      <c r="A4440" s="1" t="s">
        <v>18501</v>
      </c>
      <c r="B4440" s="7" t="s">
        <v>18502</v>
      </c>
      <c r="C4440" s="7" t="s">
        <v>18495</v>
      </c>
      <c r="D4440" s="7" t="s">
        <v>18481</v>
      </c>
      <c r="E4440" s="7" t="s">
        <v>18482</v>
      </c>
      <c r="F4440" s="7" t="str">
        <f>HYPERLINK("http://oliotrampolini.it/","oliotrampolini.it")</f>
        <v>oliotrampolini.it</v>
      </c>
    </row>
    <row r="4441" spans="1:6" ht="29.55" customHeight="1" x14ac:dyDescent="0.25">
      <c r="A4441" s="6" t="s">
        <v>18503</v>
      </c>
      <c r="B4441" s="5" t="s">
        <v>18504</v>
      </c>
      <c r="C4441" s="5" t="s">
        <v>18505</v>
      </c>
      <c r="D4441" s="5" t="s">
        <v>18506</v>
      </c>
      <c r="E4441" s="5" t="s">
        <v>18507</v>
      </c>
      <c r="F4441" s="5" t="str">
        <f>HYPERLINK("http://www.sorgentigromolo.com/","www.sorgentigromolo.com")</f>
        <v>www.sorgentigromolo.com</v>
      </c>
    </row>
    <row r="4442" spans="1:6" ht="29.55" customHeight="1" x14ac:dyDescent="0.25">
      <c r="A4442" s="6" t="s">
        <v>18508</v>
      </c>
      <c r="B4442" s="5" t="s">
        <v>18509</v>
      </c>
      <c r="C4442" s="5" t="s">
        <v>18510</v>
      </c>
      <c r="D4442" s="5" t="s">
        <v>18511</v>
      </c>
      <c r="E4442" s="5" t="s">
        <v>18489</v>
      </c>
      <c r="F4442" s="5" t="str">
        <f>HYPERLINK("http://spireat.it/","spireat.it")</f>
        <v>spireat.it</v>
      </c>
    </row>
    <row r="4443" spans="1:6" ht="29.55" customHeight="1" x14ac:dyDescent="0.25">
      <c r="A4443" s="1" t="s">
        <v>18517</v>
      </c>
      <c r="B4443" s="7" t="s">
        <v>18518</v>
      </c>
      <c r="C4443" s="7" t="s">
        <v>18514</v>
      </c>
      <c r="D4443" s="7" t="s">
        <v>18515</v>
      </c>
      <c r="E4443" s="7" t="s">
        <v>18516</v>
      </c>
      <c r="F4443" s="7" t="str">
        <f>HYPERLINK("http://www.agriturismomontefosco.it/","www.agriturismomontefosco.it")</f>
        <v>www.agriturismomontefosco.it</v>
      </c>
    </row>
    <row r="4444" spans="1:6" ht="16.95" customHeight="1" x14ac:dyDescent="0.25">
      <c r="A4444" s="1" t="s">
        <v>18519</v>
      </c>
      <c r="B4444" s="7" t="s">
        <v>18520</v>
      </c>
      <c r="C4444" s="7" t="s">
        <v>18521</v>
      </c>
      <c r="D4444" s="7" t="s">
        <v>18512</v>
      </c>
      <c r="E4444" s="7" t="s">
        <v>18513</v>
      </c>
      <c r="F4444" s="7" t="str">
        <f>HYPERLINK("http://www.cooperativacoc.com/","www.cooperativacoc.com")</f>
        <v>www.cooperativacoc.com</v>
      </c>
    </row>
    <row r="4445" spans="1:6" ht="68.099999999999994" customHeight="1" x14ac:dyDescent="0.25">
      <c r="A4445" s="1" t="s">
        <v>18525</v>
      </c>
      <c r="B4445" s="7" t="s">
        <v>18526</v>
      </c>
      <c r="C4445" s="7" t="s">
        <v>18527</v>
      </c>
      <c r="D4445" s="7" t="s">
        <v>18528</v>
      </c>
      <c r="E4445" s="7" t="s">
        <v>18524</v>
      </c>
      <c r="F4445" s="7" t="str">
        <f>HYPERLINK("http://www.cabris.it/","www.cabris.it")</f>
        <v>www.cabris.it</v>
      </c>
    </row>
    <row r="4446" spans="1:6" ht="43.05" customHeight="1" x14ac:dyDescent="0.25">
      <c r="A4446" s="6" t="s">
        <v>18530</v>
      </c>
      <c r="B4446" s="5" t="s">
        <v>18531</v>
      </c>
      <c r="C4446" s="5" t="s">
        <v>18532</v>
      </c>
      <c r="D4446" s="5" t="s">
        <v>18533</v>
      </c>
      <c r="E4446" s="5" t="s">
        <v>18523</v>
      </c>
      <c r="F4446" s="5" t="str">
        <f>HYPERLINK("http://www.consorzioagrariotirreno.it/","www.consorzioagrariotirreno.it")</f>
        <v>www.consorzioagrariotirreno.it</v>
      </c>
    </row>
    <row r="4447" spans="1:6" ht="29.55" customHeight="1" x14ac:dyDescent="0.25">
      <c r="A4447" s="1" t="s">
        <v>18534</v>
      </c>
      <c r="B4447" s="7" t="s">
        <v>18535</v>
      </c>
      <c r="C4447" s="7" t="s">
        <v>18536</v>
      </c>
      <c r="D4447" s="7" t="s">
        <v>18537</v>
      </c>
      <c r="E4447" s="7" t="s">
        <v>18538</v>
      </c>
      <c r="F4447" s="7" t="str">
        <f>HYPERLINK("http://www.agriturismocaverde.com/","www.agriturismocaverde.com")</f>
        <v>www.agriturismocaverde.com</v>
      </c>
    </row>
    <row r="4448" spans="1:6" ht="29.55" customHeight="1" x14ac:dyDescent="0.25">
      <c r="A4448" s="1" t="s">
        <v>18541</v>
      </c>
      <c r="B4448" s="7" t="s">
        <v>18542</v>
      </c>
      <c r="C4448" s="7" t="s">
        <v>18539</v>
      </c>
      <c r="D4448" s="7" t="s">
        <v>18543</v>
      </c>
      <c r="E4448" s="7" t="s">
        <v>18540</v>
      </c>
      <c r="F4448" s="7" t="str">
        <f>HYPERLINK("http://cascinaallegria.no/","cascinaallegria.no")</f>
        <v>cascinaallegria.no</v>
      </c>
    </row>
    <row r="4449" spans="1:6" ht="29.55" customHeight="1" x14ac:dyDescent="0.25">
      <c r="A4449" s="6" t="s">
        <v>18544</v>
      </c>
      <c r="B4449" s="5" t="s">
        <v>18545</v>
      </c>
      <c r="C4449" s="5" t="s">
        <v>18546</v>
      </c>
      <c r="D4449" s="5" t="s">
        <v>18529</v>
      </c>
      <c r="E4449" s="5" t="s">
        <v>18522</v>
      </c>
      <c r="F4449" s="5" t="str">
        <f>HYPERLINK("http://agriturismoilfienile.eatbu.com/","agriturismoilfienile.eatbu.com")</f>
        <v>agriturismoilfienile.eatbu.com</v>
      </c>
    </row>
    <row r="4450" spans="1:6" ht="29.55" customHeight="1" x14ac:dyDescent="0.25">
      <c r="A4450" s="6" t="s">
        <v>18548</v>
      </c>
      <c r="B4450" s="5" t="s">
        <v>18549</v>
      </c>
      <c r="C4450" s="5" t="s">
        <v>18550</v>
      </c>
      <c r="D4450" s="5" t="s">
        <v>18551</v>
      </c>
      <c r="E4450" s="5" t="s">
        <v>18547</v>
      </c>
      <c r="F4450" s="5" t="str">
        <f>HYPERLINK("http://www.rual.it/","www.rual.it")</f>
        <v>www.rual.it</v>
      </c>
    </row>
    <row r="4451" spans="1:6" ht="29.55" customHeight="1" x14ac:dyDescent="0.25">
      <c r="A4451" s="1" t="s">
        <v>18552</v>
      </c>
      <c r="B4451" s="7" t="s">
        <v>18553</v>
      </c>
      <c r="C4451" s="7" t="s">
        <v>18554</v>
      </c>
      <c r="D4451" s="7" t="s">
        <v>18555</v>
      </c>
      <c r="E4451" s="7" t="s">
        <v>18547</v>
      </c>
      <c r="F4451" s="7" t="str">
        <f>HYPERLINK("http://www.grassenio.com/","www.grassenio.com")</f>
        <v>www.grassenio.com</v>
      </c>
    </row>
    <row r="4452" spans="1:6" ht="29.55" customHeight="1" x14ac:dyDescent="0.25">
      <c r="A4452" s="6" t="s">
        <v>18556</v>
      </c>
      <c r="B4452" s="5" t="s">
        <v>18557</v>
      </c>
      <c r="C4452" s="5" t="s">
        <v>18558</v>
      </c>
      <c r="D4452" s="5" t="s">
        <v>18559</v>
      </c>
      <c r="E4452" s="5" t="s">
        <v>18560</v>
      </c>
      <c r="F4452" s="5" t="str">
        <f>HYPERLINK("http://www.morigerati.wine/","www.morigerati.wine")</f>
        <v>www.morigerati.wine</v>
      </c>
    </row>
    <row r="4453" spans="1:6" ht="55.65" customHeight="1" x14ac:dyDescent="0.25">
      <c r="A4453" s="6" t="s">
        <v>18561</v>
      </c>
      <c r="B4453" s="5" t="s">
        <v>18562</v>
      </c>
      <c r="C4453" s="5" t="s">
        <v>18563</v>
      </c>
      <c r="D4453" s="5" t="s">
        <v>18564</v>
      </c>
      <c r="E4453" s="5" t="s">
        <v>18565</v>
      </c>
      <c r="F4453" s="5" t="str">
        <f>HYPERLINK("http://www.facebook.com/iluvertin","www.facebook.com/iluvertin")</f>
        <v>www.facebook.com/iluvertin</v>
      </c>
    </row>
    <row r="4454" spans="1:6" ht="29.55" customHeight="1" x14ac:dyDescent="0.25">
      <c r="A4454" s="6" t="s">
        <v>18566</v>
      </c>
      <c r="B4454" s="5" t="s">
        <v>18567</v>
      </c>
      <c r="C4454" s="5" t="s">
        <v>18568</v>
      </c>
      <c r="D4454" s="5" t="s">
        <v>18569</v>
      </c>
      <c r="E4454" s="5" t="s">
        <v>18570</v>
      </c>
      <c r="F4454" s="5" t="str">
        <f>HYPERLINK("http://www.legreenhouse.it/","www.legreenhouse.it")</f>
        <v>www.legreenhouse.it</v>
      </c>
    </row>
    <row r="4455" spans="1:6" ht="43.05" customHeight="1" x14ac:dyDescent="0.25">
      <c r="A4455" s="6" t="s">
        <v>18572</v>
      </c>
      <c r="B4455" s="5" t="s">
        <v>18573</v>
      </c>
      <c r="C4455" s="5" t="s">
        <v>18574</v>
      </c>
      <c r="D4455" s="5" t="s">
        <v>18575</v>
      </c>
      <c r="E4455" s="5" t="s">
        <v>18576</v>
      </c>
      <c r="F4455" s="5" t="str">
        <f>HYPERLINK("http://www.agricolaleterrazze.it/","www.agricolaleterrazze.it")</f>
        <v>www.agricolaleterrazze.it</v>
      </c>
    </row>
    <row r="4456" spans="1:6" ht="29.55" customHeight="1" x14ac:dyDescent="0.25">
      <c r="A4456" s="1" t="s">
        <v>18581</v>
      </c>
      <c r="B4456" s="7" t="s">
        <v>18582</v>
      </c>
      <c r="C4456" s="7" t="s">
        <v>18583</v>
      </c>
      <c r="D4456" s="7" t="s">
        <v>18584</v>
      </c>
      <c r="E4456" s="7" t="s">
        <v>18585</v>
      </c>
      <c r="F4456" s="7" t="str">
        <f>HYPERLINK("http://cuneo.coldiretti.it/","cuneo.coldiretti.it")</f>
        <v>cuneo.coldiretti.it</v>
      </c>
    </row>
    <row r="4457" spans="1:6" ht="43.05" customHeight="1" x14ac:dyDescent="0.25">
      <c r="A4457" s="6" t="s">
        <v>18588</v>
      </c>
      <c r="B4457" s="5" t="s">
        <v>18589</v>
      </c>
      <c r="C4457" s="5" t="s">
        <v>18590</v>
      </c>
      <c r="D4457" s="5" t="s">
        <v>18591</v>
      </c>
      <c r="E4457" s="5" t="s">
        <v>18580</v>
      </c>
      <c r="F4457" s="5" t="str">
        <f>HYPERLINK("http://www.vituliabiocontadini.it/","www.vituliabiocontadini.it")</f>
        <v>www.vituliabiocontadini.it</v>
      </c>
    </row>
    <row r="4458" spans="1:6" ht="29.55" customHeight="1" x14ac:dyDescent="0.25">
      <c r="A4458" s="6" t="s">
        <v>18592</v>
      </c>
      <c r="B4458" s="5" t="s">
        <v>18593</v>
      </c>
      <c r="C4458" s="5" t="s">
        <v>18574</v>
      </c>
      <c r="D4458" s="5" t="s">
        <v>18578</v>
      </c>
      <c r="E4458" s="5" t="s">
        <v>18579</v>
      </c>
      <c r="F4458" s="5" t="str">
        <f>HYPERLINK("http://www.sabreseno.com/","www.sabreseno.com")</f>
        <v>www.sabreseno.com</v>
      </c>
    </row>
    <row r="4459" spans="1:6" ht="16.95" customHeight="1" x14ac:dyDescent="0.25">
      <c r="A4459" s="1" t="s">
        <v>18594</v>
      </c>
      <c r="B4459" s="7" t="s">
        <v>18595</v>
      </c>
      <c r="C4459" s="7" t="s">
        <v>18571</v>
      </c>
      <c r="D4459" s="7" t="s">
        <v>18596</v>
      </c>
      <c r="E4459" s="7" t="s">
        <v>18587</v>
      </c>
      <c r="F4459" s="7" t="str">
        <f>HYPERLINK("http://casaldecherubini.com/","casaldecherubini.com")</f>
        <v>casaldecherubini.com</v>
      </c>
    </row>
    <row r="4460" spans="1:6" ht="29.55" customHeight="1" x14ac:dyDescent="0.25">
      <c r="A4460" s="6" t="s">
        <v>18597</v>
      </c>
      <c r="B4460" s="5" t="s">
        <v>18598</v>
      </c>
      <c r="C4460" s="5" t="s">
        <v>18586</v>
      </c>
      <c r="D4460" s="5" t="s">
        <v>18599</v>
      </c>
      <c r="E4460" s="5" t="s">
        <v>18577</v>
      </c>
      <c r="F4460" s="5" t="str">
        <f>HYPERLINK("http://www.cuordipizza.com/","www.cuordipizza.com")</f>
        <v>www.cuordipizza.com</v>
      </c>
    </row>
    <row r="4461" spans="1:6" ht="16.95" customHeight="1" x14ac:dyDescent="0.25">
      <c r="A4461" s="6" t="s">
        <v>18605</v>
      </c>
      <c r="B4461" s="5" t="s">
        <v>18606</v>
      </c>
      <c r="C4461" s="5" t="s">
        <v>18607</v>
      </c>
      <c r="D4461" s="5" t="s">
        <v>18608</v>
      </c>
      <c r="E4461" s="5" t="s">
        <v>18603</v>
      </c>
      <c r="F4461" s="5" t="str">
        <f>HYPERLINK("http://www.wrotefarm.com/","www.wrotefarm.com")</f>
        <v>www.wrotefarm.com</v>
      </c>
    </row>
    <row r="4462" spans="1:6" ht="29.55" customHeight="1" x14ac:dyDescent="0.25">
      <c r="A4462" s="1" t="s">
        <v>18609</v>
      </c>
      <c r="B4462" s="7" t="s">
        <v>18610</v>
      </c>
      <c r="C4462" s="7" t="s">
        <v>18611</v>
      </c>
      <c r="D4462" s="7" t="s">
        <v>18604</v>
      </c>
      <c r="E4462" s="7" t="s">
        <v>18602</v>
      </c>
      <c r="F4462" s="7" t="str">
        <f>HYPERLINK("http://www.vitigniamadeus.it/","www.vitigniamadeus.it")</f>
        <v>www.vitigniamadeus.it</v>
      </c>
    </row>
    <row r="4463" spans="1:6" ht="43.05" customHeight="1" x14ac:dyDescent="0.25">
      <c r="A4463" s="6" t="s">
        <v>18612</v>
      </c>
      <c r="B4463" s="5" t="s">
        <v>18613</v>
      </c>
      <c r="C4463" s="5" t="s">
        <v>18614</v>
      </c>
      <c r="D4463" s="5" t="s">
        <v>18615</v>
      </c>
      <c r="E4463" s="5" t="s">
        <v>18616</v>
      </c>
      <c r="F4463" s="5" t="str">
        <f>HYPERLINK("http://masseriafano.com/","masseriafano.com")</f>
        <v>masseriafano.com</v>
      </c>
    </row>
    <row r="4464" spans="1:6" ht="29.55" customHeight="1" x14ac:dyDescent="0.25">
      <c r="A4464" s="1" t="s">
        <v>18617</v>
      </c>
      <c r="B4464" s="7" t="s">
        <v>18618</v>
      </c>
      <c r="C4464" s="7" t="s">
        <v>18619</v>
      </c>
      <c r="D4464" s="7" t="s">
        <v>18620</v>
      </c>
      <c r="E4464" s="7" t="s">
        <v>18600</v>
      </c>
      <c r="F4464" s="7" t="str">
        <f>HYPERLINK("http://www.celleriniargenteria.it/","www.celleriniargenteria.it")</f>
        <v>www.celleriniargenteria.it</v>
      </c>
    </row>
    <row r="4465" spans="1:6" ht="43.05" customHeight="1" x14ac:dyDescent="0.25">
      <c r="A4465" s="1" t="s">
        <v>18622</v>
      </c>
      <c r="B4465" s="7" t="s">
        <v>18623</v>
      </c>
      <c r="C4465" s="7" t="s">
        <v>18614</v>
      </c>
      <c r="D4465" s="7" t="s">
        <v>18624</v>
      </c>
      <c r="E4465" s="7" t="s">
        <v>18621</v>
      </c>
      <c r="F4465" s="7" t="str">
        <f>HYPERLINK("http://www.associazionepadrepio.it/","www.associazionepadrepio.it")</f>
        <v>www.associazionepadrepio.it</v>
      </c>
    </row>
    <row r="4466" spans="1:6" ht="29.55" customHeight="1" x14ac:dyDescent="0.25">
      <c r="A4466" s="6" t="s">
        <v>18626</v>
      </c>
      <c r="B4466" s="5" t="s">
        <v>18627</v>
      </c>
      <c r="C4466" s="5" t="s">
        <v>18628</v>
      </c>
      <c r="D4466" s="5" t="s">
        <v>18629</v>
      </c>
      <c r="E4466" s="5" t="s">
        <v>18625</v>
      </c>
      <c r="F4466" s="5" t="str">
        <f>HYPERLINK("http://www.alpacalessinia.it/","www.alpacalessinia.it")</f>
        <v>www.alpacalessinia.it</v>
      </c>
    </row>
    <row r="4467" spans="1:6" ht="16.95" customHeight="1" x14ac:dyDescent="0.25">
      <c r="A4467" s="1" t="s">
        <v>18630</v>
      </c>
      <c r="B4467" s="7" t="s">
        <v>18631</v>
      </c>
      <c r="C4467" s="7" t="s">
        <v>18614</v>
      </c>
      <c r="D4467" s="7" t="s">
        <v>18601</v>
      </c>
      <c r="E4467" s="7" t="s">
        <v>18602</v>
      </c>
      <c r="F4467" s="7" t="str">
        <f>HYPERLINK("http://www.tenutavalbosco.it/","www.tenutavalbosco.it")</f>
        <v>www.tenutavalbosco.it</v>
      </c>
    </row>
    <row r="4468" spans="1:6" ht="29.55" customHeight="1" x14ac:dyDescent="0.25">
      <c r="A4468" s="6" t="s">
        <v>18632</v>
      </c>
      <c r="B4468" s="5" t="s">
        <v>18633</v>
      </c>
      <c r="C4468" s="5" t="s">
        <v>18614</v>
      </c>
      <c r="D4468" s="5" t="s">
        <v>18620</v>
      </c>
      <c r="E4468" s="5" t="s">
        <v>18600</v>
      </c>
      <c r="F4468" s="5" t="str">
        <f>HYPERLINK("http://poderebiliotto.it/","poderebiliotto.it")</f>
        <v>poderebiliotto.it</v>
      </c>
    </row>
    <row r="4469" spans="1:6" ht="29.55" customHeight="1" x14ac:dyDescent="0.25">
      <c r="A4469" s="1" t="s">
        <v>18634</v>
      </c>
      <c r="B4469" s="7" t="s">
        <v>18635</v>
      </c>
      <c r="C4469" s="7" t="s">
        <v>18636</v>
      </c>
      <c r="D4469" s="7" t="s">
        <v>18637</v>
      </c>
      <c r="E4469" s="7" t="s">
        <v>18638</v>
      </c>
      <c r="F4469" s="7" t="str">
        <f>HYPERLINK("http://www.cominiumbenessere.it/","www.cominiumbenessere.it")</f>
        <v>www.cominiumbenessere.it</v>
      </c>
    </row>
    <row r="4470" spans="1:6" ht="29.55" customHeight="1" x14ac:dyDescent="0.25">
      <c r="A4470" s="1" t="s">
        <v>18643</v>
      </c>
      <c r="B4470" s="7" t="s">
        <v>18644</v>
      </c>
      <c r="C4470" s="7" t="s">
        <v>18641</v>
      </c>
      <c r="D4470" s="7" t="s">
        <v>18645</v>
      </c>
      <c r="E4470" s="7" t="s">
        <v>18646</v>
      </c>
      <c r="F4470" s="7" t="str">
        <f>HYPERLINK("http://terradirovo.com/","terradirovo.com")</f>
        <v>terradirovo.com</v>
      </c>
    </row>
    <row r="4471" spans="1:6" ht="29.55" customHeight="1" x14ac:dyDescent="0.25">
      <c r="A4471" s="1" t="s">
        <v>18647</v>
      </c>
      <c r="B4471" s="7" t="s">
        <v>18648</v>
      </c>
      <c r="C4471" s="7" t="s">
        <v>18639</v>
      </c>
      <c r="D4471" s="7" t="s">
        <v>18649</v>
      </c>
      <c r="E4471" s="7" t="s">
        <v>18640</v>
      </c>
      <c r="F4471" s="7" t="str">
        <f>HYPERLINK("http://www.casinanand.com/","www.casinanand.com")</f>
        <v>www.casinanand.com</v>
      </c>
    </row>
    <row r="4472" spans="1:6" ht="43.05" customHeight="1" x14ac:dyDescent="0.25">
      <c r="A4472" s="1" t="s">
        <v>18652</v>
      </c>
      <c r="B4472" s="7" t="s">
        <v>18653</v>
      </c>
      <c r="C4472" s="7" t="s">
        <v>18654</v>
      </c>
      <c r="D4472" s="7" t="s">
        <v>18655</v>
      </c>
      <c r="E4472" s="7" t="s">
        <v>18638</v>
      </c>
      <c r="F4472" s="7" t="str">
        <f>HYPERLINK("http://tenutalungarella.it/","tenutalungarella.it")</f>
        <v>tenutalungarella.it</v>
      </c>
    </row>
    <row r="4473" spans="1:6" ht="29.55" customHeight="1" x14ac:dyDescent="0.25">
      <c r="A4473" s="6" t="s">
        <v>18656</v>
      </c>
      <c r="B4473" s="5" t="s">
        <v>18657</v>
      </c>
      <c r="C4473" s="5" t="s">
        <v>18658</v>
      </c>
      <c r="D4473" s="5" t="s">
        <v>18659</v>
      </c>
      <c r="E4473" s="5" t="s">
        <v>18642</v>
      </c>
      <c r="F4473" s="5" t="str">
        <f>HYPERLINK("http://www.instagram.com/casalbengodi/","www.instagram.com/casalbengodi/")</f>
        <v>www.instagram.com/casalbengodi/</v>
      </c>
    </row>
    <row r="4474" spans="1:6" ht="29.55" customHeight="1" x14ac:dyDescent="0.25">
      <c r="A4474" s="1" t="s">
        <v>18660</v>
      </c>
      <c r="B4474" s="7" t="s">
        <v>18661</v>
      </c>
      <c r="C4474" s="7" t="s">
        <v>18650</v>
      </c>
      <c r="D4474" s="7" t="s">
        <v>18662</v>
      </c>
      <c r="E4474" s="7" t="s">
        <v>18651</v>
      </c>
      <c r="F4474" s="7" t="str">
        <f>HYPERLINK("http://www.adottaunclementino.it/","www.adottaunclementino.it")</f>
        <v>www.adottaunclementino.it</v>
      </c>
    </row>
    <row r="4475" spans="1:6" ht="29.55" customHeight="1" x14ac:dyDescent="0.25">
      <c r="A4475" s="6" t="s">
        <v>18664</v>
      </c>
      <c r="B4475" s="5" t="s">
        <v>18665</v>
      </c>
      <c r="C4475" s="5" t="s">
        <v>18666</v>
      </c>
      <c r="D4475" s="5" t="s">
        <v>18667</v>
      </c>
      <c r="E4475" s="5" t="s">
        <v>18668</v>
      </c>
      <c r="F4475" s="5" t="str">
        <f>HYPERLINK("http://www.il-sogno.at/","www.il-sogno.at")</f>
        <v>www.il-sogno.at</v>
      </c>
    </row>
    <row r="4476" spans="1:6" ht="29.55" customHeight="1" x14ac:dyDescent="0.25">
      <c r="A4476" s="1" t="s">
        <v>18669</v>
      </c>
      <c r="B4476" s="7" t="s">
        <v>18670</v>
      </c>
      <c r="C4476" s="7" t="s">
        <v>18666</v>
      </c>
      <c r="D4476" s="7" t="s">
        <v>18671</v>
      </c>
      <c r="E4476" s="7" t="s">
        <v>18672</v>
      </c>
      <c r="F4476" s="7" t="str">
        <f>HYPERLINK("http://baccagnano.it/","baccagnano.it")</f>
        <v>baccagnano.it</v>
      </c>
    </row>
    <row r="4477" spans="1:6" ht="29.55" customHeight="1" x14ac:dyDescent="0.25">
      <c r="A4477" s="1" t="s">
        <v>18673</v>
      </c>
      <c r="B4477" s="7" t="s">
        <v>18674</v>
      </c>
      <c r="C4477" s="7" t="s">
        <v>18663</v>
      </c>
      <c r="D4477" s="7" t="s">
        <v>18675</v>
      </c>
      <c r="E4477" s="7" t="s">
        <v>18676</v>
      </c>
      <c r="F4477" s="7" t="str">
        <f>HYPERLINK("http://www.masseriadelmezzano.it/","www.masseriadelmezzano.it")</f>
        <v>www.masseriadelmezzano.it</v>
      </c>
    </row>
    <row r="4478" spans="1:6" ht="29.55" customHeight="1" x14ac:dyDescent="0.25">
      <c r="A4478" s="6" t="s">
        <v>18677</v>
      </c>
      <c r="B4478" s="5" t="s">
        <v>18678</v>
      </c>
      <c r="C4478" s="5" t="s">
        <v>18679</v>
      </c>
      <c r="D4478" s="5" t="s">
        <v>18680</v>
      </c>
      <c r="E4478" s="5" t="s">
        <v>18668</v>
      </c>
      <c r="F4478" s="5" t="str">
        <f>HYPERLINK("http://consorziosanpastore.it/","consorziosanpastore.it")</f>
        <v>consorziosanpastore.it</v>
      </c>
    </row>
    <row r="4479" spans="1:6" ht="43.05" customHeight="1" x14ac:dyDescent="0.25">
      <c r="A4479" s="1" t="s">
        <v>18686</v>
      </c>
      <c r="B4479" s="7" t="s">
        <v>18687</v>
      </c>
      <c r="C4479" s="7" t="s">
        <v>18688</v>
      </c>
      <c r="D4479" s="7" t="s">
        <v>18685</v>
      </c>
      <c r="E4479" s="7" t="s">
        <v>18684</v>
      </c>
      <c r="F4479" s="7" t="str">
        <f>HYPERLINK("http://www.torrebartoli.it/","www.torrebartoli.it")</f>
        <v>www.torrebartoli.it</v>
      </c>
    </row>
    <row r="4480" spans="1:6" ht="43.05" customHeight="1" x14ac:dyDescent="0.25">
      <c r="A4480" s="6" t="s">
        <v>18689</v>
      </c>
      <c r="B4480" s="5" t="s">
        <v>18690</v>
      </c>
      <c r="C4480" s="5" t="s">
        <v>18691</v>
      </c>
      <c r="D4480" s="5" t="s">
        <v>18692</v>
      </c>
      <c r="E4480" s="5" t="s">
        <v>18693</v>
      </c>
      <c r="F4480" s="5" t="str">
        <f>HYPERLINK("http://www.coopsicomoro.it/","www.coopsicomoro.it")</f>
        <v>www.coopsicomoro.it</v>
      </c>
    </row>
    <row r="4481" spans="1:6" ht="55.65" customHeight="1" x14ac:dyDescent="0.25">
      <c r="A4481" s="1" t="s">
        <v>18695</v>
      </c>
      <c r="B4481" s="7" t="s">
        <v>18696</v>
      </c>
      <c r="C4481" s="7" t="s">
        <v>18683</v>
      </c>
      <c r="D4481" s="7" t="s">
        <v>18697</v>
      </c>
      <c r="E4481" s="7" t="s">
        <v>18693</v>
      </c>
      <c r="F4481" s="7" t="str">
        <f>HYPERLINK("http://www.latorre.farm/","www.latorre.farm")</f>
        <v>www.latorre.farm</v>
      </c>
    </row>
    <row r="4482" spans="1:6" ht="43.05" customHeight="1" x14ac:dyDescent="0.25">
      <c r="A4482" s="1" t="s">
        <v>18698</v>
      </c>
      <c r="B4482" s="7" t="s">
        <v>18699</v>
      </c>
      <c r="C4482" s="7" t="s">
        <v>18688</v>
      </c>
      <c r="D4482" s="7" t="s">
        <v>18700</v>
      </c>
      <c r="E4482" s="7" t="s">
        <v>18681</v>
      </c>
      <c r="F4482" s="7" t="str">
        <f>HYPERLINK("http://www.oliodelparco.it/","www.oliodelparco.it")</f>
        <v>www.oliodelparco.it</v>
      </c>
    </row>
    <row r="4483" spans="1:6" ht="16.95" customHeight="1" x14ac:dyDescent="0.25">
      <c r="A4483" s="1" t="s">
        <v>18701</v>
      </c>
      <c r="B4483" s="7" t="s">
        <v>18702</v>
      </c>
      <c r="C4483" s="7" t="s">
        <v>18682</v>
      </c>
      <c r="D4483" s="7" t="s">
        <v>18692</v>
      </c>
      <c r="E4483" s="7" t="s">
        <v>18693</v>
      </c>
      <c r="F4483" s="7" t="str">
        <f>HYPERLINK("http://www.agriturismoreggello.one/","www.agriturismoreggello.one")</f>
        <v>www.agriturismoreggello.one</v>
      </c>
    </row>
    <row r="4484" spans="1:6" ht="29.55" customHeight="1" x14ac:dyDescent="0.25">
      <c r="A4484" s="1" t="s">
        <v>18703</v>
      </c>
      <c r="B4484" s="7" t="s">
        <v>18704</v>
      </c>
      <c r="C4484" s="7" t="s">
        <v>18694</v>
      </c>
      <c r="D4484" s="7" t="s">
        <v>18705</v>
      </c>
      <c r="E4484" s="7" t="s">
        <v>18706</v>
      </c>
      <c r="F4484" s="7" t="str">
        <f>HYPERLINK("http://www.biscina.com/","www.biscina.com")</f>
        <v>www.biscina.com</v>
      </c>
    </row>
    <row r="4485" spans="1:6" ht="29.55" customHeight="1" x14ac:dyDescent="0.25">
      <c r="A4485" s="6" t="s">
        <v>18711</v>
      </c>
      <c r="B4485" s="5" t="s">
        <v>18712</v>
      </c>
      <c r="C4485" s="5" t="s">
        <v>18713</v>
      </c>
      <c r="D4485" s="5" t="s">
        <v>18714</v>
      </c>
      <c r="E4485" s="5" t="s">
        <v>18709</v>
      </c>
      <c r="F4485" s="5" t="str">
        <f>HYPERLINK("http://bosciabronte.it/","bosciabronte.it")</f>
        <v>bosciabronte.it</v>
      </c>
    </row>
    <row r="4486" spans="1:6" ht="16.95" customHeight="1" x14ac:dyDescent="0.25">
      <c r="A4486" s="6" t="s">
        <v>18718</v>
      </c>
      <c r="B4486" s="5" t="s">
        <v>18719</v>
      </c>
      <c r="C4486" s="5" t="s">
        <v>18708</v>
      </c>
      <c r="D4486" s="5" t="s">
        <v>18720</v>
      </c>
      <c r="E4486" s="5" t="s">
        <v>18721</v>
      </c>
      <c r="F4486" s="5" t="str">
        <f>HYPERLINK("http://www.mrtuscany.com/","www.mrtuscany.com")</f>
        <v>www.mrtuscany.com</v>
      </c>
    </row>
    <row r="4487" spans="1:6" ht="16.95" customHeight="1" x14ac:dyDescent="0.25">
      <c r="A4487" s="6" t="s">
        <v>18722</v>
      </c>
      <c r="B4487" s="5" t="s">
        <v>18723</v>
      </c>
      <c r="C4487" s="5" t="s">
        <v>18717</v>
      </c>
      <c r="D4487" s="5" t="s">
        <v>18724</v>
      </c>
      <c r="E4487" s="5" t="s">
        <v>18716</v>
      </c>
      <c r="F4487" s="5" t="str">
        <f>HYPERLINK("http://www.casalecalavita.it/","www.casalecalavita.it")</f>
        <v>www.casalecalavita.it</v>
      </c>
    </row>
    <row r="4488" spans="1:6" ht="29.55" customHeight="1" x14ac:dyDescent="0.25">
      <c r="A4488" s="6" t="s">
        <v>18725</v>
      </c>
      <c r="B4488" s="5" t="s">
        <v>18726</v>
      </c>
      <c r="C4488" s="5" t="s">
        <v>18708</v>
      </c>
      <c r="D4488" s="5" t="s">
        <v>18727</v>
      </c>
      <c r="E4488" s="5" t="s">
        <v>18716</v>
      </c>
      <c r="F4488" s="5" t="str">
        <f>HYPERLINK("http://www.valtrulli.it/","www.valtrulli.it")</f>
        <v>www.valtrulli.it</v>
      </c>
    </row>
    <row r="4489" spans="1:6" ht="68.099999999999994" customHeight="1" x14ac:dyDescent="0.25">
      <c r="A4489" s="6" t="s">
        <v>18729</v>
      </c>
      <c r="B4489" s="5" t="s">
        <v>18730</v>
      </c>
      <c r="C4489" s="5" t="s">
        <v>18728</v>
      </c>
      <c r="D4489" s="5" t="s">
        <v>18731</v>
      </c>
      <c r="E4489" s="5" t="s">
        <v>18732</v>
      </c>
      <c r="F4489" s="5" t="str">
        <f>HYPERLINK("http://www.bonifaciovini.it/","www.bonifaciovini.it")</f>
        <v>www.bonifaciovini.it</v>
      </c>
    </row>
    <row r="4490" spans="1:6" ht="43.05" customHeight="1" x14ac:dyDescent="0.25">
      <c r="A4490" s="6" t="s">
        <v>18733</v>
      </c>
      <c r="B4490" s="5" t="s">
        <v>18734</v>
      </c>
      <c r="C4490" s="5" t="s">
        <v>18735</v>
      </c>
      <c r="D4490" s="5" t="s">
        <v>18710</v>
      </c>
      <c r="E4490" s="5" t="s">
        <v>18707</v>
      </c>
      <c r="F4490" s="5" t="str">
        <f>HYPERLINK("http://coopthc.org/","coopthc.org")</f>
        <v>coopthc.org</v>
      </c>
    </row>
    <row r="4491" spans="1:6" ht="43.05" customHeight="1" x14ac:dyDescent="0.25">
      <c r="A4491" s="1" t="s">
        <v>18736</v>
      </c>
      <c r="B4491" s="7" t="s">
        <v>18737</v>
      </c>
      <c r="C4491" s="7" t="s">
        <v>18715</v>
      </c>
      <c r="D4491" s="7" t="s">
        <v>18738</v>
      </c>
      <c r="E4491" s="7" t="s">
        <v>18721</v>
      </c>
      <c r="F4491" s="7" t="str">
        <f>HYPERLINK("http://www.hotelscheck-in.com/terraetruscaitaly","www.hotelscheck-in.com/terraetruscaitaly")</f>
        <v>www.hotelscheck-in.com/terraetruscaitaly</v>
      </c>
    </row>
    <row r="4492" spans="1:6" ht="29.55" customHeight="1" x14ac:dyDescent="0.25">
      <c r="A4492" s="1" t="s">
        <v>18739</v>
      </c>
      <c r="B4492" s="7" t="s">
        <v>18740</v>
      </c>
      <c r="C4492" s="7" t="s">
        <v>18741</v>
      </c>
      <c r="D4492" s="7" t="s">
        <v>18742</v>
      </c>
      <c r="E4492" s="7" t="s">
        <v>18743</v>
      </c>
      <c r="F4492" s="7" t="str">
        <f>HYPERLINK("http://www.baglioaimone.it/","www.baglioaimone.it")</f>
        <v>www.baglioaimone.it</v>
      </c>
    </row>
    <row r="4493" spans="1:6" ht="43.05" customHeight="1" x14ac:dyDescent="0.25">
      <c r="A4493" s="6" t="s">
        <v>18744</v>
      </c>
      <c r="B4493" s="5" t="s">
        <v>18745</v>
      </c>
      <c r="C4493" s="5" t="s">
        <v>18741</v>
      </c>
      <c r="D4493" s="5" t="s">
        <v>18742</v>
      </c>
      <c r="E4493" s="5" t="s">
        <v>18743</v>
      </c>
      <c r="F4493" s="5" t="str">
        <f>HYPERLINK("http://www.alecibio.it/","www.alecibio.it")</f>
        <v>www.alecibio.it</v>
      </c>
    </row>
    <row r="4494" spans="1:6" ht="29.55" customHeight="1" x14ac:dyDescent="0.25">
      <c r="A4494" s="1" t="s">
        <v>18750</v>
      </c>
      <c r="B4494" s="7" t="s">
        <v>18751</v>
      </c>
      <c r="C4494" s="7" t="s">
        <v>18741</v>
      </c>
      <c r="D4494" s="7" t="s">
        <v>18752</v>
      </c>
      <c r="E4494" s="7" t="s">
        <v>18753</v>
      </c>
      <c r="F4494" s="7" t="str">
        <f>HYPERLINK("http://www.liofenol.it/","www.liofenol.it")</f>
        <v>www.liofenol.it</v>
      </c>
    </row>
    <row r="4495" spans="1:6" ht="29.55" customHeight="1" x14ac:dyDescent="0.25">
      <c r="A4495" s="1" t="s">
        <v>18755</v>
      </c>
      <c r="B4495" s="7" t="s">
        <v>18756</v>
      </c>
      <c r="C4495" s="7" t="s">
        <v>18741</v>
      </c>
      <c r="D4495" s="7" t="s">
        <v>18757</v>
      </c>
      <c r="E4495" s="7" t="s">
        <v>18753</v>
      </c>
      <c r="F4495" s="7" t="str">
        <f>HYPERLINK("http://agrilabenedetta.it/","agrilabenedetta.it")</f>
        <v>agrilabenedetta.it</v>
      </c>
    </row>
    <row r="4496" spans="1:6" ht="29.55" customHeight="1" x14ac:dyDescent="0.25">
      <c r="A4496" s="1" t="s">
        <v>18758</v>
      </c>
      <c r="B4496" s="7" t="s">
        <v>18759</v>
      </c>
      <c r="C4496" s="7" t="s">
        <v>18741</v>
      </c>
      <c r="D4496" s="7" t="s">
        <v>18754</v>
      </c>
      <c r="E4496" s="7" t="s">
        <v>18749</v>
      </c>
      <c r="F4496" s="7" t="str">
        <f>HYPERLINK("http://www.agricampeggiolebucoliche.it/","www.agricampeggiolebucoliche.it")</f>
        <v>www.agricampeggiolebucoliche.it</v>
      </c>
    </row>
    <row r="4497" spans="1:6" ht="29.55" customHeight="1" x14ac:dyDescent="0.25">
      <c r="A4497" s="6" t="s">
        <v>18760</v>
      </c>
      <c r="B4497" s="5" t="s">
        <v>18761</v>
      </c>
      <c r="C4497" s="5" t="s">
        <v>18741</v>
      </c>
      <c r="D4497" s="5" t="s">
        <v>18762</v>
      </c>
      <c r="E4497" s="5" t="s">
        <v>18763</v>
      </c>
      <c r="F4497" s="5" t="str">
        <f>HYPERLINK("http://www.terredellagrigia.com/","www.terredellagrigia.com")</f>
        <v>www.terredellagrigia.com</v>
      </c>
    </row>
    <row r="4498" spans="1:6" ht="43.05" customHeight="1" x14ac:dyDescent="0.25">
      <c r="A4498" s="6" t="s">
        <v>18764</v>
      </c>
      <c r="B4498" s="5" t="s">
        <v>18765</v>
      </c>
      <c r="C4498" s="5" t="s">
        <v>18766</v>
      </c>
      <c r="D4498" s="5" t="s">
        <v>18767</v>
      </c>
      <c r="E4498" s="5" t="s">
        <v>18748</v>
      </c>
      <c r="F4498" s="5" t="str">
        <f>HYPERLINK("http://biomasseriapalombara.it/","biomasseriapalombara.it")</f>
        <v>biomasseriapalombara.it</v>
      </c>
    </row>
    <row r="4499" spans="1:6" ht="29.55" customHeight="1" x14ac:dyDescent="0.25">
      <c r="A4499" s="1" t="s">
        <v>18768</v>
      </c>
      <c r="B4499" s="7" t="s">
        <v>18769</v>
      </c>
      <c r="C4499" s="7" t="s">
        <v>18741</v>
      </c>
      <c r="D4499" s="7" t="s">
        <v>18770</v>
      </c>
      <c r="E4499" s="7" t="s">
        <v>18747</v>
      </c>
      <c r="F4499" s="7" t="str">
        <f>HYPERLINK("http://www.giulioferraris.it/","www.giulioferraris.it")</f>
        <v>www.giulioferraris.it</v>
      </c>
    </row>
    <row r="4500" spans="1:6" ht="43.05" customHeight="1" x14ac:dyDescent="0.25">
      <c r="A4500" s="1" t="s">
        <v>18771</v>
      </c>
      <c r="B4500" s="7" t="s">
        <v>18772</v>
      </c>
      <c r="C4500" s="7" t="s">
        <v>18746</v>
      </c>
      <c r="D4500" s="7" t="s">
        <v>18773</v>
      </c>
      <c r="E4500" s="7" t="s">
        <v>18773</v>
      </c>
      <c r="F4500" s="7" t="str">
        <f>HYPERLINK("http://www.droninopera.it/","www.droninopera.it")</f>
        <v>www.droninopera.it</v>
      </c>
    </row>
    <row r="4501" spans="1:6" ht="29.55" customHeight="1" x14ac:dyDescent="0.25">
      <c r="A4501" s="6" t="s">
        <v>18776</v>
      </c>
      <c r="B4501" s="5" t="s">
        <v>18777</v>
      </c>
      <c r="C4501" s="5" t="s">
        <v>18774</v>
      </c>
      <c r="D4501" s="5" t="s">
        <v>18778</v>
      </c>
      <c r="E4501" s="5" t="s">
        <v>18779</v>
      </c>
      <c r="F4501" s="5" t="str">
        <f>HYPERLINK("http://www.lasignoraeugeniaeilpasserosolitario.com/","www.lasignoraeugeniaeilpasserosolitario.com")</f>
        <v>www.lasignoraeugeniaeilpasserosolitario.com</v>
      </c>
    </row>
    <row r="4502" spans="1:6" ht="29.55" customHeight="1" x14ac:dyDescent="0.25">
      <c r="A4502" s="1" t="s">
        <v>18780</v>
      </c>
      <c r="B4502" s="7" t="s">
        <v>18781</v>
      </c>
      <c r="C4502" s="7" t="s">
        <v>18782</v>
      </c>
      <c r="D4502" s="7" t="s">
        <v>18783</v>
      </c>
      <c r="E4502" s="7" t="s">
        <v>18775</v>
      </c>
      <c r="F4502" s="7" t="str">
        <f>HYPERLINK("http://www.mocciarolidestri.it/","www.mocciarolidestri.it")</f>
        <v>www.mocciarolidestri.it</v>
      </c>
    </row>
    <row r="4503" spans="1:6" ht="29.55" customHeight="1" x14ac:dyDescent="0.25">
      <c r="A4503" s="1" t="s">
        <v>18787</v>
      </c>
      <c r="B4503" s="7" t="s">
        <v>18788</v>
      </c>
      <c r="C4503" s="7" t="s">
        <v>18789</v>
      </c>
      <c r="D4503" s="7" t="s">
        <v>18790</v>
      </c>
      <c r="E4503" s="7" t="s">
        <v>18791</v>
      </c>
      <c r="F4503" s="7" t="str">
        <f>HYPERLINK("http://www.torrespagnola.it/","www.torrespagnola.it")</f>
        <v>www.torrespagnola.it</v>
      </c>
    </row>
    <row r="4504" spans="1:6" ht="43.05" customHeight="1" x14ac:dyDescent="0.25">
      <c r="A4504" s="6" t="s">
        <v>18792</v>
      </c>
      <c r="B4504" s="5" t="s">
        <v>18793</v>
      </c>
      <c r="C4504" s="5" t="s">
        <v>18794</v>
      </c>
      <c r="D4504" s="5" t="s">
        <v>18795</v>
      </c>
      <c r="E4504" s="5" t="s">
        <v>18796</v>
      </c>
      <c r="F4504" s="5" t="str">
        <f>HYPERLINK("http://www.poggiodellalodola.it/","www.poggiodellalodola.it")</f>
        <v>www.poggiodellalodola.it</v>
      </c>
    </row>
    <row r="4505" spans="1:6" ht="55.65" customHeight="1" x14ac:dyDescent="0.25">
      <c r="A4505" s="1" t="s">
        <v>18797</v>
      </c>
      <c r="B4505" s="7" t="s">
        <v>18798</v>
      </c>
      <c r="C4505" s="7" t="s">
        <v>18789</v>
      </c>
      <c r="D4505" s="7" t="s">
        <v>18786</v>
      </c>
      <c r="E4505" s="7" t="s">
        <v>18775</v>
      </c>
      <c r="F4505" s="7" t="str">
        <f>HYPERLINK("http://www.giovanitradizionisiciliane.it/","www.giovanitradizionisiciliane.it")</f>
        <v>www.giovanitradizionisiciliane.it</v>
      </c>
    </row>
    <row r="4506" spans="1:6" ht="43.05" customHeight="1" x14ac:dyDescent="0.25">
      <c r="A4506" s="6" t="s">
        <v>18800</v>
      </c>
      <c r="B4506" s="5" t="s">
        <v>18801</v>
      </c>
      <c r="C4506" s="5" t="s">
        <v>18799</v>
      </c>
      <c r="D4506" s="5" t="s">
        <v>18784</v>
      </c>
      <c r="E4506" s="5" t="s">
        <v>18785</v>
      </c>
      <c r="F4506" s="5" t="str">
        <f>HYPERLINK("http://www.cascinaospitale.com/","www.cascinaospitale.com")</f>
        <v>www.cascinaospitale.com</v>
      </c>
    </row>
    <row r="4507" spans="1:6" ht="29.55" customHeight="1" x14ac:dyDescent="0.25">
      <c r="A4507" s="1" t="s">
        <v>18802</v>
      </c>
      <c r="B4507" s="7" t="s">
        <v>18803</v>
      </c>
      <c r="C4507" s="7" t="s">
        <v>18804</v>
      </c>
      <c r="D4507" s="7" t="s">
        <v>18805</v>
      </c>
      <c r="E4507" s="7" t="s">
        <v>18806</v>
      </c>
      <c r="F4507" s="7" t="str">
        <f>HYPERLINK("http://poderelamberto.com/","poderelamberto.com")</f>
        <v>poderelamberto.com</v>
      </c>
    </row>
    <row r="4508" spans="1:6" ht="29.55" customHeight="1" x14ac:dyDescent="0.25">
      <c r="A4508" s="6" t="s">
        <v>18807</v>
      </c>
      <c r="B4508" s="5" t="s">
        <v>18808</v>
      </c>
      <c r="C4508" s="5" t="s">
        <v>18809</v>
      </c>
      <c r="D4508" s="5" t="s">
        <v>18810</v>
      </c>
      <c r="E4508" s="5" t="s">
        <v>18811</v>
      </c>
      <c r="F4508" s="5" t="str">
        <f>HYPERLINK("http://francescastraveltips.com/agriturismo-la-pesca-italy","francescastraveltips.com/agriturismo-la-pesca-italy")</f>
        <v>francescastraveltips.com/agriturismo-la-pesca-italy</v>
      </c>
    </row>
    <row r="4509" spans="1:6" ht="29.55" customHeight="1" x14ac:dyDescent="0.25">
      <c r="A4509" s="1" t="s">
        <v>18812</v>
      </c>
      <c r="B4509" s="7" t="s">
        <v>18813</v>
      </c>
      <c r="C4509" s="7" t="s">
        <v>18804</v>
      </c>
      <c r="D4509" s="7" t="s">
        <v>18814</v>
      </c>
      <c r="E4509" s="7" t="s">
        <v>18815</v>
      </c>
      <c r="F4509" s="7" t="str">
        <f>HYPERLINK("http://www.tenutadelisio.it/","www.tenutadelisio.it")</f>
        <v>www.tenutadelisio.it</v>
      </c>
    </row>
    <row r="4510" spans="1:6" ht="43.05" customHeight="1" x14ac:dyDescent="0.25">
      <c r="A4510" s="1" t="s">
        <v>18822</v>
      </c>
      <c r="B4510" s="7" t="s">
        <v>18823</v>
      </c>
      <c r="C4510" s="7" t="s">
        <v>18804</v>
      </c>
      <c r="D4510" s="7" t="s">
        <v>18817</v>
      </c>
      <c r="E4510" s="7" t="s">
        <v>18818</v>
      </c>
      <c r="F4510" s="7" t="str">
        <f>HYPERLINK("http://www.vignedelvulture.com/","www.vignedelvulture.com")</f>
        <v>www.vignedelvulture.com</v>
      </c>
    </row>
    <row r="4511" spans="1:6" ht="29.55" customHeight="1" x14ac:dyDescent="0.25">
      <c r="A4511" s="6" t="s">
        <v>18824</v>
      </c>
      <c r="B4511" s="5" t="s">
        <v>18825</v>
      </c>
      <c r="C4511" s="5" t="s">
        <v>18826</v>
      </c>
      <c r="D4511" s="5" t="s">
        <v>18827</v>
      </c>
      <c r="E4511" s="5" t="s">
        <v>18828</v>
      </c>
      <c r="F4511" s="5" t="str">
        <f>HYPERLINK("http://www.bluserena.it/","www.bluserena.it")</f>
        <v>www.bluserena.it</v>
      </c>
    </row>
    <row r="4512" spans="1:6" ht="43.05" customHeight="1" x14ac:dyDescent="0.25">
      <c r="A4512" s="1" t="s">
        <v>18829</v>
      </c>
      <c r="B4512" s="7" t="s">
        <v>18830</v>
      </c>
      <c r="C4512" s="7" t="s">
        <v>18804</v>
      </c>
      <c r="D4512" s="7" t="s">
        <v>18820</v>
      </c>
      <c r="E4512" s="7" t="s">
        <v>18821</v>
      </c>
      <c r="F4512" s="7" t="str">
        <f>HYPERLINK("http://www.broccatelligalli.it/","www.broccatelligalli.it")</f>
        <v>www.broccatelligalli.it</v>
      </c>
    </row>
    <row r="4513" spans="1:6" ht="29.55" customHeight="1" x14ac:dyDescent="0.25">
      <c r="A4513" s="6" t="s">
        <v>18831</v>
      </c>
      <c r="B4513" s="5" t="s">
        <v>18832</v>
      </c>
      <c r="C4513" s="5" t="s">
        <v>18816</v>
      </c>
      <c r="D4513" s="5" t="s">
        <v>18833</v>
      </c>
      <c r="E4513" s="5" t="s">
        <v>18834</v>
      </c>
      <c r="F4513" s="5" t="str">
        <f>HYPERLINK("http://www.silvana-srl.it/","www.silvana-srl.it")</f>
        <v>www.silvana-srl.it</v>
      </c>
    </row>
    <row r="4514" spans="1:6" ht="29.55" customHeight="1" x14ac:dyDescent="0.25">
      <c r="A4514" s="6" t="s">
        <v>18835</v>
      </c>
      <c r="B4514" s="5" t="s">
        <v>18836</v>
      </c>
      <c r="C4514" s="5" t="s">
        <v>18837</v>
      </c>
      <c r="D4514" s="5" t="s">
        <v>18838</v>
      </c>
      <c r="E4514" s="5" t="s">
        <v>18839</v>
      </c>
      <c r="F4514" s="5" t="str">
        <f>HYPERLINK("http://www.tenutaverde.com/","www.tenutaverde.com")</f>
        <v>www.tenutaverde.com</v>
      </c>
    </row>
    <row r="4515" spans="1:6" ht="43.05" customHeight="1" x14ac:dyDescent="0.25">
      <c r="A4515" s="1" t="s">
        <v>18840</v>
      </c>
      <c r="B4515" s="7" t="s">
        <v>18841</v>
      </c>
      <c r="C4515" s="7" t="s">
        <v>18842</v>
      </c>
      <c r="D4515" s="7" t="s">
        <v>18843</v>
      </c>
      <c r="E4515" s="7" t="s">
        <v>18834</v>
      </c>
      <c r="F4515" s="7" t="str">
        <f>HYPERLINK("http://www.papaianni.eu/","www.papaianni.eu")</f>
        <v>www.papaianni.eu</v>
      </c>
    </row>
    <row r="4516" spans="1:6" ht="29.55" customHeight="1" x14ac:dyDescent="0.25">
      <c r="A4516" s="6" t="s">
        <v>18844</v>
      </c>
      <c r="B4516" s="5" t="s">
        <v>18845</v>
      </c>
      <c r="C4516" s="5" t="s">
        <v>18819</v>
      </c>
      <c r="D4516" s="5" t="s">
        <v>18846</v>
      </c>
      <c r="E4516" s="5" t="s">
        <v>18806</v>
      </c>
      <c r="F4516" s="5" t="str">
        <f>HYPERLINK("http://tenutascrafana.it/","tenutascrafana.it")</f>
        <v>tenutascrafana.it</v>
      </c>
    </row>
    <row r="4517" spans="1:6" ht="43.05" customHeight="1" x14ac:dyDescent="0.25">
      <c r="A4517" s="1" t="s">
        <v>18849</v>
      </c>
      <c r="B4517" s="7" t="s">
        <v>18850</v>
      </c>
      <c r="C4517" s="7" t="s">
        <v>18848</v>
      </c>
      <c r="D4517" s="7" t="s">
        <v>18851</v>
      </c>
      <c r="E4517" s="7" t="s">
        <v>18852</v>
      </c>
      <c r="F4517" s="7" t="str">
        <f>HYPERLINK("http://www.agricolarosagni.it/","www.agricolarosagni.it")</f>
        <v>www.agricolarosagni.it</v>
      </c>
    </row>
    <row r="4518" spans="1:6" ht="29.55" customHeight="1" x14ac:dyDescent="0.25">
      <c r="A4518" s="6" t="s">
        <v>18854</v>
      </c>
      <c r="B4518" s="5" t="s">
        <v>18855</v>
      </c>
      <c r="C4518" s="5" t="s">
        <v>18856</v>
      </c>
      <c r="D4518" s="5" t="s">
        <v>18857</v>
      </c>
      <c r="E4518" s="5" t="s">
        <v>18853</v>
      </c>
      <c r="F4518" s="5" t="str">
        <f>HYPERLINK("http://terredelborgo.com/","terredelborgo.com")</f>
        <v>terredelborgo.com</v>
      </c>
    </row>
    <row r="4519" spans="1:6" ht="29.55" customHeight="1" x14ac:dyDescent="0.25">
      <c r="A4519" s="6" t="s">
        <v>18862</v>
      </c>
      <c r="B4519" s="5" t="s">
        <v>18863</v>
      </c>
      <c r="C4519" s="5" t="s">
        <v>18858</v>
      </c>
      <c r="D4519" s="5" t="s">
        <v>18860</v>
      </c>
      <c r="E4519" s="5" t="s">
        <v>18859</v>
      </c>
      <c r="F4519" s="5" t="str">
        <f>HYPERLINK("http://www.caboschetto.it/","www.caboschetto.it")</f>
        <v>www.caboschetto.it</v>
      </c>
    </row>
    <row r="4520" spans="1:6" ht="43.05" customHeight="1" x14ac:dyDescent="0.25">
      <c r="A4520" s="1" t="s">
        <v>18864</v>
      </c>
      <c r="B4520" s="7" t="s">
        <v>18865</v>
      </c>
      <c r="C4520" s="7" t="s">
        <v>18858</v>
      </c>
      <c r="D4520" s="7" t="s">
        <v>18866</v>
      </c>
      <c r="E4520" s="7" t="s">
        <v>18867</v>
      </c>
      <c r="F4520" s="7" t="str">
        <f>HYPERLINK("http://www.relaisgliulivi.it/","www.relaisgliulivi.it")</f>
        <v>www.relaisgliulivi.it</v>
      </c>
    </row>
    <row r="4521" spans="1:6" ht="55.65" customHeight="1" x14ac:dyDescent="0.25">
      <c r="A4521" s="6" t="s">
        <v>18868</v>
      </c>
      <c r="B4521" s="5" t="s">
        <v>18869</v>
      </c>
      <c r="C4521" s="5" t="s">
        <v>18861</v>
      </c>
      <c r="D4521" s="5" t="s">
        <v>18870</v>
      </c>
      <c r="E4521" s="5" t="s">
        <v>18847</v>
      </c>
      <c r="F4521" s="5" t="str">
        <f>HYPERLINK("http://www.oliocreoabruzzo.it/","www.oliocreoabruzzo.it")</f>
        <v>www.oliocreoabruzzo.it</v>
      </c>
    </row>
    <row r="4522" spans="1:6" ht="29.55" customHeight="1" x14ac:dyDescent="0.25">
      <c r="A4522" s="1" t="s">
        <v>18876</v>
      </c>
      <c r="B4522" s="7" t="s">
        <v>18877</v>
      </c>
      <c r="C4522" s="7" t="s">
        <v>18878</v>
      </c>
      <c r="D4522" s="7" t="s">
        <v>18879</v>
      </c>
      <c r="E4522" s="7" t="s">
        <v>18873</v>
      </c>
      <c r="F4522" s="7" t="str">
        <f>HYPERLINK("http://www.agricasale.com/","www.agricasale.com")</f>
        <v>www.agricasale.com</v>
      </c>
    </row>
    <row r="4523" spans="1:6" ht="16.95" customHeight="1" x14ac:dyDescent="0.25">
      <c r="A4523" s="6" t="s">
        <v>18881</v>
      </c>
      <c r="B4523" s="5" t="s">
        <v>18882</v>
      </c>
      <c r="C4523" s="5" t="s">
        <v>18883</v>
      </c>
      <c r="D4523" s="5" t="s">
        <v>18884</v>
      </c>
      <c r="E4523" s="5" t="s">
        <v>18873</v>
      </c>
      <c r="F4523" s="5" t="str">
        <f>HYPERLINK("http://www.vignameridio.it/","www.vignameridio.it")</f>
        <v>www.vignameridio.it</v>
      </c>
    </row>
    <row r="4524" spans="1:6" ht="29.55" customHeight="1" x14ac:dyDescent="0.25">
      <c r="A4524" s="6" t="s">
        <v>18887</v>
      </c>
      <c r="B4524" s="5" t="s">
        <v>18888</v>
      </c>
      <c r="C4524" s="5" t="s">
        <v>18874</v>
      </c>
      <c r="D4524" s="5" t="s">
        <v>18875</v>
      </c>
      <c r="E4524" s="5" t="s">
        <v>18872</v>
      </c>
      <c r="F4524" s="5" t="str">
        <f>HYPERLINK("http://trecercole.it/","trecercole.it")</f>
        <v>trecercole.it</v>
      </c>
    </row>
    <row r="4525" spans="1:6" ht="29.55" customHeight="1" x14ac:dyDescent="0.25">
      <c r="A4525" s="1" t="s">
        <v>18889</v>
      </c>
      <c r="B4525" s="7" t="s">
        <v>18890</v>
      </c>
      <c r="C4525" s="7" t="s">
        <v>18891</v>
      </c>
      <c r="D4525" s="7" t="s">
        <v>18892</v>
      </c>
      <c r="E4525" s="7" t="s">
        <v>18880</v>
      </c>
      <c r="F4525" s="7" t="str">
        <f>HYPERLINK("http://www.elporteno.it/el-porteno-prohibido/","www.elporteno.it/el-porteno-prohibido/")</f>
        <v>www.elporteno.it/el-porteno-prohibido/</v>
      </c>
    </row>
    <row r="4526" spans="1:6" ht="29.55" customHeight="1" x14ac:dyDescent="0.25">
      <c r="A4526" s="6" t="s">
        <v>18893</v>
      </c>
      <c r="B4526" s="5" t="s">
        <v>18894</v>
      </c>
      <c r="C4526" s="5" t="s">
        <v>18871</v>
      </c>
      <c r="D4526" s="5" t="s">
        <v>18885</v>
      </c>
      <c r="E4526" s="5" t="s">
        <v>18886</v>
      </c>
      <c r="F4526" s="5" t="str">
        <f>HYPERLINK("http://www.borgopulciano.it/","www.borgopulciano.it")</f>
        <v>www.borgopulciano.it</v>
      </c>
    </row>
    <row r="4527" spans="1:6" ht="29.55" customHeight="1" x14ac:dyDescent="0.25">
      <c r="A4527" s="1" t="s">
        <v>18899</v>
      </c>
      <c r="B4527" s="7" t="s">
        <v>18900</v>
      </c>
      <c r="C4527" s="7" t="s">
        <v>18901</v>
      </c>
      <c r="D4527" s="7" t="s">
        <v>18902</v>
      </c>
      <c r="E4527" s="7" t="s">
        <v>18895</v>
      </c>
      <c r="F4527" s="7" t="str">
        <f>HYPERLINK("http://www.sincette.it/","www.sincette.it")</f>
        <v>www.sincette.it</v>
      </c>
    </row>
    <row r="4528" spans="1:6" ht="29.55" customHeight="1" x14ac:dyDescent="0.25">
      <c r="A4528" s="1" t="s">
        <v>18905</v>
      </c>
      <c r="B4528" s="7" t="s">
        <v>18906</v>
      </c>
      <c r="C4528" s="7" t="s">
        <v>18903</v>
      </c>
      <c r="D4528" s="7" t="s">
        <v>18907</v>
      </c>
      <c r="E4528" s="7" t="s">
        <v>18898</v>
      </c>
      <c r="F4528" s="7" t="str">
        <f>HYPERLINK("http://www.bioagricolasolarino.com/","www.bioagricolasolarino.com")</f>
        <v>www.bioagricolasolarino.com</v>
      </c>
    </row>
    <row r="4529" spans="1:6" ht="29.55" customHeight="1" x14ac:dyDescent="0.25">
      <c r="A4529" s="1" t="s">
        <v>18908</v>
      </c>
      <c r="B4529" s="7" t="s">
        <v>18909</v>
      </c>
      <c r="C4529" s="7" t="s">
        <v>18904</v>
      </c>
      <c r="D4529" s="7" t="s">
        <v>18902</v>
      </c>
      <c r="E4529" s="7" t="s">
        <v>18895</v>
      </c>
      <c r="F4529" s="7" t="str">
        <f>HYPERLINK("http://gaiaaziendaagricola.it/","gaiaaziendaagricola.it")</f>
        <v>gaiaaziendaagricola.it</v>
      </c>
    </row>
    <row r="4530" spans="1:6" ht="132.75" customHeight="1" x14ac:dyDescent="0.25">
      <c r="A4530" s="6" t="s">
        <v>18910</v>
      </c>
      <c r="B4530" s="5" t="s">
        <v>18911</v>
      </c>
      <c r="C4530" s="5" t="s">
        <v>18896</v>
      </c>
      <c r="D4530" s="5" t="s">
        <v>18897</v>
      </c>
      <c r="E4530" s="5" t="s">
        <v>18898</v>
      </c>
      <c r="F4530" s="5" t="str">
        <f>HYPERLINK("http://www.tenuteballasanti.it/","www.tenuteballasanti.it")</f>
        <v>www.tenuteballasanti.it</v>
      </c>
    </row>
    <row r="4531" spans="1:6" ht="43.05" customHeight="1" x14ac:dyDescent="0.25">
      <c r="A4531" s="6" t="s">
        <v>18912</v>
      </c>
      <c r="B4531" s="5" t="s">
        <v>18913</v>
      </c>
      <c r="C4531" s="5" t="s">
        <v>18914</v>
      </c>
      <c r="D4531" s="5" t="s">
        <v>18915</v>
      </c>
      <c r="E4531" s="5" t="s">
        <v>18916</v>
      </c>
      <c r="F4531" s="5" t="str">
        <f>HYPERLINK("http://www.poggioalpino.com/","www.poggioalpino.com")</f>
        <v>www.poggioalpino.com</v>
      </c>
    </row>
    <row r="4532" spans="1:6" ht="29.55" customHeight="1" x14ac:dyDescent="0.25">
      <c r="A4532" s="1" t="s">
        <v>18920</v>
      </c>
      <c r="B4532" s="7" t="s">
        <v>18921</v>
      </c>
      <c r="C4532" s="7" t="s">
        <v>18917</v>
      </c>
      <c r="D4532" s="7" t="s">
        <v>18922</v>
      </c>
      <c r="E4532" s="7" t="s">
        <v>18923</v>
      </c>
      <c r="F4532" s="7" t="str">
        <f>HYPERLINK("http://leterredivejano.it/","leterredivejano.it")</f>
        <v>leterredivejano.it</v>
      </c>
    </row>
    <row r="4533" spans="1:6" ht="29.55" customHeight="1" x14ac:dyDescent="0.25">
      <c r="A4533" s="6" t="s">
        <v>18924</v>
      </c>
      <c r="B4533" s="5" t="s">
        <v>18925</v>
      </c>
      <c r="C4533" s="5" t="s">
        <v>18926</v>
      </c>
      <c r="D4533" s="5" t="s">
        <v>18922</v>
      </c>
      <c r="E4533" s="5" t="s">
        <v>18923</v>
      </c>
      <c r="F4533" s="5" t="str">
        <f>HYPERLINK("http://hortusgymnasium.org/","hortusgymnasium.org")</f>
        <v>hortusgymnasium.org</v>
      </c>
    </row>
    <row r="4534" spans="1:6" ht="68.099999999999994" customHeight="1" x14ac:dyDescent="0.25">
      <c r="A4534" s="6" t="s">
        <v>18927</v>
      </c>
      <c r="B4534" s="5" t="s">
        <v>18928</v>
      </c>
      <c r="C4534" s="5" t="s">
        <v>18914</v>
      </c>
      <c r="D4534" s="5" t="s">
        <v>18929</v>
      </c>
      <c r="E4534" s="5" t="s">
        <v>18930</v>
      </c>
      <c r="F4534" s="5" t="str">
        <f>HYPERLINK("http://www.lasorgentesarl.com/","www.lasorgentesarl.com")</f>
        <v>www.lasorgentesarl.com</v>
      </c>
    </row>
    <row r="4535" spans="1:6" ht="29.55" customHeight="1" x14ac:dyDescent="0.25">
      <c r="A4535" s="1" t="s">
        <v>18931</v>
      </c>
      <c r="B4535" s="7" t="s">
        <v>18932</v>
      </c>
      <c r="C4535" s="7" t="s">
        <v>18919</v>
      </c>
      <c r="D4535" s="7" t="s">
        <v>18933</v>
      </c>
      <c r="E4535" s="7" t="s">
        <v>18918</v>
      </c>
      <c r="F4535" s="7" t="str">
        <f>HYPERLINK("http://www.energaialimus.it/","www.energaialimus.it")</f>
        <v>www.energaialimus.it</v>
      </c>
    </row>
    <row r="4536" spans="1:6" ht="43.05" customHeight="1" x14ac:dyDescent="0.25">
      <c r="A4536" s="1" t="s">
        <v>18934</v>
      </c>
      <c r="B4536" s="7" t="s">
        <v>18935</v>
      </c>
      <c r="C4536" s="7" t="s">
        <v>18936</v>
      </c>
      <c r="D4536" s="7" t="s">
        <v>18937</v>
      </c>
      <c r="E4536" s="7" t="s">
        <v>18938</v>
      </c>
      <c r="F4536" s="7" t="str">
        <f>HYPERLINK("http://aziendaagricolaagreste.com/","aziendaagricolaagreste.com")</f>
        <v>aziendaagricolaagreste.com</v>
      </c>
    </row>
    <row r="4537" spans="1:6" ht="29.55" customHeight="1" x14ac:dyDescent="0.25">
      <c r="A4537" s="6" t="s">
        <v>18943</v>
      </c>
      <c r="B4537" s="5" t="s">
        <v>18944</v>
      </c>
      <c r="C4537" s="5" t="s">
        <v>18945</v>
      </c>
      <c r="D4537" s="5" t="s">
        <v>18946</v>
      </c>
      <c r="E4537" s="5" t="s">
        <v>18947</v>
      </c>
      <c r="F4537" s="5" t="str">
        <f>HYPERLINK("http://www.honeypetfood.it/","www.honeypetfood.it")</f>
        <v>www.honeypetfood.it</v>
      </c>
    </row>
    <row r="4538" spans="1:6" ht="29.55" customHeight="1" x14ac:dyDescent="0.25">
      <c r="A4538" s="1" t="s">
        <v>18948</v>
      </c>
      <c r="B4538" s="7" t="s">
        <v>18949</v>
      </c>
      <c r="C4538" s="7" t="s">
        <v>18940</v>
      </c>
      <c r="D4538" s="7" t="s">
        <v>18950</v>
      </c>
      <c r="E4538" s="7" t="s">
        <v>18942</v>
      </c>
      <c r="F4538" s="7" t="str">
        <f>HYPERLINK("http://www.rau.it/","http://www.rau.it")</f>
        <v>http://www.rau.it</v>
      </c>
    </row>
    <row r="4539" spans="1:6" ht="29.55" customHeight="1" x14ac:dyDescent="0.25">
      <c r="A4539" s="1" t="s">
        <v>18953</v>
      </c>
      <c r="B4539" s="7" t="s">
        <v>18954</v>
      </c>
      <c r="C4539" s="7" t="s">
        <v>18955</v>
      </c>
      <c r="D4539" s="7" t="s">
        <v>18956</v>
      </c>
      <c r="E4539" s="7" t="s">
        <v>18947</v>
      </c>
      <c r="F4539" s="7" t="s">
        <v>18957</v>
      </c>
    </row>
    <row r="4540" spans="1:6" ht="43.05" customHeight="1" x14ac:dyDescent="0.25">
      <c r="A4540" s="6" t="s">
        <v>18958</v>
      </c>
      <c r="B4540" s="5" t="s">
        <v>18959</v>
      </c>
      <c r="C4540" s="5" t="s">
        <v>18941</v>
      </c>
      <c r="D4540" s="5" t="s">
        <v>18960</v>
      </c>
      <c r="E4540" s="5" t="s">
        <v>18961</v>
      </c>
      <c r="F4540" s="5" t="str">
        <f>HYPERLINK("http://www.agescosrl.it/","www.agescosrl.it")</f>
        <v>www.agescosrl.it</v>
      </c>
    </row>
    <row r="4541" spans="1:6" ht="16.95" customHeight="1" x14ac:dyDescent="0.25">
      <c r="A4541" s="1" t="s">
        <v>18962</v>
      </c>
      <c r="B4541" s="7" t="s">
        <v>18963</v>
      </c>
      <c r="C4541" s="7" t="s">
        <v>18952</v>
      </c>
      <c r="D4541" s="7" t="s">
        <v>18964</v>
      </c>
      <c r="E4541" s="7" t="s">
        <v>18939</v>
      </c>
      <c r="F4541" s="7" t="str">
        <f>HYPERLINK("http://www.fattoriadigragnone.it/","www.fattoriadigragnone.it")</f>
        <v>www.fattoriadigragnone.it</v>
      </c>
    </row>
    <row r="4542" spans="1:6" ht="29.55" customHeight="1" x14ac:dyDescent="0.25">
      <c r="A4542" s="6" t="s">
        <v>18965</v>
      </c>
      <c r="B4542" s="5" t="s">
        <v>18966</v>
      </c>
      <c r="C4542" s="5" t="s">
        <v>18951</v>
      </c>
      <c r="D4542" s="5" t="s">
        <v>18967</v>
      </c>
      <c r="E4542" s="5" t="s">
        <v>18939</v>
      </c>
      <c r="F4542" s="5" t="str">
        <f>HYPERLINK("http://lumanova.it/","lumanova.it")</f>
        <v>lumanova.it</v>
      </c>
    </row>
    <row r="4543" spans="1:6" ht="29.55" customHeight="1" x14ac:dyDescent="0.25">
      <c r="A4543" s="6" t="s">
        <v>18969</v>
      </c>
      <c r="B4543" s="5" t="s">
        <v>18970</v>
      </c>
      <c r="C4543" s="5" t="s">
        <v>18971</v>
      </c>
      <c r="D4543" s="5" t="s">
        <v>18972</v>
      </c>
      <c r="E4543" s="5" t="s">
        <v>18973</v>
      </c>
      <c r="F4543" s="5" t="str">
        <f>HYPERLINK("http://www.agricolacastelgrosso.it/","www.agricolacastelgrosso.it")</f>
        <v>www.agricolacastelgrosso.it</v>
      </c>
    </row>
    <row r="4544" spans="1:6" ht="68.099999999999994" customHeight="1" x14ac:dyDescent="0.25">
      <c r="A4544" s="6" t="s">
        <v>18974</v>
      </c>
      <c r="B4544" s="5" t="s">
        <v>18975</v>
      </c>
      <c r="C4544" s="5" t="s">
        <v>18976</v>
      </c>
      <c r="D4544" s="5" t="s">
        <v>18977</v>
      </c>
      <c r="E4544" s="5" t="s">
        <v>18968</v>
      </c>
      <c r="F4544" s="5" t="str">
        <f>HYPERLINK("http://www.facebook.com/agriturismo-la-caffettiera-106231230955436/","www.facebook.com/agriturismo-la-caffettiera-106231230955436/")</f>
        <v>www.facebook.com/agriturismo-la-caffettiera-106231230955436/</v>
      </c>
    </row>
    <row r="4545" spans="1:6" ht="29.55" customHeight="1" x14ac:dyDescent="0.25">
      <c r="A4545" s="1" t="s">
        <v>18978</v>
      </c>
      <c r="B4545" s="7" t="s">
        <v>18979</v>
      </c>
      <c r="C4545" s="7" t="s">
        <v>18980</v>
      </c>
      <c r="D4545" s="7" t="s">
        <v>18981</v>
      </c>
      <c r="E4545" s="7" t="s">
        <v>18982</v>
      </c>
      <c r="F4545" s="7" t="str">
        <f>HYPERLINK("http://www.vedutedinsieme.com/","www.vedutedinsieme.com")</f>
        <v>www.vedutedinsieme.com</v>
      </c>
    </row>
    <row r="4546" spans="1:6" ht="29.55" customHeight="1" x14ac:dyDescent="0.25">
      <c r="A4546" s="6" t="s">
        <v>18983</v>
      </c>
      <c r="B4546" s="5" t="s">
        <v>18984</v>
      </c>
      <c r="C4546" s="5" t="s">
        <v>18985</v>
      </c>
      <c r="D4546" s="5" t="s">
        <v>18986</v>
      </c>
      <c r="E4546" s="5" t="s">
        <v>18987</v>
      </c>
      <c r="F4546" s="5" t="str">
        <f>HYPERLINK("http://www.fattoriacadebi.com/","www.fattoriacadebi.com")</f>
        <v>www.fattoriacadebi.com</v>
      </c>
    </row>
    <row r="4547" spans="1:6" ht="29.55" customHeight="1" x14ac:dyDescent="0.25">
      <c r="A4547" s="1" t="s">
        <v>18988</v>
      </c>
      <c r="B4547" s="7" t="s">
        <v>18989</v>
      </c>
      <c r="C4547" s="7" t="s">
        <v>18990</v>
      </c>
      <c r="D4547" s="7" t="s">
        <v>18981</v>
      </c>
      <c r="E4547" s="7" t="s">
        <v>18982</v>
      </c>
      <c r="F4547" s="7" t="str">
        <f>HYPERLINK("http://www.fruttifelici.it/","www.fruttifelici.it")</f>
        <v>www.fruttifelici.it</v>
      </c>
    </row>
    <row r="4548" spans="1:6" ht="43.05" customHeight="1" x14ac:dyDescent="0.25">
      <c r="A4548" s="1" t="s">
        <v>18994</v>
      </c>
      <c r="B4548" s="7" t="s">
        <v>18995</v>
      </c>
      <c r="C4548" s="7" t="s">
        <v>18996</v>
      </c>
      <c r="D4548" s="7" t="s">
        <v>18992</v>
      </c>
      <c r="E4548" s="7" t="s">
        <v>18993</v>
      </c>
      <c r="F4548" s="7" t="str">
        <f>HYPERLINK("http://www.agrisocialnett.it/","www.agrisocialnett.it")</f>
        <v>www.agrisocialnett.it</v>
      </c>
    </row>
    <row r="4549" spans="1:6" ht="29.55" customHeight="1" x14ac:dyDescent="0.25">
      <c r="A4549" s="1" t="s">
        <v>19001</v>
      </c>
      <c r="B4549" s="7" t="s">
        <v>19002</v>
      </c>
      <c r="C4549" s="7" t="s">
        <v>18991</v>
      </c>
      <c r="D4549" s="7" t="s">
        <v>18999</v>
      </c>
      <c r="E4549" s="7" t="s">
        <v>19000</v>
      </c>
      <c r="F4549" s="7" t="str">
        <f>HYPERLINK("http://tenuta-vitivinicola-diavoletto.alberghiinitalia.top/","tenuta-vitivinicola-diavoletto.alberghiinitalia.top")</f>
        <v>tenuta-vitivinicola-diavoletto.alberghiinitalia.top</v>
      </c>
    </row>
    <row r="4550" spans="1:6" ht="29.55" customHeight="1" x14ac:dyDescent="0.25">
      <c r="A4550" s="1" t="s">
        <v>19005</v>
      </c>
      <c r="B4550" s="7" t="s">
        <v>19006</v>
      </c>
      <c r="C4550" s="7" t="s">
        <v>19007</v>
      </c>
      <c r="D4550" s="7" t="s">
        <v>19004</v>
      </c>
      <c r="E4550" s="7" t="s">
        <v>18998</v>
      </c>
      <c r="F4550" s="7" t="str">
        <f>HYPERLINK("http://www.exterravires.com/","www.exterravires.com")</f>
        <v>www.exterravires.com</v>
      </c>
    </row>
    <row r="4551" spans="1:6" ht="16.95" customHeight="1" x14ac:dyDescent="0.25">
      <c r="A4551" s="6" t="s">
        <v>19008</v>
      </c>
      <c r="B4551" s="5" t="s">
        <v>19009</v>
      </c>
      <c r="C4551" s="5" t="s">
        <v>18997</v>
      </c>
      <c r="D4551" s="5" t="s">
        <v>19010</v>
      </c>
      <c r="E4551" s="5" t="s">
        <v>19003</v>
      </c>
      <c r="F4551" s="5" t="str">
        <f>HYPERLINK("http://www.finisterraesrl.com/","www.finisterraesrl.com")</f>
        <v>www.finisterraesrl.com</v>
      </c>
    </row>
    <row r="4552" spans="1:6" ht="29.55" customHeight="1" x14ac:dyDescent="0.25">
      <c r="A4552" s="1" t="s">
        <v>19011</v>
      </c>
      <c r="B4552" s="7" t="s">
        <v>19012</v>
      </c>
      <c r="C4552" s="7" t="s">
        <v>19013</v>
      </c>
      <c r="D4552" s="7" t="s">
        <v>19014</v>
      </c>
      <c r="E4552" s="7" t="s">
        <v>18987</v>
      </c>
      <c r="F4552" s="7" t="str">
        <f>HYPERLINK("http://risoerane.it/","risoerane.it")</f>
        <v>risoerane.it</v>
      </c>
    </row>
    <row r="4553" spans="1:6" ht="29.55" customHeight="1" x14ac:dyDescent="0.25">
      <c r="A4553" s="1" t="s">
        <v>19015</v>
      </c>
      <c r="B4553" s="7" t="s">
        <v>19016</v>
      </c>
      <c r="C4553" s="7" t="s">
        <v>19017</v>
      </c>
      <c r="D4553" s="7" t="s">
        <v>19018</v>
      </c>
      <c r="E4553" s="7" t="s">
        <v>19019</v>
      </c>
      <c r="F4553" s="7" t="str">
        <f>HYPERLINK("http://www.italianwildcherry.com/","www.italianwildcherry.com")</f>
        <v>www.italianwildcherry.com</v>
      </c>
    </row>
    <row r="4554" spans="1:6" ht="43.05" customHeight="1" x14ac:dyDescent="0.25">
      <c r="A4554" s="6" t="s">
        <v>19025</v>
      </c>
      <c r="B4554" s="5" t="s">
        <v>19026</v>
      </c>
      <c r="C4554" s="5" t="s">
        <v>19027</v>
      </c>
      <c r="D4554" s="5" t="s">
        <v>19023</v>
      </c>
      <c r="E4554" s="5" t="s">
        <v>19024</v>
      </c>
      <c r="F4554" s="5" t="str">
        <f>HYPERLINK("http://www.unavini.it/","www.unavini.it")</f>
        <v>www.unavini.it</v>
      </c>
    </row>
    <row r="4555" spans="1:6" ht="55.65" customHeight="1" x14ac:dyDescent="0.25">
      <c r="A4555" s="6" t="s">
        <v>19031</v>
      </c>
      <c r="B4555" s="5" t="s">
        <v>19032</v>
      </c>
      <c r="C4555" s="5" t="s">
        <v>19033</v>
      </c>
      <c r="D4555" s="5" t="s">
        <v>19034</v>
      </c>
      <c r="E4555" s="5" t="s">
        <v>19035</v>
      </c>
      <c r="F4555" s="5" t="str">
        <f>HYPERLINK("http://www.gardenzerga.it/","www.gardenzerga.it")</f>
        <v>www.gardenzerga.it</v>
      </c>
    </row>
    <row r="4556" spans="1:6" ht="29.55" customHeight="1" x14ac:dyDescent="0.25">
      <c r="A4556" s="1" t="s">
        <v>19036</v>
      </c>
      <c r="B4556" s="7" t="s">
        <v>19037</v>
      </c>
      <c r="C4556" s="7" t="s">
        <v>19029</v>
      </c>
      <c r="D4556" s="7" t="s">
        <v>19023</v>
      </c>
      <c r="E4556" s="7" t="s">
        <v>19024</v>
      </c>
      <c r="F4556" s="7" t="str">
        <f>HYPERLINK("http://www.fiondaranch.it/","www.fiondaranch.it")</f>
        <v>www.fiondaranch.it</v>
      </c>
    </row>
    <row r="4557" spans="1:6" ht="29.55" customHeight="1" x14ac:dyDescent="0.25">
      <c r="A4557" s="6" t="s">
        <v>19038</v>
      </c>
      <c r="B4557" s="5" t="s">
        <v>19039</v>
      </c>
      <c r="C4557" s="5" t="s">
        <v>19028</v>
      </c>
      <c r="D4557" s="5" t="s">
        <v>19040</v>
      </c>
      <c r="E4557" s="5" t="s">
        <v>19030</v>
      </c>
      <c r="F4557" s="5" t="str">
        <f>HYPERLINK("http://www.semiliberilecce.it/","www.semiliberilecce.it")</f>
        <v>www.semiliberilecce.it</v>
      </c>
    </row>
    <row r="4558" spans="1:6" ht="29.55" customHeight="1" x14ac:dyDescent="0.25">
      <c r="A4558" s="1" t="s">
        <v>19041</v>
      </c>
      <c r="B4558" s="7" t="s">
        <v>19042</v>
      </c>
      <c r="C4558" s="7" t="s">
        <v>19028</v>
      </c>
      <c r="D4558" s="7" t="s">
        <v>19020</v>
      </c>
      <c r="E4558" s="7" t="s">
        <v>19021</v>
      </c>
      <c r="F4558" s="7" t="str">
        <f>HYPERLINK("http://www.cooporticolti.com/","www.cooporticolti.com")</f>
        <v>www.cooporticolti.com</v>
      </c>
    </row>
    <row r="4559" spans="1:6" ht="29.55" customHeight="1" x14ac:dyDescent="0.25">
      <c r="A4559" s="1" t="s">
        <v>19043</v>
      </c>
      <c r="B4559" s="7" t="s">
        <v>19044</v>
      </c>
      <c r="C4559" s="7" t="s">
        <v>19027</v>
      </c>
      <c r="D4559" s="7" t="s">
        <v>19045</v>
      </c>
      <c r="E4559" s="7" t="s">
        <v>19046</v>
      </c>
      <c r="F4559" s="7" t="str">
        <f>HYPERLINK("http://azienda-agrituristica-tenuta-dei-sensi.guideditalia.top/","azienda-agrituristica-tenuta-dei-sensi.guideditalia.top")</f>
        <v>azienda-agrituristica-tenuta-dei-sensi.guideditalia.top</v>
      </c>
    </row>
    <row r="4560" spans="1:6" ht="29.55" customHeight="1" x14ac:dyDescent="0.25">
      <c r="A4560" s="1" t="s">
        <v>19047</v>
      </c>
      <c r="B4560" s="7" t="s">
        <v>19048</v>
      </c>
      <c r="C4560" s="7" t="s">
        <v>19022</v>
      </c>
      <c r="D4560" s="7" t="s">
        <v>19049</v>
      </c>
      <c r="E4560" s="7" t="s">
        <v>19030</v>
      </c>
      <c r="F4560" s="7" t="str">
        <f>HYPERLINK("http://www.oliovalentino.it/","www.oliovalentino.it")</f>
        <v>www.oliovalentino.it</v>
      </c>
    </row>
    <row r="4561" spans="1:6" ht="29.55" customHeight="1" x14ac:dyDescent="0.25">
      <c r="A4561" s="6" t="s">
        <v>19051</v>
      </c>
      <c r="B4561" s="5" t="s">
        <v>19052</v>
      </c>
      <c r="C4561" s="5" t="s">
        <v>19050</v>
      </c>
      <c r="D4561" s="5" t="s">
        <v>19053</v>
      </c>
      <c r="E4561" s="5" t="s">
        <v>19054</v>
      </c>
      <c r="F4561" s="5" t="str">
        <f>HYPERLINK("http://www.aziendavinicolamanna.it/","www.aziendavinicolamanna.it")</f>
        <v>www.aziendavinicolamanna.it</v>
      </c>
    </row>
    <row r="4562" spans="1:6" ht="29.55" customHeight="1" x14ac:dyDescent="0.25">
      <c r="A4562" s="1" t="s">
        <v>19055</v>
      </c>
      <c r="B4562" s="7" t="s">
        <v>19056</v>
      </c>
      <c r="C4562" s="7" t="s">
        <v>19050</v>
      </c>
      <c r="D4562" s="7" t="s">
        <v>19057</v>
      </c>
      <c r="E4562" s="7" t="s">
        <v>19058</v>
      </c>
      <c r="F4562" s="7" t="str">
        <f>HYPERLINK("http://www.tigravini.com/","www.tigravini.com")</f>
        <v>www.tigravini.com</v>
      </c>
    </row>
    <row r="4563" spans="1:6" ht="29.55" customHeight="1" x14ac:dyDescent="0.25">
      <c r="A4563" s="6" t="s">
        <v>19060</v>
      </c>
      <c r="B4563" s="5" t="s">
        <v>19061</v>
      </c>
      <c r="C4563" s="5" t="s">
        <v>19062</v>
      </c>
      <c r="D4563" s="5" t="s">
        <v>19053</v>
      </c>
      <c r="E4563" s="5" t="s">
        <v>19054</v>
      </c>
      <c r="F4563" s="5" t="str">
        <f>HYPERLINK("http://www.agriturismomontalto.eu/","www.agriturismomontalto.eu")</f>
        <v>www.agriturismomontalto.eu</v>
      </c>
    </row>
    <row r="4564" spans="1:6" ht="43.05" customHeight="1" x14ac:dyDescent="0.25">
      <c r="A4564" s="1" t="s">
        <v>19063</v>
      </c>
      <c r="B4564" s="7" t="s">
        <v>19064</v>
      </c>
      <c r="C4564" s="7" t="s">
        <v>19065</v>
      </c>
      <c r="D4564" s="7" t="s">
        <v>19066</v>
      </c>
      <c r="E4564" s="7" t="s">
        <v>19067</v>
      </c>
      <c r="F4564" s="7" t="str">
        <f>HYPERLINK("http://www.tecnologicaverdecremasca.it/","www.tecnologicaverdecremasca.it")</f>
        <v>www.tecnologicaverdecremasca.it</v>
      </c>
    </row>
    <row r="4565" spans="1:6" ht="29.55" customHeight="1" x14ac:dyDescent="0.25">
      <c r="A4565" s="6" t="s">
        <v>19068</v>
      </c>
      <c r="B4565" s="5" t="s">
        <v>19069</v>
      </c>
      <c r="C4565" s="5" t="s">
        <v>19050</v>
      </c>
      <c r="D4565" s="5" t="s">
        <v>19070</v>
      </c>
      <c r="E4565" s="5" t="s">
        <v>19059</v>
      </c>
      <c r="F4565" s="5" t="str">
        <f>HYPERLINK("http://www.studiominore.it/","www.studiominore.it")</f>
        <v>www.studiominore.it</v>
      </c>
    </row>
    <row r="4566" spans="1:6" ht="29.55" customHeight="1" x14ac:dyDescent="0.25">
      <c r="A4566" s="1" t="s">
        <v>19072</v>
      </c>
      <c r="B4566" s="7" t="s">
        <v>19073</v>
      </c>
      <c r="C4566" s="7" t="s">
        <v>19071</v>
      </c>
      <c r="D4566" s="7" t="s">
        <v>19074</v>
      </c>
      <c r="E4566" s="7" t="s">
        <v>19058</v>
      </c>
      <c r="F4566" s="7" t="str">
        <f>HYPERLINK("http://www.scuderiasceree.com/","www.scuderiasceree.com")</f>
        <v>www.scuderiasceree.com</v>
      </c>
    </row>
    <row r="4567" spans="1:6" ht="29.55" customHeight="1" x14ac:dyDescent="0.25">
      <c r="A4567" s="6" t="s">
        <v>19075</v>
      </c>
      <c r="B4567" s="5" t="s">
        <v>19076</v>
      </c>
      <c r="C4567" s="5" t="s">
        <v>19077</v>
      </c>
      <c r="D4567" s="5" t="s">
        <v>19078</v>
      </c>
      <c r="E4567" s="5" t="s">
        <v>19067</v>
      </c>
      <c r="F4567" s="5" t="str">
        <f>HYPERLINK("http://www.claso.it/","www.claso.it")</f>
        <v>www.claso.it</v>
      </c>
    </row>
    <row r="4568" spans="1:6" ht="29.55" customHeight="1" x14ac:dyDescent="0.25">
      <c r="A4568" s="1" t="s">
        <v>19084</v>
      </c>
      <c r="B4568" s="7" t="s">
        <v>19085</v>
      </c>
      <c r="C4568" s="7" t="s">
        <v>19081</v>
      </c>
      <c r="D4568" s="7" t="s">
        <v>19086</v>
      </c>
      <c r="E4568" s="7" t="s">
        <v>19082</v>
      </c>
      <c r="F4568" s="7" t="str">
        <f>HYPERLINK("http://www.dachifarm.com/","www.dachifarm.com")</f>
        <v>www.dachifarm.com</v>
      </c>
    </row>
    <row r="4569" spans="1:6" ht="43.05" customHeight="1" x14ac:dyDescent="0.25">
      <c r="A4569" s="6" t="s">
        <v>19088</v>
      </c>
      <c r="B4569" s="5" t="s">
        <v>19089</v>
      </c>
      <c r="C4569" s="5" t="s">
        <v>19083</v>
      </c>
      <c r="D4569" s="5" t="s">
        <v>19090</v>
      </c>
      <c r="E4569" s="5" t="s">
        <v>19091</v>
      </c>
      <c r="F4569" s="5" t="str">
        <f>HYPERLINK("http://sanpierdisonzo.com/","sanpierdisonzo.com")</f>
        <v>sanpierdisonzo.com</v>
      </c>
    </row>
    <row r="4570" spans="1:6" ht="29.55" customHeight="1" x14ac:dyDescent="0.25">
      <c r="A4570" s="1" t="s">
        <v>19092</v>
      </c>
      <c r="B4570" s="7" t="s">
        <v>19093</v>
      </c>
      <c r="C4570" s="7" t="s">
        <v>19087</v>
      </c>
      <c r="D4570" s="7" t="s">
        <v>19094</v>
      </c>
      <c r="E4570" s="7" t="s">
        <v>19080</v>
      </c>
      <c r="F4570" s="7" t="str">
        <f>HYPERLINK("http://cooperativaowen.splinder.com/","cooperativaowen.splinder.com")</f>
        <v>cooperativaowen.splinder.com</v>
      </c>
    </row>
    <row r="4571" spans="1:6" ht="29.55" customHeight="1" x14ac:dyDescent="0.25">
      <c r="A4571" s="1" t="s">
        <v>19095</v>
      </c>
      <c r="B4571" s="7" t="s">
        <v>19096</v>
      </c>
      <c r="C4571" s="7" t="s">
        <v>19079</v>
      </c>
      <c r="D4571" s="7" t="s">
        <v>19097</v>
      </c>
      <c r="E4571" s="7" t="s">
        <v>19091</v>
      </c>
      <c r="F4571" s="7" t="str">
        <f>HYPERLINK("http://www.giuntiniwine.com/","www.giuntiniwine.com")</f>
        <v>www.giuntiniwine.com</v>
      </c>
    </row>
    <row r="4572" spans="1:6" ht="29.55" customHeight="1" x14ac:dyDescent="0.25">
      <c r="A4572" s="1" t="s">
        <v>19098</v>
      </c>
      <c r="B4572" s="7" t="s">
        <v>19099</v>
      </c>
      <c r="C4572" s="7" t="s">
        <v>19100</v>
      </c>
      <c r="D4572" s="7" t="s">
        <v>19101</v>
      </c>
      <c r="E4572" s="7" t="s">
        <v>19091</v>
      </c>
      <c r="F4572" s="7" t="str">
        <f>HYPERLINK("http://le-tre-terre.eatbu.com/","le-tre-terre.eatbu.com")</f>
        <v>le-tre-terre.eatbu.com</v>
      </c>
    </row>
    <row r="4573" spans="1:6" ht="29.55" customHeight="1" x14ac:dyDescent="0.25">
      <c r="A4573" s="1" t="s">
        <v>19105</v>
      </c>
      <c r="B4573" s="7" t="s">
        <v>19106</v>
      </c>
      <c r="C4573" s="7" t="s">
        <v>19107</v>
      </c>
      <c r="D4573" s="7" t="s">
        <v>19108</v>
      </c>
      <c r="E4573" s="7" t="s">
        <v>19109</v>
      </c>
      <c r="F4573" s="7" t="str">
        <f>HYPERLINK("http://www.sunawi.it/","www.sunawi.it")</f>
        <v>www.sunawi.it</v>
      </c>
    </row>
    <row r="4574" spans="1:6" ht="29.55" customHeight="1" x14ac:dyDescent="0.25">
      <c r="A4574" s="6" t="s">
        <v>19112</v>
      </c>
      <c r="B4574" s="5" t="s">
        <v>19113</v>
      </c>
      <c r="C4574" s="5" t="s">
        <v>19102</v>
      </c>
      <c r="D4574" s="5" t="s">
        <v>19103</v>
      </c>
      <c r="E4574" s="5" t="s">
        <v>19104</v>
      </c>
      <c r="F4574" s="5" t="str">
        <f>HYPERLINK("http://tipika.it/","tipika.it")</f>
        <v>tipika.it</v>
      </c>
    </row>
    <row r="4575" spans="1:6" ht="29.55" customHeight="1" x14ac:dyDescent="0.25">
      <c r="A4575" s="6" t="s">
        <v>19114</v>
      </c>
      <c r="B4575" s="5" t="s">
        <v>19115</v>
      </c>
      <c r="C4575" s="5" t="s">
        <v>19107</v>
      </c>
      <c r="D4575" s="5" t="s">
        <v>19116</v>
      </c>
      <c r="E4575" s="5" t="s">
        <v>19117</v>
      </c>
      <c r="F4575" s="5" t="str">
        <f>HYPERLINK("http://www.cantinacolpaola.it/","www.cantinacolpaola.it")</f>
        <v>www.cantinacolpaola.it</v>
      </c>
    </row>
    <row r="4576" spans="1:6" ht="43.05" customHeight="1" x14ac:dyDescent="0.25">
      <c r="A4576" s="1" t="s">
        <v>19118</v>
      </c>
      <c r="B4576" s="7" t="s">
        <v>19119</v>
      </c>
      <c r="C4576" s="7" t="s">
        <v>19102</v>
      </c>
      <c r="D4576" s="7" t="s">
        <v>19120</v>
      </c>
      <c r="E4576" s="7" t="s">
        <v>19117</v>
      </c>
      <c r="F4576" s="7" t="str">
        <f>HYPERLINK("http://www.soramadreterra.it/","www.soramadreterra.it")</f>
        <v>www.soramadreterra.it</v>
      </c>
    </row>
    <row r="4577" spans="1:6" ht="55.65" customHeight="1" x14ac:dyDescent="0.25">
      <c r="A4577" s="6" t="s">
        <v>19121</v>
      </c>
      <c r="B4577" s="5" t="s">
        <v>19122</v>
      </c>
      <c r="C4577" s="5" t="s">
        <v>19110</v>
      </c>
      <c r="D4577" s="5" t="s">
        <v>19123</v>
      </c>
      <c r="E4577" s="5" t="s">
        <v>19111</v>
      </c>
      <c r="F4577" s="5" t="str">
        <f>HYPERLINK("http://www.tenutasetteventi.com/","www.tenutasetteventi.com")</f>
        <v>www.tenutasetteventi.com</v>
      </c>
    </row>
    <row r="4578" spans="1:6" ht="29.55" customHeight="1" x14ac:dyDescent="0.25">
      <c r="A4578" s="1" t="s">
        <v>19126</v>
      </c>
      <c r="B4578" s="7" t="s">
        <v>19127</v>
      </c>
      <c r="C4578" s="7" t="s">
        <v>19128</v>
      </c>
      <c r="D4578" s="7" t="s">
        <v>19129</v>
      </c>
      <c r="E4578" s="7" t="s">
        <v>19130</v>
      </c>
      <c r="F4578" s="7" t="str">
        <f>HYPERLINK("http://www.tenutaolmarello.it/","www.tenutaolmarello.it")</f>
        <v>www.tenutaolmarello.it</v>
      </c>
    </row>
    <row r="4579" spans="1:6" ht="81.75" customHeight="1" x14ac:dyDescent="0.25">
      <c r="A4579" s="1" t="s">
        <v>19131</v>
      </c>
      <c r="B4579" s="7" t="s">
        <v>19132</v>
      </c>
      <c r="C4579" s="7" t="s">
        <v>19133</v>
      </c>
      <c r="D4579" s="7" t="s">
        <v>19134</v>
      </c>
      <c r="E4579" s="7" t="s">
        <v>19135</v>
      </c>
      <c r="F4579" s="7" t="str">
        <f>HYPERLINK("http://distrettoagricoloaddamartesana.it/","distrettoagricoloaddamartesana.it")</f>
        <v>distrettoagricoloaddamartesana.it</v>
      </c>
    </row>
    <row r="4580" spans="1:6" ht="29.55" customHeight="1" x14ac:dyDescent="0.25">
      <c r="A4580" s="1" t="s">
        <v>19138</v>
      </c>
      <c r="B4580" s="7" t="s">
        <v>19139</v>
      </c>
      <c r="C4580" s="7" t="s">
        <v>19125</v>
      </c>
      <c r="D4580" s="7" t="s">
        <v>19140</v>
      </c>
      <c r="E4580" s="7" t="s">
        <v>19135</v>
      </c>
      <c r="F4580" s="7" t="str">
        <f>HYPERLINK("http://agriturismocascinareciago.it/","agriturismocascinareciago.it")</f>
        <v>agriturismocascinareciago.it</v>
      </c>
    </row>
    <row r="4581" spans="1:6" ht="29.55" customHeight="1" x14ac:dyDescent="0.25">
      <c r="A4581" s="1" t="s">
        <v>19141</v>
      </c>
      <c r="B4581" s="7" t="s">
        <v>19142</v>
      </c>
      <c r="C4581" s="7" t="s">
        <v>19143</v>
      </c>
      <c r="D4581" s="7" t="s">
        <v>19144</v>
      </c>
      <c r="E4581" s="7" t="s">
        <v>19145</v>
      </c>
      <c r="F4581" s="7" t="str">
        <f>HYPERLINK("http://www.flumere.it/","www.flumere.it")</f>
        <v>www.flumere.it</v>
      </c>
    </row>
    <row r="4582" spans="1:6" ht="29.55" customHeight="1" x14ac:dyDescent="0.25">
      <c r="A4582" s="6" t="s">
        <v>19146</v>
      </c>
      <c r="B4582" s="5" t="s">
        <v>19147</v>
      </c>
      <c r="C4582" s="5" t="s">
        <v>19124</v>
      </c>
      <c r="D4582" s="5" t="s">
        <v>19136</v>
      </c>
      <c r="E4582" s="5" t="s">
        <v>19137</v>
      </c>
      <c r="F4582" s="5" t="str">
        <f>HYPERLINK("http://www.itesoridelladaunia.it/","www.itesoridelladaunia.it")</f>
        <v>www.itesoridelladaunia.it</v>
      </c>
    </row>
    <row r="4583" spans="1:6" ht="29.55" customHeight="1" x14ac:dyDescent="0.25">
      <c r="A4583" s="1" t="s">
        <v>19148</v>
      </c>
      <c r="B4583" s="7" t="s">
        <v>19149</v>
      </c>
      <c r="C4583" s="7" t="s">
        <v>19150</v>
      </c>
      <c r="D4583" s="7" t="s">
        <v>19151</v>
      </c>
      <c r="E4583" s="7" t="s">
        <v>19152</v>
      </c>
      <c r="F4583" s="7" t="str">
        <f>HYPERLINK("http://www.lataragna.it/","www.lataragna.it")</f>
        <v>www.lataragna.it</v>
      </c>
    </row>
    <row r="4584" spans="1:6" ht="29.55" customHeight="1" x14ac:dyDescent="0.25">
      <c r="A4584" s="1" t="s">
        <v>19154</v>
      </c>
      <c r="B4584" s="7" t="s">
        <v>19155</v>
      </c>
      <c r="C4584" s="7" t="s">
        <v>19156</v>
      </c>
      <c r="D4584" s="7" t="s">
        <v>19157</v>
      </c>
      <c r="E4584" s="7" t="s">
        <v>19158</v>
      </c>
      <c r="F4584" s="7" t="str">
        <f>HYPERLINK("http://www.farmaciamongiovi.com/","www.farmaciamongiovi.com")</f>
        <v>www.farmaciamongiovi.com</v>
      </c>
    </row>
    <row r="4585" spans="1:6" ht="29.55" customHeight="1" x14ac:dyDescent="0.25">
      <c r="A4585" s="6" t="s">
        <v>19162</v>
      </c>
      <c r="B4585" s="5" t="s">
        <v>19163</v>
      </c>
      <c r="C4585" s="5" t="s">
        <v>19150</v>
      </c>
      <c r="D4585" s="5" t="s">
        <v>19159</v>
      </c>
      <c r="E4585" s="5" t="s">
        <v>19160</v>
      </c>
      <c r="F4585" s="5" t="str">
        <f>HYPERLINK("http://hotel-mediterraneo.emilia-romagnahotels.net/","hotel-mediterraneo.emilia-romagnahotels.net")</f>
        <v>hotel-mediterraneo.emilia-romagnahotels.net</v>
      </c>
    </row>
    <row r="4586" spans="1:6" ht="29.55" customHeight="1" x14ac:dyDescent="0.25">
      <c r="A4586" s="6" t="s">
        <v>19164</v>
      </c>
      <c r="B4586" s="5" t="s">
        <v>19165</v>
      </c>
      <c r="C4586" s="5" t="s">
        <v>19161</v>
      </c>
      <c r="D4586" s="5" t="s">
        <v>19166</v>
      </c>
      <c r="E4586" s="5" t="s">
        <v>19153</v>
      </c>
      <c r="F4586" s="5" t="str">
        <f>HYPERLINK("http://cortecorbo.it/","cortecorbo.it")</f>
        <v>cortecorbo.it</v>
      </c>
    </row>
    <row r="4587" spans="1:6" ht="16.95" customHeight="1" x14ac:dyDescent="0.25">
      <c r="A4587" s="1" t="s">
        <v>19167</v>
      </c>
      <c r="B4587" s="7" t="s">
        <v>19168</v>
      </c>
      <c r="C4587" s="7" t="s">
        <v>19169</v>
      </c>
      <c r="D4587" s="7" t="s">
        <v>19170</v>
      </c>
      <c r="E4587" s="7" t="s">
        <v>19171</v>
      </c>
      <c r="F4587" s="7" t="str">
        <f>HYPERLINK("http://fattoriadelzingaro.it/","fattoriadelzingaro.it")</f>
        <v>fattoriadelzingaro.it</v>
      </c>
    </row>
    <row r="4588" spans="1:6" ht="29.55" customHeight="1" x14ac:dyDescent="0.25">
      <c r="A4588" s="1" t="s">
        <v>19172</v>
      </c>
      <c r="B4588" s="7" t="s">
        <v>19173</v>
      </c>
      <c r="C4588" s="7" t="s">
        <v>19161</v>
      </c>
      <c r="D4588" s="7" t="s">
        <v>19151</v>
      </c>
      <c r="E4588" s="7" t="s">
        <v>19152</v>
      </c>
      <c r="F4588" s="7" t="str">
        <f>HYPERLINK("http://www.poderevignadelsole.com/","www.poderevignadelsole.com")</f>
        <v>www.poderevignadelsole.com</v>
      </c>
    </row>
    <row r="4589" spans="1:6" ht="29.55" customHeight="1" x14ac:dyDescent="0.25">
      <c r="A4589" s="1" t="s">
        <v>19174</v>
      </c>
      <c r="B4589" s="7" t="s">
        <v>19175</v>
      </c>
      <c r="C4589" s="7" t="s">
        <v>19176</v>
      </c>
      <c r="D4589" s="7" t="s">
        <v>19177</v>
      </c>
      <c r="E4589" s="7" t="s">
        <v>19178</v>
      </c>
      <c r="F4589" s="7" t="str">
        <f>HYPERLINK("http://tenutefotirandazzese.it/","tenutefotirandazzese.it")</f>
        <v>tenutefotirandazzese.it</v>
      </c>
    </row>
    <row r="4590" spans="1:6" ht="16.95" customHeight="1" x14ac:dyDescent="0.25">
      <c r="A4590" s="6" t="s">
        <v>19179</v>
      </c>
      <c r="B4590" s="5" t="s">
        <v>19180</v>
      </c>
      <c r="C4590" s="5" t="s">
        <v>19181</v>
      </c>
      <c r="D4590" s="5" t="s">
        <v>19182</v>
      </c>
      <c r="E4590" s="5" t="s">
        <v>19183</v>
      </c>
      <c r="F4590" s="5" t="str">
        <f>HYPERLINK("http://www.arteagricola.it/","www.arteagricola.it")</f>
        <v>www.arteagricola.it</v>
      </c>
    </row>
    <row r="4591" spans="1:6" ht="29.55" customHeight="1" x14ac:dyDescent="0.25">
      <c r="A4591" s="6" t="s">
        <v>19187</v>
      </c>
      <c r="B4591" s="5" t="s">
        <v>19188</v>
      </c>
      <c r="C4591" s="5" t="s">
        <v>19176</v>
      </c>
      <c r="D4591" s="5" t="s">
        <v>19189</v>
      </c>
      <c r="E4591" s="5" t="s">
        <v>19190</v>
      </c>
      <c r="F4591" s="5" t="str">
        <f>HYPERLINK("http://dodiciettari.it/","dodiciettari.it")</f>
        <v>dodiciettari.it</v>
      </c>
    </row>
    <row r="4592" spans="1:6" ht="43.05" customHeight="1" x14ac:dyDescent="0.25">
      <c r="A4592" s="1" t="s">
        <v>19194</v>
      </c>
      <c r="B4592" s="7" t="s">
        <v>19195</v>
      </c>
      <c r="C4592" s="7" t="s">
        <v>19185</v>
      </c>
      <c r="D4592" s="7" t="s">
        <v>19196</v>
      </c>
      <c r="E4592" s="7" t="s">
        <v>19190</v>
      </c>
      <c r="F4592" s="7" t="str">
        <f>HYPERLINK("http://www.agriverdesa.it/","www.agriverdesa.it")</f>
        <v>www.agriverdesa.it</v>
      </c>
    </row>
    <row r="4593" spans="1:6" ht="29.55" customHeight="1" x14ac:dyDescent="0.25">
      <c r="A4593" s="6" t="s">
        <v>19198</v>
      </c>
      <c r="B4593" s="5" t="s">
        <v>19199</v>
      </c>
      <c r="C4593" s="5" t="s">
        <v>19197</v>
      </c>
      <c r="D4593" s="5" t="s">
        <v>19200</v>
      </c>
      <c r="E4593" s="5" t="s">
        <v>19191</v>
      </c>
      <c r="F4593" s="5" t="str">
        <f>HYPERLINK("http://www.lagnoccheria.it/","www.lagnoccheria.it")</f>
        <v>www.lagnoccheria.it</v>
      </c>
    </row>
    <row r="4594" spans="1:6" ht="29.55" customHeight="1" x14ac:dyDescent="0.25">
      <c r="A4594" s="6" t="s">
        <v>19201</v>
      </c>
      <c r="B4594" s="5" t="s">
        <v>19202</v>
      </c>
      <c r="C4594" s="5" t="s">
        <v>19181</v>
      </c>
      <c r="D4594" s="5" t="s">
        <v>19203</v>
      </c>
      <c r="E4594" s="5" t="s">
        <v>19184</v>
      </c>
      <c r="F4594" s="5" t="str">
        <f>HYPERLINK("http://www.schininabrewing.com/","www.schininabrewing.com")</f>
        <v>www.schininabrewing.com</v>
      </c>
    </row>
    <row r="4595" spans="1:6" ht="29.55" customHeight="1" x14ac:dyDescent="0.25">
      <c r="A4595" s="1" t="s">
        <v>19204</v>
      </c>
      <c r="B4595" s="7" t="s">
        <v>19205</v>
      </c>
      <c r="C4595" s="7" t="s">
        <v>19181</v>
      </c>
      <c r="D4595" s="7" t="s">
        <v>19192</v>
      </c>
      <c r="E4595" s="7" t="s">
        <v>19193</v>
      </c>
      <c r="F4595" s="7" t="str">
        <f>HYPERLINK("http://www.energiaverdefontanella.it/","www.energiaverdefontanella.it")</f>
        <v>www.energiaverdefontanella.it</v>
      </c>
    </row>
    <row r="4596" spans="1:6" ht="29.55" customHeight="1" x14ac:dyDescent="0.25">
      <c r="A4596" s="6" t="s">
        <v>19206</v>
      </c>
      <c r="B4596" s="5" t="s">
        <v>19207</v>
      </c>
      <c r="C4596" s="5" t="s">
        <v>19186</v>
      </c>
      <c r="D4596" s="5" t="s">
        <v>19177</v>
      </c>
      <c r="E4596" s="5" t="s">
        <v>19178</v>
      </c>
      <c r="F4596" s="5" t="str">
        <f>HYPERLINK("http://aziende.expodellapubblicita.it/","aziende.expodellapubblicita.it")</f>
        <v>aziende.expodellapubblicita.it</v>
      </c>
    </row>
    <row r="4597" spans="1:6" ht="55.65" customHeight="1" x14ac:dyDescent="0.25">
      <c r="A4597" s="1" t="s">
        <v>19208</v>
      </c>
      <c r="B4597" s="7" t="s">
        <v>19209</v>
      </c>
      <c r="C4597" s="7" t="s">
        <v>19181</v>
      </c>
      <c r="D4597" s="7" t="s">
        <v>19182</v>
      </c>
      <c r="E4597" s="7" t="s">
        <v>19183</v>
      </c>
      <c r="F4597" s="7" t="str">
        <f>HYPERLINK("http://tenutedonnavittoria.it/","tenutedonnavittoria.it")</f>
        <v>tenutedonnavittoria.it</v>
      </c>
    </row>
    <row r="4598" spans="1:6" ht="43.05" customHeight="1" x14ac:dyDescent="0.25">
      <c r="A4598" s="6" t="s">
        <v>19210</v>
      </c>
      <c r="B4598" s="5" t="s">
        <v>19211</v>
      </c>
      <c r="C4598" s="5" t="s">
        <v>19212</v>
      </c>
      <c r="D4598" s="5" t="s">
        <v>19213</v>
      </c>
      <c r="E4598" s="5" t="s">
        <v>19214</v>
      </c>
      <c r="F4598" s="5" t="str">
        <f>HYPERLINK("http://www.cooperativavalligenovesi.it/","www.cooperativavalligenovesi.it")</f>
        <v>www.cooperativavalligenovesi.it</v>
      </c>
    </row>
    <row r="4599" spans="1:6" ht="29.55" customHeight="1" x14ac:dyDescent="0.25">
      <c r="A4599" s="1" t="s">
        <v>19215</v>
      </c>
      <c r="B4599" s="7" t="s">
        <v>19216</v>
      </c>
      <c r="C4599" s="7" t="s">
        <v>19186</v>
      </c>
      <c r="D4599" s="7" t="s">
        <v>19189</v>
      </c>
      <c r="E4599" s="7" t="s">
        <v>19190</v>
      </c>
      <c r="F4599" s="7" t="str">
        <f>HYPERLINK("http://www.verdifattorie.it/","www.verdifattorie.it")</f>
        <v>www.verdifattorie.it</v>
      </c>
    </row>
    <row r="4600" spans="1:6" ht="43.05" customHeight="1" x14ac:dyDescent="0.25">
      <c r="A4600" s="1" t="s">
        <v>19217</v>
      </c>
      <c r="B4600" s="7" t="s">
        <v>19218</v>
      </c>
      <c r="C4600" s="7" t="s">
        <v>19219</v>
      </c>
      <c r="D4600" s="7" t="s">
        <v>19220</v>
      </c>
      <c r="E4600" s="7" t="s">
        <v>19221</v>
      </c>
      <c r="F4600" s="7" t="str">
        <f>HYPERLINK("http://www.cinquefiori.it/","www.cinquefiori.it")</f>
        <v>www.cinquefiori.it</v>
      </c>
    </row>
    <row r="4601" spans="1:6" ht="29.55" customHeight="1" x14ac:dyDescent="0.25">
      <c r="A4601" s="1" t="s">
        <v>19223</v>
      </c>
      <c r="B4601" s="7" t="s">
        <v>19224</v>
      </c>
      <c r="C4601" s="7" t="s">
        <v>19219</v>
      </c>
      <c r="D4601" s="7" t="s">
        <v>19225</v>
      </c>
      <c r="E4601" s="7" t="s">
        <v>19226</v>
      </c>
      <c r="F4601" s="7" t="str">
        <f>HYPERLINK("http://www.progettomonteofelio.it/","www.progettomonteofelio.it")</f>
        <v>www.progettomonteofelio.it</v>
      </c>
    </row>
    <row r="4602" spans="1:6" ht="43.05" customHeight="1" x14ac:dyDescent="0.25">
      <c r="A4602" s="1" t="s">
        <v>19229</v>
      </c>
      <c r="B4602" s="7" t="s">
        <v>19230</v>
      </c>
      <c r="C4602" s="7" t="s">
        <v>19222</v>
      </c>
      <c r="D4602" s="7" t="s">
        <v>19231</v>
      </c>
      <c r="E4602" s="7" t="s">
        <v>19232</v>
      </c>
      <c r="F4602" s="7" t="str">
        <f>HYPERLINK("http://www.consorzioagroalimentarecalabrese.it/","www.consorzioagroalimentarecalabrese.it")</f>
        <v>www.consorzioagroalimentarecalabrese.it</v>
      </c>
    </row>
    <row r="4603" spans="1:6" ht="29.55" customHeight="1" x14ac:dyDescent="0.25">
      <c r="A4603" s="1" t="s">
        <v>19234</v>
      </c>
      <c r="B4603" s="7" t="s">
        <v>19235</v>
      </c>
      <c r="C4603" s="7" t="s">
        <v>19233</v>
      </c>
      <c r="D4603" s="7" t="s">
        <v>19236</v>
      </c>
      <c r="E4603" s="7" t="s">
        <v>19237</v>
      </c>
      <c r="F4603" s="7" t="str">
        <f>HYPERLINK("http://www.christian-troger.it/","www.christian-troger.it")</f>
        <v>www.christian-troger.it</v>
      </c>
    </row>
    <row r="4604" spans="1:6" ht="16.95" customHeight="1" x14ac:dyDescent="0.25">
      <c r="A4604" s="6" t="s">
        <v>19239</v>
      </c>
      <c r="B4604" s="5" t="s">
        <v>19240</v>
      </c>
      <c r="C4604" s="5" t="s">
        <v>19222</v>
      </c>
      <c r="D4604" s="5" t="s">
        <v>19238</v>
      </c>
      <c r="E4604" s="5" t="s">
        <v>19226</v>
      </c>
      <c r="F4604" s="5" t="str">
        <f>HYPERLINK("http://www.capsicum.it/","www.capsicum.it")</f>
        <v>www.capsicum.it</v>
      </c>
    </row>
    <row r="4605" spans="1:6" ht="29.55" customHeight="1" x14ac:dyDescent="0.25">
      <c r="A4605" s="1" t="s">
        <v>19241</v>
      </c>
      <c r="B4605" s="7" t="s">
        <v>19242</v>
      </c>
      <c r="C4605" s="7" t="s">
        <v>19219</v>
      </c>
      <c r="D4605" s="7" t="s">
        <v>19243</v>
      </c>
      <c r="E4605" s="7" t="s">
        <v>19244</v>
      </c>
      <c r="F4605" s="7" t="str">
        <f>HYPERLINK("http://oliveamm.it/","oliveamm.it")</f>
        <v>oliveamm.it</v>
      </c>
    </row>
    <row r="4606" spans="1:6" ht="29.55" customHeight="1" x14ac:dyDescent="0.25">
      <c r="A4606" s="1" t="s">
        <v>19245</v>
      </c>
      <c r="B4606" s="7" t="s">
        <v>19246</v>
      </c>
      <c r="C4606" s="7" t="s">
        <v>19247</v>
      </c>
      <c r="D4606" s="7" t="s">
        <v>19227</v>
      </c>
      <c r="E4606" s="7" t="s">
        <v>19228</v>
      </c>
      <c r="F4606" s="7" t="str">
        <f>HYPERLINK("http://www.amamedicalmushrooms.com/","www.amamedicalmushrooms.com")</f>
        <v>www.amamedicalmushrooms.com</v>
      </c>
    </row>
    <row r="4607" spans="1:6" ht="29.55" customHeight="1" x14ac:dyDescent="0.25">
      <c r="A4607" s="1" t="s">
        <v>19249</v>
      </c>
      <c r="B4607" s="7" t="s">
        <v>19250</v>
      </c>
      <c r="C4607" s="7" t="s">
        <v>19251</v>
      </c>
      <c r="D4607" s="7" t="s">
        <v>19252</v>
      </c>
      <c r="E4607" s="7" t="s">
        <v>19253</v>
      </c>
      <c r="F4607" s="7" t="str">
        <f>HYPERLINK("http://tenutaaquadivina.com/","tenutaaquadivina.com")</f>
        <v>tenutaaquadivina.com</v>
      </c>
    </row>
    <row r="4608" spans="1:6" ht="16.95" customHeight="1" x14ac:dyDescent="0.25">
      <c r="A4608" s="1" t="s">
        <v>19254</v>
      </c>
      <c r="B4608" s="7" t="s">
        <v>19255</v>
      </c>
      <c r="C4608" s="7" t="s">
        <v>19256</v>
      </c>
      <c r="D4608" s="7" t="s">
        <v>19257</v>
      </c>
      <c r="E4608" s="7" t="s">
        <v>19258</v>
      </c>
      <c r="F4608" s="7" t="str">
        <f>HYPERLINK("http://www.cesevet.com/","www.cesevet.com")</f>
        <v>www.cesevet.com</v>
      </c>
    </row>
    <row r="4609" spans="1:6" ht="29.55" customHeight="1" x14ac:dyDescent="0.25">
      <c r="A4609" s="1" t="s">
        <v>19260</v>
      </c>
      <c r="B4609" s="7" t="s">
        <v>19261</v>
      </c>
      <c r="C4609" s="7" t="s">
        <v>19262</v>
      </c>
      <c r="D4609" s="7" t="s">
        <v>19252</v>
      </c>
      <c r="E4609" s="7" t="s">
        <v>19253</v>
      </c>
      <c r="F4609" s="7" t="s">
        <v>19263</v>
      </c>
    </row>
    <row r="4610" spans="1:6" ht="29.55" customHeight="1" x14ac:dyDescent="0.25">
      <c r="A4610" s="1" t="s">
        <v>19265</v>
      </c>
      <c r="B4610" s="7" t="s">
        <v>19266</v>
      </c>
      <c r="C4610" s="7" t="s">
        <v>19264</v>
      </c>
      <c r="D4610" s="7" t="s">
        <v>19267</v>
      </c>
      <c r="E4610" s="7" t="s">
        <v>19268</v>
      </c>
      <c r="F4610" s="7" t="str">
        <f>HYPERLINK("http://arconor.it/","arconor.it")</f>
        <v>arconor.it</v>
      </c>
    </row>
    <row r="4611" spans="1:6" ht="43.05" customHeight="1" x14ac:dyDescent="0.25">
      <c r="A4611" s="1" t="s">
        <v>19269</v>
      </c>
      <c r="B4611" s="7" t="s">
        <v>19270</v>
      </c>
      <c r="C4611" s="7" t="s">
        <v>19259</v>
      </c>
      <c r="D4611" s="7" t="s">
        <v>19267</v>
      </c>
      <c r="E4611" s="7" t="s">
        <v>19268</v>
      </c>
      <c r="F4611" s="7" t="str">
        <f>HYPERLINK("http://www.foreverbambu.com/","www.foreverbambu.com")</f>
        <v>www.foreverbambu.com</v>
      </c>
    </row>
    <row r="4612" spans="1:6" ht="43.05" customHeight="1" x14ac:dyDescent="0.25">
      <c r="A4612" s="1" t="s">
        <v>19271</v>
      </c>
      <c r="B4612" s="7" t="s">
        <v>19272</v>
      </c>
      <c r="C4612" s="7" t="s">
        <v>19251</v>
      </c>
      <c r="D4612" s="7" t="s">
        <v>19273</v>
      </c>
      <c r="E4612" s="7" t="s">
        <v>19248</v>
      </c>
      <c r="F4612" s="7" t="str">
        <f>HYPERLINK("http://www.agnoni.it/","www.agnoni.it")</f>
        <v>www.agnoni.it</v>
      </c>
    </row>
    <row r="4613" spans="1:6" ht="29.55" customHeight="1" x14ac:dyDescent="0.25">
      <c r="A4613" s="6" t="s">
        <v>19275</v>
      </c>
      <c r="B4613" s="5" t="s">
        <v>19276</v>
      </c>
      <c r="C4613" s="5" t="s">
        <v>19277</v>
      </c>
      <c r="D4613" s="5" t="s">
        <v>19278</v>
      </c>
      <c r="E4613" s="5" t="s">
        <v>19279</v>
      </c>
      <c r="F4613" s="5" t="str">
        <f>HYPERLINK("http://tabernae.it/","tabernae.it")</f>
        <v>tabernae.it</v>
      </c>
    </row>
    <row r="4614" spans="1:6" ht="29.55" customHeight="1" x14ac:dyDescent="0.25">
      <c r="A4614" s="1" t="s">
        <v>19280</v>
      </c>
      <c r="B4614" s="7" t="s">
        <v>19281</v>
      </c>
      <c r="C4614" s="7" t="s">
        <v>19282</v>
      </c>
      <c r="D4614" s="7" t="s">
        <v>19283</v>
      </c>
      <c r="E4614" s="7" t="s">
        <v>19274</v>
      </c>
      <c r="F4614" s="7" t="str">
        <f>HYPERLINK("http://agrobioenergy-srl-societa-agricola-02398630810.quantofattura.com/","agrobioenergy-srl-societa-agricola-02398630810.quantofattura.com")</f>
        <v>agrobioenergy-srl-societa-agricola-02398630810.quantofattura.com</v>
      </c>
    </row>
    <row r="4615" spans="1:6" ht="29.55" customHeight="1" x14ac:dyDescent="0.25">
      <c r="A4615" s="6" t="s">
        <v>19284</v>
      </c>
      <c r="B4615" s="5" t="s">
        <v>19285</v>
      </c>
      <c r="C4615" s="5" t="s">
        <v>19286</v>
      </c>
      <c r="D4615" s="5" t="s">
        <v>19287</v>
      </c>
      <c r="E4615" s="5" t="s">
        <v>19279</v>
      </c>
      <c r="F4615" s="5" t="str">
        <f>HYPERLINK("http://www.villarizzo.com/","www.villarizzo.com")</f>
        <v>www.villarizzo.com</v>
      </c>
    </row>
    <row r="4616" spans="1:6" ht="43.05" customHeight="1" x14ac:dyDescent="0.25">
      <c r="A4616" s="1" t="s">
        <v>19290</v>
      </c>
      <c r="B4616" s="7" t="s">
        <v>19291</v>
      </c>
      <c r="C4616" s="7" t="s">
        <v>19292</v>
      </c>
      <c r="D4616" s="7" t="s">
        <v>19288</v>
      </c>
      <c r="E4616" s="7" t="s">
        <v>19289</v>
      </c>
      <c r="F4616" s="7" t="str">
        <f>HYPERLINK("http://www.bajadelcervo.it/","www.bajadelcervo.it")</f>
        <v>www.bajadelcervo.it</v>
      </c>
    </row>
    <row r="4617" spans="1:6" ht="16.95" customHeight="1" x14ac:dyDescent="0.25">
      <c r="A4617" s="6" t="s">
        <v>19295</v>
      </c>
      <c r="B4617" s="5" t="s">
        <v>19296</v>
      </c>
      <c r="C4617" s="5" t="s">
        <v>19297</v>
      </c>
      <c r="D4617" s="5" t="s">
        <v>19298</v>
      </c>
      <c r="E4617" s="5" t="s">
        <v>19299</v>
      </c>
      <c r="F4617" s="5" t="str">
        <f>HYPERLINK("http://www.demer.it/","www.demer.it")</f>
        <v>www.demer.it</v>
      </c>
    </row>
    <row r="4618" spans="1:6" ht="16.95" customHeight="1" x14ac:dyDescent="0.25">
      <c r="A4618" s="6" t="s">
        <v>19301</v>
      </c>
      <c r="B4618" s="5" t="s">
        <v>19302</v>
      </c>
      <c r="C4618" s="5" t="s">
        <v>19303</v>
      </c>
      <c r="D4618" s="5" t="s">
        <v>19304</v>
      </c>
      <c r="E4618" s="5" t="s">
        <v>19305</v>
      </c>
      <c r="F4618" s="5" t="str">
        <f>HYPERLINK("http://www.greenthumbsrl.it/","www.greenthumbsrl.it")</f>
        <v>www.greenthumbsrl.it</v>
      </c>
    </row>
    <row r="4619" spans="1:6" ht="29.55" customHeight="1" x14ac:dyDescent="0.25">
      <c r="A4619" s="6" t="s">
        <v>19308</v>
      </c>
      <c r="B4619" s="5" t="s">
        <v>19309</v>
      </c>
      <c r="C4619" s="5" t="s">
        <v>19300</v>
      </c>
      <c r="D4619" s="5" t="s">
        <v>19310</v>
      </c>
      <c r="E4619" s="5" t="s">
        <v>19311</v>
      </c>
      <c r="F4619" s="5" t="str">
        <f>HYPERLINK("http://www.vinirabel.it/","www.vinirabel.it")</f>
        <v>www.vinirabel.it</v>
      </c>
    </row>
    <row r="4620" spans="1:6" ht="29.55" customHeight="1" x14ac:dyDescent="0.25">
      <c r="A4620" s="6" t="s">
        <v>19312</v>
      </c>
      <c r="B4620" s="5" t="s">
        <v>19313</v>
      </c>
      <c r="C4620" s="5" t="s">
        <v>19307</v>
      </c>
      <c r="D4620" s="5" t="s">
        <v>19306</v>
      </c>
      <c r="E4620" s="5" t="s">
        <v>19294</v>
      </c>
      <c r="F4620" s="5" t="str">
        <f>HYPERLINK("http://www.vicolabate.com/","www.vicolabate.com")</f>
        <v>www.vicolabate.com</v>
      </c>
    </row>
    <row r="4621" spans="1:6" ht="29.55" customHeight="1" x14ac:dyDescent="0.25">
      <c r="A4621" s="1" t="s">
        <v>19314</v>
      </c>
      <c r="B4621" s="7" t="s">
        <v>19315</v>
      </c>
      <c r="C4621" s="7" t="s">
        <v>19300</v>
      </c>
      <c r="D4621" s="7" t="s">
        <v>19316</v>
      </c>
      <c r="E4621" s="7" t="s">
        <v>19293</v>
      </c>
      <c r="F4621" s="7" t="str">
        <f>HYPERLINK("http://www.tenutamadre.it/","www.tenutamadre.it")</f>
        <v>www.tenutamadre.it</v>
      </c>
    </row>
    <row r="4622" spans="1:6" ht="29.55" customHeight="1" x14ac:dyDescent="0.25">
      <c r="A4622" s="1" t="s">
        <v>19318</v>
      </c>
      <c r="B4622" s="7" t="s">
        <v>19319</v>
      </c>
      <c r="C4622" s="7" t="s">
        <v>19320</v>
      </c>
      <c r="D4622" s="7" t="s">
        <v>19321</v>
      </c>
      <c r="E4622" s="7" t="s">
        <v>19322</v>
      </c>
      <c r="F4622" s="7" t="str">
        <f>HYPERLINK("http://www.pratoprontozambetti.it/","www.pratoprontozambetti.it")</f>
        <v>www.pratoprontozambetti.it</v>
      </c>
    </row>
    <row r="4623" spans="1:6" ht="29.55" customHeight="1" x14ac:dyDescent="0.25">
      <c r="A4623" s="1" t="s">
        <v>19323</v>
      </c>
      <c r="B4623" s="7" t="s">
        <v>19324</v>
      </c>
      <c r="C4623" s="7" t="s">
        <v>19325</v>
      </c>
      <c r="D4623" s="7" t="s">
        <v>19326</v>
      </c>
      <c r="E4623" s="7" t="s">
        <v>19317</v>
      </c>
      <c r="F4623" s="7" t="str">
        <f>HYPERLINK("http://calamona.it/","calamona.it")</f>
        <v>calamona.it</v>
      </c>
    </row>
    <row r="4624" spans="1:6" ht="43.05" customHeight="1" x14ac:dyDescent="0.25">
      <c r="A4624" s="1" t="s">
        <v>19327</v>
      </c>
      <c r="B4624" s="7" t="s">
        <v>19328</v>
      </c>
      <c r="C4624" s="7" t="s">
        <v>19329</v>
      </c>
      <c r="D4624" s="7" t="s">
        <v>19330</v>
      </c>
      <c r="E4624" s="7" t="s">
        <v>19331</v>
      </c>
      <c r="F4624" s="7" t="str">
        <f>HYPERLINK("http://www.cadelmerlo.it/","www.cadelmerlo.it")</f>
        <v>www.cadelmerlo.it</v>
      </c>
    </row>
    <row r="4625" spans="1:6" ht="120.3" customHeight="1" x14ac:dyDescent="0.25">
      <c r="A4625" s="1" t="s">
        <v>19333</v>
      </c>
      <c r="B4625" s="7" t="s">
        <v>19334</v>
      </c>
      <c r="C4625" s="7" t="s">
        <v>19335</v>
      </c>
      <c r="D4625" s="7" t="s">
        <v>19336</v>
      </c>
      <c r="E4625" s="7" t="s">
        <v>19317</v>
      </c>
      <c r="F4625" s="7" t="str">
        <f>HYPERLINK("http://www.ambienteenergiaefuturo.it/","www.ambienteenergiaefuturo.it")</f>
        <v>www.ambienteenergiaefuturo.it</v>
      </c>
    </row>
    <row r="4626" spans="1:6" ht="29.55" customHeight="1" x14ac:dyDescent="0.25">
      <c r="A4626" s="6" t="s">
        <v>19337</v>
      </c>
      <c r="B4626" s="5" t="s">
        <v>19338</v>
      </c>
      <c r="C4626" s="5" t="s">
        <v>19332</v>
      </c>
      <c r="D4626" s="5" t="s">
        <v>19339</v>
      </c>
      <c r="E4626" s="5" t="s">
        <v>19317</v>
      </c>
      <c r="F4626" s="5" t="str">
        <f>HYPERLINK("http://www.salumerenderia.it/","www.salumerenderia.it")</f>
        <v>www.salumerenderia.it</v>
      </c>
    </row>
    <row r="4627" spans="1:6" ht="29.55" customHeight="1" x14ac:dyDescent="0.25">
      <c r="A4627" s="6" t="s">
        <v>19342</v>
      </c>
      <c r="B4627" s="5" t="s">
        <v>19343</v>
      </c>
      <c r="C4627" s="5" t="s">
        <v>19344</v>
      </c>
      <c r="D4627" s="5" t="s">
        <v>19340</v>
      </c>
      <c r="E4627" s="5" t="s">
        <v>19341</v>
      </c>
      <c r="F4627" s="5" t="str">
        <f>HYPERLINK("http://b-b-vacanze-a-roma.hotelperiviaggi.top/","b-b-vacanze-a-roma.hotelperiviaggi.top")</f>
        <v>b-b-vacanze-a-roma.hotelperiviaggi.top</v>
      </c>
    </row>
    <row r="4628" spans="1:6" ht="29.55" customHeight="1" x14ac:dyDescent="0.25">
      <c r="A4628" s="1" t="s">
        <v>19348</v>
      </c>
      <c r="B4628" s="7" t="s">
        <v>19349</v>
      </c>
      <c r="C4628" s="7" t="s">
        <v>19350</v>
      </c>
      <c r="D4628" s="7" t="s">
        <v>19351</v>
      </c>
      <c r="E4628" s="7" t="s">
        <v>19352</v>
      </c>
      <c r="F4628" s="7" t="str">
        <f>HYPERLINK("http://veroriso.it/","veroriso.it")</f>
        <v>veroriso.it</v>
      </c>
    </row>
    <row r="4629" spans="1:6" ht="43.05" customHeight="1" x14ac:dyDescent="0.25">
      <c r="A4629" s="1" t="s">
        <v>19353</v>
      </c>
      <c r="B4629" s="7" t="s">
        <v>19354</v>
      </c>
      <c r="C4629" s="7" t="s">
        <v>19355</v>
      </c>
      <c r="D4629" s="7" t="s">
        <v>19356</v>
      </c>
      <c r="E4629" s="7" t="s">
        <v>19347</v>
      </c>
      <c r="F4629" s="7" t="str">
        <f>HYPERLINK("http://torresalsa.it/","torresalsa.it")</f>
        <v>torresalsa.it</v>
      </c>
    </row>
    <row r="4630" spans="1:6" ht="29.55" customHeight="1" x14ac:dyDescent="0.25">
      <c r="A4630" s="1" t="s">
        <v>19357</v>
      </c>
      <c r="B4630" s="7" t="s">
        <v>19358</v>
      </c>
      <c r="C4630" s="7" t="s">
        <v>19345</v>
      </c>
      <c r="D4630" s="7" t="s">
        <v>19359</v>
      </c>
      <c r="E4630" s="7" t="s">
        <v>19360</v>
      </c>
      <c r="F4630" s="7" t="str">
        <f>HYPERLINK("http://www.piccolaterra.com/","www.piccolaterra.com")</f>
        <v>www.piccolaterra.com</v>
      </c>
    </row>
    <row r="4631" spans="1:6" ht="29.55" customHeight="1" x14ac:dyDescent="0.25">
      <c r="A4631" s="6" t="s">
        <v>19361</v>
      </c>
      <c r="B4631" s="5" t="s">
        <v>19362</v>
      </c>
      <c r="C4631" s="5" t="s">
        <v>19346</v>
      </c>
      <c r="D4631" s="5" t="s">
        <v>19351</v>
      </c>
      <c r="E4631" s="5" t="s">
        <v>19352</v>
      </c>
      <c r="F4631" s="5" t="str">
        <f>HYPERLINK("http://www.roncodellafola.com/","www.roncodellafola.com")</f>
        <v>www.roncodellafola.com</v>
      </c>
    </row>
    <row r="4632" spans="1:6" ht="29.55" customHeight="1" x14ac:dyDescent="0.25">
      <c r="A4632" s="1" t="s">
        <v>19364</v>
      </c>
      <c r="B4632" s="7" t="s">
        <v>19365</v>
      </c>
      <c r="C4632" s="7" t="s">
        <v>19355</v>
      </c>
      <c r="D4632" s="7" t="s">
        <v>19359</v>
      </c>
      <c r="E4632" s="7" t="s">
        <v>19360</v>
      </c>
      <c r="F4632" s="7" t="str">
        <f>HYPERLINK("http://www.loscoiattolo.org/","www.loscoiattolo.org")</f>
        <v>www.loscoiattolo.org</v>
      </c>
    </row>
    <row r="4633" spans="1:6" ht="43.05" customHeight="1" x14ac:dyDescent="0.25">
      <c r="A4633" s="1" t="s">
        <v>19366</v>
      </c>
      <c r="B4633" s="7" t="s">
        <v>19367</v>
      </c>
      <c r="C4633" s="7" t="s">
        <v>19346</v>
      </c>
      <c r="D4633" s="7" t="s">
        <v>19368</v>
      </c>
      <c r="E4633" s="7" t="s">
        <v>19363</v>
      </c>
      <c r="F4633" s="7" t="str">
        <f>HYPERLINK("http://www.grifowine.it/","www.grifowine.it")</f>
        <v>www.grifowine.it</v>
      </c>
    </row>
    <row r="4634" spans="1:6" ht="29.55" customHeight="1" x14ac:dyDescent="0.25">
      <c r="A4634" s="6" t="s">
        <v>19374</v>
      </c>
      <c r="B4634" s="5" t="s">
        <v>19375</v>
      </c>
      <c r="C4634" s="5" t="s">
        <v>19372</v>
      </c>
      <c r="D4634" s="5" t="s">
        <v>19376</v>
      </c>
      <c r="E4634" s="5" t="s">
        <v>19369</v>
      </c>
      <c r="F4634" s="5" t="str">
        <f>HYPERLINK("http://agricolaverdesca.it/","agricolaverdesca.it")</f>
        <v>agricolaverdesca.it</v>
      </c>
    </row>
    <row r="4635" spans="1:6" ht="43.05" customHeight="1" x14ac:dyDescent="0.25">
      <c r="A4635" s="1" t="s">
        <v>19377</v>
      </c>
      <c r="B4635" s="7" t="s">
        <v>19378</v>
      </c>
      <c r="C4635" s="7" t="s">
        <v>19379</v>
      </c>
      <c r="D4635" s="7" t="s">
        <v>19380</v>
      </c>
      <c r="E4635" s="7" t="s">
        <v>19370</v>
      </c>
      <c r="F4635" s="7" t="str">
        <f>HYPERLINK("http://anticomieledellasignoria.it/","anticomieledellasignoria.it")</f>
        <v>anticomieledellasignoria.it</v>
      </c>
    </row>
    <row r="4636" spans="1:6" ht="29.55" customHeight="1" x14ac:dyDescent="0.25">
      <c r="A4636" s="6" t="s">
        <v>19381</v>
      </c>
      <c r="B4636" s="5" t="s">
        <v>19382</v>
      </c>
      <c r="C4636" s="5" t="s">
        <v>19373</v>
      </c>
      <c r="D4636" s="5" t="s">
        <v>19383</v>
      </c>
      <c r="E4636" s="5" t="s">
        <v>19371</v>
      </c>
      <c r="F4636" s="5" t="str">
        <f>HYPERLINK("http://bagnaccio.it/","bagnaccio.it")</f>
        <v>bagnaccio.it</v>
      </c>
    </row>
    <row r="4637" spans="1:6" ht="29.55" customHeight="1" x14ac:dyDescent="0.25">
      <c r="A4637" s="6" t="s">
        <v>19385</v>
      </c>
      <c r="B4637" s="5" t="s">
        <v>19386</v>
      </c>
      <c r="C4637" s="5" t="s">
        <v>19384</v>
      </c>
      <c r="D4637" s="5" t="s">
        <v>19387</v>
      </c>
      <c r="E4637" s="5" t="s">
        <v>19388</v>
      </c>
      <c r="F4637" s="5" t="str">
        <f>HYPERLINK("http://granducatonatura.it/","granducatonatura.it")</f>
        <v>granducatonatura.it</v>
      </c>
    </row>
    <row r="4638" spans="1:6" ht="43.05" customHeight="1" x14ac:dyDescent="0.25">
      <c r="A4638" s="1" t="s">
        <v>19390</v>
      </c>
      <c r="B4638" s="7" t="s">
        <v>19391</v>
      </c>
      <c r="C4638" s="7" t="s">
        <v>19392</v>
      </c>
      <c r="D4638" s="7" t="s">
        <v>19393</v>
      </c>
      <c r="E4638" s="7" t="s">
        <v>19388</v>
      </c>
      <c r="F4638" s="7" t="str">
        <f>HYPERLINK("http://oleotourism.it/","oleotourism.it")</f>
        <v>oleotourism.it</v>
      </c>
    </row>
    <row r="4639" spans="1:6" ht="94.2" customHeight="1" x14ac:dyDescent="0.25">
      <c r="A4639" s="1" t="s">
        <v>19394</v>
      </c>
      <c r="B4639" s="7" t="s">
        <v>19395</v>
      </c>
      <c r="C4639" s="7" t="s">
        <v>19396</v>
      </c>
      <c r="D4639" s="7" t="s">
        <v>19397</v>
      </c>
      <c r="E4639" s="7" t="s">
        <v>19389</v>
      </c>
      <c r="F4639" s="7" t="str">
        <f>HYPERLINK("http://www.area-m.it/","www.area-m.it")</f>
        <v>www.area-m.it</v>
      </c>
    </row>
    <row r="4640" spans="1:6" ht="29.55" customHeight="1" x14ac:dyDescent="0.25">
      <c r="A4640" s="6" t="s">
        <v>19398</v>
      </c>
      <c r="B4640" s="5" t="s">
        <v>19399</v>
      </c>
      <c r="C4640" s="5" t="s">
        <v>19384</v>
      </c>
      <c r="D4640" s="5" t="s">
        <v>19400</v>
      </c>
      <c r="E4640" s="5" t="s">
        <v>19401</v>
      </c>
      <c r="F4640" s="5" t="str">
        <f>HYPERLINK("http://pecoranera.info/","pecoranera.info")</f>
        <v>pecoranera.info</v>
      </c>
    </row>
    <row r="4641" spans="1:6" ht="29.55" customHeight="1" x14ac:dyDescent="0.25">
      <c r="A4641" s="1" t="s">
        <v>19402</v>
      </c>
      <c r="B4641" s="7" t="s">
        <v>19403</v>
      </c>
      <c r="C4641" s="7" t="s">
        <v>19404</v>
      </c>
      <c r="D4641" s="7" t="s">
        <v>19405</v>
      </c>
      <c r="E4641" s="7" t="s">
        <v>19389</v>
      </c>
      <c r="F4641" s="7" t="str">
        <f>HYPERLINK("http://www.bennet.com/storefinder/iper/0109","www.bennet.com/storefinder/iper/0109")</f>
        <v>www.bennet.com/storefinder/iper/0109</v>
      </c>
    </row>
    <row r="4642" spans="1:6" ht="43.05" customHeight="1" x14ac:dyDescent="0.25">
      <c r="A4642" s="6" t="s">
        <v>19408</v>
      </c>
      <c r="B4642" s="5" t="s">
        <v>19409</v>
      </c>
      <c r="C4642" s="5" t="s">
        <v>19407</v>
      </c>
      <c r="D4642" s="5" t="s">
        <v>19410</v>
      </c>
      <c r="E4642" s="5" t="s">
        <v>19411</v>
      </c>
      <c r="F4642" s="5" t="str">
        <f>HYPERLINK("http://www.darroscia.it/","www.darroscia.it")</f>
        <v>www.darroscia.it</v>
      </c>
    </row>
    <row r="4643" spans="1:6" ht="29.55" customHeight="1" x14ac:dyDescent="0.25">
      <c r="A4643" s="1" t="s">
        <v>19412</v>
      </c>
      <c r="B4643" s="7" t="s">
        <v>19413</v>
      </c>
      <c r="C4643" s="7" t="s">
        <v>19414</v>
      </c>
      <c r="D4643" s="7" t="s">
        <v>19415</v>
      </c>
      <c r="E4643" s="7" t="s">
        <v>19416</v>
      </c>
      <c r="F4643" s="7" t="str">
        <f>HYPERLINK("http://www.agricolasaros.it/","www.agricolasaros.it")</f>
        <v>www.agricolasaros.it</v>
      </c>
    </row>
    <row r="4644" spans="1:6" ht="29.55" customHeight="1" x14ac:dyDescent="0.25">
      <c r="A4644" s="6" t="s">
        <v>19418</v>
      </c>
      <c r="B4644" s="5" t="s">
        <v>19419</v>
      </c>
      <c r="C4644" s="5" t="s">
        <v>19406</v>
      </c>
      <c r="D4644" s="5" t="s">
        <v>19420</v>
      </c>
      <c r="E4644" s="5" t="s">
        <v>19417</v>
      </c>
      <c r="F4644" s="5" t="str">
        <f>HYPERLINK("http://www.cantineintesa.it/","www.cantineintesa.it")</f>
        <v>www.cantineintesa.it</v>
      </c>
    </row>
    <row r="4645" spans="1:6" ht="43.05" customHeight="1" x14ac:dyDescent="0.25">
      <c r="A4645" s="1" t="s">
        <v>19427</v>
      </c>
      <c r="B4645" s="7" t="s">
        <v>19428</v>
      </c>
      <c r="C4645" s="7" t="s">
        <v>19429</v>
      </c>
      <c r="D4645" s="7" t="s">
        <v>19430</v>
      </c>
      <c r="E4645" s="7" t="s">
        <v>19426</v>
      </c>
      <c r="F4645" s="7" t="str">
        <f>HYPERLINK("http://la-capalbiola.italyfun.top/","la-capalbiola.italyfun.top")</f>
        <v>la-capalbiola.italyfun.top</v>
      </c>
    </row>
    <row r="4646" spans="1:6" ht="29.55" customHeight="1" x14ac:dyDescent="0.25">
      <c r="A4646" s="1" t="s">
        <v>19432</v>
      </c>
      <c r="B4646" s="7" t="s">
        <v>19433</v>
      </c>
      <c r="C4646" s="7" t="s">
        <v>19421</v>
      </c>
      <c r="D4646" s="7" t="s">
        <v>19434</v>
      </c>
      <c r="E4646" s="7" t="s">
        <v>19424</v>
      </c>
      <c r="F4646" s="7" t="str">
        <f>HYPERLINK("http://collepaste.com/","collepaste.com")</f>
        <v>collepaste.com</v>
      </c>
    </row>
    <row r="4647" spans="1:6" ht="29.55" customHeight="1" x14ac:dyDescent="0.25">
      <c r="A4647" s="1" t="s">
        <v>19435</v>
      </c>
      <c r="B4647" s="7" t="s">
        <v>19436</v>
      </c>
      <c r="C4647" s="7" t="s">
        <v>19421</v>
      </c>
      <c r="D4647" s="7" t="s">
        <v>19437</v>
      </c>
      <c r="E4647" s="7" t="s">
        <v>19426</v>
      </c>
      <c r="F4647" s="7" t="str">
        <f>HYPERLINK("http://sangiolele.it/","sangiolele.it")</f>
        <v>sangiolele.it</v>
      </c>
    </row>
    <row r="4648" spans="1:6" ht="29.55" customHeight="1" x14ac:dyDescent="0.25">
      <c r="A4648" s="6" t="s">
        <v>19438</v>
      </c>
      <c r="B4648" s="5" t="s">
        <v>19439</v>
      </c>
      <c r="C4648" s="5" t="s">
        <v>19421</v>
      </c>
      <c r="D4648" s="5" t="s">
        <v>19437</v>
      </c>
      <c r="E4648" s="5" t="s">
        <v>19426</v>
      </c>
      <c r="F4648" s="5" t="str">
        <f>HYPERLINK("http://www.domus-vitae.it/","www.domus-vitae.it")</f>
        <v>www.domus-vitae.it</v>
      </c>
    </row>
    <row r="4649" spans="1:6" ht="29.55" customHeight="1" x14ac:dyDescent="0.25">
      <c r="A4649" s="1" t="s">
        <v>19440</v>
      </c>
      <c r="B4649" s="7" t="s">
        <v>19441</v>
      </c>
      <c r="C4649" s="7" t="s">
        <v>19425</v>
      </c>
      <c r="D4649" s="7" t="s">
        <v>19422</v>
      </c>
      <c r="E4649" s="7" t="s">
        <v>19423</v>
      </c>
      <c r="F4649" s="7" t="str">
        <f>HYPERLINK("http://www.inertras.it/","www.inertras.it")</f>
        <v>www.inertras.it</v>
      </c>
    </row>
    <row r="4650" spans="1:6" ht="29.55" customHeight="1" x14ac:dyDescent="0.25">
      <c r="A4650" s="6" t="s">
        <v>19442</v>
      </c>
      <c r="B4650" s="5" t="s">
        <v>19443</v>
      </c>
      <c r="C4650" s="5" t="s">
        <v>19444</v>
      </c>
      <c r="D4650" s="5" t="s">
        <v>19445</v>
      </c>
      <c r="E4650" s="5" t="s">
        <v>19431</v>
      </c>
      <c r="F4650" s="5" t="str">
        <f>HYPERLINK("http://www.nolanoitaly.it/","www.nolanoitaly.it")</f>
        <v>www.nolanoitaly.it</v>
      </c>
    </row>
    <row r="4651" spans="1:6" ht="29.55" customHeight="1" x14ac:dyDescent="0.25">
      <c r="A4651" s="1" t="s">
        <v>19448</v>
      </c>
      <c r="B4651" s="7" t="s">
        <v>19449</v>
      </c>
      <c r="C4651" s="7" t="s">
        <v>19450</v>
      </c>
      <c r="D4651" s="7" t="s">
        <v>19451</v>
      </c>
      <c r="E4651" s="7" t="s">
        <v>19452</v>
      </c>
      <c r="F4651" s="7" t="str">
        <f>HYPERLINK("http://www.elisirdelconero.it/","www.elisirdelconero.it")</f>
        <v>www.elisirdelconero.it</v>
      </c>
    </row>
    <row r="4652" spans="1:6" ht="81.75" customHeight="1" x14ac:dyDescent="0.25">
      <c r="A4652" s="1" t="s">
        <v>19454</v>
      </c>
      <c r="B4652" s="7" t="s">
        <v>19455</v>
      </c>
      <c r="C4652" s="7" t="s">
        <v>19456</v>
      </c>
      <c r="D4652" s="7" t="s">
        <v>19457</v>
      </c>
      <c r="E4652" s="7" t="s">
        <v>19453</v>
      </c>
      <c r="F4652" s="7" t="str">
        <f>HYPERLINK("http://www.agricolor.it/","www.agricolor.it")</f>
        <v>www.agricolor.it</v>
      </c>
    </row>
    <row r="4653" spans="1:6" ht="94.2" customHeight="1" x14ac:dyDescent="0.25">
      <c r="A4653" s="6" t="s">
        <v>19458</v>
      </c>
      <c r="B4653" s="5" t="s">
        <v>19459</v>
      </c>
      <c r="C4653" s="5" t="s">
        <v>19460</v>
      </c>
      <c r="D4653" s="5" t="s">
        <v>19461</v>
      </c>
      <c r="E4653" s="5" t="s">
        <v>19462</v>
      </c>
      <c r="F4653" s="5" t="str">
        <f>HYPERLINK("http://sportellotelematico.comune.terranovasappominulio.rc.it/","sportellotelematico.comune.terranovasappominulio.rc.it")</f>
        <v>sportellotelematico.comune.terranovasappominulio.rc.it</v>
      </c>
    </row>
    <row r="4654" spans="1:6" ht="29.55" customHeight="1" x14ac:dyDescent="0.25">
      <c r="A4654" s="6" t="s">
        <v>19464</v>
      </c>
      <c r="B4654" s="5" t="s">
        <v>19465</v>
      </c>
      <c r="C4654" s="5" t="s">
        <v>19446</v>
      </c>
      <c r="D4654" s="5" t="s">
        <v>19466</v>
      </c>
      <c r="E4654" s="5" t="s">
        <v>19447</v>
      </c>
      <c r="F4654" s="5" t="str">
        <f>HYPERLINK("http://www.sangervasioeprotasio.it/","www.sangervasioeprotasio.it")</f>
        <v>www.sangervasioeprotasio.it</v>
      </c>
    </row>
    <row r="4655" spans="1:6" ht="29.55" customHeight="1" x14ac:dyDescent="0.25">
      <c r="A4655" s="6" t="s">
        <v>19468</v>
      </c>
      <c r="B4655" s="5" t="s">
        <v>19469</v>
      </c>
      <c r="C4655" s="5" t="s">
        <v>19470</v>
      </c>
      <c r="D4655" s="5" t="s">
        <v>19471</v>
      </c>
      <c r="E4655" s="5" t="s">
        <v>19472</v>
      </c>
      <c r="F4655" s="5" t="str">
        <f>HYPERLINK("http://www.litterini.it/","www.litterini.it")</f>
        <v>www.litterini.it</v>
      </c>
    </row>
    <row r="4656" spans="1:6" ht="29.55" customHeight="1" x14ac:dyDescent="0.25">
      <c r="A4656" s="6" t="s">
        <v>19473</v>
      </c>
      <c r="B4656" s="5" t="s">
        <v>19474</v>
      </c>
      <c r="C4656" s="5" t="s">
        <v>19467</v>
      </c>
      <c r="D4656" s="5" t="s">
        <v>19475</v>
      </c>
      <c r="E4656" s="5" t="s">
        <v>19463</v>
      </c>
      <c r="F4656" s="5" t="str">
        <f>HYPERLINK("http://www.tenutacollesala.com/","www.tenutacollesala.com")</f>
        <v>www.tenutacollesala.com</v>
      </c>
    </row>
    <row r="4657" spans="1:6" ht="29.55" customHeight="1" x14ac:dyDescent="0.25">
      <c r="A4657" s="6" t="s">
        <v>19476</v>
      </c>
      <c r="B4657" s="5" t="s">
        <v>19477</v>
      </c>
      <c r="C4657" s="5" t="s">
        <v>19478</v>
      </c>
      <c r="D4657" s="5" t="s">
        <v>19479</v>
      </c>
      <c r="E4657" s="5" t="s">
        <v>19480</v>
      </c>
      <c r="F4657" s="5" t="str">
        <f>HYPERLINK("http://shop.learpie.com/","shop.learpie.com")</f>
        <v>shop.learpie.com</v>
      </c>
    </row>
    <row r="4658" spans="1:6" ht="43.05" customHeight="1" x14ac:dyDescent="0.25">
      <c r="A4658" s="6" t="s">
        <v>19482</v>
      </c>
      <c r="B4658" s="5" t="s">
        <v>19483</v>
      </c>
      <c r="C4658" s="5" t="s">
        <v>19484</v>
      </c>
      <c r="D4658" s="5" t="s">
        <v>19485</v>
      </c>
      <c r="E4658" s="5" t="s">
        <v>19486</v>
      </c>
      <c r="F4658" s="5" t="str">
        <f>HYPERLINK("http://capovalleagroenergyfarm.it/","capovalleagroenergyfarm.it")</f>
        <v>capovalleagroenergyfarm.it</v>
      </c>
    </row>
    <row r="4659" spans="1:6" ht="29.55" customHeight="1" x14ac:dyDescent="0.25">
      <c r="A4659" s="6" t="s">
        <v>19487</v>
      </c>
      <c r="B4659" s="5" t="s">
        <v>19488</v>
      </c>
      <c r="C4659" s="5" t="s">
        <v>19489</v>
      </c>
      <c r="D4659" s="5" t="s">
        <v>19485</v>
      </c>
      <c r="E4659" s="5" t="s">
        <v>19486</v>
      </c>
      <c r="F4659" s="5" t="str">
        <f>HYPERLINK("http://www.mascarini.it/","www.mascarini.it")</f>
        <v>www.mascarini.it</v>
      </c>
    </row>
    <row r="4660" spans="1:6" ht="43.05" customHeight="1" x14ac:dyDescent="0.25">
      <c r="A4660" s="6" t="s">
        <v>19492</v>
      </c>
      <c r="B4660" s="5" t="s">
        <v>19493</v>
      </c>
      <c r="C4660" s="5" t="s">
        <v>19481</v>
      </c>
      <c r="D4660" s="5" t="s">
        <v>19479</v>
      </c>
      <c r="E4660" s="5" t="s">
        <v>19480</v>
      </c>
      <c r="F4660" s="5" t="str">
        <f>HYPERLINK("http://www.terradelleginestre.it/","www.terradelleginestre.it")</f>
        <v>www.terradelleginestre.it</v>
      </c>
    </row>
    <row r="4661" spans="1:6" ht="29.55" customHeight="1" x14ac:dyDescent="0.25">
      <c r="A4661" s="6" t="s">
        <v>19494</v>
      </c>
      <c r="B4661" s="5" t="s">
        <v>19495</v>
      </c>
      <c r="C4661" s="5" t="s">
        <v>19490</v>
      </c>
      <c r="D4661" s="5" t="s">
        <v>19496</v>
      </c>
      <c r="E4661" s="5" t="s">
        <v>19491</v>
      </c>
      <c r="F4661" s="5" t="str">
        <f>HYPERLINK("http://muliniepastifici1875.com/","muliniepastifici1875.com")</f>
        <v>muliniepastifici1875.com</v>
      </c>
    </row>
    <row r="4662" spans="1:6" ht="29.55" customHeight="1" x14ac:dyDescent="0.25">
      <c r="A4662" s="1" t="s">
        <v>19502</v>
      </c>
      <c r="B4662" s="7" t="s">
        <v>19503</v>
      </c>
      <c r="C4662" s="7" t="s">
        <v>19501</v>
      </c>
      <c r="D4662" s="7" t="s">
        <v>19498</v>
      </c>
      <c r="E4662" s="7" t="s">
        <v>19499</v>
      </c>
      <c r="F4662" s="7" t="str">
        <f>HYPERLINK("http://www.tenutaesdra.tourmap.it/","www.tenutaesdra.tourmap.it")</f>
        <v>www.tenutaesdra.tourmap.it</v>
      </c>
    </row>
    <row r="4663" spans="1:6" ht="29.55" customHeight="1" x14ac:dyDescent="0.25">
      <c r="A4663" s="1" t="s">
        <v>19504</v>
      </c>
      <c r="B4663" s="7" t="s">
        <v>19505</v>
      </c>
      <c r="C4663" s="7" t="s">
        <v>19506</v>
      </c>
      <c r="D4663" s="7" t="s">
        <v>19507</v>
      </c>
      <c r="E4663" s="7" t="s">
        <v>19508</v>
      </c>
      <c r="F4663" s="7" t="str">
        <f>HYPERLINK("http://www.officinenaturali.it/","www.officinenaturali.it")</f>
        <v>www.officinenaturali.it</v>
      </c>
    </row>
    <row r="4664" spans="1:6" ht="29.55" customHeight="1" x14ac:dyDescent="0.25">
      <c r="A4664" s="1" t="s">
        <v>19509</v>
      </c>
      <c r="B4664" s="7" t="s">
        <v>19510</v>
      </c>
      <c r="C4664" s="7" t="s">
        <v>19511</v>
      </c>
      <c r="D4664" s="7" t="s">
        <v>19512</v>
      </c>
      <c r="E4664" s="7" t="s">
        <v>19500</v>
      </c>
      <c r="F4664" s="7" t="str">
        <f>HYPERLINK("http://www.villacurinaresort.com/","www.villacurinaresort.com")</f>
        <v>www.villacurinaresort.com</v>
      </c>
    </row>
    <row r="4665" spans="1:6" ht="29.55" customHeight="1" x14ac:dyDescent="0.25">
      <c r="A4665" s="6" t="s">
        <v>19513</v>
      </c>
      <c r="B4665" s="5" t="s">
        <v>19514</v>
      </c>
      <c r="C4665" s="5" t="s">
        <v>19501</v>
      </c>
      <c r="D4665" s="5" t="s">
        <v>19515</v>
      </c>
      <c r="E4665" s="5" t="s">
        <v>19497</v>
      </c>
      <c r="F4665" s="5" t="str">
        <f>HYPERLINK("http://www.agriware.it/","www.agriware.it")</f>
        <v>www.agriware.it</v>
      </c>
    </row>
    <row r="4666" spans="1:6" ht="43.05" customHeight="1" x14ac:dyDescent="0.25">
      <c r="A4666" s="1" t="s">
        <v>19520</v>
      </c>
      <c r="B4666" s="7" t="s">
        <v>19521</v>
      </c>
      <c r="C4666" s="7" t="s">
        <v>19522</v>
      </c>
      <c r="D4666" s="7" t="s">
        <v>19518</v>
      </c>
      <c r="E4666" s="7" t="s">
        <v>19519</v>
      </c>
      <c r="F4666" s="7" t="str">
        <f>HYPERLINK("http://www.lafattoriadeisogni.it/","www.lafattoriadeisogni.it")</f>
        <v>www.lafattoriadeisogni.it</v>
      </c>
    </row>
    <row r="4667" spans="1:6" ht="16.95" customHeight="1" x14ac:dyDescent="0.25">
      <c r="A4667" s="1" t="s">
        <v>19525</v>
      </c>
      <c r="B4667" s="7" t="s">
        <v>19526</v>
      </c>
      <c r="C4667" s="7" t="s">
        <v>19517</v>
      </c>
      <c r="D4667" s="7" t="s">
        <v>19527</v>
      </c>
      <c r="E4667" s="7" t="s">
        <v>19516</v>
      </c>
      <c r="F4667" s="7" t="str">
        <f>HYPERLINK("http://www.tenutadivignale.it/","www.tenutadivignale.it")</f>
        <v>www.tenutadivignale.it</v>
      </c>
    </row>
    <row r="4668" spans="1:6" ht="16.95" customHeight="1" x14ac:dyDescent="0.25">
      <c r="A4668" s="1" t="s">
        <v>19530</v>
      </c>
      <c r="B4668" s="7" t="s">
        <v>19531</v>
      </c>
      <c r="C4668" s="7" t="s">
        <v>19523</v>
      </c>
      <c r="D4668" s="7" t="s">
        <v>19532</v>
      </c>
      <c r="E4668" s="7" t="s">
        <v>19533</v>
      </c>
      <c r="F4668" s="7" t="str">
        <f>HYPERLINK("http://www.giacomoleopardi.it/","www.giacomoleopardi.it")</f>
        <v>www.giacomoleopardi.it</v>
      </c>
    </row>
    <row r="4669" spans="1:6" ht="29.55" customHeight="1" x14ac:dyDescent="0.25">
      <c r="A4669" s="1" t="s">
        <v>19534</v>
      </c>
      <c r="B4669" s="7" t="s">
        <v>19535</v>
      </c>
      <c r="C4669" s="7" t="s">
        <v>19517</v>
      </c>
      <c r="D4669" s="7" t="s">
        <v>19536</v>
      </c>
      <c r="E4669" s="7" t="s">
        <v>19528</v>
      </c>
      <c r="F4669" s="7" t="str">
        <f>HYPERLINK("http://www.ilcancelliere.it/","www.ilcancelliere.it")</f>
        <v>www.ilcancelliere.it</v>
      </c>
    </row>
    <row r="4670" spans="1:6" ht="29.55" customHeight="1" x14ac:dyDescent="0.25">
      <c r="A4670" s="1" t="s">
        <v>19537</v>
      </c>
      <c r="B4670" s="7" t="s">
        <v>19538</v>
      </c>
      <c r="C4670" s="7" t="s">
        <v>19524</v>
      </c>
      <c r="D4670" s="7" t="s">
        <v>19539</v>
      </c>
      <c r="E4670" s="7" t="s">
        <v>19539</v>
      </c>
      <c r="F4670" s="7" t="str">
        <f>HYPERLINK("http://www.ecovitaexperience.com/","www.ecovitaexperience.com")</f>
        <v>www.ecovitaexperience.com</v>
      </c>
    </row>
    <row r="4671" spans="1:6" ht="29.55" customHeight="1" x14ac:dyDescent="0.25">
      <c r="A4671" s="6" t="s">
        <v>19540</v>
      </c>
      <c r="B4671" s="5" t="s">
        <v>19541</v>
      </c>
      <c r="C4671" s="5" t="s">
        <v>19542</v>
      </c>
      <c r="D4671" s="5" t="s">
        <v>19543</v>
      </c>
      <c r="E4671" s="5" t="s">
        <v>19529</v>
      </c>
      <c r="F4671" s="5" t="str">
        <f>HYPERLINK("http://www.cooperativaagricolturasostenibile.it/","www.cooperativaagricolturasostenibile.it")</f>
        <v>www.cooperativaagricolturasostenibile.it</v>
      </c>
    </row>
    <row r="4672" spans="1:6" ht="43.05" customHeight="1" x14ac:dyDescent="0.25">
      <c r="A4672" s="6" t="s">
        <v>19548</v>
      </c>
      <c r="B4672" s="5" t="s">
        <v>19549</v>
      </c>
      <c r="C4672" s="5" t="s">
        <v>19547</v>
      </c>
      <c r="D4672" s="5" t="s">
        <v>19550</v>
      </c>
      <c r="E4672" s="5" t="s">
        <v>19551</v>
      </c>
      <c r="F4672" s="5" t="str">
        <f>HYPERLINK("http://www.studiolegaleberaldi.it/","www.studiolegaleberaldi.it")</f>
        <v>www.studiolegaleberaldi.it</v>
      </c>
    </row>
    <row r="4673" spans="1:6" ht="29.55" customHeight="1" x14ac:dyDescent="0.25">
      <c r="A4673" s="6" t="s">
        <v>19553</v>
      </c>
      <c r="B4673" s="5" t="s">
        <v>19554</v>
      </c>
      <c r="C4673" s="5" t="s">
        <v>19546</v>
      </c>
      <c r="D4673" s="5" t="s">
        <v>19555</v>
      </c>
      <c r="E4673" s="5" t="s">
        <v>19552</v>
      </c>
      <c r="F4673" s="5" t="str">
        <f>HYPERLINK("http://www.agricolabiogradella.it/","www.agricolabiogradella.it")</f>
        <v>www.agricolabiogradella.it</v>
      </c>
    </row>
    <row r="4674" spans="1:6" ht="43.05" customHeight="1" x14ac:dyDescent="0.25">
      <c r="A4674" s="1" t="s">
        <v>19556</v>
      </c>
      <c r="B4674" s="7" t="s">
        <v>19557</v>
      </c>
      <c r="C4674" s="7" t="s">
        <v>19558</v>
      </c>
      <c r="D4674" s="7" t="s">
        <v>19544</v>
      </c>
      <c r="E4674" s="7" t="s">
        <v>19545</v>
      </c>
      <c r="F4674" s="7" t="str">
        <f>HYPERLINK("http://www.lacittadelladipadrepio.it/","www.lacittadelladipadrepio.it")</f>
        <v>www.lacittadelladipadrepio.it</v>
      </c>
    </row>
    <row r="4675" spans="1:6" ht="29.55" customHeight="1" x14ac:dyDescent="0.25">
      <c r="A4675" s="6" t="s">
        <v>19559</v>
      </c>
      <c r="B4675" s="5" t="s">
        <v>19560</v>
      </c>
      <c r="C4675" s="5" t="s">
        <v>19561</v>
      </c>
      <c r="D4675" s="5" t="s">
        <v>19562</v>
      </c>
      <c r="E4675" s="5" t="s">
        <v>19563</v>
      </c>
      <c r="F4675" s="5" t="str">
        <f>HYPERLINK("http://www.giudiceandrea.com/","www.giudiceandrea.com")</f>
        <v>www.giudiceandrea.com</v>
      </c>
    </row>
    <row r="4676" spans="1:6" ht="29.55" customHeight="1" x14ac:dyDescent="0.25">
      <c r="A4676" s="1" t="s">
        <v>19565</v>
      </c>
      <c r="B4676" s="7" t="s">
        <v>19566</v>
      </c>
      <c r="C4676" s="7" t="s">
        <v>19564</v>
      </c>
      <c r="D4676" s="7" t="s">
        <v>19567</v>
      </c>
      <c r="E4676" s="7" t="s">
        <v>19568</v>
      </c>
      <c r="F4676" s="7" t="str">
        <f>HYPERLINK("http://www.agriflamar.it/","www.agriflamar.it")</f>
        <v>www.agriflamar.it</v>
      </c>
    </row>
    <row r="4677" spans="1:6" ht="43.05" customHeight="1" x14ac:dyDescent="0.25">
      <c r="A4677" s="1" t="s">
        <v>19571</v>
      </c>
      <c r="B4677" s="7" t="s">
        <v>19572</v>
      </c>
      <c r="C4677" s="7" t="s">
        <v>19573</v>
      </c>
      <c r="D4677" s="7" t="s">
        <v>19574</v>
      </c>
      <c r="E4677" s="7" t="s">
        <v>19575</v>
      </c>
      <c r="F4677" s="7" t="str">
        <f>HYPERLINK("http://www.tenutareginadisantangelo.it/","www.tenutareginadisantangelo.it")</f>
        <v>www.tenutareginadisantangelo.it</v>
      </c>
    </row>
    <row r="4678" spans="1:6" ht="29.55" customHeight="1" x14ac:dyDescent="0.25">
      <c r="A4678" s="6" t="s">
        <v>19580</v>
      </c>
      <c r="B4678" s="5" t="s">
        <v>19581</v>
      </c>
      <c r="C4678" s="5" t="s">
        <v>19577</v>
      </c>
      <c r="D4678" s="5" t="s">
        <v>19582</v>
      </c>
      <c r="E4678" s="5" t="s">
        <v>19583</v>
      </c>
      <c r="F4678" s="5" t="str">
        <f>HYPERLINK("http://sedi.it/","sedi.it")</f>
        <v>sedi.it</v>
      </c>
    </row>
    <row r="4679" spans="1:6" ht="29.55" customHeight="1" x14ac:dyDescent="0.25">
      <c r="A4679" s="1" t="s">
        <v>19584</v>
      </c>
      <c r="B4679" s="7" t="s">
        <v>19585</v>
      </c>
      <c r="C4679" s="7" t="s">
        <v>19586</v>
      </c>
      <c r="D4679" s="7" t="s">
        <v>19587</v>
      </c>
      <c r="E4679" s="7" t="s">
        <v>19576</v>
      </c>
      <c r="F4679" s="7" t="str">
        <f>HYPERLINK("http://www.coccaserramenti.it/","www.coccaserramenti.it")</f>
        <v>www.coccaserramenti.it</v>
      </c>
    </row>
    <row r="4680" spans="1:6" ht="16.95" customHeight="1" x14ac:dyDescent="0.25">
      <c r="A4680" s="6" t="s">
        <v>19588</v>
      </c>
      <c r="B4680" s="5" t="s">
        <v>19589</v>
      </c>
      <c r="C4680" s="5" t="s">
        <v>19586</v>
      </c>
      <c r="D4680" s="5" t="s">
        <v>19578</v>
      </c>
      <c r="E4680" s="5" t="s">
        <v>19579</v>
      </c>
      <c r="F4680" s="5" t="str">
        <f>HYPERLINK("http://www.agricolaceglia.it/","www.agricolaceglia.it")</f>
        <v>www.agricolaceglia.it</v>
      </c>
    </row>
    <row r="4681" spans="1:6" ht="29.55" customHeight="1" x14ac:dyDescent="0.25">
      <c r="A4681" s="1" t="s">
        <v>19590</v>
      </c>
      <c r="B4681" s="7" t="s">
        <v>19591</v>
      </c>
      <c r="C4681" s="7" t="s">
        <v>19592</v>
      </c>
      <c r="D4681" s="7" t="s">
        <v>19578</v>
      </c>
      <c r="E4681" s="7" t="s">
        <v>19579</v>
      </c>
      <c r="F4681" s="7" t="str">
        <f>HYPERLINK("http://www.laripa.com/","www.laripa.com")</f>
        <v>www.laripa.com</v>
      </c>
    </row>
    <row r="4682" spans="1:6" ht="29.55" customHeight="1" x14ac:dyDescent="0.25">
      <c r="A4682" s="6" t="s">
        <v>19595</v>
      </c>
      <c r="B4682" s="5" t="s">
        <v>19596</v>
      </c>
      <c r="C4682" s="5" t="s">
        <v>19569</v>
      </c>
      <c r="D4682" s="5" t="s">
        <v>19597</v>
      </c>
      <c r="E4682" s="5" t="s">
        <v>19598</v>
      </c>
      <c r="F4682" s="5" t="str">
        <f>HYPERLINK("http://www.ortibiodiversi.it/","www.ortibiodiversi.it")</f>
        <v>www.ortibiodiversi.it</v>
      </c>
    </row>
    <row r="4683" spans="1:6" ht="29.55" customHeight="1" x14ac:dyDescent="0.25">
      <c r="A4683" s="1" t="s">
        <v>19599</v>
      </c>
      <c r="B4683" s="7" t="s">
        <v>19600</v>
      </c>
      <c r="C4683" s="7" t="s">
        <v>19601</v>
      </c>
      <c r="D4683" s="7" t="s">
        <v>19602</v>
      </c>
      <c r="E4683" s="7" t="s">
        <v>19583</v>
      </c>
      <c r="F4683" s="7" t="str">
        <f>HYPERLINK("http://belenus.it/","belenus.it")</f>
        <v>belenus.it</v>
      </c>
    </row>
    <row r="4684" spans="1:6" ht="29.55" customHeight="1" x14ac:dyDescent="0.25">
      <c r="A4684" s="6" t="s">
        <v>19603</v>
      </c>
      <c r="B4684" s="5" t="s">
        <v>19604</v>
      </c>
      <c r="C4684" s="5" t="s">
        <v>19586</v>
      </c>
      <c r="D4684" s="5" t="s">
        <v>19593</v>
      </c>
      <c r="E4684" s="5" t="s">
        <v>19594</v>
      </c>
      <c r="F4684" s="5" t="str">
        <f>HYPERLINK("http://noccioleto.it/","noccioleto.it")</f>
        <v>noccioleto.it</v>
      </c>
    </row>
    <row r="4685" spans="1:6" ht="29.55" customHeight="1" x14ac:dyDescent="0.25">
      <c r="A4685" s="1" t="s">
        <v>19608</v>
      </c>
      <c r="B4685" s="7" t="s">
        <v>19609</v>
      </c>
      <c r="C4685" s="7" t="s">
        <v>19573</v>
      </c>
      <c r="D4685" s="7" t="s">
        <v>19607</v>
      </c>
      <c r="E4685" s="7" t="s">
        <v>19576</v>
      </c>
      <c r="F4685" s="7" t="str">
        <f>HYPERLINK("http://www.cantineromano.it/","www.cantineromano.it")</f>
        <v>www.cantineromano.it</v>
      </c>
    </row>
    <row r="4686" spans="1:6" ht="16.95" customHeight="1" x14ac:dyDescent="0.25">
      <c r="A4686" s="6" t="s">
        <v>19610</v>
      </c>
      <c r="B4686" s="5" t="s">
        <v>19611</v>
      </c>
      <c r="C4686" s="5" t="s">
        <v>19605</v>
      </c>
      <c r="D4686" s="5" t="s">
        <v>19606</v>
      </c>
      <c r="E4686" s="5" t="s">
        <v>19570</v>
      </c>
      <c r="F4686" s="5" t="str">
        <f>HYPERLINK("http://laliama.it/","laliama.it")</f>
        <v>laliama.it</v>
      </c>
    </row>
    <row r="4687" spans="1:6" ht="29.55" customHeight="1" x14ac:dyDescent="0.25">
      <c r="A4687" s="6" t="s">
        <v>19614</v>
      </c>
      <c r="B4687" s="5" t="s">
        <v>19615</v>
      </c>
      <c r="C4687" s="5" t="s">
        <v>19616</v>
      </c>
      <c r="D4687" s="5" t="s">
        <v>19617</v>
      </c>
      <c r="E4687" s="5" t="s">
        <v>19618</v>
      </c>
      <c r="F4687" s="5" t="str">
        <f>HYPERLINK("http://www.gmservicesrl.it/","www.gmservicesrl.it")</f>
        <v>www.gmservicesrl.it</v>
      </c>
    </row>
    <row r="4688" spans="1:6" ht="29.55" customHeight="1" x14ac:dyDescent="0.25">
      <c r="A4688" s="6" t="s">
        <v>19619</v>
      </c>
      <c r="B4688" s="5" t="s">
        <v>19620</v>
      </c>
      <c r="C4688" s="5" t="s">
        <v>19616</v>
      </c>
      <c r="D4688" s="5" t="s">
        <v>19621</v>
      </c>
      <c r="E4688" s="5" t="s">
        <v>19622</v>
      </c>
      <c r="F4688" s="5" t="str">
        <f>HYPERLINK("http://www.collideltaburno.it/","www.collideltaburno.it")</f>
        <v>www.collideltaburno.it</v>
      </c>
    </row>
    <row r="4689" spans="1:6" ht="16.95" customHeight="1" x14ac:dyDescent="0.25">
      <c r="A4689" s="1" t="s">
        <v>19623</v>
      </c>
      <c r="B4689" s="7" t="s">
        <v>19624</v>
      </c>
      <c r="C4689" s="7" t="s">
        <v>19613</v>
      </c>
      <c r="D4689" s="7" t="s">
        <v>19625</v>
      </c>
      <c r="E4689" s="7" t="s">
        <v>19618</v>
      </c>
      <c r="F4689" s="7" t="str">
        <f>HYPERLINK("http://www.ilcasalealcolle.it/","www.ilcasalealcolle.it")</f>
        <v>www.ilcasalealcolle.it</v>
      </c>
    </row>
    <row r="4690" spans="1:6" ht="29.55" customHeight="1" x14ac:dyDescent="0.25">
      <c r="A4690" s="1" t="s">
        <v>19626</v>
      </c>
      <c r="B4690" s="7" t="s">
        <v>19627</v>
      </c>
      <c r="C4690" s="7" t="s">
        <v>19616</v>
      </c>
      <c r="D4690" s="7" t="s">
        <v>19628</v>
      </c>
      <c r="E4690" s="7" t="s">
        <v>19629</v>
      </c>
      <c r="F4690" s="7" t="str">
        <f>HYPERLINK("http://www.timpebianche.it/","www.timpebianche.it")</f>
        <v>www.timpebianche.it</v>
      </c>
    </row>
    <row r="4691" spans="1:6" ht="29.55" customHeight="1" x14ac:dyDescent="0.25">
      <c r="A4691" s="1" t="s">
        <v>19631</v>
      </c>
      <c r="B4691" s="7" t="s">
        <v>19632</v>
      </c>
      <c r="C4691" s="7" t="s">
        <v>19612</v>
      </c>
      <c r="D4691" s="7" t="s">
        <v>19633</v>
      </c>
      <c r="E4691" s="7" t="s">
        <v>19630</v>
      </c>
      <c r="F4691" s="7" t="str">
        <f>HYPERLINK("http://www.masosalim.it/","www.masosalim.it")</f>
        <v>www.masosalim.it</v>
      </c>
    </row>
    <row r="4692" spans="1:6" ht="16.95" customHeight="1" x14ac:dyDescent="0.25">
      <c r="A4692" s="1" t="s">
        <v>19634</v>
      </c>
      <c r="B4692" s="7" t="s">
        <v>19635</v>
      </c>
      <c r="C4692" s="7" t="s">
        <v>19612</v>
      </c>
      <c r="D4692" s="7" t="s">
        <v>19636</v>
      </c>
      <c r="E4692" s="7" t="s">
        <v>19622</v>
      </c>
      <c r="F4692" s="7" t="str">
        <f>HYPERLINK("http://www.tenutamontesantangelo.it/","www.tenutamontesantangelo.it")</f>
        <v>www.tenutamontesantangelo.it</v>
      </c>
    </row>
    <row r="4693" spans="1:6" ht="29.55" customHeight="1" x14ac:dyDescent="0.25">
      <c r="A4693" s="1" t="s">
        <v>19637</v>
      </c>
      <c r="B4693" s="7" t="s">
        <v>19638</v>
      </c>
      <c r="C4693" s="7" t="s">
        <v>19639</v>
      </c>
      <c r="D4693" s="7" t="s">
        <v>19640</v>
      </c>
      <c r="E4693" s="7" t="s">
        <v>19641</v>
      </c>
      <c r="F4693" s="7" t="str">
        <f>HYPERLINK("http://www.cortedileo.it/","www.cortedileo.it")</f>
        <v>www.cortedileo.it</v>
      </c>
    </row>
    <row r="4694" spans="1:6" ht="29.55" customHeight="1" x14ac:dyDescent="0.25">
      <c r="A4694" s="6" t="s">
        <v>19646</v>
      </c>
      <c r="B4694" s="5" t="s">
        <v>19647</v>
      </c>
      <c r="C4694" s="5" t="s">
        <v>19648</v>
      </c>
      <c r="D4694" s="5" t="s">
        <v>19649</v>
      </c>
      <c r="E4694" s="5" t="s">
        <v>19650</v>
      </c>
      <c r="F4694" s="5" t="str">
        <f>HYPERLINK("http://www.poderesandomenicoatri.it/","www.poderesandomenicoatri.it")</f>
        <v>www.poderesandomenicoatri.it</v>
      </c>
    </row>
    <row r="4695" spans="1:6" ht="29.55" customHeight="1" x14ac:dyDescent="0.25">
      <c r="A4695" s="1" t="s">
        <v>19651</v>
      </c>
      <c r="B4695" s="7" t="s">
        <v>19652</v>
      </c>
      <c r="C4695" s="7" t="s">
        <v>19642</v>
      </c>
      <c r="D4695" s="7" t="s">
        <v>19644</v>
      </c>
      <c r="E4695" s="7" t="s">
        <v>19645</v>
      </c>
      <c r="F4695" s="7" t="str">
        <f>HYPERLINK("http://www.salusmontesano.it/","www.salusmontesano.it")</f>
        <v>www.salusmontesano.it</v>
      </c>
    </row>
    <row r="4696" spans="1:6" ht="43.05" customHeight="1" x14ac:dyDescent="0.25">
      <c r="A4696" s="6" t="s">
        <v>19653</v>
      </c>
      <c r="B4696" s="5" t="s">
        <v>19654</v>
      </c>
      <c r="C4696" s="5" t="s">
        <v>19643</v>
      </c>
      <c r="D4696" s="5" t="s">
        <v>19655</v>
      </c>
      <c r="E4696" s="5" t="s">
        <v>19656</v>
      </c>
      <c r="F4696" s="5" t="str">
        <f>HYPERLINK("http://amoenus.it/","amoenus.it")</f>
        <v>amoenus.it</v>
      </c>
    </row>
    <row r="4697" spans="1:6" ht="29.55" customHeight="1" x14ac:dyDescent="0.25">
      <c r="A4697" s="6" t="s">
        <v>19658</v>
      </c>
      <c r="B4697" s="5" t="s">
        <v>19659</v>
      </c>
      <c r="C4697" s="5" t="s">
        <v>19657</v>
      </c>
      <c r="D4697" s="5" t="s">
        <v>19660</v>
      </c>
      <c r="E4697" s="5" t="s">
        <v>19661</v>
      </c>
      <c r="F4697" s="5" t="str">
        <f>HYPERLINK("http://www.lasciareja.it/","www.lasciareja.it")</f>
        <v>www.lasciareja.it</v>
      </c>
    </row>
    <row r="4698" spans="1:6" ht="29.55" customHeight="1" x14ac:dyDescent="0.25">
      <c r="A4698" s="1" t="s">
        <v>19667</v>
      </c>
      <c r="B4698" s="7" t="s">
        <v>19668</v>
      </c>
      <c r="C4698" s="7" t="s">
        <v>19669</v>
      </c>
      <c r="D4698" s="7" t="s">
        <v>19670</v>
      </c>
      <c r="E4698" s="7" t="s">
        <v>19671</v>
      </c>
      <c r="F4698" s="7" t="str">
        <f>HYPERLINK("http://www.antichecaciare.it/","www.antichecaciare.it")</f>
        <v>www.antichecaciare.it</v>
      </c>
    </row>
    <row r="4699" spans="1:6" ht="55.65" customHeight="1" x14ac:dyDescent="0.25">
      <c r="A4699" s="6" t="s">
        <v>19676</v>
      </c>
      <c r="B4699" s="5" t="s">
        <v>19677</v>
      </c>
      <c r="C4699" s="5" t="s">
        <v>19675</v>
      </c>
      <c r="D4699" s="5" t="s">
        <v>19678</v>
      </c>
      <c r="E4699" s="5" t="s">
        <v>19679</v>
      </c>
      <c r="F4699" s="5" t="str">
        <f>HYPERLINK("http://www.consorzioavo.com/","www.consorzioavo.com")</f>
        <v>www.consorzioavo.com</v>
      </c>
    </row>
    <row r="4700" spans="1:6" ht="29.55" customHeight="1" x14ac:dyDescent="0.25">
      <c r="A4700" s="1" t="s">
        <v>19680</v>
      </c>
      <c r="B4700" s="7" t="s">
        <v>19681</v>
      </c>
      <c r="C4700" s="7" t="s">
        <v>19682</v>
      </c>
      <c r="D4700" s="7" t="s">
        <v>19683</v>
      </c>
      <c r="E4700" s="7" t="s">
        <v>19684</v>
      </c>
      <c r="F4700" s="7" t="str">
        <f>HYPERLINK("http://www.emon-agri.it/","www.emon-agri.it")</f>
        <v>www.emon-agri.it</v>
      </c>
    </row>
    <row r="4701" spans="1:6" ht="29.55" customHeight="1" x14ac:dyDescent="0.25">
      <c r="A4701" s="6" t="s">
        <v>19685</v>
      </c>
      <c r="B4701" s="5" t="s">
        <v>19686</v>
      </c>
      <c r="C4701" s="5" t="s">
        <v>19662</v>
      </c>
      <c r="D4701" s="5" t="s">
        <v>19665</v>
      </c>
      <c r="E4701" s="5" t="s">
        <v>19666</v>
      </c>
      <c r="F4701" s="5" t="str">
        <f>HYPERLINK("http://www.trabuccoaurilio.it/","www.trabuccoaurilio.it")</f>
        <v>www.trabuccoaurilio.it</v>
      </c>
    </row>
    <row r="4702" spans="1:6" ht="29.55" customHeight="1" x14ac:dyDescent="0.25">
      <c r="A4702" s="1" t="s">
        <v>19687</v>
      </c>
      <c r="B4702" s="7" t="s">
        <v>19688</v>
      </c>
      <c r="C4702" s="7" t="s">
        <v>19674</v>
      </c>
      <c r="D4702" s="7" t="s">
        <v>19689</v>
      </c>
      <c r="E4702" s="7" t="s">
        <v>19690</v>
      </c>
      <c r="F4702" s="7" t="str">
        <f>HYPERLINK("http://cerquettino.com/","cerquettino.com")</f>
        <v>cerquettino.com</v>
      </c>
    </row>
    <row r="4703" spans="1:6" ht="29.55" customHeight="1" x14ac:dyDescent="0.25">
      <c r="A4703" s="6" t="s">
        <v>19691</v>
      </c>
      <c r="B4703" s="5" t="s">
        <v>19692</v>
      </c>
      <c r="C4703" s="5" t="s">
        <v>19663</v>
      </c>
      <c r="D4703" s="5" t="s">
        <v>19672</v>
      </c>
      <c r="E4703" s="5" t="s">
        <v>19673</v>
      </c>
      <c r="F4703" s="5" t="str">
        <f>HYPERLINK("http://www.antichiortaggi.it/","www.antichiortaggi.it")</f>
        <v>www.antichiortaggi.it</v>
      </c>
    </row>
    <row r="4704" spans="1:6" ht="29.55" customHeight="1" x14ac:dyDescent="0.25">
      <c r="A4704" s="6" t="s">
        <v>19693</v>
      </c>
      <c r="B4704" s="5" t="s">
        <v>19694</v>
      </c>
      <c r="C4704" s="5" t="s">
        <v>19663</v>
      </c>
      <c r="D4704" s="5" t="s">
        <v>19695</v>
      </c>
      <c r="E4704" s="5" t="s">
        <v>19664</v>
      </c>
      <c r="F4704" s="5" t="str">
        <f>HYPERLINK("http://www.terrafranta.com/","www.terrafranta.com")</f>
        <v>www.terrafranta.com</v>
      </c>
    </row>
    <row r="4705" spans="1:6" ht="29.55" customHeight="1" x14ac:dyDescent="0.25">
      <c r="A4705" s="1" t="s">
        <v>19696</v>
      </c>
      <c r="B4705" s="7" t="s">
        <v>19697</v>
      </c>
      <c r="C4705" s="7" t="s">
        <v>19698</v>
      </c>
      <c r="D4705" s="7" t="s">
        <v>19699</v>
      </c>
      <c r="E4705" s="7" t="s">
        <v>19700</v>
      </c>
      <c r="F4705" s="7" t="str">
        <f>HYPERLINK("http://www.marconivini.it/","www.marconivini.it")</f>
        <v>www.marconivini.it</v>
      </c>
    </row>
    <row r="4706" spans="1:6" ht="29.55" customHeight="1" x14ac:dyDescent="0.25">
      <c r="A4706" s="1" t="s">
        <v>19704</v>
      </c>
      <c r="B4706" s="7" t="s">
        <v>19705</v>
      </c>
      <c r="C4706" s="7" t="s">
        <v>19706</v>
      </c>
      <c r="D4706" s="7" t="s">
        <v>19707</v>
      </c>
      <c r="E4706" s="7" t="s">
        <v>19703</v>
      </c>
      <c r="F4706" s="7" t="str">
        <f>HYPERLINK("http://www.naturalbambu.com/","www.naturalbambu.com")</f>
        <v>www.naturalbambu.com</v>
      </c>
    </row>
    <row r="4707" spans="1:6" ht="16.95" customHeight="1" x14ac:dyDescent="0.25">
      <c r="A4707" s="6" t="s">
        <v>19708</v>
      </c>
      <c r="B4707" s="5" t="s">
        <v>19709</v>
      </c>
      <c r="C4707" s="5" t="s">
        <v>19701</v>
      </c>
      <c r="D4707" s="5" t="s">
        <v>19710</v>
      </c>
      <c r="E4707" s="5" t="s">
        <v>19702</v>
      </c>
      <c r="F4707" s="5" t="str">
        <f>HYPERLINK("http://cannabier.birrificiodeitempli.it/","cannabier.birrificiodeitempli.it")</f>
        <v>cannabier.birrificiodeitempli.it</v>
      </c>
    </row>
    <row r="4708" spans="1:6" ht="29.55" customHeight="1" x14ac:dyDescent="0.25">
      <c r="A4708" s="1" t="s">
        <v>19711</v>
      </c>
      <c r="B4708" s="7" t="s">
        <v>19712</v>
      </c>
      <c r="C4708" s="7" t="s">
        <v>19713</v>
      </c>
      <c r="D4708" s="7" t="s">
        <v>19714</v>
      </c>
      <c r="E4708" s="7" t="s">
        <v>19715</v>
      </c>
      <c r="F4708" s="7" t="str">
        <f>HYPERLINK("http://www.agriturismoselvatica.com/italiano/","www.agriturismoselvatica.com/italiano/")</f>
        <v>www.agriturismoselvatica.com/italiano/</v>
      </c>
    </row>
    <row r="4709" spans="1:6" ht="29.55" customHeight="1" x14ac:dyDescent="0.25">
      <c r="A4709" s="1" t="s">
        <v>19719</v>
      </c>
      <c r="B4709" s="7" t="s">
        <v>19720</v>
      </c>
      <c r="C4709" s="7" t="s">
        <v>19721</v>
      </c>
      <c r="D4709" s="7" t="s">
        <v>19722</v>
      </c>
      <c r="E4709" s="7" t="s">
        <v>19723</v>
      </c>
      <c r="F4709" s="7" t="str">
        <f>HYPERLINK("http://www.elementsagri.it/","www.elementsagri.it")</f>
        <v>www.elementsagri.it</v>
      </c>
    </row>
    <row r="4710" spans="1:6" ht="43.05" customHeight="1" x14ac:dyDescent="0.25">
      <c r="A4710" s="1" t="s">
        <v>19725</v>
      </c>
      <c r="B4710" s="7" t="s">
        <v>19726</v>
      </c>
      <c r="C4710" s="7" t="s">
        <v>19727</v>
      </c>
      <c r="D4710" s="7" t="s">
        <v>19728</v>
      </c>
      <c r="E4710" s="7" t="s">
        <v>19724</v>
      </c>
      <c r="F4710" s="7" t="str">
        <f>HYPERLINK("http://www.agricolagaibotti.it/","www.agricolagaibotti.it")</f>
        <v>www.agricolagaibotti.it</v>
      </c>
    </row>
    <row r="4711" spans="1:6" ht="43.05" customHeight="1" x14ac:dyDescent="0.25">
      <c r="A4711" s="1" t="s">
        <v>19729</v>
      </c>
      <c r="B4711" s="7" t="s">
        <v>19730</v>
      </c>
      <c r="C4711" s="7" t="s">
        <v>19718</v>
      </c>
      <c r="D4711" s="7" t="s">
        <v>19731</v>
      </c>
      <c r="E4711" s="7" t="s">
        <v>19723</v>
      </c>
      <c r="F4711" s="7" t="str">
        <f>HYPERLINK("http://www.fantone.it/","www.fantone.it")</f>
        <v>www.fantone.it</v>
      </c>
    </row>
    <row r="4712" spans="1:6" ht="29.55" customHeight="1" x14ac:dyDescent="0.25">
      <c r="A4712" s="6" t="s">
        <v>19732</v>
      </c>
      <c r="B4712" s="5" t="s">
        <v>19733</v>
      </c>
      <c r="C4712" s="5" t="s">
        <v>19734</v>
      </c>
      <c r="D4712" s="5" t="s">
        <v>19735</v>
      </c>
      <c r="E4712" s="5" t="s">
        <v>19724</v>
      </c>
      <c r="F4712" s="5" t="str">
        <f>HYPERLINK("http://www.genesilife.it/","www.genesilife.it")</f>
        <v>www.genesilife.it</v>
      </c>
    </row>
    <row r="4713" spans="1:6" ht="29.55" customHeight="1" x14ac:dyDescent="0.25">
      <c r="A4713" s="1" t="s">
        <v>19736</v>
      </c>
      <c r="B4713" s="7" t="s">
        <v>19737</v>
      </c>
      <c r="C4713" s="7" t="s">
        <v>19717</v>
      </c>
      <c r="D4713" s="7" t="s">
        <v>19738</v>
      </c>
      <c r="E4713" s="7" t="s">
        <v>19739</v>
      </c>
      <c r="F4713" s="7" t="str">
        <f>HYPERLINK("http://ciavolanera.com/","ciavolanera.com")</f>
        <v>ciavolanera.com</v>
      </c>
    </row>
    <row r="4714" spans="1:6" ht="68.099999999999994" customHeight="1" x14ac:dyDescent="0.25">
      <c r="A4714" s="6" t="s">
        <v>19740</v>
      </c>
      <c r="B4714" s="5" t="s">
        <v>19741</v>
      </c>
      <c r="C4714" s="5" t="s">
        <v>19717</v>
      </c>
      <c r="D4714" s="5" t="s">
        <v>19742</v>
      </c>
      <c r="E4714" s="5" t="s">
        <v>19716</v>
      </c>
      <c r="F4714" s="5" t="str">
        <f>HYPERLINK("http://www.abbaziadelmonte.it/","www.abbaziadelmonte.it")</f>
        <v>www.abbaziadelmonte.it</v>
      </c>
    </row>
    <row r="4715" spans="1:6" ht="29.55" customHeight="1" x14ac:dyDescent="0.25">
      <c r="A4715" s="6" t="s">
        <v>19748</v>
      </c>
      <c r="B4715" s="5" t="s">
        <v>19749</v>
      </c>
      <c r="C4715" s="5" t="s">
        <v>19750</v>
      </c>
      <c r="D4715" s="5" t="s">
        <v>19751</v>
      </c>
      <c r="E4715" s="5" t="s">
        <v>19752</v>
      </c>
      <c r="F4715" s="5" t="str">
        <f>HYPERLINK("http://alpacadelmonviso.it/","alpacadelmonviso.it")</f>
        <v>alpacadelmonviso.it</v>
      </c>
    </row>
    <row r="4716" spans="1:6" ht="43.05" customHeight="1" x14ac:dyDescent="0.25">
      <c r="A4716" s="1" t="s">
        <v>19753</v>
      </c>
      <c r="B4716" s="7" t="s">
        <v>19754</v>
      </c>
      <c r="C4716" s="7" t="s">
        <v>19744</v>
      </c>
      <c r="D4716" s="7" t="s">
        <v>19755</v>
      </c>
      <c r="E4716" s="7" t="s">
        <v>19756</v>
      </c>
      <c r="F4716" s="7" t="str">
        <f>HYPERLINK("http://www.abbondanzagroup.it/","www.abbondanzagroup.it")</f>
        <v>www.abbondanzagroup.it</v>
      </c>
    </row>
    <row r="4717" spans="1:6" ht="43.05" customHeight="1" x14ac:dyDescent="0.25">
      <c r="A4717" s="6" t="s">
        <v>19758</v>
      </c>
      <c r="B4717" s="5" t="s">
        <v>19759</v>
      </c>
      <c r="C4717" s="5" t="s">
        <v>19760</v>
      </c>
      <c r="D4717" s="5" t="s">
        <v>19746</v>
      </c>
      <c r="E4717" s="5" t="s">
        <v>19747</v>
      </c>
      <c r="F4717" s="5" t="str">
        <f>HYPERLINK("http://www.aziendaagricolamonteverde.it/","www.aziendaagricolamonteverde.it")</f>
        <v>www.aziendaagricolamonteverde.it</v>
      </c>
    </row>
    <row r="4718" spans="1:6" ht="29.55" customHeight="1" x14ac:dyDescent="0.25">
      <c r="A4718" s="6" t="s">
        <v>19763</v>
      </c>
      <c r="B4718" s="5" t="s">
        <v>19764</v>
      </c>
      <c r="C4718" s="5" t="s">
        <v>19757</v>
      </c>
      <c r="D4718" s="5" t="s">
        <v>19761</v>
      </c>
      <c r="E4718" s="5" t="s">
        <v>19762</v>
      </c>
      <c r="F4718" s="5" t="str">
        <f>HYPERLINK("http://www.zafferando.it/","www.zafferando.it")</f>
        <v>www.zafferando.it</v>
      </c>
    </row>
    <row r="4719" spans="1:6" ht="29.55" customHeight="1" x14ac:dyDescent="0.25">
      <c r="A4719" s="1" t="s">
        <v>19765</v>
      </c>
      <c r="B4719" s="7" t="s">
        <v>19766</v>
      </c>
      <c r="C4719" s="7" t="s">
        <v>19760</v>
      </c>
      <c r="D4719" s="7" t="s">
        <v>19767</v>
      </c>
      <c r="E4719" s="7" t="s">
        <v>19745</v>
      </c>
      <c r="F4719" s="7" t="str">
        <f>HYPERLINK("http://www.feudodelbiviere.it/","www.feudodelbiviere.it")</f>
        <v>www.feudodelbiviere.it</v>
      </c>
    </row>
    <row r="4720" spans="1:6" ht="29.55" customHeight="1" x14ac:dyDescent="0.25">
      <c r="A4720" s="6" t="s">
        <v>19768</v>
      </c>
      <c r="B4720" s="5" t="s">
        <v>19769</v>
      </c>
      <c r="C4720" s="5" t="s">
        <v>19743</v>
      </c>
      <c r="D4720" s="5" t="s">
        <v>19746</v>
      </c>
      <c r="E4720" s="5" t="s">
        <v>19747</v>
      </c>
      <c r="F4720" s="5" t="str">
        <f>HYPERLINK("http://www.agricolavivarium.it/","www.agricolavivarium.it")</f>
        <v>www.agricolavivarium.it</v>
      </c>
    </row>
    <row r="4721" spans="1:6" ht="55.65" customHeight="1" x14ac:dyDescent="0.25">
      <c r="A4721" s="1" t="s">
        <v>19773</v>
      </c>
      <c r="B4721" s="7" t="s">
        <v>19774</v>
      </c>
      <c r="C4721" s="7" t="s">
        <v>19775</v>
      </c>
      <c r="D4721" s="7" t="s">
        <v>19776</v>
      </c>
      <c r="E4721" s="7" t="s">
        <v>19777</v>
      </c>
      <c r="F4721" s="7" t="str">
        <f>HYPERLINK("http://www.agrisielva.it/","www.agrisielva.it")</f>
        <v>www.agrisielva.it</v>
      </c>
    </row>
    <row r="4722" spans="1:6" ht="29.55" customHeight="1" x14ac:dyDescent="0.25">
      <c r="A4722" s="1" t="s">
        <v>19780</v>
      </c>
      <c r="B4722" s="7" t="s">
        <v>19781</v>
      </c>
      <c r="C4722" s="7" t="s">
        <v>19772</v>
      </c>
      <c r="D4722" s="7" t="s">
        <v>19782</v>
      </c>
      <c r="E4722" s="7" t="s">
        <v>19779</v>
      </c>
      <c r="F4722" s="7" t="str">
        <f>HYPERLINK("http://agricolacelentano.com/","agricolacelentano.com")</f>
        <v>agricolacelentano.com</v>
      </c>
    </row>
    <row r="4723" spans="1:6" ht="29.55" customHeight="1" x14ac:dyDescent="0.25">
      <c r="A4723" s="1" t="s">
        <v>19783</v>
      </c>
      <c r="B4723" s="7" t="s">
        <v>19784</v>
      </c>
      <c r="C4723" s="7" t="s">
        <v>19778</v>
      </c>
      <c r="D4723" s="7" t="s">
        <v>19785</v>
      </c>
      <c r="E4723" s="7" t="s">
        <v>19786</v>
      </c>
      <c r="F4723" s="7" t="str">
        <f>HYPERLINK("http://www.abbaziacasteldalfiolo.com/","www.abbaziacasteldalfiolo.com")</f>
        <v>www.abbaziacasteldalfiolo.com</v>
      </c>
    </row>
    <row r="4724" spans="1:6" ht="55.65" customHeight="1" x14ac:dyDescent="0.25">
      <c r="A4724" s="6" t="s">
        <v>19787</v>
      </c>
      <c r="B4724" s="5" t="s">
        <v>19788</v>
      </c>
      <c r="C4724" s="5" t="s">
        <v>19770</v>
      </c>
      <c r="D4724" s="5" t="s">
        <v>19789</v>
      </c>
      <c r="E4724" s="5" t="s">
        <v>19771</v>
      </c>
      <c r="F4724" s="5" t="str">
        <f>HYPERLINK("http://masseriabadessa.it/","masseriabadessa.it")</f>
        <v>masseriabadessa.it</v>
      </c>
    </row>
    <row r="4725" spans="1:6" ht="29.55" customHeight="1" x14ac:dyDescent="0.25">
      <c r="A4725" s="6" t="s">
        <v>19790</v>
      </c>
      <c r="B4725" s="5" t="s">
        <v>19791</v>
      </c>
      <c r="C4725" s="5" t="s">
        <v>19792</v>
      </c>
      <c r="D4725" s="5" t="s">
        <v>19793</v>
      </c>
      <c r="E4725" s="5" t="s">
        <v>19794</v>
      </c>
      <c r="F4725" s="5" t="str">
        <f>HYPERLINK("http://www.fresca24.it/","www.fresca24.it")</f>
        <v>www.fresca24.it</v>
      </c>
    </row>
    <row r="4726" spans="1:6" ht="29.55" customHeight="1" x14ac:dyDescent="0.25">
      <c r="A4726" s="1" t="s">
        <v>19795</v>
      </c>
      <c r="B4726" s="7" t="s">
        <v>19796</v>
      </c>
      <c r="C4726" s="7" t="s">
        <v>19797</v>
      </c>
      <c r="D4726" s="7" t="s">
        <v>19793</v>
      </c>
      <c r="E4726" s="7" t="s">
        <v>19794</v>
      </c>
      <c r="F4726" s="7" t="str">
        <f>HYPERLINK("http://www.terredelpaladino.it/","www.terredelpaladino.it")</f>
        <v>www.terredelpaladino.it</v>
      </c>
    </row>
    <row r="4727" spans="1:6" ht="29.55" customHeight="1" x14ac:dyDescent="0.25">
      <c r="A4727" s="6" t="s">
        <v>19798</v>
      </c>
      <c r="B4727" s="5" t="s">
        <v>19799</v>
      </c>
      <c r="C4727" s="5" t="s">
        <v>19800</v>
      </c>
      <c r="D4727" s="5" t="s">
        <v>19801</v>
      </c>
      <c r="E4727" s="5" t="s">
        <v>19802</v>
      </c>
      <c r="F4727" s="5" t="str">
        <f>HYPERLINK("http://lombricolturasiciliana.it/","lombricolturasiciliana.it")</f>
        <v>lombricolturasiciliana.it</v>
      </c>
    </row>
    <row r="4728" spans="1:6" ht="29.55" customHeight="1" x14ac:dyDescent="0.25">
      <c r="A4728" s="6" t="s">
        <v>19803</v>
      </c>
      <c r="B4728" s="5" t="s">
        <v>19804</v>
      </c>
      <c r="C4728" s="5" t="s">
        <v>19805</v>
      </c>
      <c r="D4728" s="5" t="s">
        <v>19806</v>
      </c>
      <c r="E4728" s="5" t="s">
        <v>19802</v>
      </c>
      <c r="F4728" s="5" t="str">
        <f>HYPERLINK("http://www.orialsole.it/","www.orialsole.it")</f>
        <v>www.orialsole.it</v>
      </c>
    </row>
    <row r="4729" spans="1:6" ht="29.55" customHeight="1" x14ac:dyDescent="0.25">
      <c r="A4729" s="6" t="s">
        <v>19807</v>
      </c>
      <c r="B4729" s="5" t="s">
        <v>19808</v>
      </c>
      <c r="C4729" s="5" t="s">
        <v>19792</v>
      </c>
      <c r="D4729" s="5" t="s">
        <v>19809</v>
      </c>
      <c r="E4729" s="5" t="s">
        <v>19810</v>
      </c>
      <c r="F4729" s="5" t="str">
        <f>HYPERLINK("http://paiadepasqua.com/","paiadepasqua.com")</f>
        <v>paiadepasqua.com</v>
      </c>
    </row>
    <row r="4730" spans="1:6" ht="29.55" customHeight="1" x14ac:dyDescent="0.25">
      <c r="A4730" s="6" t="s">
        <v>19815</v>
      </c>
      <c r="B4730" s="5" t="s">
        <v>19816</v>
      </c>
      <c r="C4730" s="5" t="s">
        <v>19817</v>
      </c>
      <c r="D4730" s="5" t="s">
        <v>19818</v>
      </c>
      <c r="E4730" s="5" t="s">
        <v>19819</v>
      </c>
      <c r="F4730" s="5" t="str">
        <f>HYPERLINK("http://www.isideagricola.it/","www.isideagricola.it")</f>
        <v>www.isideagricola.it</v>
      </c>
    </row>
    <row r="4731" spans="1:6" ht="43.05" customHeight="1" x14ac:dyDescent="0.25">
      <c r="A4731" s="6" t="s">
        <v>19820</v>
      </c>
      <c r="B4731" s="5" t="s">
        <v>19821</v>
      </c>
      <c r="C4731" s="5" t="s">
        <v>19822</v>
      </c>
      <c r="D4731" s="5" t="s">
        <v>19823</v>
      </c>
      <c r="E4731" s="5" t="s">
        <v>19823</v>
      </c>
      <c r="F4731" s="5" t="str">
        <f>HYPERLINK("http://coopsantamaria.it/","coopsantamaria.it")</f>
        <v>coopsantamaria.it</v>
      </c>
    </row>
    <row r="4732" spans="1:6" ht="29.55" customHeight="1" x14ac:dyDescent="0.25">
      <c r="A4732" s="6" t="s">
        <v>19824</v>
      </c>
      <c r="B4732" s="5" t="s">
        <v>19825</v>
      </c>
      <c r="C4732" s="5" t="s">
        <v>19826</v>
      </c>
      <c r="D4732" s="5" t="s">
        <v>19827</v>
      </c>
      <c r="E4732" s="5" t="s">
        <v>19814</v>
      </c>
      <c r="F4732" s="5" t="str">
        <f>HYPERLINK("http://www.oliodopcollinadibrindisi.it/","www.oliodopcollinadibrindisi.it")</f>
        <v>www.oliodopcollinadibrindisi.it</v>
      </c>
    </row>
    <row r="4733" spans="1:6" ht="16.95" customHeight="1" x14ac:dyDescent="0.25">
      <c r="A4733" s="1" t="s">
        <v>19828</v>
      </c>
      <c r="B4733" s="7" t="s">
        <v>19829</v>
      </c>
      <c r="C4733" s="7" t="s">
        <v>19811</v>
      </c>
      <c r="D4733" s="7" t="s">
        <v>19812</v>
      </c>
      <c r="E4733" s="7" t="s">
        <v>19813</v>
      </c>
      <c r="F4733" s="7" t="str">
        <f>HYPERLINK("http://www.autosilo.biz/","www.autosilo.biz")</f>
        <v>www.autosilo.biz</v>
      </c>
    </row>
    <row r="4734" spans="1:6" ht="29.55" customHeight="1" x14ac:dyDescent="0.25">
      <c r="A4734" s="6" t="s">
        <v>19830</v>
      </c>
      <c r="B4734" s="5" t="s">
        <v>19831</v>
      </c>
      <c r="C4734" s="5" t="s">
        <v>19817</v>
      </c>
      <c r="D4734" s="5" t="s">
        <v>19832</v>
      </c>
      <c r="E4734" s="5" t="s">
        <v>19813</v>
      </c>
      <c r="F4734" s="5" t="str">
        <f>HYPERLINK("http://villapepoli.eu/","villapepoli.eu")</f>
        <v>villapepoli.eu</v>
      </c>
    </row>
    <row r="4735" spans="1:6" ht="29.55" customHeight="1" x14ac:dyDescent="0.25">
      <c r="A4735" s="1" t="s">
        <v>19833</v>
      </c>
      <c r="B4735" s="7" t="s">
        <v>19834</v>
      </c>
      <c r="C4735" s="7" t="s">
        <v>19817</v>
      </c>
      <c r="D4735" s="7" t="s">
        <v>19835</v>
      </c>
      <c r="E4735" s="7" t="s">
        <v>19836</v>
      </c>
      <c r="F4735" s="7" t="str">
        <f>HYPERLINK("http://fruttaesapori.com/","fruttaesapori.com")</f>
        <v>fruttaesapori.com</v>
      </c>
    </row>
    <row r="4736" spans="1:6" ht="43.05" customHeight="1" x14ac:dyDescent="0.25">
      <c r="A4736" s="6" t="s">
        <v>19842</v>
      </c>
      <c r="B4736" s="5" t="s">
        <v>19843</v>
      </c>
      <c r="C4736" s="5" t="s">
        <v>19839</v>
      </c>
      <c r="D4736" s="5" t="s">
        <v>19840</v>
      </c>
      <c r="E4736" s="5" t="s">
        <v>19837</v>
      </c>
      <c r="F4736" s="5" t="str">
        <f>HYPERLINK("http://www.macchiabuia.com/","www.macchiabuia.com")</f>
        <v>www.macchiabuia.com</v>
      </c>
    </row>
    <row r="4737" spans="1:6" ht="29.55" customHeight="1" x14ac:dyDescent="0.25">
      <c r="A4737" s="6" t="s">
        <v>19844</v>
      </c>
      <c r="B4737" s="5" t="s">
        <v>19845</v>
      </c>
      <c r="C4737" s="5" t="s">
        <v>19838</v>
      </c>
      <c r="D4737" s="5" t="s">
        <v>19846</v>
      </c>
      <c r="E4737" s="5" t="s">
        <v>19841</v>
      </c>
      <c r="F4737" s="5" t="str">
        <f>HYPERLINK("http://balzegrigie.it/","balzegrigie.it")</f>
        <v>balzegrigie.it</v>
      </c>
    </row>
    <row r="4738" spans="1:6" ht="29.55" customHeight="1" x14ac:dyDescent="0.25">
      <c r="A4738" s="1" t="s">
        <v>19850</v>
      </c>
      <c r="B4738" s="7" t="s">
        <v>19851</v>
      </c>
      <c r="C4738" s="7" t="s">
        <v>19849</v>
      </c>
      <c r="D4738" s="7" t="s">
        <v>19852</v>
      </c>
      <c r="E4738" s="7" t="s">
        <v>19853</v>
      </c>
      <c r="F4738" s="7" t="str">
        <f>HYPERLINK("http://sbfconsulting.eu/studio-commercialisti/sedi/","sbfconsulting.eu/studio-commercialisti/sedi/")</f>
        <v>sbfconsulting.eu/studio-commercialisti/sedi/</v>
      </c>
    </row>
    <row r="4739" spans="1:6" ht="68.099999999999994" customHeight="1" x14ac:dyDescent="0.25">
      <c r="A4739" s="6" t="s">
        <v>19854</v>
      </c>
      <c r="B4739" s="5" t="s">
        <v>19855</v>
      </c>
      <c r="C4739" s="5" t="s">
        <v>19856</v>
      </c>
      <c r="D4739" s="5" t="s">
        <v>19857</v>
      </c>
      <c r="E4739" s="5" t="s">
        <v>19858</v>
      </c>
      <c r="F4739" s="5" t="str">
        <f>HYPERLINK("http://www.grappedellavalle.it/","www.grappedellavalle.it")</f>
        <v>www.grappedellavalle.it</v>
      </c>
    </row>
    <row r="4740" spans="1:6" ht="29.55" customHeight="1" x14ac:dyDescent="0.25">
      <c r="A4740" s="1" t="s">
        <v>19859</v>
      </c>
      <c r="B4740" s="7" t="s">
        <v>19860</v>
      </c>
      <c r="C4740" s="7" t="s">
        <v>19849</v>
      </c>
      <c r="D4740" s="7" t="s">
        <v>19861</v>
      </c>
      <c r="E4740" s="7" t="s">
        <v>19848</v>
      </c>
      <c r="F4740" s="7" t="str">
        <f>HYPERLINK("http://www.baronedivisceglia.com/","www.baronedivisceglia.com")</f>
        <v>www.baronedivisceglia.com</v>
      </c>
    </row>
    <row r="4741" spans="1:6" ht="43.05" customHeight="1" x14ac:dyDescent="0.25">
      <c r="A4741" s="6" t="s">
        <v>19862</v>
      </c>
      <c r="B4741" s="5" t="s">
        <v>19863</v>
      </c>
      <c r="C4741" s="5" t="s">
        <v>19864</v>
      </c>
      <c r="D4741" s="5" t="s">
        <v>19865</v>
      </c>
      <c r="E4741" s="5" t="s">
        <v>19866</v>
      </c>
      <c r="F4741" s="5" t="str">
        <f>HYPERLINK("http://www.ortidimassimiliano.it/","www.ortidimassimiliano.it")</f>
        <v>www.ortidimassimiliano.it</v>
      </c>
    </row>
    <row r="4742" spans="1:6" ht="29.55" customHeight="1" x14ac:dyDescent="0.25">
      <c r="A4742" s="1" t="s">
        <v>19867</v>
      </c>
      <c r="B4742" s="7" t="s">
        <v>19868</v>
      </c>
      <c r="C4742" s="7" t="s">
        <v>19847</v>
      </c>
      <c r="D4742" s="7" t="s">
        <v>19869</v>
      </c>
      <c r="E4742" s="7" t="s">
        <v>19866</v>
      </c>
      <c r="F4742" s="7" t="str">
        <f>HYPERLINK("http://vitalgreen.it/","vitalgreen.it")</f>
        <v>vitalgreen.it</v>
      </c>
    </row>
    <row r="4743" spans="1:6" ht="29.55" customHeight="1" x14ac:dyDescent="0.25">
      <c r="A4743" s="1" t="s">
        <v>19870</v>
      </c>
      <c r="B4743" s="7" t="s">
        <v>19871</v>
      </c>
      <c r="C4743" s="7" t="s">
        <v>19872</v>
      </c>
      <c r="D4743" s="7" t="s">
        <v>19873</v>
      </c>
      <c r="E4743" s="7" t="s">
        <v>19874</v>
      </c>
      <c r="F4743" s="7" t="str">
        <f>HYPERLINK("http://www.vinimontecarmelo.com/","www.vinimontecarmelo.com")</f>
        <v>www.vinimontecarmelo.com</v>
      </c>
    </row>
    <row r="4744" spans="1:6" ht="29.55" customHeight="1" x14ac:dyDescent="0.25">
      <c r="A4744" s="1" t="s">
        <v>19878</v>
      </c>
      <c r="B4744" s="7" t="s">
        <v>19879</v>
      </c>
      <c r="C4744" s="7" t="s">
        <v>19880</v>
      </c>
      <c r="D4744" s="7" t="s">
        <v>19881</v>
      </c>
      <c r="E4744" s="7" t="s">
        <v>19882</v>
      </c>
      <c r="F4744" s="7" t="str">
        <f>HYPERLINK("http://www.vivaistitrentini.it/","www.vivaistitrentini.it")</f>
        <v>www.vivaistitrentini.it</v>
      </c>
    </row>
    <row r="4745" spans="1:6" ht="29.55" customHeight="1" x14ac:dyDescent="0.25">
      <c r="A4745" s="6" t="s">
        <v>19883</v>
      </c>
      <c r="B4745" s="5" t="s">
        <v>19884</v>
      </c>
      <c r="C4745" s="5" t="s">
        <v>19885</v>
      </c>
      <c r="D4745" s="5" t="s">
        <v>19886</v>
      </c>
      <c r="E4745" s="5" t="s">
        <v>19876</v>
      </c>
      <c r="F4745" s="5" t="str">
        <f>HYPERLINK("http://www.ilbordonesrl.it/","www.ilbordonesrl.it")</f>
        <v>www.ilbordonesrl.it</v>
      </c>
    </row>
    <row r="4746" spans="1:6" ht="29.55" customHeight="1" x14ac:dyDescent="0.25">
      <c r="A4746" s="6" t="s">
        <v>19887</v>
      </c>
      <c r="B4746" s="5" t="s">
        <v>19888</v>
      </c>
      <c r="C4746" s="5" t="s">
        <v>19889</v>
      </c>
      <c r="D4746" s="5" t="s">
        <v>19890</v>
      </c>
      <c r="E4746" s="5" t="s">
        <v>19877</v>
      </c>
      <c r="F4746" s="5" t="str">
        <f>HYPERLINK("http://www.lafattoriadipol.it/","www.lafattoriadipol.it")</f>
        <v>www.lafattoriadipol.it</v>
      </c>
    </row>
    <row r="4747" spans="1:6" ht="29.55" customHeight="1" x14ac:dyDescent="0.25">
      <c r="A4747" s="1" t="s">
        <v>19891</v>
      </c>
      <c r="B4747" s="7" t="s">
        <v>19892</v>
      </c>
      <c r="C4747" s="7" t="s">
        <v>19872</v>
      </c>
      <c r="D4747" s="7" t="s">
        <v>19893</v>
      </c>
      <c r="E4747" s="7" t="s">
        <v>19875</v>
      </c>
      <c r="F4747" s="7" t="str">
        <f>HYPERLINK("http://www.carbonevini.it/","www.carbonevini.it")</f>
        <v>www.carbonevini.it</v>
      </c>
    </row>
    <row r="4748" spans="1:6" ht="29.55" customHeight="1" x14ac:dyDescent="0.25">
      <c r="A4748" s="6" t="s">
        <v>19897</v>
      </c>
      <c r="B4748" s="5" t="s">
        <v>19898</v>
      </c>
      <c r="C4748" s="5" t="s">
        <v>19894</v>
      </c>
      <c r="D4748" s="5" t="s">
        <v>19899</v>
      </c>
      <c r="E4748" s="5" t="s">
        <v>19900</v>
      </c>
      <c r="F4748" s="5" t="str">
        <f>HYPERLINK("http://www.costruzioniafelg.com/","www.costruzioniafelg.com")</f>
        <v>www.costruzioniafelg.com</v>
      </c>
    </row>
    <row r="4749" spans="1:6" ht="55.65" customHeight="1" x14ac:dyDescent="0.25">
      <c r="A4749" s="1" t="s">
        <v>19901</v>
      </c>
      <c r="B4749" s="7" t="s">
        <v>19902</v>
      </c>
      <c r="C4749" s="7" t="s">
        <v>19895</v>
      </c>
      <c r="D4749" s="7" t="s">
        <v>19903</v>
      </c>
      <c r="E4749" s="7" t="s">
        <v>19896</v>
      </c>
      <c r="F4749" s="7" t="str">
        <f>HYPERLINK("http://agendamedici.it/","agendamedici.it")</f>
        <v>agendamedici.it</v>
      </c>
    </row>
    <row r="4750" spans="1:6" ht="29.55" customHeight="1" x14ac:dyDescent="0.25">
      <c r="A4750" s="1" t="s">
        <v>19906</v>
      </c>
      <c r="B4750" s="7" t="s">
        <v>19907</v>
      </c>
      <c r="C4750" s="7" t="s">
        <v>19905</v>
      </c>
      <c r="D4750" s="7" t="s">
        <v>19908</v>
      </c>
      <c r="E4750" s="7" t="s">
        <v>19909</v>
      </c>
      <c r="F4750" s="7" t="str">
        <f>HYPERLINK("http://www.sanfelicefly.it/","www.sanfelicefly.it")</f>
        <v>www.sanfelicefly.it</v>
      </c>
    </row>
    <row r="4751" spans="1:6" ht="29.55" customHeight="1" x14ac:dyDescent="0.25">
      <c r="A4751" s="1" t="s">
        <v>19910</v>
      </c>
      <c r="B4751" s="7" t="s">
        <v>19911</v>
      </c>
      <c r="C4751" s="7" t="s">
        <v>19904</v>
      </c>
      <c r="D4751" s="7" t="s">
        <v>19912</v>
      </c>
      <c r="E4751" s="7" t="s">
        <v>19900</v>
      </c>
      <c r="F4751" s="7" t="str">
        <f>HYPERLINK("http://www.tenutasellata.it/","www.tenutasellata.it")</f>
        <v>www.tenutasellata.it</v>
      </c>
    </row>
    <row r="4752" spans="1:6" ht="29.55" customHeight="1" x14ac:dyDescent="0.25">
      <c r="A4752" s="1" t="s">
        <v>19923</v>
      </c>
      <c r="B4752" s="7" t="s">
        <v>19924</v>
      </c>
      <c r="C4752" s="7" t="s">
        <v>19925</v>
      </c>
      <c r="D4752" s="7" t="s">
        <v>19926</v>
      </c>
      <c r="E4752" s="7" t="s">
        <v>19917</v>
      </c>
      <c r="F4752" s="7" t="str">
        <f>HYPERLINK("http://www.agriturismoidebbi.it/","www.agriturismoidebbi.it")</f>
        <v>www.agriturismoidebbi.it</v>
      </c>
    </row>
    <row r="4753" spans="1:6" ht="55.65" customHeight="1" x14ac:dyDescent="0.25">
      <c r="A4753" s="1" t="s">
        <v>19927</v>
      </c>
      <c r="B4753" s="7" t="s">
        <v>19928</v>
      </c>
      <c r="C4753" s="7" t="s">
        <v>19929</v>
      </c>
      <c r="D4753" s="7" t="s">
        <v>19930</v>
      </c>
      <c r="E4753" s="7" t="s">
        <v>19922</v>
      </c>
      <c r="F4753" s="7" t="str">
        <f>HYPERLINK("http://agronocciole.it/","agronocciole.it")</f>
        <v>agronocciole.it</v>
      </c>
    </row>
    <row r="4754" spans="1:6" ht="29.55" customHeight="1" x14ac:dyDescent="0.25">
      <c r="A4754" s="1" t="s">
        <v>19931</v>
      </c>
      <c r="B4754" s="7" t="s">
        <v>19932</v>
      </c>
      <c r="C4754" s="7" t="s">
        <v>19933</v>
      </c>
      <c r="D4754" s="7" t="s">
        <v>19918</v>
      </c>
      <c r="E4754" s="7" t="s">
        <v>19919</v>
      </c>
      <c r="F4754" s="7" t="str">
        <f>HYPERLINK("http://www.agricolturanuova.it/","www.agricolturanuova.it")</f>
        <v>www.agricolturanuova.it</v>
      </c>
    </row>
    <row r="4755" spans="1:6" ht="29.55" customHeight="1" x14ac:dyDescent="0.25">
      <c r="A4755" s="1" t="s">
        <v>19934</v>
      </c>
      <c r="B4755" s="7" t="s">
        <v>19935</v>
      </c>
      <c r="C4755" s="7" t="s">
        <v>19915</v>
      </c>
      <c r="D4755" s="7" t="s">
        <v>19936</v>
      </c>
      <c r="E4755" s="7" t="s">
        <v>19914</v>
      </c>
      <c r="F4755" s="7" t="str">
        <f>HYPERLINK("http://www.agricolaquattromani.it/","www.agricolaquattromani.it")</f>
        <v>www.agricolaquattromani.it</v>
      </c>
    </row>
    <row r="4756" spans="1:6" ht="43.05" customHeight="1" x14ac:dyDescent="0.25">
      <c r="A4756" s="6" t="s">
        <v>19937</v>
      </c>
      <c r="B4756" s="5" t="s">
        <v>19938</v>
      </c>
      <c r="C4756" s="5" t="s">
        <v>19939</v>
      </c>
      <c r="D4756" s="5" t="s">
        <v>19940</v>
      </c>
      <c r="E4756" s="5" t="s">
        <v>19941</v>
      </c>
      <c r="F4756" s="5" t="str">
        <f>HYPERLINK("http://www.agugiarofigna.com/","www.agugiarofigna.com")</f>
        <v>www.agugiarofigna.com</v>
      </c>
    </row>
    <row r="4757" spans="1:6" ht="55.65" customHeight="1" x14ac:dyDescent="0.25">
      <c r="A4757" s="6" t="s">
        <v>19942</v>
      </c>
      <c r="B4757" s="5" t="s">
        <v>19943</v>
      </c>
      <c r="C4757" s="5" t="s">
        <v>19921</v>
      </c>
      <c r="D4757" s="5" t="s">
        <v>19944</v>
      </c>
      <c r="E4757" s="5" t="s">
        <v>19920</v>
      </c>
      <c r="F4757" s="5" t="str">
        <f>HYPERLINK("http://www.consensowine.it/","www.consensowine.it")</f>
        <v>www.consensowine.it</v>
      </c>
    </row>
    <row r="4758" spans="1:6" ht="43.05" customHeight="1" x14ac:dyDescent="0.25">
      <c r="A4758" s="1" t="s">
        <v>19945</v>
      </c>
      <c r="B4758" s="7" t="s">
        <v>19946</v>
      </c>
      <c r="C4758" s="7" t="s">
        <v>19921</v>
      </c>
      <c r="D4758" s="7" t="s">
        <v>19947</v>
      </c>
      <c r="E4758" s="7" t="s">
        <v>19916</v>
      </c>
      <c r="F4758" s="7" t="str">
        <f>HYPERLINK("http://www.viticoltoriverbicaro.it/","www.viticoltoriverbicaro.it")</f>
        <v>www.viticoltoriverbicaro.it</v>
      </c>
    </row>
    <row r="4759" spans="1:6" ht="29.55" customHeight="1" x14ac:dyDescent="0.25">
      <c r="A4759" s="6" t="s">
        <v>19948</v>
      </c>
      <c r="B4759" s="5" t="s">
        <v>19949</v>
      </c>
      <c r="C4759" s="5" t="s">
        <v>19950</v>
      </c>
      <c r="D4759" s="5" t="s">
        <v>19913</v>
      </c>
      <c r="E4759" s="5" t="s">
        <v>19914</v>
      </c>
      <c r="F4759" s="5" t="str">
        <f>HYPERLINK("http://www.ipeperoncini.com/","www.ipeperoncini.com")</f>
        <v>www.ipeperoncini.com</v>
      </c>
    </row>
    <row r="4760" spans="1:6" ht="43.05" customHeight="1" x14ac:dyDescent="0.25">
      <c r="A4760" s="1" t="s">
        <v>19952</v>
      </c>
      <c r="B4760" s="7" t="s">
        <v>19953</v>
      </c>
      <c r="C4760" s="7" t="s">
        <v>19954</v>
      </c>
      <c r="D4760" s="7" t="s">
        <v>19955</v>
      </c>
      <c r="E4760" s="7" t="s">
        <v>19956</v>
      </c>
      <c r="F4760" s="7" t="str">
        <f>HYPERLINK("http://opera-eventi.com/","opera-eventi.com")</f>
        <v>opera-eventi.com</v>
      </c>
    </row>
    <row r="4761" spans="1:6" ht="29.55" customHeight="1" x14ac:dyDescent="0.25">
      <c r="A4761" s="1" t="s">
        <v>19959</v>
      </c>
      <c r="B4761" s="7" t="s">
        <v>19960</v>
      </c>
      <c r="C4761" s="7" t="s">
        <v>19961</v>
      </c>
      <c r="D4761" s="7" t="s">
        <v>19958</v>
      </c>
      <c r="E4761" s="7" t="s">
        <v>19951</v>
      </c>
      <c r="F4761" s="7" t="str">
        <f>HYPERLINK("http://www.valsolda.net/","www.valsolda.net")</f>
        <v>www.valsolda.net</v>
      </c>
    </row>
    <row r="4762" spans="1:6" ht="29.55" customHeight="1" x14ac:dyDescent="0.25">
      <c r="A4762" s="1" t="s">
        <v>19963</v>
      </c>
      <c r="B4762" s="7" t="s">
        <v>19964</v>
      </c>
      <c r="C4762" s="7" t="s">
        <v>19957</v>
      </c>
      <c r="D4762" s="7" t="s">
        <v>19965</v>
      </c>
      <c r="E4762" s="7" t="s">
        <v>19966</v>
      </c>
      <c r="F4762" s="7" t="str">
        <f>HYPERLINK("http://www.collesanpaolo.it/","www.collesanpaolo.it")</f>
        <v>www.collesanpaolo.it</v>
      </c>
    </row>
    <row r="4763" spans="1:6" ht="16.95" customHeight="1" x14ac:dyDescent="0.25">
      <c r="A4763" s="6" t="s">
        <v>19968</v>
      </c>
      <c r="B4763" s="5" t="s">
        <v>19969</v>
      </c>
      <c r="C4763" s="5" t="s">
        <v>19962</v>
      </c>
      <c r="D4763" s="5" t="s">
        <v>19970</v>
      </c>
      <c r="E4763" s="5" t="s">
        <v>19967</v>
      </c>
      <c r="F4763" s="5" t="str">
        <f>HYPERLINK("http://www.villas-andrea.it/","www.villas-andrea.it")</f>
        <v>www.villas-andrea.it</v>
      </c>
    </row>
    <row r="4764" spans="1:6" ht="29.55" customHeight="1" x14ac:dyDescent="0.25">
      <c r="A4764" s="1" t="s">
        <v>19973</v>
      </c>
      <c r="B4764" s="7" t="s">
        <v>19974</v>
      </c>
      <c r="C4764" s="7" t="s">
        <v>19972</v>
      </c>
      <c r="D4764" s="7" t="s">
        <v>19975</v>
      </c>
      <c r="E4764" s="7" t="s">
        <v>19971</v>
      </c>
      <c r="F4764" s="7" t="str">
        <f>HYPERLINK("http://www.marasrl.it/","www.marasrl.it")</f>
        <v>www.marasrl.it</v>
      </c>
    </row>
    <row r="4765" spans="1:6" ht="16.95" customHeight="1" x14ac:dyDescent="0.25">
      <c r="A4765" s="6" t="s">
        <v>19978</v>
      </c>
      <c r="B4765" s="5" t="s">
        <v>19979</v>
      </c>
      <c r="C4765" s="5" t="s">
        <v>19980</v>
      </c>
      <c r="D4765" s="5" t="s">
        <v>19981</v>
      </c>
      <c r="E4765" s="5" t="s">
        <v>19977</v>
      </c>
      <c r="F4765" s="5" t="str">
        <f>HYPERLINK("http://pizzeriailgiglio3.business.site/","pizzeriailgiglio3.business.site/")</f>
        <v>pizzeriailgiglio3.business.site/</v>
      </c>
    </row>
    <row r="4766" spans="1:6" ht="29.55" customHeight="1" x14ac:dyDescent="0.25">
      <c r="A4766" s="6" t="s">
        <v>19983</v>
      </c>
      <c r="B4766" s="5" t="s">
        <v>19984</v>
      </c>
      <c r="C4766" s="5" t="s">
        <v>19976</v>
      </c>
      <c r="D4766" s="5" t="s">
        <v>19985</v>
      </c>
      <c r="E4766" s="5" t="s">
        <v>19977</v>
      </c>
      <c r="F4766" s="5" t="str">
        <f>HYPERLINK("http://www.planing.it/","www.planing.it")</f>
        <v>www.planing.it</v>
      </c>
    </row>
    <row r="4767" spans="1:6" ht="29.55" customHeight="1" x14ac:dyDescent="0.25">
      <c r="A4767" s="6" t="s">
        <v>19986</v>
      </c>
      <c r="B4767" s="5" t="s">
        <v>19987</v>
      </c>
      <c r="C4767" s="5" t="s">
        <v>19972</v>
      </c>
      <c r="D4767" s="5" t="s">
        <v>19988</v>
      </c>
      <c r="E4767" s="5" t="s">
        <v>19982</v>
      </c>
      <c r="F4767" s="5" t="str">
        <f>HYPERLINK("http://www.mo.cna.it/cittadini/cna-world/","www.mo.cna.it/cittadini/cna-world/")</f>
        <v>www.mo.cna.it/cittadini/cna-world/</v>
      </c>
    </row>
    <row r="4768" spans="1:6" ht="29.55" customHeight="1" x14ac:dyDescent="0.25">
      <c r="A4768" s="1" t="s">
        <v>19989</v>
      </c>
      <c r="B4768" s="7" t="s">
        <v>19990</v>
      </c>
      <c r="C4768" s="7" t="s">
        <v>19991</v>
      </c>
      <c r="D4768" s="7" t="s">
        <v>19992</v>
      </c>
      <c r="E4768" s="7" t="s">
        <v>19993</v>
      </c>
      <c r="F4768" s="7" t="str">
        <f>HYPERLINK("http://www.casalescola.it/","www.casalescola.it")</f>
        <v>www.casalescola.it</v>
      </c>
    </row>
    <row r="4769" spans="1:6" ht="16.95" customHeight="1" x14ac:dyDescent="0.25">
      <c r="A4769" s="6" t="s">
        <v>19996</v>
      </c>
      <c r="B4769" s="5" t="s">
        <v>19997</v>
      </c>
      <c r="C4769" s="5" t="s">
        <v>19998</v>
      </c>
      <c r="D4769" s="5" t="s">
        <v>19999</v>
      </c>
      <c r="E4769" s="5" t="s">
        <v>19995</v>
      </c>
      <c r="F4769" s="5" t="str">
        <f>HYPERLINK("http://valdiluna.it/","valdiluna.it")</f>
        <v>valdiluna.it</v>
      </c>
    </row>
    <row r="4770" spans="1:6" ht="29.55" customHeight="1" x14ac:dyDescent="0.25">
      <c r="A4770" s="1" t="s">
        <v>20000</v>
      </c>
      <c r="B4770" s="7" t="s">
        <v>20001</v>
      </c>
      <c r="C4770" s="7" t="s">
        <v>20002</v>
      </c>
      <c r="D4770" s="7" t="s">
        <v>20003</v>
      </c>
      <c r="E4770" s="7" t="s">
        <v>20004</v>
      </c>
      <c r="F4770" s="7" t="str">
        <f>HYPERLINK("http://www.secolario.com/","www.secolario.com")</f>
        <v>www.secolario.com</v>
      </c>
    </row>
    <row r="4771" spans="1:6" ht="55.65" customHeight="1" x14ac:dyDescent="0.25">
      <c r="A4771" s="1" t="s">
        <v>20005</v>
      </c>
      <c r="B4771" s="7" t="s">
        <v>20006</v>
      </c>
      <c r="C4771" s="7" t="s">
        <v>20007</v>
      </c>
      <c r="D4771" s="7" t="s">
        <v>20008</v>
      </c>
      <c r="E4771" s="7" t="s">
        <v>20009</v>
      </c>
      <c r="F4771" s="7" t="str">
        <f>HYPERLINK("http://consorziogranosolina.it/","consorziogranosolina.it")</f>
        <v>consorziogranosolina.it</v>
      </c>
    </row>
    <row r="4772" spans="1:6" ht="29.55" customHeight="1" x14ac:dyDescent="0.25">
      <c r="A4772" s="6" t="s">
        <v>20010</v>
      </c>
      <c r="B4772" s="5" t="s">
        <v>20011</v>
      </c>
      <c r="C4772" s="5" t="s">
        <v>19994</v>
      </c>
      <c r="D4772" s="5" t="s">
        <v>20012</v>
      </c>
      <c r="E4772" s="5" t="s">
        <v>20013</v>
      </c>
      <c r="F4772" s="5" t="str">
        <f>HYPERLINK("http://alpago.club/","alpago.club")</f>
        <v>alpago.club</v>
      </c>
    </row>
    <row r="4773" spans="1:6" ht="55.65" customHeight="1" x14ac:dyDescent="0.25">
      <c r="A4773" s="6" t="s">
        <v>20015</v>
      </c>
      <c r="B4773" s="5" t="s">
        <v>20016</v>
      </c>
      <c r="C4773" s="5" t="s">
        <v>20017</v>
      </c>
      <c r="D4773" s="5" t="s">
        <v>20018</v>
      </c>
      <c r="E4773" s="5" t="s">
        <v>20019</v>
      </c>
      <c r="F4773" s="5" t="str">
        <f>HYPERLINK("http://www.tenutadongiovanni.it/","www.tenutadongiovanni.it")</f>
        <v>www.tenutadongiovanni.it</v>
      </c>
    </row>
    <row r="4774" spans="1:6" ht="29.55" customHeight="1" x14ac:dyDescent="0.25">
      <c r="A4774" s="6" t="s">
        <v>20020</v>
      </c>
      <c r="B4774" s="5" t="s">
        <v>20021</v>
      </c>
      <c r="C4774" s="5" t="s">
        <v>20022</v>
      </c>
      <c r="D4774" s="5" t="s">
        <v>20023</v>
      </c>
      <c r="E4774" s="5" t="s">
        <v>20024</v>
      </c>
      <c r="F4774" s="5" t="str">
        <f>HYPERLINK("http://www.dell-orso.com/","www.dell-orso.com")</f>
        <v>www.dell-orso.com</v>
      </c>
    </row>
    <row r="4775" spans="1:6" ht="43.05" customHeight="1" x14ac:dyDescent="0.25">
      <c r="A4775" s="6" t="s">
        <v>20027</v>
      </c>
      <c r="B4775" s="5" t="s">
        <v>20028</v>
      </c>
      <c r="C4775" s="5" t="s">
        <v>20029</v>
      </c>
      <c r="D4775" s="5" t="s">
        <v>20025</v>
      </c>
      <c r="E4775" s="5" t="s">
        <v>20014</v>
      </c>
      <c r="F4775" s="5" t="str">
        <f>HYPERLINK("http://www.ortidelcanottiere.com/","www.ortidelcanottiere.com")</f>
        <v>www.ortidelcanottiere.com</v>
      </c>
    </row>
    <row r="4776" spans="1:6" ht="29.55" customHeight="1" x14ac:dyDescent="0.25">
      <c r="A4776" s="1" t="s">
        <v>20031</v>
      </c>
      <c r="B4776" s="7" t="s">
        <v>20032</v>
      </c>
      <c r="C4776" s="7" t="s">
        <v>20026</v>
      </c>
      <c r="D4776" s="7" t="s">
        <v>20033</v>
      </c>
      <c r="E4776" s="7" t="s">
        <v>20034</v>
      </c>
      <c r="F4776" s="7" t="str">
        <f>HYPERLINK("http://oliogagir.it/","oliogagir.it")</f>
        <v>oliogagir.it</v>
      </c>
    </row>
    <row r="4777" spans="1:6" ht="43.05" customHeight="1" x14ac:dyDescent="0.25">
      <c r="A4777" s="6" t="s">
        <v>20035</v>
      </c>
      <c r="B4777" s="5" t="s">
        <v>20036</v>
      </c>
      <c r="C4777" s="5" t="s">
        <v>20026</v>
      </c>
      <c r="D4777" s="5" t="s">
        <v>20037</v>
      </c>
      <c r="E4777" s="5" t="s">
        <v>20034</v>
      </c>
      <c r="F4777" s="5" t="str">
        <f>HYPERLINK("http://www.ilbordonesrl.it/","www.ilbordonesrl.it")</f>
        <v>www.ilbordonesrl.it</v>
      </c>
    </row>
    <row r="4778" spans="1:6" ht="29.55" customHeight="1" x14ac:dyDescent="0.25">
      <c r="A4778" s="1" t="s">
        <v>20038</v>
      </c>
      <c r="B4778" s="7" t="s">
        <v>20039</v>
      </c>
      <c r="C4778" s="7" t="s">
        <v>20030</v>
      </c>
      <c r="D4778" s="7" t="s">
        <v>20025</v>
      </c>
      <c r="E4778" s="7" t="s">
        <v>20014</v>
      </c>
      <c r="F4778" s="7" t="str">
        <f>HYPERLINK("http://appaloosa.blog/2016/01/15/allevamento-ranch-appaloosa/","appaloosa.blog/2016/01/15/allevamento-ranch-appaloosa/")</f>
        <v>appaloosa.blog/2016/01/15/allevamento-ranch-appaloosa/</v>
      </c>
    </row>
    <row r="4779" spans="1:6" ht="43.05" customHeight="1" x14ac:dyDescent="0.25">
      <c r="A4779" s="6" t="s">
        <v>20040</v>
      </c>
      <c r="B4779" s="5" t="s">
        <v>20041</v>
      </c>
      <c r="C4779" s="5" t="s">
        <v>20042</v>
      </c>
      <c r="D4779" s="5" t="s">
        <v>20043</v>
      </c>
      <c r="E4779" s="5" t="s">
        <v>20044</v>
      </c>
      <c r="F4779" s="5" t="str">
        <f>HYPERLINK("http://www.nextfarm.it/","www.nextfarm.it")</f>
        <v>www.nextfarm.it</v>
      </c>
    </row>
    <row r="4780" spans="1:6" ht="43.05" customHeight="1" x14ac:dyDescent="0.25">
      <c r="A4780" s="6" t="s">
        <v>20047</v>
      </c>
      <c r="B4780" s="5" t="s">
        <v>20048</v>
      </c>
      <c r="C4780" s="5" t="s">
        <v>20049</v>
      </c>
      <c r="D4780" s="5" t="s">
        <v>20050</v>
      </c>
      <c r="E4780" s="5" t="s">
        <v>20051</v>
      </c>
      <c r="F4780" s="5" t="str">
        <f>HYPERLINK("http://www.serramale.it/","www.serramale.it")</f>
        <v>www.serramale.it</v>
      </c>
    </row>
    <row r="4781" spans="1:6" ht="29.55" customHeight="1" x14ac:dyDescent="0.25">
      <c r="A4781" s="1" t="s">
        <v>20054</v>
      </c>
      <c r="B4781" s="7" t="s">
        <v>20055</v>
      </c>
      <c r="C4781" s="7" t="s">
        <v>20045</v>
      </c>
      <c r="D4781" s="7" t="s">
        <v>20056</v>
      </c>
      <c r="E4781" s="7" t="s">
        <v>20053</v>
      </c>
      <c r="F4781" s="7" t="str">
        <f>HYPERLINK("http://www.sanbartologubbio.it/","www.sanbartologubbio.it")</f>
        <v>www.sanbartologubbio.it</v>
      </c>
    </row>
    <row r="4782" spans="1:6" ht="16.95" customHeight="1" x14ac:dyDescent="0.25">
      <c r="A4782" s="1" t="s">
        <v>20057</v>
      </c>
      <c r="B4782" s="7" t="s">
        <v>20058</v>
      </c>
      <c r="C4782" s="7" t="s">
        <v>20059</v>
      </c>
      <c r="D4782" s="7" t="s">
        <v>20060</v>
      </c>
      <c r="E4782" s="7" t="s">
        <v>20046</v>
      </c>
      <c r="F4782" s="7" t="str">
        <f>HYPERLINK("http://www.sicilycommerce.it/","www.sicilycommerce.it")</f>
        <v>www.sicilycommerce.it</v>
      </c>
    </row>
    <row r="4783" spans="1:6" ht="29.55" customHeight="1" x14ac:dyDescent="0.25">
      <c r="A4783" s="1" t="s">
        <v>20061</v>
      </c>
      <c r="B4783" s="7" t="s">
        <v>20062</v>
      </c>
      <c r="C4783" s="7" t="s">
        <v>20052</v>
      </c>
      <c r="D4783" s="7" t="s">
        <v>20063</v>
      </c>
      <c r="E4783" s="7" t="s">
        <v>20046</v>
      </c>
      <c r="F4783" s="7" t="str">
        <f>HYPERLINK("http://www.xuto.it/","www.xuto.it")</f>
        <v>www.xuto.it</v>
      </c>
    </row>
    <row r="4784" spans="1:6" ht="43.05" customHeight="1" x14ac:dyDescent="0.25">
      <c r="A4784" s="1" t="s">
        <v>20067</v>
      </c>
      <c r="B4784" s="7" t="s">
        <v>20068</v>
      </c>
      <c r="C4784" s="7" t="s">
        <v>20064</v>
      </c>
      <c r="D4784" s="7" t="s">
        <v>20069</v>
      </c>
      <c r="E4784" s="7" t="s">
        <v>20065</v>
      </c>
      <c r="F4784" s="7" t="str">
        <f>HYPERLINK("http://www.agricolavignudelli.it/","www.agricolavignudelli.it")</f>
        <v>www.agricolavignudelli.it</v>
      </c>
    </row>
    <row r="4785" spans="1:6" ht="29.55" customHeight="1" x14ac:dyDescent="0.25">
      <c r="A4785" s="1" t="s">
        <v>20070</v>
      </c>
      <c r="B4785" s="7" t="s">
        <v>20071</v>
      </c>
      <c r="C4785" s="7" t="s">
        <v>20064</v>
      </c>
      <c r="D4785" s="7" t="s">
        <v>20072</v>
      </c>
      <c r="E4785" s="7" t="s">
        <v>20073</v>
      </c>
      <c r="F4785" s="7" t="str">
        <f>HYPERLINK("http://www.agriponos.it/","www.agriponos.it")</f>
        <v>www.agriponos.it</v>
      </c>
    </row>
    <row r="4786" spans="1:6" ht="29.55" customHeight="1" x14ac:dyDescent="0.25">
      <c r="A4786" s="1" t="s">
        <v>20074</v>
      </c>
      <c r="B4786" s="7" t="s">
        <v>20075</v>
      </c>
      <c r="C4786" s="7" t="s">
        <v>20066</v>
      </c>
      <c r="D4786" s="7" t="s">
        <v>20076</v>
      </c>
      <c r="E4786" s="7" t="s">
        <v>20077</v>
      </c>
      <c r="F4786" s="7" t="str">
        <f>HYPERLINK("http://professionale.saissementi.it/it/cataloghi/","professionale.saissementi.it/it/cataloghi/")</f>
        <v>professionale.saissementi.it/it/cataloghi/</v>
      </c>
    </row>
    <row r="4787" spans="1:6" ht="29.55" customHeight="1" x14ac:dyDescent="0.25">
      <c r="A4787" s="6" t="s">
        <v>20082</v>
      </c>
      <c r="B4787" s="5" t="s">
        <v>20083</v>
      </c>
      <c r="C4787" s="5" t="s">
        <v>20081</v>
      </c>
      <c r="D4787" s="5" t="s">
        <v>20084</v>
      </c>
      <c r="E4787" s="5" t="s">
        <v>20080</v>
      </c>
      <c r="F4787" s="5" t="str">
        <f>HYPERLINK("http://terredifulvio.it/","terredifulvio.it")</f>
        <v>terredifulvio.it</v>
      </c>
    </row>
    <row r="4788" spans="1:6" ht="16.95" customHeight="1" x14ac:dyDescent="0.25">
      <c r="A4788" s="1" t="s">
        <v>20085</v>
      </c>
      <c r="B4788" s="7" t="s">
        <v>20086</v>
      </c>
      <c r="C4788" s="7" t="s">
        <v>20078</v>
      </c>
      <c r="D4788" s="7" t="s">
        <v>20087</v>
      </c>
      <c r="E4788" s="7" t="s">
        <v>20079</v>
      </c>
      <c r="F4788" s="7" t="str">
        <f>HYPERLINK("http://www.affittiuffici.com/","www.affittiuffici.com")</f>
        <v>www.affittiuffici.com</v>
      </c>
    </row>
    <row r="4789" spans="1:6" ht="55.65" customHeight="1" x14ac:dyDescent="0.25">
      <c r="A4789" s="1" t="s">
        <v>20088</v>
      </c>
      <c r="B4789" s="7" t="s">
        <v>20089</v>
      </c>
      <c r="C4789" s="7" t="s">
        <v>20090</v>
      </c>
      <c r="D4789" s="7" t="s">
        <v>20091</v>
      </c>
      <c r="E4789" s="7" t="s">
        <v>20092</v>
      </c>
      <c r="F4789" s="7" t="str">
        <f>HYPERLINK("http://www.coprodimetaponto.it/","www.coprodimetaponto.it")</f>
        <v>www.coprodimetaponto.it</v>
      </c>
    </row>
    <row r="4790" spans="1:6" ht="16.95" customHeight="1" x14ac:dyDescent="0.25">
      <c r="A4790" s="6" t="s">
        <v>20093</v>
      </c>
      <c r="B4790" s="5" t="s">
        <v>20094</v>
      </c>
      <c r="C4790" s="5" t="s">
        <v>20095</v>
      </c>
      <c r="D4790" s="5" t="s">
        <v>20096</v>
      </c>
      <c r="E4790" s="5" t="s">
        <v>20097</v>
      </c>
      <c r="F4790" s="5" t="str">
        <f>HYPERLINK("http://www.vesuvioverde.it/","www.vesuvioverde.it")</f>
        <v>www.vesuvioverde.it</v>
      </c>
    </row>
    <row r="4791" spans="1:6" ht="68.099999999999994" customHeight="1" x14ac:dyDescent="0.25">
      <c r="A4791" s="1" t="s">
        <v>20101</v>
      </c>
      <c r="B4791" s="7" t="s">
        <v>20102</v>
      </c>
      <c r="C4791" s="7" t="s">
        <v>20100</v>
      </c>
      <c r="D4791" s="7" t="s">
        <v>20103</v>
      </c>
      <c r="E4791" s="7" t="s">
        <v>20104</v>
      </c>
      <c r="F4791" s="7" t="str">
        <f>HYPERLINK("http://vagofelice.bio/","vagofelice.bio")</f>
        <v>vagofelice.bio</v>
      </c>
    </row>
    <row r="4792" spans="1:6" ht="29.55" customHeight="1" x14ac:dyDescent="0.25">
      <c r="A4792" s="6" t="s">
        <v>20105</v>
      </c>
      <c r="B4792" s="5" t="s">
        <v>20106</v>
      </c>
      <c r="C4792" s="5" t="s">
        <v>20099</v>
      </c>
      <c r="D4792" s="5" t="s">
        <v>20107</v>
      </c>
      <c r="E4792" s="5" t="s">
        <v>20098</v>
      </c>
      <c r="F4792" s="5" t="str">
        <f>HYPERLINK("http://www.tenutatornatore.com/","www.tenutatornatore.com")</f>
        <v>www.tenutatornatore.com</v>
      </c>
    </row>
    <row r="4793" spans="1:6" ht="29.55" customHeight="1" x14ac:dyDescent="0.25">
      <c r="A4793" s="6" t="s">
        <v>20110</v>
      </c>
      <c r="B4793" s="5" t="s">
        <v>20111</v>
      </c>
      <c r="C4793" s="5" t="s">
        <v>20112</v>
      </c>
      <c r="D4793" s="5" t="s">
        <v>20113</v>
      </c>
      <c r="E4793" s="5" t="s">
        <v>20114</v>
      </c>
      <c r="F4793" s="5" t="str">
        <f>HYPERLINK("http://www.gruppodamato.it/","www.gruppodamato.it")</f>
        <v>www.gruppodamato.it</v>
      </c>
    </row>
    <row r="4794" spans="1:6" ht="55.65" customHeight="1" x14ac:dyDescent="0.25">
      <c r="A4794" s="1" t="s">
        <v>20117</v>
      </c>
      <c r="B4794" s="7" t="s">
        <v>20118</v>
      </c>
      <c r="C4794" s="7" t="s">
        <v>20119</v>
      </c>
      <c r="D4794" s="7" t="s">
        <v>20115</v>
      </c>
      <c r="E4794" s="7" t="s">
        <v>20116</v>
      </c>
      <c r="F4794" s="7" t="str">
        <f>HYPERLINK("http://www.lavalledelleccellenze.com/","www.lavalledelleccellenze.com")</f>
        <v>www.lavalledelleccellenze.com</v>
      </c>
    </row>
    <row r="4795" spans="1:6" ht="16.95" customHeight="1" x14ac:dyDescent="0.25">
      <c r="A4795" s="1" t="s">
        <v>20120</v>
      </c>
      <c r="B4795" s="7" t="s">
        <v>20121</v>
      </c>
      <c r="C4795" s="7" t="s">
        <v>20122</v>
      </c>
      <c r="D4795" s="7" t="s">
        <v>20108</v>
      </c>
      <c r="E4795" s="7" t="s">
        <v>20109</v>
      </c>
      <c r="F4795" s="7" t="str">
        <f>HYPERLINK("http://www.verdecaba.com/","www.verdecaba.com")</f>
        <v>www.verdecaba.com</v>
      </c>
    </row>
    <row r="4796" spans="1:6" ht="29.55" customHeight="1" x14ac:dyDescent="0.25">
      <c r="A4796" s="6" t="s">
        <v>20123</v>
      </c>
      <c r="B4796" s="5" t="s">
        <v>20124</v>
      </c>
      <c r="C4796" s="5" t="s">
        <v>20125</v>
      </c>
      <c r="D4796" s="5" t="s">
        <v>20126</v>
      </c>
      <c r="E4796" s="5" t="s">
        <v>20127</v>
      </c>
      <c r="F4796" s="5" t="str">
        <f>HYPERLINK("http://www.contare.com/","www.contare.com")</f>
        <v>www.contare.com</v>
      </c>
    </row>
    <row r="4797" spans="1:6" ht="29.55" customHeight="1" x14ac:dyDescent="0.25">
      <c r="A4797" s="1" t="s">
        <v>20128</v>
      </c>
      <c r="B4797" s="7" t="s">
        <v>20129</v>
      </c>
      <c r="C4797" s="7" t="s">
        <v>20112</v>
      </c>
      <c r="D4797" s="7" t="s">
        <v>20130</v>
      </c>
      <c r="E4797" s="7" t="s">
        <v>20131</v>
      </c>
      <c r="F4797" s="7" t="str">
        <f>HYPERLINK("http://www.resiliens.it/","www.resiliens.it")</f>
        <v>www.resiliens.it</v>
      </c>
    </row>
    <row r="4798" spans="1:6" ht="29.55" customHeight="1" x14ac:dyDescent="0.25">
      <c r="A4798" s="1" t="s">
        <v>20133</v>
      </c>
      <c r="B4798" s="7" t="s">
        <v>20134</v>
      </c>
      <c r="C4798" s="7" t="s">
        <v>20112</v>
      </c>
      <c r="D4798" s="7" t="s">
        <v>20135</v>
      </c>
      <c r="E4798" s="7" t="s">
        <v>20114</v>
      </c>
      <c r="F4798" s="7" t="str">
        <f>HYPERLINK("http://www.camag.it/","www.camag.it")</f>
        <v>www.camag.it</v>
      </c>
    </row>
    <row r="4799" spans="1:6" ht="43.05" customHeight="1" x14ac:dyDescent="0.25">
      <c r="A4799" s="6" t="s">
        <v>20136</v>
      </c>
      <c r="B4799" s="5" t="s">
        <v>20137</v>
      </c>
      <c r="C4799" s="5" t="s">
        <v>20112</v>
      </c>
      <c r="D4799" s="5" t="s">
        <v>20138</v>
      </c>
      <c r="E4799" s="5" t="s">
        <v>20114</v>
      </c>
      <c r="F4799" s="5" t="str">
        <f>HYPERLINK("http://www.masseriabambarone.com/","www.masseriabambarone.com")</f>
        <v>www.masseriabambarone.com</v>
      </c>
    </row>
    <row r="4800" spans="1:6" ht="29.55" customHeight="1" x14ac:dyDescent="0.25">
      <c r="A4800" s="6" t="s">
        <v>20139</v>
      </c>
      <c r="B4800" s="5" t="s">
        <v>20140</v>
      </c>
      <c r="C4800" s="5" t="s">
        <v>20132</v>
      </c>
      <c r="D4800" s="5" t="s">
        <v>20141</v>
      </c>
      <c r="E4800" s="5" t="s">
        <v>20116</v>
      </c>
      <c r="F4800" s="5" t="str">
        <f>HYPERLINK("http://www.petrabraia.com/","www.petrabraia.com")</f>
        <v>www.petrabraia.com</v>
      </c>
    </row>
    <row r="4801" spans="1:6" ht="16.95" customHeight="1" x14ac:dyDescent="0.25">
      <c r="A4801" s="1" t="s">
        <v>20145</v>
      </c>
      <c r="B4801" s="7" t="s">
        <v>20146</v>
      </c>
      <c r="C4801" s="7" t="s">
        <v>20144</v>
      </c>
      <c r="D4801" s="7" t="s">
        <v>20147</v>
      </c>
      <c r="E4801" s="7" t="s">
        <v>20143</v>
      </c>
      <c r="F4801" s="7" t="str">
        <f>HYPERLINK("http://www.beccarello.it/","www.beccarello.it")</f>
        <v>www.beccarello.it</v>
      </c>
    </row>
    <row r="4802" spans="1:6" ht="29.55" customHeight="1" x14ac:dyDescent="0.25">
      <c r="A4802" s="1" t="s">
        <v>20148</v>
      </c>
      <c r="B4802" s="7" t="s">
        <v>20149</v>
      </c>
      <c r="C4802" s="7" t="s">
        <v>20150</v>
      </c>
      <c r="D4802" s="7" t="s">
        <v>20151</v>
      </c>
      <c r="E4802" s="7" t="s">
        <v>20152</v>
      </c>
      <c r="F4802" s="7" t="str">
        <f>HYPERLINK("http://www.agriverdeonline.it/","www.agriverdeonline.it")</f>
        <v>www.agriverdeonline.it</v>
      </c>
    </row>
    <row r="4803" spans="1:6" ht="29.55" customHeight="1" x14ac:dyDescent="0.25">
      <c r="A4803" s="1" t="s">
        <v>20154</v>
      </c>
      <c r="B4803" s="7" t="s">
        <v>20155</v>
      </c>
      <c r="C4803" s="7" t="s">
        <v>20153</v>
      </c>
      <c r="D4803" s="7" t="s">
        <v>20156</v>
      </c>
      <c r="E4803" s="7" t="s">
        <v>20142</v>
      </c>
      <c r="F4803" s="7" t="str">
        <f>HYPERLINK("http://www.lombrichino.com/","www.lombrichino.com")</f>
        <v>www.lombrichino.com</v>
      </c>
    </row>
    <row r="4804" spans="1:6" ht="43.05" customHeight="1" x14ac:dyDescent="0.25">
      <c r="A4804" s="1" t="s">
        <v>20163</v>
      </c>
      <c r="B4804" s="7" t="s">
        <v>20164</v>
      </c>
      <c r="C4804" s="7" t="s">
        <v>20162</v>
      </c>
      <c r="D4804" s="7" t="s">
        <v>20158</v>
      </c>
      <c r="E4804" s="7" t="s">
        <v>20159</v>
      </c>
      <c r="F4804" s="7" t="str">
        <f>HYPERLINK("http://tenutacicalino.com/","tenutacicalino.com/")</f>
        <v>tenutacicalino.com/</v>
      </c>
    </row>
    <row r="4805" spans="1:6" ht="43.05" customHeight="1" x14ac:dyDescent="0.25">
      <c r="A4805" s="1" t="s">
        <v>20165</v>
      </c>
      <c r="B4805" s="7" t="s">
        <v>20166</v>
      </c>
      <c r="C4805" s="7" t="s">
        <v>20160</v>
      </c>
      <c r="D4805" s="7" t="s">
        <v>20167</v>
      </c>
      <c r="E4805" s="7" t="s">
        <v>20161</v>
      </c>
      <c r="F4805" s="7" t="str">
        <f>HYPERLINK("http://www.eccellenzeciociare.it/","www.eccellenzeciociare.it")</f>
        <v>www.eccellenzeciociare.it</v>
      </c>
    </row>
    <row r="4806" spans="1:6" ht="29.55" customHeight="1" x14ac:dyDescent="0.25">
      <c r="A4806" s="6" t="s">
        <v>20168</v>
      </c>
      <c r="B4806" s="5" t="s">
        <v>20169</v>
      </c>
      <c r="C4806" s="5" t="s">
        <v>20157</v>
      </c>
      <c r="D4806" s="5" t="s">
        <v>20158</v>
      </c>
      <c r="E4806" s="5" t="s">
        <v>20159</v>
      </c>
      <c r="F4806" s="5" t="str">
        <f>HYPERLINK("http://www.compagniaolivitoscana.it/","www.compagniaolivitoscana.it")</f>
        <v>www.compagniaolivitoscana.it</v>
      </c>
    </row>
    <row r="4807" spans="1:6" ht="29.55" customHeight="1" x14ac:dyDescent="0.25">
      <c r="A4807" s="1" t="s">
        <v>20172</v>
      </c>
      <c r="B4807" s="7" t="s">
        <v>20173</v>
      </c>
      <c r="C4807" s="7" t="s">
        <v>20170</v>
      </c>
      <c r="D4807" s="7" t="s">
        <v>20174</v>
      </c>
      <c r="E4807" s="7" t="s">
        <v>20171</v>
      </c>
      <c r="F4807" s="7" t="str">
        <f>HYPERLINK("http://www.fattoriacamporomano.it/","www.fattoriacamporomano.it")</f>
        <v>www.fattoriacamporomano.it</v>
      </c>
    </row>
    <row r="4808" spans="1:6" ht="29.55" customHeight="1" x14ac:dyDescent="0.25">
      <c r="A4808" s="6" t="s">
        <v>20176</v>
      </c>
      <c r="B4808" s="5" t="s">
        <v>20177</v>
      </c>
      <c r="C4808" s="5" t="s">
        <v>20175</v>
      </c>
      <c r="D4808" s="5" t="s">
        <v>20178</v>
      </c>
      <c r="E4808" s="5" t="s">
        <v>20179</v>
      </c>
      <c r="F4808" s="5" t="str">
        <f>HYPERLINK("http://www.lacostadelsole.it/","www.lacostadelsole.it")</f>
        <v>www.lacostadelsole.it</v>
      </c>
    </row>
    <row r="4809" spans="1:6" ht="29.55" customHeight="1" x14ac:dyDescent="0.25">
      <c r="A4809" s="1" t="s">
        <v>20182</v>
      </c>
      <c r="B4809" s="7" t="s">
        <v>20183</v>
      </c>
      <c r="C4809" s="7" t="s">
        <v>20184</v>
      </c>
      <c r="D4809" s="7" t="s">
        <v>20185</v>
      </c>
      <c r="E4809" s="7" t="s">
        <v>20180</v>
      </c>
      <c r="F4809" s="7" t="str">
        <f>HYPERLINK("http://zambros.com/","zambros.com")</f>
        <v>zambros.com</v>
      </c>
    </row>
    <row r="4810" spans="1:6" ht="29.55" customHeight="1" x14ac:dyDescent="0.25">
      <c r="A4810" s="1" t="s">
        <v>20187</v>
      </c>
      <c r="B4810" s="7" t="s">
        <v>20188</v>
      </c>
      <c r="C4810" s="7" t="s">
        <v>20189</v>
      </c>
      <c r="D4810" s="7" t="s">
        <v>20190</v>
      </c>
      <c r="E4810" s="7" t="s">
        <v>20191</v>
      </c>
      <c r="F4810" s="7" t="str">
        <f>HYPERLINK("http://www.eco-point.it/","www.eco-point.it")</f>
        <v>www.eco-point.it</v>
      </c>
    </row>
    <row r="4811" spans="1:6" ht="29.55" customHeight="1" x14ac:dyDescent="0.25">
      <c r="A4811" s="6" t="s">
        <v>20192</v>
      </c>
      <c r="B4811" s="5" t="s">
        <v>20193</v>
      </c>
      <c r="C4811" s="5" t="s">
        <v>20181</v>
      </c>
      <c r="D4811" s="5" t="s">
        <v>20194</v>
      </c>
      <c r="E4811" s="5" t="s">
        <v>20195</v>
      </c>
      <c r="F4811" s="5" t="str">
        <f>HYPERLINK("http://www.grandigusti.com/","www.grandigusti.com")</f>
        <v>www.grandigusti.com</v>
      </c>
    </row>
    <row r="4812" spans="1:6" ht="29.55" customHeight="1" x14ac:dyDescent="0.25">
      <c r="A4812" s="1" t="s">
        <v>20196</v>
      </c>
      <c r="B4812" s="7" t="s">
        <v>20197</v>
      </c>
      <c r="C4812" s="7" t="s">
        <v>20186</v>
      </c>
      <c r="D4812" s="7" t="s">
        <v>20198</v>
      </c>
      <c r="E4812" s="7" t="s">
        <v>20195</v>
      </c>
      <c r="F4812" s="7" t="str">
        <f>HYPERLINK("http://www.fattoriarasenna.it/","www.fattoriarasenna.it")</f>
        <v>www.fattoriarasenna.it</v>
      </c>
    </row>
    <row r="4813" spans="1:6" ht="29.55" customHeight="1" x14ac:dyDescent="0.25">
      <c r="A4813" s="6" t="s">
        <v>20199</v>
      </c>
      <c r="B4813" s="5" t="s">
        <v>20200</v>
      </c>
      <c r="C4813" s="5" t="s">
        <v>20201</v>
      </c>
      <c r="D4813" s="5" t="s">
        <v>20202</v>
      </c>
      <c r="E4813" s="5" t="s">
        <v>20195</v>
      </c>
      <c r="F4813" s="5" t="str">
        <f>HYPERLINK("http://www.fattoriasantostefano.com/","www.fattoriasantostefano.com")</f>
        <v>www.fattoriasantostefano.com</v>
      </c>
    </row>
    <row r="4814" spans="1:6" ht="43.05" customHeight="1" x14ac:dyDescent="0.25">
      <c r="A4814" s="1" t="s">
        <v>20203</v>
      </c>
      <c r="B4814" s="7" t="s">
        <v>20204</v>
      </c>
      <c r="C4814" s="7" t="s">
        <v>20205</v>
      </c>
      <c r="D4814" s="7" t="s">
        <v>20206</v>
      </c>
      <c r="E4814" s="7" t="s">
        <v>20207</v>
      </c>
      <c r="F4814" s="7" t="str">
        <f>HYPERLINK("http://www.cressline.it/","www.cressline.it")</f>
        <v>www.cressline.it</v>
      </c>
    </row>
    <row r="4815" spans="1:6" ht="43.05" customHeight="1" x14ac:dyDescent="0.25">
      <c r="A4815" s="6" t="s">
        <v>20209</v>
      </c>
      <c r="B4815" s="5" t="s">
        <v>20210</v>
      </c>
      <c r="C4815" s="5" t="s">
        <v>20205</v>
      </c>
      <c r="D4815" s="5" t="s">
        <v>20211</v>
      </c>
      <c r="E4815" s="5" t="s">
        <v>20212</v>
      </c>
      <c r="F4815" s="5" t="str">
        <f>HYPERLINK("http://www.greenheartbio.it/","www.greenheartbio.it")</f>
        <v>www.greenheartbio.it</v>
      </c>
    </row>
    <row r="4816" spans="1:6" ht="29.55" customHeight="1" x14ac:dyDescent="0.25">
      <c r="A4816" s="6" t="s">
        <v>20215</v>
      </c>
      <c r="B4816" s="5" t="s">
        <v>20216</v>
      </c>
      <c r="C4816" s="5" t="s">
        <v>20213</v>
      </c>
      <c r="D4816" s="5" t="s">
        <v>20217</v>
      </c>
      <c r="E4816" s="5" t="s">
        <v>20218</v>
      </c>
      <c r="F4816" s="5" t="str">
        <f>HYPERLINK("http://www.pizzone.com/","www.pizzone.com")</f>
        <v>www.pizzone.com</v>
      </c>
    </row>
    <row r="4817" spans="1:6" ht="29.55" customHeight="1" x14ac:dyDescent="0.25">
      <c r="A4817" s="1" t="s">
        <v>20220</v>
      </c>
      <c r="B4817" s="7" t="s">
        <v>20221</v>
      </c>
      <c r="C4817" s="7" t="s">
        <v>20222</v>
      </c>
      <c r="D4817" s="7" t="s">
        <v>20223</v>
      </c>
      <c r="E4817" s="7" t="s">
        <v>20219</v>
      </c>
      <c r="F4817" s="7" t="str">
        <f>HYPERLINK("http://www.larosadeiventienna.com/","www.larosadeiventienna.com")</f>
        <v>www.larosadeiventienna.com</v>
      </c>
    </row>
    <row r="4818" spans="1:6" ht="16.95" customHeight="1" x14ac:dyDescent="0.25">
      <c r="A4818" s="1" t="s">
        <v>20226</v>
      </c>
      <c r="B4818" s="7" t="s">
        <v>20227</v>
      </c>
      <c r="C4818" s="7" t="s">
        <v>20228</v>
      </c>
      <c r="D4818" s="7" t="s">
        <v>20224</v>
      </c>
      <c r="E4818" s="7" t="s">
        <v>20225</v>
      </c>
      <c r="F4818" s="7" t="str">
        <f>HYPERLINK("http://v-techfarm.com/","v-techfarm.com")</f>
        <v>v-techfarm.com</v>
      </c>
    </row>
    <row r="4819" spans="1:6" ht="29.55" customHeight="1" x14ac:dyDescent="0.25">
      <c r="A4819" s="6" t="s">
        <v>20229</v>
      </c>
      <c r="B4819" s="5" t="s">
        <v>20230</v>
      </c>
      <c r="C4819" s="5" t="s">
        <v>20208</v>
      </c>
      <c r="D4819" s="5" t="s">
        <v>20231</v>
      </c>
      <c r="E4819" s="5" t="s">
        <v>20214</v>
      </c>
      <c r="F4819" s="5" t="str">
        <f>HYPERLINK("http://egreen21.com/","egreen21.com")</f>
        <v>egreen21.com</v>
      </c>
    </row>
    <row r="4820" spans="1:6" ht="16.95" customHeight="1" x14ac:dyDescent="0.25">
      <c r="A4820" s="1" t="s">
        <v>20232</v>
      </c>
      <c r="B4820" s="7" t="s">
        <v>20233</v>
      </c>
      <c r="C4820" s="7" t="s">
        <v>20234</v>
      </c>
      <c r="D4820" s="7" t="s">
        <v>20235</v>
      </c>
      <c r="E4820" s="7" t="s">
        <v>20236</v>
      </c>
      <c r="F4820" s="7" t="str">
        <f>HYPERLINK("http://www.hemporisteria.it/","www.hemporisteria.it")</f>
        <v>www.hemporisteria.it</v>
      </c>
    </row>
    <row r="4821" spans="1:6" ht="29.55" customHeight="1" x14ac:dyDescent="0.25">
      <c r="A4821" s="6" t="s">
        <v>20238</v>
      </c>
      <c r="B4821" s="5" t="s">
        <v>20239</v>
      </c>
      <c r="C4821" s="5" t="s">
        <v>20240</v>
      </c>
      <c r="D4821" s="5" t="s">
        <v>20241</v>
      </c>
      <c r="E4821" s="5" t="s">
        <v>20237</v>
      </c>
      <c r="F4821" s="5" t="str">
        <f>HYPERLINK("http://www.centrale.farm/","www.centrale.farm")</f>
        <v>www.centrale.farm</v>
      </c>
    </row>
    <row r="4822" spans="1:6" ht="29.55" customHeight="1" x14ac:dyDescent="0.25">
      <c r="A4822" s="1" t="s">
        <v>20245</v>
      </c>
      <c r="B4822" s="7" t="s">
        <v>20246</v>
      </c>
      <c r="C4822" s="7" t="s">
        <v>20247</v>
      </c>
      <c r="D4822" s="7" t="s">
        <v>20244</v>
      </c>
      <c r="E4822" s="7" t="s">
        <v>20243</v>
      </c>
      <c r="F4822" s="7" t="str">
        <f>HYPERLINK("http://cosmealab.com/","cosmealab.com")</f>
        <v>cosmealab.com</v>
      </c>
    </row>
    <row r="4823" spans="1:6" ht="29.55" customHeight="1" x14ac:dyDescent="0.25">
      <c r="A4823" s="1" t="s">
        <v>20249</v>
      </c>
      <c r="B4823" s="7" t="s">
        <v>20250</v>
      </c>
      <c r="C4823" s="7" t="s">
        <v>20248</v>
      </c>
      <c r="D4823" s="7" t="s">
        <v>20251</v>
      </c>
      <c r="E4823" s="7" t="s">
        <v>20252</v>
      </c>
      <c r="F4823" s="7" t="str">
        <f>HYPERLINK("http://www.poggioalcalore.it/","www.poggioalcalore.it")</f>
        <v>www.poggioalcalore.it</v>
      </c>
    </row>
    <row r="4824" spans="1:6" ht="29.55" customHeight="1" x14ac:dyDescent="0.25">
      <c r="A4824" s="1" t="s">
        <v>20254</v>
      </c>
      <c r="B4824" s="7" t="s">
        <v>20255</v>
      </c>
      <c r="C4824" s="7" t="s">
        <v>20256</v>
      </c>
      <c r="D4824" s="7" t="s">
        <v>20257</v>
      </c>
      <c r="E4824" s="7" t="s">
        <v>20258</v>
      </c>
      <c r="F4824" s="7" t="str">
        <f>HYPERLINK("http://www.hortilusgarden.it/","www.hortilusgarden.it")</f>
        <v>www.hortilusgarden.it</v>
      </c>
    </row>
    <row r="4825" spans="1:6" ht="43.05" customHeight="1" x14ac:dyDescent="0.25">
      <c r="A4825" s="6" t="s">
        <v>20259</v>
      </c>
      <c r="B4825" s="5" t="s">
        <v>20260</v>
      </c>
      <c r="C4825" s="5" t="s">
        <v>20247</v>
      </c>
      <c r="D4825" s="5" t="s">
        <v>20261</v>
      </c>
      <c r="E4825" s="5" t="s">
        <v>20262</v>
      </c>
      <c r="F4825" s="5" t="str">
        <f>HYPERLINK("http://trecoop-societa-cooperativa-agricola-01196880957.quantofattura.com/","trecoop-societa-cooperativa-agricola-01196880957.quantofattura.com")</f>
        <v>trecoop-societa-cooperativa-agricola-01196880957.quantofattura.com</v>
      </c>
    </row>
    <row r="4826" spans="1:6" ht="29.55" customHeight="1" x14ac:dyDescent="0.25">
      <c r="A4826" s="1" t="s">
        <v>20264</v>
      </c>
      <c r="B4826" s="7" t="s">
        <v>20265</v>
      </c>
      <c r="C4826" s="7" t="s">
        <v>20248</v>
      </c>
      <c r="D4826" s="7" t="s">
        <v>20266</v>
      </c>
      <c r="E4826" s="7" t="s">
        <v>20263</v>
      </c>
      <c r="F4826" s="7" t="str">
        <f>HYPERLINK("http://franceschinisalvatore.it/","franceschinisalvatore.it")</f>
        <v>franceschinisalvatore.it</v>
      </c>
    </row>
    <row r="4827" spans="1:6" ht="43.05" customHeight="1" x14ac:dyDescent="0.25">
      <c r="A4827" s="6" t="s">
        <v>20267</v>
      </c>
      <c r="B4827" s="5" t="s">
        <v>20268</v>
      </c>
      <c r="C4827" s="5" t="s">
        <v>20269</v>
      </c>
      <c r="D4827" s="5" t="s">
        <v>20270</v>
      </c>
      <c r="E4827" s="5" t="s">
        <v>20271</v>
      </c>
      <c r="F4827" s="5" t="str">
        <f>HYPERLINK("http://www.pasifikagroup.com/la-lombricoltura","www.pasifikagroup.com/la-lombricoltura")</f>
        <v>www.pasifikagroup.com/la-lombricoltura</v>
      </c>
    </row>
    <row r="4828" spans="1:6" ht="29.55" customHeight="1" x14ac:dyDescent="0.25">
      <c r="A4828" s="6" t="s">
        <v>20272</v>
      </c>
      <c r="B4828" s="5" t="s">
        <v>20273</v>
      </c>
      <c r="C4828" s="5" t="s">
        <v>20242</v>
      </c>
      <c r="D4828" s="5" t="s">
        <v>20274</v>
      </c>
      <c r="E4828" s="5" t="s">
        <v>20253</v>
      </c>
      <c r="F4828" s="5" t="str">
        <f>HYPERLINK("http://il-campo-srl-societa-agricola-04562060238.quantofattura.com/","il-campo-srl-societa-agricola-04562060238.quantofattura.com")</f>
        <v>il-campo-srl-societa-agricola-04562060238.quantofattura.com</v>
      </c>
    </row>
    <row r="4829" spans="1:6" ht="29.55" customHeight="1" x14ac:dyDescent="0.25">
      <c r="A4829" s="6" t="s">
        <v>20275</v>
      </c>
      <c r="B4829" s="5" t="s">
        <v>20276</v>
      </c>
      <c r="C4829" s="5" t="s">
        <v>20277</v>
      </c>
      <c r="D4829" s="5" t="s">
        <v>20257</v>
      </c>
      <c r="E4829" s="5" t="s">
        <v>20258</v>
      </c>
      <c r="F4829" s="5" t="str">
        <f>HYPERLINK("http://www.chefermento.it/","www.chefermento.it")</f>
        <v>www.chefermento.it</v>
      </c>
    </row>
    <row r="4830" spans="1:6" ht="43.05" customHeight="1" x14ac:dyDescent="0.25">
      <c r="A4830" s="6" t="s">
        <v>20281</v>
      </c>
      <c r="B4830" s="5" t="s">
        <v>20282</v>
      </c>
      <c r="C4830" s="5" t="s">
        <v>20283</v>
      </c>
      <c r="D4830" s="5" t="s">
        <v>20284</v>
      </c>
      <c r="E4830" s="5" t="s">
        <v>20279</v>
      </c>
      <c r="F4830" s="5" t="str">
        <f>HYPERLINK("http://societa-cooperativa-ex-combattenti-di-produzione-e-00386790505.quantofattura.com/","societa-cooperativa-ex-combattenti-di-produzione-e-00386790505.quantofattura.com")</f>
        <v>societa-cooperativa-ex-combattenti-di-produzione-e-00386790505.quantofattura.com</v>
      </c>
    </row>
    <row r="4831" spans="1:6" ht="29.55" customHeight="1" x14ac:dyDescent="0.25">
      <c r="A4831" s="6" t="s">
        <v>20286</v>
      </c>
      <c r="B4831" s="5" t="s">
        <v>20287</v>
      </c>
      <c r="C4831" s="5" t="s">
        <v>20278</v>
      </c>
      <c r="D4831" s="5" t="s">
        <v>20288</v>
      </c>
      <c r="E4831" s="5" t="s">
        <v>20279</v>
      </c>
      <c r="F4831" s="5" t="str">
        <f>HYPERLINK("http://arillointerrabianca.com/il-teorema-toscano/la-tenuta-di-colle-brezza/","arillointerrabianca.com/il-teorema-toscano/la-tenuta-di-colle-brezza/")</f>
        <v>arillointerrabianca.com/il-teorema-toscano/la-tenuta-di-colle-brezza/</v>
      </c>
    </row>
    <row r="4832" spans="1:6" ht="43.05" customHeight="1" x14ac:dyDescent="0.25">
      <c r="A4832" s="6" t="s">
        <v>20289</v>
      </c>
      <c r="B4832" s="5" t="s">
        <v>20290</v>
      </c>
      <c r="C4832" s="5" t="s">
        <v>20291</v>
      </c>
      <c r="D4832" s="5" t="s">
        <v>20292</v>
      </c>
      <c r="E4832" s="5" t="s">
        <v>20280</v>
      </c>
      <c r="F4832" s="5" t="str">
        <f>HYPERLINK("http://www.vinidelvicariato.com/","www.vinidelvicariato.com")</f>
        <v>www.vinidelvicariato.com</v>
      </c>
    </row>
    <row r="4833" spans="1:6" ht="29.55" customHeight="1" x14ac:dyDescent="0.25">
      <c r="A4833" s="6" t="s">
        <v>20293</v>
      </c>
      <c r="B4833" s="5" t="s">
        <v>20294</v>
      </c>
      <c r="C4833" s="5" t="s">
        <v>20291</v>
      </c>
      <c r="D4833" s="5" t="s">
        <v>20295</v>
      </c>
      <c r="E4833" s="5" t="s">
        <v>20285</v>
      </c>
      <c r="F4833" s="5" t="str">
        <f>HYPERLINK("http://www.ilvolano.it/","www.ilvolano.it")</f>
        <v>www.ilvolano.it</v>
      </c>
    </row>
    <row r="4834" spans="1:6" ht="29.55" customHeight="1" x14ac:dyDescent="0.25">
      <c r="A4834" s="6" t="s">
        <v>20300</v>
      </c>
      <c r="B4834" s="5" t="s">
        <v>20301</v>
      </c>
      <c r="C4834" s="5" t="s">
        <v>20302</v>
      </c>
      <c r="D4834" s="5" t="s">
        <v>20303</v>
      </c>
      <c r="E4834" s="5" t="s">
        <v>20304</v>
      </c>
      <c r="F4834" s="5" t="str">
        <f>HYPERLINK("http://www.nostos.bio/","www.nostos.bio")</f>
        <v>www.nostos.bio</v>
      </c>
    </row>
    <row r="4835" spans="1:6" ht="29.55" customHeight="1" x14ac:dyDescent="0.25">
      <c r="A4835" s="6" t="s">
        <v>20308</v>
      </c>
      <c r="B4835" s="5" t="s">
        <v>20309</v>
      </c>
      <c r="C4835" s="5" t="s">
        <v>20302</v>
      </c>
      <c r="D4835" s="5" t="s">
        <v>20306</v>
      </c>
      <c r="E4835" s="5" t="s">
        <v>20307</v>
      </c>
      <c r="F4835" s="5" t="str">
        <f>HYPERLINK("http://www.casacomerci.it/","www.casacomerci.it")</f>
        <v>www.casacomerci.it</v>
      </c>
    </row>
    <row r="4836" spans="1:6" ht="29.55" customHeight="1" x14ac:dyDescent="0.25">
      <c r="A4836" s="6" t="s">
        <v>20310</v>
      </c>
      <c r="B4836" s="5" t="s">
        <v>20311</v>
      </c>
      <c r="C4836" s="5" t="s">
        <v>20297</v>
      </c>
      <c r="D4836" s="5" t="s">
        <v>20299</v>
      </c>
      <c r="E4836" s="5" t="s">
        <v>20298</v>
      </c>
      <c r="F4836" s="5" t="str">
        <f>HYPERLINK("http://relais-torre-del-piancastagno.dormireinitalia.top/","relais-torre-del-piancastagno.dormireinitalia.top")</f>
        <v>relais-torre-del-piancastagno.dormireinitalia.top</v>
      </c>
    </row>
    <row r="4837" spans="1:6" ht="29.55" customHeight="1" x14ac:dyDescent="0.25">
      <c r="A4837" s="6" t="s">
        <v>20312</v>
      </c>
      <c r="B4837" s="5" t="s">
        <v>20313</v>
      </c>
      <c r="C4837" s="5" t="s">
        <v>20296</v>
      </c>
      <c r="D4837" s="5" t="s">
        <v>20299</v>
      </c>
      <c r="E4837" s="5" t="s">
        <v>20298</v>
      </c>
      <c r="F4837" s="5" t="str">
        <f>HYPERLINK("http://www.greendeal.it/","www.greendeal.it")</f>
        <v>www.greendeal.it</v>
      </c>
    </row>
    <row r="4838" spans="1:6" ht="29.55" customHeight="1" x14ac:dyDescent="0.25">
      <c r="A4838" s="1" t="s">
        <v>20314</v>
      </c>
      <c r="B4838" s="7" t="s">
        <v>20315</v>
      </c>
      <c r="C4838" s="7" t="s">
        <v>20305</v>
      </c>
      <c r="D4838" s="7" t="s">
        <v>20299</v>
      </c>
      <c r="E4838" s="7" t="s">
        <v>20298</v>
      </c>
      <c r="F4838" s="7" t="str">
        <f>HYPERLINK("http://www.oliviamo.online/","www.oliviamo.online")</f>
        <v>www.oliviamo.online</v>
      </c>
    </row>
    <row r="4839" spans="1:6" ht="16.95" customHeight="1" x14ac:dyDescent="0.25">
      <c r="A4839" s="6" t="s">
        <v>20318</v>
      </c>
      <c r="B4839" s="5" t="s">
        <v>20319</v>
      </c>
      <c r="C4839" s="5" t="s">
        <v>20320</v>
      </c>
      <c r="D4839" s="5" t="s">
        <v>20316</v>
      </c>
      <c r="E4839" s="5" t="s">
        <v>20317</v>
      </c>
      <c r="F4839" s="5" t="str">
        <f>HYPERLINK("http://www.latorredelcardinale.it/","www.latorredelcardinale.it")</f>
        <v>www.latorredelcardinale.it</v>
      </c>
    </row>
    <row r="4840" spans="1:6" ht="29.55" customHeight="1" x14ac:dyDescent="0.25">
      <c r="A4840" s="1" t="s">
        <v>20321</v>
      </c>
      <c r="B4840" s="7" t="s">
        <v>20322</v>
      </c>
      <c r="C4840" s="7" t="s">
        <v>20323</v>
      </c>
      <c r="D4840" s="7" t="s">
        <v>20316</v>
      </c>
      <c r="E4840" s="7" t="s">
        <v>20317</v>
      </c>
      <c r="F4840" s="7" t="str">
        <f>HYPERLINK("http://www.aziendaagricolafllimerlani.it/","www.aziendaagricolafllimerlani.it")</f>
        <v>www.aziendaagricolafllimerlani.it</v>
      </c>
    </row>
    <row r="4841" spans="1:6" ht="29.55" customHeight="1" x14ac:dyDescent="0.25">
      <c r="A4841" s="6" t="s">
        <v>20324</v>
      </c>
      <c r="B4841" s="5" t="s">
        <v>20325</v>
      </c>
      <c r="C4841" s="5" t="s">
        <v>20320</v>
      </c>
      <c r="D4841" s="5" t="s">
        <v>20326</v>
      </c>
      <c r="E4841" s="5" t="s">
        <v>20327</v>
      </c>
      <c r="F4841" s="5" t="str">
        <f>HYPERLINK("http://www.poste.it/","www.poste.it")</f>
        <v>www.poste.it</v>
      </c>
    </row>
    <row r="4842" spans="1:6" ht="29.55" customHeight="1" x14ac:dyDescent="0.25">
      <c r="A4842" s="1" t="s">
        <v>20329</v>
      </c>
      <c r="B4842" s="7" t="s">
        <v>20330</v>
      </c>
      <c r="C4842" s="7" t="s">
        <v>20328</v>
      </c>
      <c r="D4842" s="7" t="s">
        <v>20326</v>
      </c>
      <c r="E4842" s="7" t="s">
        <v>20327</v>
      </c>
      <c r="F4842" s="7" t="str">
        <f>HYPERLINK("http://www.al-bor.de/","www.al-bor.de")</f>
        <v>www.al-bor.de</v>
      </c>
    </row>
    <row r="4843" spans="1:6" ht="29.55" customHeight="1" x14ac:dyDescent="0.25">
      <c r="A4843" s="1" t="s">
        <v>20334</v>
      </c>
      <c r="B4843" s="7" t="s">
        <v>20335</v>
      </c>
      <c r="C4843" s="7" t="s">
        <v>20333</v>
      </c>
      <c r="D4843" s="7" t="s">
        <v>20331</v>
      </c>
      <c r="E4843" s="7" t="s">
        <v>20332</v>
      </c>
      <c r="F4843" s="7" t="str">
        <f>HYPERLINK("http://311verona.com/","311verona.com")</f>
        <v>311verona.com</v>
      </c>
    </row>
    <row r="4844" spans="1:6" ht="43.05" customHeight="1" x14ac:dyDescent="0.25">
      <c r="A4844" s="1" t="s">
        <v>20336</v>
      </c>
      <c r="B4844" s="7" t="s">
        <v>20337</v>
      </c>
      <c r="C4844" s="7" t="s">
        <v>20338</v>
      </c>
      <c r="D4844" s="7" t="s">
        <v>20331</v>
      </c>
      <c r="E4844" s="7" t="s">
        <v>20332</v>
      </c>
      <c r="F4844" s="7" t="str">
        <f>HYPERLINK("http://www.agriform.it/","www.agriform.it")</f>
        <v>www.agriform.it</v>
      </c>
    </row>
    <row r="4845" spans="1:6" ht="29.55" customHeight="1" x14ac:dyDescent="0.25">
      <c r="A4845" s="6" t="s">
        <v>20339</v>
      </c>
      <c r="B4845" s="5" t="s">
        <v>20340</v>
      </c>
      <c r="C4845" s="5" t="s">
        <v>20333</v>
      </c>
      <c r="D4845" s="5" t="s">
        <v>20331</v>
      </c>
      <c r="E4845" s="5" t="s">
        <v>20332</v>
      </c>
      <c r="F4845" s="5" t="str">
        <f>HYPERLINK("http://borgatalevita.it/","borgatalevita.it")</f>
        <v>borgatalevita.it</v>
      </c>
    </row>
    <row r="4846" spans="1:6" ht="29.55" customHeight="1" x14ac:dyDescent="0.25">
      <c r="A4846" s="1" t="s">
        <v>20341</v>
      </c>
      <c r="B4846" s="7" t="s">
        <v>20342</v>
      </c>
      <c r="C4846" s="7" t="s">
        <v>20333</v>
      </c>
      <c r="D4846" s="7" t="s">
        <v>20331</v>
      </c>
      <c r="E4846" s="7" t="s">
        <v>20332</v>
      </c>
      <c r="F4846" s="7" t="str">
        <f>HYPERLINK("http://le-bisse-societa-agricola-srl-03855930230.quantofattura.com/","le-bisse-societa-agricola-srl-03855930230.quantofattura.com")</f>
        <v>le-bisse-societa-agricola-srl-03855930230.quantofattura.com</v>
      </c>
    </row>
    <row r="4847" spans="1:6" ht="29.55" customHeight="1" x14ac:dyDescent="0.25">
      <c r="A4847" s="6" t="s">
        <v>20343</v>
      </c>
      <c r="B4847" s="5" t="s">
        <v>20344</v>
      </c>
      <c r="C4847" s="5" t="s">
        <v>20345</v>
      </c>
      <c r="D4847" s="5" t="s">
        <v>20331</v>
      </c>
      <c r="E4847" s="5" t="s">
        <v>20332</v>
      </c>
      <c r="F4847" s="5" t="str">
        <f>HYPERLINK("http://www.avenuerooms.it/","www.avenuerooms.it")</f>
        <v>www.avenuerooms.it</v>
      </c>
    </row>
    <row r="4848" spans="1:6" ht="55.65" customHeight="1" x14ac:dyDescent="0.25">
      <c r="A4848" s="1" t="s">
        <v>20349</v>
      </c>
      <c r="B4848" s="7" t="s">
        <v>20350</v>
      </c>
      <c r="C4848" s="7" t="s">
        <v>20351</v>
      </c>
      <c r="D4848" s="7" t="s">
        <v>20346</v>
      </c>
      <c r="E4848" s="7" t="s">
        <v>20347</v>
      </c>
      <c r="F4848" s="7" t="str">
        <f>HYPERLINK("http://lapila.it/","lapila.it")</f>
        <v>lapila.it</v>
      </c>
    </row>
    <row r="4849" spans="1:6" ht="16.95" customHeight="1" x14ac:dyDescent="0.25">
      <c r="A4849" s="6" t="s">
        <v>20352</v>
      </c>
      <c r="B4849" s="5" t="s">
        <v>20353</v>
      </c>
      <c r="C4849" s="5" t="s">
        <v>20354</v>
      </c>
      <c r="D4849" s="5" t="s">
        <v>20346</v>
      </c>
      <c r="E4849" s="5" t="s">
        <v>20347</v>
      </c>
      <c r="F4849" s="5" t="str">
        <f>HYPERLINK("http://www.collearzan.it/","www.collearzan.it")</f>
        <v>www.collearzan.it</v>
      </c>
    </row>
    <row r="4850" spans="1:6" ht="29.55" customHeight="1" x14ac:dyDescent="0.25">
      <c r="A4850" s="1" t="s">
        <v>20355</v>
      </c>
      <c r="B4850" s="7" t="s">
        <v>20356</v>
      </c>
      <c r="C4850" s="7" t="s">
        <v>20357</v>
      </c>
      <c r="D4850" s="7" t="s">
        <v>20346</v>
      </c>
      <c r="E4850" s="7" t="s">
        <v>20347</v>
      </c>
      <c r="F4850" s="7" t="str">
        <f>HYPERLINK("http://www.fontanavivai.it/","www.fontanavivai.it")</f>
        <v>www.fontanavivai.it</v>
      </c>
    </row>
    <row r="4851" spans="1:6" ht="55.65" customHeight="1" x14ac:dyDescent="0.25">
      <c r="A4851" s="1" t="s">
        <v>20359</v>
      </c>
      <c r="B4851" s="7" t="s">
        <v>20360</v>
      </c>
      <c r="C4851" s="7" t="s">
        <v>20358</v>
      </c>
      <c r="D4851" s="7" t="s">
        <v>20346</v>
      </c>
      <c r="E4851" s="7" t="s">
        <v>20347</v>
      </c>
      <c r="F4851" s="7" t="str">
        <f>HYPERLINK("http://www.ctvitalia.com/","www.ctvitalia.com")</f>
        <v>www.ctvitalia.com</v>
      </c>
    </row>
    <row r="4852" spans="1:6" ht="16.95" customHeight="1" x14ac:dyDescent="0.25">
      <c r="A4852" s="6" t="s">
        <v>20361</v>
      </c>
      <c r="B4852" s="5" t="s">
        <v>20362</v>
      </c>
      <c r="C4852" s="5" t="s">
        <v>20351</v>
      </c>
      <c r="D4852" s="5" t="s">
        <v>20346</v>
      </c>
      <c r="E4852" s="5" t="s">
        <v>20347</v>
      </c>
      <c r="F4852" s="5" t="str">
        <f>HYPERLINK("http://www.steinhausergroup.de/italiani/gruppo/gruppo.htm","www.steinhausergroup.de/italiani/gruppo/gruppo.htm")</f>
        <v>www.steinhausergroup.de/italiani/gruppo/gruppo.htm</v>
      </c>
    </row>
    <row r="4853" spans="1:6" ht="29.55" customHeight="1" x14ac:dyDescent="0.25">
      <c r="A4853" s="1" t="s">
        <v>20363</v>
      </c>
      <c r="B4853" s="7" t="s">
        <v>20364</v>
      </c>
      <c r="C4853" s="7" t="s">
        <v>20351</v>
      </c>
      <c r="D4853" s="7" t="s">
        <v>20365</v>
      </c>
      <c r="E4853" s="7" t="s">
        <v>20347</v>
      </c>
      <c r="F4853" s="7" t="str">
        <f>HYPERLINK("http://www.pedemontanaenergiaverde.it/","www.pedemontanaenergiaverde.it")</f>
        <v>www.pedemontanaenergiaverde.it</v>
      </c>
    </row>
    <row r="4854" spans="1:6" ht="29.55" customHeight="1" x14ac:dyDescent="0.25">
      <c r="A4854" s="6" t="s">
        <v>20366</v>
      </c>
      <c r="B4854" s="5" t="s">
        <v>20367</v>
      </c>
      <c r="C4854" s="5" t="s">
        <v>20348</v>
      </c>
      <c r="D4854" s="5" t="s">
        <v>20365</v>
      </c>
      <c r="E4854" s="5" t="s">
        <v>20347</v>
      </c>
      <c r="F4854" s="5" t="str">
        <f>HYPERLINK("http://www.levignediroberto.it/","www.levignediroberto.it")</f>
        <v>www.levignediroberto.it</v>
      </c>
    </row>
    <row r="4855" spans="1:6" ht="29.55" customHeight="1" x14ac:dyDescent="0.25">
      <c r="A4855" s="1" t="s">
        <v>20368</v>
      </c>
      <c r="B4855" s="7" t="s">
        <v>20369</v>
      </c>
      <c r="C4855" s="7" t="s">
        <v>20370</v>
      </c>
      <c r="D4855" s="7" t="s">
        <v>20365</v>
      </c>
      <c r="E4855" s="7" t="s">
        <v>20347</v>
      </c>
      <c r="F4855" s="7" t="str">
        <f>HYPERLINK("http://www.facebook.com/cadeivolti/","www.facebook.com/cadeivolti/")</f>
        <v>www.facebook.com/cadeivolti/</v>
      </c>
    </row>
    <row r="4856" spans="1:6" ht="29.55" customHeight="1" x14ac:dyDescent="0.25">
      <c r="A4856" s="1" t="s">
        <v>20371</v>
      </c>
      <c r="B4856" s="7" t="s">
        <v>20372</v>
      </c>
      <c r="C4856" s="7" t="s">
        <v>20348</v>
      </c>
      <c r="D4856" s="7" t="s">
        <v>20365</v>
      </c>
      <c r="E4856" s="7" t="s">
        <v>20347</v>
      </c>
      <c r="F4856" s="7" t="str">
        <f>HYPERLINK("http://www.volcanalia.wine/","www.volcanalia.wine")</f>
        <v>www.volcanalia.wine</v>
      </c>
    </row>
    <row r="4857" spans="1:6" ht="29.55" customHeight="1" x14ac:dyDescent="0.25">
      <c r="A4857" s="6" t="s">
        <v>20373</v>
      </c>
      <c r="B4857" s="5" t="s">
        <v>20374</v>
      </c>
      <c r="C4857" s="5" t="s">
        <v>20375</v>
      </c>
      <c r="D4857" s="5" t="s">
        <v>20365</v>
      </c>
      <c r="E4857" s="5" t="s">
        <v>20347</v>
      </c>
      <c r="F4857" s="5" t="str">
        <f>HYPERLINK("http://www.ilgufetto.it/","www.ilgufetto.it")</f>
        <v>www.ilgufetto.it</v>
      </c>
    </row>
    <row r="4858" spans="1:6" ht="29.55" customHeight="1" x14ac:dyDescent="0.25">
      <c r="A4858" s="1" t="s">
        <v>20376</v>
      </c>
      <c r="B4858" s="7" t="s">
        <v>20377</v>
      </c>
      <c r="C4858" s="7" t="s">
        <v>20375</v>
      </c>
      <c r="D4858" s="7" t="s">
        <v>20365</v>
      </c>
      <c r="E4858" s="7" t="s">
        <v>20347</v>
      </c>
      <c r="F4858" s="7" t="str">
        <f>HYPERLINK("http://www.nkkfarmland.it/","www.nkkfarmland.it")</f>
        <v>www.nkkfarmland.it</v>
      </c>
    </row>
    <row r="4859" spans="1:6" ht="43.05" customHeight="1" x14ac:dyDescent="0.25">
      <c r="A4859" s="1" t="s">
        <v>20381</v>
      </c>
      <c r="B4859" s="7" t="s">
        <v>20382</v>
      </c>
      <c r="C4859" s="7" t="s">
        <v>20383</v>
      </c>
      <c r="D4859" s="7" t="s">
        <v>20378</v>
      </c>
      <c r="E4859" s="7" t="s">
        <v>20379</v>
      </c>
      <c r="F4859" s="7" t="str">
        <f>HYPERLINK("http://www.italcarni.it/","www.italcarni.it")</f>
        <v>www.italcarni.it</v>
      </c>
    </row>
    <row r="4860" spans="1:6" ht="43.05" customHeight="1" x14ac:dyDescent="0.25">
      <c r="A4860" s="1" t="s">
        <v>20386</v>
      </c>
      <c r="B4860" s="7" t="s">
        <v>20387</v>
      </c>
      <c r="C4860" s="7" t="s">
        <v>20380</v>
      </c>
      <c r="D4860" s="7" t="s">
        <v>20384</v>
      </c>
      <c r="E4860" s="7" t="s">
        <v>20379</v>
      </c>
      <c r="F4860" s="7" t="str">
        <f>HYPERLINK("http://fattoriailrosmarino.it/","fattoriailrosmarino.it")</f>
        <v>fattoriailrosmarino.it</v>
      </c>
    </row>
    <row r="4861" spans="1:6" ht="29.55" customHeight="1" x14ac:dyDescent="0.25">
      <c r="A4861" s="6" t="s">
        <v>20388</v>
      </c>
      <c r="B4861" s="5" t="s">
        <v>20389</v>
      </c>
      <c r="C4861" s="5" t="s">
        <v>20390</v>
      </c>
      <c r="D4861" s="5" t="s">
        <v>20384</v>
      </c>
      <c r="E4861" s="5" t="s">
        <v>20379</v>
      </c>
      <c r="F4861" s="5" t="str">
        <f>HYPERLINK("http://m.facebook.com/pages/bosaflor-di-pasut-m-m/1166052763435003","m.facebook.com/pages/bosaflor-di-pasut-m-m/1166052763435003")</f>
        <v>m.facebook.com/pages/bosaflor-di-pasut-m-m/1166052763435003</v>
      </c>
    </row>
    <row r="4862" spans="1:6" ht="43.05" customHeight="1" x14ac:dyDescent="0.25">
      <c r="A4862" s="1" t="s">
        <v>20391</v>
      </c>
      <c r="B4862" s="7" t="s">
        <v>20392</v>
      </c>
      <c r="C4862" s="7" t="s">
        <v>20385</v>
      </c>
      <c r="D4862" s="7" t="s">
        <v>20384</v>
      </c>
      <c r="E4862" s="7" t="s">
        <v>20379</v>
      </c>
      <c r="F4862" s="7" t="str">
        <f>HYPERLINK("http://it.wikipedia.org/wiki/chiesa_dei_santi_pietro_e_caterina","it.wikipedia.org/wiki/chiesa_dei_santi_pietro_e_caterina")</f>
        <v>it.wikipedia.org/wiki/chiesa_dei_santi_pietro_e_caterina</v>
      </c>
    </row>
    <row r="4863" spans="1:6" ht="29.55" customHeight="1" x14ac:dyDescent="0.25">
      <c r="A4863" s="1" t="s">
        <v>20396</v>
      </c>
      <c r="B4863" s="7" t="s">
        <v>20397</v>
      </c>
      <c r="C4863" s="7" t="s">
        <v>20398</v>
      </c>
      <c r="D4863" s="7" t="s">
        <v>20399</v>
      </c>
      <c r="E4863" s="7" t="s">
        <v>20400</v>
      </c>
      <c r="F4863" s="7" t="str">
        <f>HYPERLINK("http://www.cooperativasocialecorf.it/","www.cooperativasocialecorf.it")</f>
        <v>www.cooperativasocialecorf.it</v>
      </c>
    </row>
    <row r="4864" spans="1:6" ht="16.95" customHeight="1" x14ac:dyDescent="0.25">
      <c r="A4864" s="6" t="s">
        <v>20401</v>
      </c>
      <c r="B4864" s="5" t="s">
        <v>20402</v>
      </c>
      <c r="C4864" s="5" t="s">
        <v>20395</v>
      </c>
      <c r="D4864" s="5" t="s">
        <v>20393</v>
      </c>
      <c r="E4864" s="5" t="s">
        <v>20394</v>
      </c>
      <c r="F4864" s="5" t="str">
        <f>HYPERLINK("http://www.merlinieassociati.it/","www.merlinieassociati.it")</f>
        <v>www.merlinieassociati.it</v>
      </c>
    </row>
    <row r="4865" spans="1:6" ht="16.95" customHeight="1" x14ac:dyDescent="0.25">
      <c r="A4865" s="6" t="s">
        <v>20407</v>
      </c>
      <c r="B4865" s="5" t="s">
        <v>20408</v>
      </c>
      <c r="C4865" s="5" t="s">
        <v>20403</v>
      </c>
      <c r="D4865" s="5" t="s">
        <v>20404</v>
      </c>
      <c r="E4865" s="5" t="s">
        <v>20405</v>
      </c>
      <c r="F4865" s="5" t="str">
        <f>HYPERLINK("http://agrilavori.it/","agrilavori.it")</f>
        <v>agrilavori.it</v>
      </c>
    </row>
    <row r="4866" spans="1:6" ht="29.55" customHeight="1" x14ac:dyDescent="0.25">
      <c r="A4866" s="6" t="s">
        <v>20411</v>
      </c>
      <c r="B4866" s="5" t="s">
        <v>20412</v>
      </c>
      <c r="C4866" s="5" t="s">
        <v>20406</v>
      </c>
      <c r="D4866" s="5" t="s">
        <v>20409</v>
      </c>
      <c r="E4866" s="5" t="s">
        <v>20410</v>
      </c>
      <c r="F4866" s="5" t="str">
        <f>HYPERLINK("http://agerpatris.com/","agerpatris.com")</f>
        <v>agerpatris.com</v>
      </c>
    </row>
    <row r="4867" spans="1:6" ht="29.55" customHeight="1" x14ac:dyDescent="0.25">
      <c r="A4867" s="6" t="s">
        <v>20413</v>
      </c>
      <c r="B4867" s="5" t="s">
        <v>20414</v>
      </c>
      <c r="C4867" s="5" t="s">
        <v>20406</v>
      </c>
      <c r="D4867" s="5" t="s">
        <v>20409</v>
      </c>
      <c r="E4867" s="5" t="s">
        <v>20410</v>
      </c>
      <c r="F4867" s="5" t="str">
        <f>HYPERLINK("http://www.cavittoria.com/","www.cavittoria.com")</f>
        <v>www.cavittoria.com</v>
      </c>
    </row>
    <row r="4868" spans="1:6" ht="16.95" customHeight="1" x14ac:dyDescent="0.25">
      <c r="A4868" s="1" t="s">
        <v>20415</v>
      </c>
      <c r="B4868" s="7" t="s">
        <v>20416</v>
      </c>
      <c r="C4868" s="7" t="s">
        <v>20417</v>
      </c>
      <c r="D4868" s="7" t="s">
        <v>20418</v>
      </c>
      <c r="E4868" s="7" t="s">
        <v>20419</v>
      </c>
      <c r="F4868" s="7" t="str">
        <f>HYPERLINK("http://www.lerive.it/","www.lerive.it")</f>
        <v>www.lerive.it</v>
      </c>
    </row>
    <row r="4869" spans="1:6" ht="43.05" customHeight="1" x14ac:dyDescent="0.25">
      <c r="A4869" s="1" t="s">
        <v>20420</v>
      </c>
      <c r="B4869" s="7" t="s">
        <v>20421</v>
      </c>
      <c r="C4869" s="7" t="s">
        <v>20422</v>
      </c>
      <c r="D4869" s="7" t="s">
        <v>20418</v>
      </c>
      <c r="E4869" s="7" t="s">
        <v>20419</v>
      </c>
      <c r="F4869" s="7" t="str">
        <f>HYPERLINK("http://itali.cc/","itali.cc")</f>
        <v>itali.cc</v>
      </c>
    </row>
    <row r="4870" spans="1:6" ht="29.55" customHeight="1" x14ac:dyDescent="0.25">
      <c r="A4870" s="1" t="s">
        <v>20426</v>
      </c>
      <c r="B4870" s="7" t="s">
        <v>20427</v>
      </c>
      <c r="C4870" s="7" t="s">
        <v>20423</v>
      </c>
      <c r="D4870" s="7" t="s">
        <v>20424</v>
      </c>
      <c r="E4870" s="7" t="s">
        <v>20425</v>
      </c>
      <c r="F4870" s="7" t="str">
        <f>HYPERLINK("http://www.orologeriabastiani.com/","www.orologeriabastiani.com")</f>
        <v>www.orologeriabastiani.com</v>
      </c>
    </row>
    <row r="4871" spans="1:6" ht="29.55" customHeight="1" x14ac:dyDescent="0.25">
      <c r="A4871" s="6" t="s">
        <v>20428</v>
      </c>
      <c r="B4871" s="5" t="s">
        <v>20429</v>
      </c>
      <c r="C4871" s="5" t="s">
        <v>20430</v>
      </c>
      <c r="D4871" s="5" t="s">
        <v>20424</v>
      </c>
      <c r="E4871" s="5" t="s">
        <v>20425</v>
      </c>
      <c r="F4871" s="5" t="str">
        <f>HYPERLINK("http://www.wedog.it/","www.wedog.it")</f>
        <v>www.wedog.it</v>
      </c>
    </row>
    <row r="4872" spans="1:6" ht="16.95" customHeight="1" x14ac:dyDescent="0.25">
      <c r="A4872" s="1" t="s">
        <v>20434</v>
      </c>
      <c r="B4872" s="7" t="s">
        <v>20435</v>
      </c>
      <c r="C4872" s="7" t="s">
        <v>20436</v>
      </c>
      <c r="D4872" s="7" t="s">
        <v>20432</v>
      </c>
      <c r="E4872" s="7" t="s">
        <v>20433</v>
      </c>
      <c r="F4872" s="7" t="str">
        <f>HYPERLINK("http://www.agriturismodomusumbra.it/","www.agriturismodomusumbra.it")</f>
        <v>www.agriturismodomusumbra.it</v>
      </c>
    </row>
    <row r="4873" spans="1:6" ht="16.95" customHeight="1" x14ac:dyDescent="0.25">
      <c r="A4873" s="1" t="s">
        <v>20439</v>
      </c>
      <c r="B4873" s="7" t="s">
        <v>20440</v>
      </c>
      <c r="C4873" s="7" t="s">
        <v>20441</v>
      </c>
      <c r="D4873" s="7" t="s">
        <v>20437</v>
      </c>
      <c r="E4873" s="7" t="s">
        <v>20438</v>
      </c>
      <c r="F4873" s="7" t="str">
        <f>HYPERLINK("http://riahsicilia.com/","riahsicilia.com")</f>
        <v>riahsicilia.com</v>
      </c>
    </row>
    <row r="4874" spans="1:6" ht="29.55" customHeight="1" x14ac:dyDescent="0.25">
      <c r="A4874" s="6" t="s">
        <v>20442</v>
      </c>
      <c r="B4874" s="5" t="s">
        <v>20443</v>
      </c>
      <c r="C4874" s="5" t="s">
        <v>20431</v>
      </c>
      <c r="D4874" s="5" t="s">
        <v>20437</v>
      </c>
      <c r="E4874" s="5" t="s">
        <v>20438</v>
      </c>
      <c r="F4874" s="5" t="str">
        <f>HYPERLINK("http://mostramercato.associazioneeuro.org/miro/","mostramercato.associazioneeuro.org/miro/")</f>
        <v>mostramercato.associazioneeuro.org/miro/</v>
      </c>
    </row>
    <row r="4875" spans="1:6" ht="29.55" customHeight="1" x14ac:dyDescent="0.25">
      <c r="A4875" s="6" t="s">
        <v>20444</v>
      </c>
      <c r="B4875" s="5" t="s">
        <v>20445</v>
      </c>
      <c r="C4875" s="5" t="s">
        <v>20436</v>
      </c>
      <c r="D4875" s="5" t="s">
        <v>20437</v>
      </c>
      <c r="E4875" s="5" t="s">
        <v>20438</v>
      </c>
      <c r="F4875" s="5" t="str">
        <f>HYPERLINK("http://www.organicfarm.it/","www.organicfarm.it")</f>
        <v>www.organicfarm.it</v>
      </c>
    </row>
    <row r="4876" spans="1:6" ht="29.55" customHeight="1" x14ac:dyDescent="0.25">
      <c r="A4876" s="1" t="s">
        <v>20447</v>
      </c>
      <c r="B4876" s="7" t="s">
        <v>20448</v>
      </c>
      <c r="C4876" s="7" t="s">
        <v>20449</v>
      </c>
      <c r="D4876" s="7" t="s">
        <v>20450</v>
      </c>
      <c r="E4876" s="7" t="s">
        <v>20451</v>
      </c>
      <c r="F4876" s="7" t="str">
        <f>HYPERLINK("http://www.janerichard.com/","www.janerichard.com")</f>
        <v>www.janerichard.com</v>
      </c>
    </row>
    <row r="4877" spans="1:6" ht="43.05" customHeight="1" x14ac:dyDescent="0.25">
      <c r="A4877" s="1" t="s">
        <v>20453</v>
      </c>
      <c r="B4877" s="7" t="s">
        <v>20454</v>
      </c>
      <c r="C4877" s="7" t="s">
        <v>20452</v>
      </c>
      <c r="D4877" s="7" t="s">
        <v>20450</v>
      </c>
      <c r="E4877" s="7" t="s">
        <v>20451</v>
      </c>
      <c r="F4877" s="7" t="str">
        <f>HYPERLINK("http://www.reversa.eu/","www.reversa.eu")</f>
        <v>www.reversa.eu</v>
      </c>
    </row>
    <row r="4878" spans="1:6" ht="29.55" customHeight="1" x14ac:dyDescent="0.25">
      <c r="A4878" s="6" t="s">
        <v>20458</v>
      </c>
      <c r="B4878" s="5" t="s">
        <v>20459</v>
      </c>
      <c r="C4878" s="5" t="s">
        <v>20457</v>
      </c>
      <c r="D4878" s="5" t="s">
        <v>20450</v>
      </c>
      <c r="E4878" s="5" t="s">
        <v>20451</v>
      </c>
      <c r="F4878" s="5" t="str">
        <f>HYPERLINK("http://www.agriworldwide.it/","www.agriworldwide.it")</f>
        <v>www.agriworldwide.it</v>
      </c>
    </row>
    <row r="4879" spans="1:6" ht="29.55" customHeight="1" x14ac:dyDescent="0.25">
      <c r="A4879" s="1" t="s">
        <v>20460</v>
      </c>
      <c r="B4879" s="7" t="s">
        <v>20461</v>
      </c>
      <c r="C4879" s="7" t="s">
        <v>20456</v>
      </c>
      <c r="D4879" s="7" t="s">
        <v>20450</v>
      </c>
      <c r="E4879" s="7" t="s">
        <v>20451</v>
      </c>
      <c r="F4879" s="7" t="str">
        <f>HYPERLINK("http://www.naturaealimenta.it/","www.naturaealimenta.it")</f>
        <v>www.naturaealimenta.it</v>
      </c>
    </row>
    <row r="4880" spans="1:6" ht="29.55" customHeight="1" x14ac:dyDescent="0.25">
      <c r="A4880" s="1" t="s">
        <v>20462</v>
      </c>
      <c r="B4880" s="7" t="s">
        <v>20463</v>
      </c>
      <c r="C4880" s="7" t="s">
        <v>20455</v>
      </c>
      <c r="D4880" s="7" t="s">
        <v>20450</v>
      </c>
      <c r="E4880" s="7" t="s">
        <v>20451</v>
      </c>
      <c r="F4880" s="7" t="str">
        <f>HYPERLINK("http://patriciawordpresscomsite.wordpress.com/interview/","patriciawordpresscomsite.wordpress.com/interview/")</f>
        <v>patriciawordpresscomsite.wordpress.com/interview/</v>
      </c>
    </row>
    <row r="4881" spans="1:6" ht="106.65" customHeight="1" x14ac:dyDescent="0.25">
      <c r="A4881" s="6" t="s">
        <v>20464</v>
      </c>
      <c r="B4881" s="5" t="s">
        <v>20465</v>
      </c>
      <c r="C4881" s="5" t="s">
        <v>20466</v>
      </c>
      <c r="D4881" s="5" t="s">
        <v>20450</v>
      </c>
      <c r="E4881" s="5" t="s">
        <v>20451</v>
      </c>
      <c r="F4881" s="5" t="str">
        <f>HYPERLINK("http://www.consorziocarnipiemonte.it/","www.consorziocarnipiemonte.it")</f>
        <v>www.consorziocarnipiemonte.it</v>
      </c>
    </row>
    <row r="4882" spans="1:6" ht="16.95" customHeight="1" x14ac:dyDescent="0.25">
      <c r="A4882" s="1" t="s">
        <v>20469</v>
      </c>
      <c r="B4882" s="7" t="s">
        <v>20470</v>
      </c>
      <c r="C4882" s="7" t="s">
        <v>20446</v>
      </c>
      <c r="D4882" s="7" t="s">
        <v>20467</v>
      </c>
      <c r="E4882" s="7" t="s">
        <v>20468</v>
      </c>
      <c r="F4882" s="7" t="str">
        <f>HYPERLINK("http://www.cantinamartinelli.com/","www.cantinamartinelli.com")</f>
        <v>www.cantinamartinelli.com</v>
      </c>
    </row>
    <row r="4883" spans="1:6" ht="29.55" customHeight="1" x14ac:dyDescent="0.25">
      <c r="A4883" s="1" t="s">
        <v>20471</v>
      </c>
      <c r="B4883" s="7" t="s">
        <v>20472</v>
      </c>
      <c r="C4883" s="7" t="s">
        <v>20473</v>
      </c>
      <c r="D4883" s="7" t="s">
        <v>20474</v>
      </c>
      <c r="E4883" s="7" t="s">
        <v>20475</v>
      </c>
      <c r="F4883" s="7" t="str">
        <f>HYPERLINK("http://www.baolfly.it/","www.baolfly.it")</f>
        <v>www.baolfly.it</v>
      </c>
    </row>
    <row r="4884" spans="1:6" ht="29.55" customHeight="1" x14ac:dyDescent="0.25">
      <c r="A4884" s="6" t="s">
        <v>20476</v>
      </c>
      <c r="B4884" s="5" t="s">
        <v>20477</v>
      </c>
      <c r="C4884" s="5" t="s">
        <v>20478</v>
      </c>
      <c r="D4884" s="5" t="s">
        <v>20474</v>
      </c>
      <c r="E4884" s="5" t="s">
        <v>20475</v>
      </c>
      <c r="F4884" s="5" t="str">
        <f>HYPERLINK("http://www.endrizzi.it/","www.endrizzi.it")</f>
        <v>www.endrizzi.it</v>
      </c>
    </row>
    <row r="4885" spans="1:6" ht="43.05" customHeight="1" x14ac:dyDescent="0.25">
      <c r="A4885" s="1" t="s">
        <v>20479</v>
      </c>
      <c r="B4885" s="7" t="s">
        <v>20480</v>
      </c>
      <c r="C4885" s="7" t="s">
        <v>20481</v>
      </c>
      <c r="D4885" s="7" t="s">
        <v>20474</v>
      </c>
      <c r="E4885" s="7" t="s">
        <v>20475</v>
      </c>
      <c r="F4885" s="7" t="str">
        <f>HYPERLINK("http://www.collesanbiagio.org/","www.collesanbiagio.org")</f>
        <v>www.collesanbiagio.org</v>
      </c>
    </row>
    <row r="4886" spans="1:6" ht="68.099999999999994" customHeight="1" x14ac:dyDescent="0.25">
      <c r="A4886" s="1" t="s">
        <v>20485</v>
      </c>
      <c r="B4886" s="7" t="s">
        <v>20486</v>
      </c>
      <c r="C4886" s="7" t="s">
        <v>20487</v>
      </c>
      <c r="D4886" s="7" t="s">
        <v>20482</v>
      </c>
      <c r="E4886" s="7" t="s">
        <v>20483</v>
      </c>
      <c r="F4886" s="7" t="str">
        <f>HYPERLINK("http://www.produttorilaterza.it/","www.produttorilaterza.it")</f>
        <v>www.produttorilaterza.it</v>
      </c>
    </row>
    <row r="4887" spans="1:6" ht="29.55" customHeight="1" x14ac:dyDescent="0.25">
      <c r="A4887" s="6" t="s">
        <v>20488</v>
      </c>
      <c r="B4887" s="5" t="s">
        <v>20489</v>
      </c>
      <c r="C4887" s="5" t="s">
        <v>20484</v>
      </c>
      <c r="D4887" s="5" t="s">
        <v>20482</v>
      </c>
      <c r="E4887" s="5" t="s">
        <v>20483</v>
      </c>
      <c r="F4887" s="5" t="str">
        <f>HYPERLINK("http://www.boomerangvillage.it/","www.boomerangvillage.it")</f>
        <v>www.boomerangvillage.it</v>
      </c>
    </row>
    <row r="4888" spans="1:6" ht="16.95" customHeight="1" x14ac:dyDescent="0.25">
      <c r="A4888" s="1" t="s">
        <v>20491</v>
      </c>
      <c r="B4888" s="7" t="s">
        <v>20492</v>
      </c>
      <c r="C4888" s="7" t="s">
        <v>20490</v>
      </c>
      <c r="D4888" s="7" t="s">
        <v>20482</v>
      </c>
      <c r="E4888" s="7" t="s">
        <v>20483</v>
      </c>
      <c r="F4888" s="7" t="str">
        <f>HYPERLINK("http://www.cantine-ortofrutticoltura.com/","www.cantine-ortofrutticoltura.com")</f>
        <v>www.cantine-ortofrutticoltura.com</v>
      </c>
    </row>
    <row r="4889" spans="1:6" ht="16.95" customHeight="1" x14ac:dyDescent="0.25">
      <c r="A4889" s="1" t="s">
        <v>20493</v>
      </c>
      <c r="B4889" s="7" t="s">
        <v>20494</v>
      </c>
      <c r="C4889" s="7" t="s">
        <v>20495</v>
      </c>
      <c r="D4889" s="7" t="s">
        <v>20482</v>
      </c>
      <c r="E4889" s="7" t="s">
        <v>20483</v>
      </c>
      <c r="F4889" s="7" t="str">
        <f>HYPERLINK("http://agrogestsud.com/","agrogestsud.com")</f>
        <v>agrogestsud.com</v>
      </c>
    </row>
    <row r="4890" spans="1:6" ht="29.55" customHeight="1" x14ac:dyDescent="0.25">
      <c r="A4890" s="1" t="s">
        <v>20498</v>
      </c>
      <c r="B4890" s="7" t="s">
        <v>20499</v>
      </c>
      <c r="C4890" s="7" t="s">
        <v>20500</v>
      </c>
      <c r="D4890" s="7" t="s">
        <v>20496</v>
      </c>
      <c r="E4890" s="7" t="s">
        <v>20497</v>
      </c>
      <c r="F4890" s="7" t="str">
        <f>HYPERLINK("http://www.apeemiele.it/","www.apeemiele.it")</f>
        <v>www.apeemiele.it</v>
      </c>
    </row>
    <row r="4891" spans="1:6" ht="29.55" customHeight="1" x14ac:dyDescent="0.25">
      <c r="A4891" s="6" t="s">
        <v>20503</v>
      </c>
      <c r="B4891" s="5" t="s">
        <v>20504</v>
      </c>
      <c r="C4891" s="5" t="s">
        <v>20501</v>
      </c>
      <c r="D4891" s="5" t="s">
        <v>20496</v>
      </c>
      <c r="E4891" s="5" t="s">
        <v>20497</v>
      </c>
      <c r="F4891" s="5" t="str">
        <f>HYPERLINK("http://www.fattorialatraccia.it/","www.fattorialatraccia.it")</f>
        <v>www.fattorialatraccia.it</v>
      </c>
    </row>
    <row r="4892" spans="1:6" ht="29.55" customHeight="1" x14ac:dyDescent="0.25">
      <c r="A4892" s="6" t="s">
        <v>20505</v>
      </c>
      <c r="B4892" s="5" t="s">
        <v>20506</v>
      </c>
      <c r="C4892" s="5" t="s">
        <v>20502</v>
      </c>
      <c r="D4892" s="5" t="s">
        <v>20496</v>
      </c>
      <c r="E4892" s="5" t="s">
        <v>20497</v>
      </c>
      <c r="F4892" s="5" t="str">
        <f>HYPERLINK("http://www.aziendaagricolalaruda.it/","www.aziendaagricolalaruda.it")</f>
        <v>www.aziendaagricolalaruda.it</v>
      </c>
    </row>
    <row r="4893" spans="1:6" ht="29.55" customHeight="1" x14ac:dyDescent="0.25">
      <c r="A4893" s="6" t="s">
        <v>20510</v>
      </c>
      <c r="B4893" s="5" t="s">
        <v>20511</v>
      </c>
      <c r="C4893" s="5" t="s">
        <v>20509</v>
      </c>
      <c r="D4893" s="5" t="s">
        <v>20507</v>
      </c>
      <c r="E4893" s="5" t="s">
        <v>20508</v>
      </c>
      <c r="F4893" s="5" t="str">
        <f>HYPERLINK("http://www.gialida.it/","www.gialida.it")</f>
        <v>www.gialida.it</v>
      </c>
    </row>
    <row r="4894" spans="1:6" ht="29.55" customHeight="1" x14ac:dyDescent="0.25">
      <c r="A4894" s="6" t="s">
        <v>20513</v>
      </c>
      <c r="B4894" s="5" t="s">
        <v>20514</v>
      </c>
      <c r="C4894" s="5" t="s">
        <v>20512</v>
      </c>
      <c r="D4894" s="5" t="s">
        <v>20507</v>
      </c>
      <c r="E4894" s="5" t="s">
        <v>20508</v>
      </c>
      <c r="F4894" s="5" t="str">
        <f>HYPERLINK("http://www.fioredda.com/","www.fioredda.com")</f>
        <v>www.fioredda.com</v>
      </c>
    </row>
    <row r="4895" spans="1:6" ht="29.55" customHeight="1" x14ac:dyDescent="0.25">
      <c r="A4895" s="1" t="s">
        <v>20517</v>
      </c>
      <c r="B4895" s="7" t="s">
        <v>20518</v>
      </c>
      <c r="C4895" s="7" t="s">
        <v>20519</v>
      </c>
      <c r="D4895" s="7" t="s">
        <v>20515</v>
      </c>
      <c r="E4895" s="7" t="s">
        <v>20516</v>
      </c>
      <c r="F4895" s="7" t="str">
        <f>HYPERLINK("http://www.siraloe.it/","www.siraloe.it")</f>
        <v>www.siraloe.it</v>
      </c>
    </row>
    <row r="4896" spans="1:6" ht="29.55" customHeight="1" x14ac:dyDescent="0.25">
      <c r="A4896" s="6" t="s">
        <v>20523</v>
      </c>
      <c r="B4896" s="5" t="s">
        <v>20524</v>
      </c>
      <c r="C4896" s="5" t="s">
        <v>20525</v>
      </c>
      <c r="D4896" s="5" t="s">
        <v>20520</v>
      </c>
      <c r="E4896" s="5" t="s">
        <v>20521</v>
      </c>
      <c r="F4896" s="5" t="str">
        <f>HYPERLINK("http://borgosantopietrowines.com/","borgosantopietrowines.com")</f>
        <v>borgosantopietrowines.com</v>
      </c>
    </row>
    <row r="4897" spans="1:6" ht="29.55" customHeight="1" x14ac:dyDescent="0.25">
      <c r="A4897" s="1" t="s">
        <v>20526</v>
      </c>
      <c r="B4897" s="7" t="s">
        <v>20527</v>
      </c>
      <c r="C4897" s="7" t="s">
        <v>20522</v>
      </c>
      <c r="D4897" s="7" t="s">
        <v>20520</v>
      </c>
      <c r="E4897" s="7" t="s">
        <v>20521</v>
      </c>
      <c r="F4897" s="7" t="str">
        <f>HYPERLINK("http://poderespedalone.it/","poderespedalone.it")</f>
        <v>poderespedalone.it</v>
      </c>
    </row>
    <row r="4898" spans="1:6" ht="16.95" customHeight="1" x14ac:dyDescent="0.25">
      <c r="A4898" s="6" t="s">
        <v>20530</v>
      </c>
      <c r="B4898" s="5" t="s">
        <v>20531</v>
      </c>
      <c r="C4898" s="5" t="s">
        <v>20532</v>
      </c>
      <c r="D4898" s="5" t="s">
        <v>20528</v>
      </c>
      <c r="E4898" s="5" t="s">
        <v>20529</v>
      </c>
      <c r="F4898" s="5" t="str">
        <f>HYPERLINK("http://www.tamignano.it/","www.tamignano.it")</f>
        <v>www.tamignano.it</v>
      </c>
    </row>
    <row r="4899" spans="1:6" ht="29.55" customHeight="1" x14ac:dyDescent="0.25">
      <c r="A4899" s="6" t="s">
        <v>20533</v>
      </c>
      <c r="B4899" s="5" t="s">
        <v>20534</v>
      </c>
      <c r="C4899" s="5" t="s">
        <v>20535</v>
      </c>
      <c r="D4899" s="5" t="s">
        <v>20528</v>
      </c>
      <c r="E4899" s="5" t="s">
        <v>20529</v>
      </c>
      <c r="F4899" s="5" t="str">
        <f>HYPERLINK("http://arillointerrabianca.com/","arillointerrabianca.com")</f>
        <v>arillointerrabianca.com</v>
      </c>
    </row>
    <row r="4900" spans="1:6" ht="29.55" customHeight="1" x14ac:dyDescent="0.25">
      <c r="A4900" s="1" t="s">
        <v>20536</v>
      </c>
      <c r="B4900" s="7" t="s">
        <v>20537</v>
      </c>
      <c r="C4900" s="7" t="s">
        <v>20535</v>
      </c>
      <c r="D4900" s="7" t="s">
        <v>20528</v>
      </c>
      <c r="E4900" s="7" t="s">
        <v>20529</v>
      </c>
      <c r="F4900" s="7" t="str">
        <f>HYPERLINK("http://www.guasconidivillamena.it/","www.guasconidivillamena.it")</f>
        <v>www.guasconidivillamena.it</v>
      </c>
    </row>
    <row r="4901" spans="1:6" ht="94.2" customHeight="1" x14ac:dyDescent="0.25">
      <c r="A4901" s="1" t="s">
        <v>20541</v>
      </c>
      <c r="B4901" s="7" t="s">
        <v>20542</v>
      </c>
      <c r="C4901" s="7" t="s">
        <v>20538</v>
      </c>
      <c r="D4901" s="7" t="s">
        <v>20539</v>
      </c>
      <c r="E4901" s="7" t="s">
        <v>20540</v>
      </c>
      <c r="F4901" s="7" t="str">
        <f>HYPERLINK("http://www.chiantigeografico.it/","http://www.chiantigeografico.it")</f>
        <v>http://www.chiantigeografico.it</v>
      </c>
    </row>
    <row r="4902" spans="1:6" ht="68.099999999999994" customHeight="1" x14ac:dyDescent="0.25">
      <c r="A4902" s="6" t="s">
        <v>20547</v>
      </c>
      <c r="B4902" s="5" t="s">
        <v>20548</v>
      </c>
      <c r="C4902" s="5" t="s">
        <v>20549</v>
      </c>
      <c r="D4902" s="5" t="s">
        <v>20543</v>
      </c>
      <c r="E4902" s="5" t="s">
        <v>20544</v>
      </c>
      <c r="F4902" s="5" t="str">
        <f>HYPERLINK("http://www.terraorti.it/","www.terraorti.it")</f>
        <v>www.terraorti.it</v>
      </c>
    </row>
    <row r="4903" spans="1:6" ht="29.55" customHeight="1" x14ac:dyDescent="0.25">
      <c r="A4903" s="6" t="s">
        <v>20550</v>
      </c>
      <c r="B4903" s="5" t="s">
        <v>20551</v>
      </c>
      <c r="C4903" s="5" t="s">
        <v>20546</v>
      </c>
      <c r="D4903" s="5" t="s">
        <v>20543</v>
      </c>
      <c r="E4903" s="5" t="s">
        <v>20544</v>
      </c>
      <c r="F4903" s="5" t="str">
        <f>HYPERLINK("http://www.aabelvedere.com/","www.aabelvedere.com")</f>
        <v>www.aabelvedere.com</v>
      </c>
    </row>
    <row r="4904" spans="1:6" ht="29.55" customHeight="1" x14ac:dyDescent="0.25">
      <c r="A4904" s="6" t="s">
        <v>20553</v>
      </c>
      <c r="B4904" s="5" t="s">
        <v>20554</v>
      </c>
      <c r="C4904" s="5" t="s">
        <v>20538</v>
      </c>
      <c r="D4904" s="5" t="s">
        <v>20543</v>
      </c>
      <c r="E4904" s="5" t="s">
        <v>20544</v>
      </c>
      <c r="F4904" s="5" t="str">
        <f>HYPERLINK("http://www.vignanova.it/","www.vignanova.it")</f>
        <v>www.vignanova.it</v>
      </c>
    </row>
    <row r="4905" spans="1:6" ht="29.55" customHeight="1" x14ac:dyDescent="0.25">
      <c r="A4905" s="1" t="s">
        <v>20555</v>
      </c>
      <c r="B4905" s="7" t="s">
        <v>20556</v>
      </c>
      <c r="C4905" s="7" t="s">
        <v>20552</v>
      </c>
      <c r="D4905" s="7" t="s">
        <v>20543</v>
      </c>
      <c r="E4905" s="7" t="s">
        <v>20544</v>
      </c>
      <c r="F4905" s="7" t="str">
        <f>HYPERLINK("http://www.fridaservizi.it/","www.fridaservizi.it")</f>
        <v>www.fridaservizi.it</v>
      </c>
    </row>
    <row r="4906" spans="1:6" ht="29.55" customHeight="1" x14ac:dyDescent="0.25">
      <c r="A4906" s="6" t="s">
        <v>20557</v>
      </c>
      <c r="B4906" s="5" t="s">
        <v>20558</v>
      </c>
      <c r="C4906" s="5" t="s">
        <v>20545</v>
      </c>
      <c r="D4906" s="5" t="s">
        <v>20543</v>
      </c>
      <c r="E4906" s="5" t="s">
        <v>20544</v>
      </c>
      <c r="F4906" s="5" t="str">
        <f>HYPERLINK("http://terra-colta.it/","terra-colta.it")</f>
        <v>terra-colta.it</v>
      </c>
    </row>
    <row r="4907" spans="1:6" ht="29.55" customHeight="1" x14ac:dyDescent="0.25">
      <c r="A4907" s="6" t="s">
        <v>20561</v>
      </c>
      <c r="B4907" s="5" t="s">
        <v>20562</v>
      </c>
      <c r="C4907" s="5" t="s">
        <v>20563</v>
      </c>
      <c r="D4907" s="5" t="s">
        <v>20559</v>
      </c>
      <c r="E4907" s="5" t="s">
        <v>20560</v>
      </c>
      <c r="F4907" s="5" t="str">
        <f>HYPERLINK("http://www.frantoiocarrano.it/","www.frantoiocarrano.it")</f>
        <v>www.frantoiocarrano.it</v>
      </c>
    </row>
    <row r="4908" spans="1:6" ht="29.55" customHeight="1" x14ac:dyDescent="0.25">
      <c r="A4908" s="1" t="s">
        <v>20565</v>
      </c>
      <c r="B4908" s="7" t="s">
        <v>20566</v>
      </c>
      <c r="C4908" s="7" t="s">
        <v>20564</v>
      </c>
      <c r="D4908" s="7" t="s">
        <v>20559</v>
      </c>
      <c r="E4908" s="7" t="s">
        <v>20560</v>
      </c>
      <c r="F4908" s="7" t="str">
        <f>HYPERLINK("http://www.ortofruttacasalino.it/","www.ortofruttacasalino.it")</f>
        <v>www.ortofruttacasalino.it</v>
      </c>
    </row>
    <row r="4909" spans="1:6" ht="29.55" customHeight="1" x14ac:dyDescent="0.25">
      <c r="A4909" s="6" t="s">
        <v>20567</v>
      </c>
      <c r="B4909" s="5" t="s">
        <v>20568</v>
      </c>
      <c r="C4909" s="5" t="s">
        <v>20564</v>
      </c>
      <c r="D4909" s="5" t="s">
        <v>20559</v>
      </c>
      <c r="E4909" s="5" t="s">
        <v>20560</v>
      </c>
      <c r="F4909" s="5" t="str">
        <f>HYPERLINK("http://www.larondinaia.com/","www.larondinaia.com")</f>
        <v>www.larondinaia.com</v>
      </c>
    </row>
    <row r="4910" spans="1:6" ht="29.55" customHeight="1" x14ac:dyDescent="0.25">
      <c r="A4910" s="1" t="s">
        <v>20569</v>
      </c>
      <c r="B4910" s="7" t="s">
        <v>20570</v>
      </c>
      <c r="C4910" s="7" t="s">
        <v>20564</v>
      </c>
      <c r="D4910" s="7" t="s">
        <v>20559</v>
      </c>
      <c r="E4910" s="7" t="s">
        <v>20560</v>
      </c>
      <c r="F4910" s="7" t="str">
        <f>HYPERLINK("http://www.ortofruttacasalino.it/","www.ortofruttacasalino.it")</f>
        <v>www.ortofruttacasalino.it</v>
      </c>
    </row>
    <row r="4911" spans="1:6" ht="29.55" customHeight="1" x14ac:dyDescent="0.25">
      <c r="A4911" s="1" t="s">
        <v>20573</v>
      </c>
      <c r="B4911" s="7" t="s">
        <v>20574</v>
      </c>
      <c r="C4911" s="7" t="s">
        <v>20575</v>
      </c>
      <c r="D4911" s="7" t="s">
        <v>20571</v>
      </c>
      <c r="E4911" s="7" t="s">
        <v>20572</v>
      </c>
      <c r="F4911" s="7" t="str">
        <f>HYPERLINK("http://www.moderna2020.it/","www.moderna2020.it")</f>
        <v>www.moderna2020.it</v>
      </c>
    </row>
    <row r="4912" spans="1:6" ht="29.55" customHeight="1" x14ac:dyDescent="0.25">
      <c r="A4912" s="6" t="s">
        <v>20577</v>
      </c>
      <c r="B4912" s="5" t="s">
        <v>20578</v>
      </c>
      <c r="C4912" s="5" t="s">
        <v>20576</v>
      </c>
      <c r="D4912" s="5" t="s">
        <v>20571</v>
      </c>
      <c r="E4912" s="5" t="s">
        <v>20572</v>
      </c>
      <c r="F4912" s="5" t="str">
        <f>HYPERLINK("http://www.parrocchiacasaletto.it/","www.parrocchiacasaletto.it")</f>
        <v>www.parrocchiacasaletto.it</v>
      </c>
    </row>
    <row r="4913" spans="1:6" ht="29.55" customHeight="1" x14ac:dyDescent="0.25">
      <c r="A4913" s="6" t="s">
        <v>20579</v>
      </c>
      <c r="B4913" s="5" t="s">
        <v>20580</v>
      </c>
      <c r="C4913" s="5" t="s">
        <v>20581</v>
      </c>
      <c r="D4913" s="5" t="s">
        <v>20582</v>
      </c>
      <c r="E4913" s="5" t="s">
        <v>20583</v>
      </c>
      <c r="F4913" s="5" t="str">
        <f>HYPERLINK("http://www.masterplantgroup.com/","www.masterplantgroup.com")</f>
        <v>www.masterplantgroup.com</v>
      </c>
    </row>
    <row r="4914" spans="1:6" ht="29.55" customHeight="1" x14ac:dyDescent="0.25">
      <c r="A4914" s="1" t="s">
        <v>20585</v>
      </c>
      <c r="B4914" s="7" t="s">
        <v>20586</v>
      </c>
      <c r="C4914" s="7" t="s">
        <v>20587</v>
      </c>
      <c r="D4914" s="7" t="s">
        <v>20588</v>
      </c>
      <c r="E4914" s="7" t="s">
        <v>20589</v>
      </c>
      <c r="F4914" s="7" t="str">
        <f>HYPERLINK("http://www.sgrbiomethane.eu/","www.sgrbiomethane.eu")</f>
        <v>www.sgrbiomethane.eu</v>
      </c>
    </row>
    <row r="4915" spans="1:6" ht="29.55" customHeight="1" x14ac:dyDescent="0.25">
      <c r="A4915" s="6" t="s">
        <v>20590</v>
      </c>
      <c r="B4915" s="5" t="s">
        <v>20591</v>
      </c>
      <c r="C4915" s="5" t="s">
        <v>20584</v>
      </c>
      <c r="D4915" s="5" t="s">
        <v>20588</v>
      </c>
      <c r="E4915" s="5" t="s">
        <v>20589</v>
      </c>
      <c r="F4915" s="5" t="str">
        <f>HYPERLINK("http://www.sgrbiomethane.eu/","www.sgrbiomethane.eu")</f>
        <v>www.sgrbiomethane.eu</v>
      </c>
    </row>
    <row r="4916" spans="1:6" ht="43.05" customHeight="1" x14ac:dyDescent="0.25">
      <c r="A4916" s="6" t="s">
        <v>20594</v>
      </c>
      <c r="B4916" s="5" t="s">
        <v>20595</v>
      </c>
      <c r="C4916" s="5" t="s">
        <v>20596</v>
      </c>
      <c r="D4916" s="5" t="s">
        <v>20592</v>
      </c>
      <c r="E4916" s="5" t="s">
        <v>20593</v>
      </c>
      <c r="F4916" s="5" t="str">
        <f>HYPERLINK("https://aziendaagricolaexterra.com/","https://aziendaagricolaexterra.com/")</f>
        <v>https://aziendaagricolaexterra.com/</v>
      </c>
    </row>
    <row r="4917" spans="1:6" ht="29.55" customHeight="1" x14ac:dyDescent="0.25">
      <c r="A4917" s="6" t="s">
        <v>20598</v>
      </c>
      <c r="B4917" s="5" t="s">
        <v>20599</v>
      </c>
      <c r="C4917" s="5" t="s">
        <v>20597</v>
      </c>
      <c r="D4917" s="5" t="s">
        <v>20592</v>
      </c>
      <c r="E4917" s="5" t="s">
        <v>20593</v>
      </c>
      <c r="F4917" s="5" t="str">
        <f>HYPERLINK("http://tenutalarnianone.com/","tenutalarnianone.com")</f>
        <v>tenutalarnianone.com</v>
      </c>
    </row>
    <row r="4918" spans="1:6" ht="16.95" customHeight="1" x14ac:dyDescent="0.25">
      <c r="A4918" s="6" t="s">
        <v>20600</v>
      </c>
      <c r="B4918" s="5" t="s">
        <v>20601</v>
      </c>
      <c r="C4918" s="5" t="s">
        <v>20602</v>
      </c>
      <c r="D4918" s="5" t="s">
        <v>20592</v>
      </c>
      <c r="E4918" s="5" t="s">
        <v>20593</v>
      </c>
      <c r="F4918" s="5" t="str">
        <f>HYPERLINK("http://www.agritechfutura.com/","www.agritechfutura.com")</f>
        <v>www.agritechfutura.com</v>
      </c>
    </row>
    <row r="4919" spans="1:6" ht="43.05" customHeight="1" x14ac:dyDescent="0.25">
      <c r="A4919" s="1" t="s">
        <v>20603</v>
      </c>
      <c r="B4919" s="7" t="s">
        <v>20604</v>
      </c>
      <c r="C4919" s="7" t="s">
        <v>20605</v>
      </c>
      <c r="D4919" s="7" t="s">
        <v>20606</v>
      </c>
      <c r="E4919" s="7" t="s">
        <v>20607</v>
      </c>
      <c r="F4919" s="7" t="str">
        <f>HYPERLINK("http://www.lagricolavalledeicasali.it/","www.lagricolavalledeicasali.it")</f>
        <v>www.lagricolavalledeicasali.it</v>
      </c>
    </row>
    <row r="4920" spans="1:6" ht="43.05" customHeight="1" x14ac:dyDescent="0.25">
      <c r="A4920" s="1" t="s">
        <v>20609</v>
      </c>
      <c r="B4920" s="7" t="s">
        <v>20610</v>
      </c>
      <c r="C4920" s="7" t="s">
        <v>20608</v>
      </c>
      <c r="D4920" s="7" t="s">
        <v>20606</v>
      </c>
      <c r="E4920" s="7" t="s">
        <v>20607</v>
      </c>
      <c r="F4920" s="7" t="str">
        <f>HYPERLINK("http://www.agrired.it/","www.agrired.it")</f>
        <v>www.agrired.it</v>
      </c>
    </row>
    <row r="4921" spans="1:6" ht="29.55" customHeight="1" x14ac:dyDescent="0.25">
      <c r="A4921" s="6" t="s">
        <v>20611</v>
      </c>
      <c r="B4921" s="5" t="s">
        <v>20612</v>
      </c>
      <c r="C4921" s="5" t="s">
        <v>20608</v>
      </c>
      <c r="D4921" s="5" t="s">
        <v>20606</v>
      </c>
      <c r="E4921" s="5" t="s">
        <v>20607</v>
      </c>
      <c r="F4921" s="5" t="str">
        <f>HYPERLINK("http://roma.coldiretti.it/chi-siamo/","roma.coldiretti.it/chi-siamo/")</f>
        <v>roma.coldiretti.it/chi-siamo/</v>
      </c>
    </row>
    <row r="4922" spans="1:6" ht="29.55" customHeight="1" x14ac:dyDescent="0.25">
      <c r="A4922" s="6" t="s">
        <v>20613</v>
      </c>
      <c r="B4922" s="5" t="s">
        <v>20614</v>
      </c>
      <c r="C4922" s="5" t="s">
        <v>20615</v>
      </c>
      <c r="D4922" s="5" t="s">
        <v>20606</v>
      </c>
      <c r="E4922" s="5" t="s">
        <v>20607</v>
      </c>
      <c r="F4922" s="5" t="str">
        <f>HYPERLINK("http://vivaiohappygarden.it/","vivaiohappygarden.it")</f>
        <v>vivaiohappygarden.it</v>
      </c>
    </row>
    <row r="4923" spans="1:6" ht="29.55" customHeight="1" x14ac:dyDescent="0.25">
      <c r="A4923" s="1" t="s">
        <v>20619</v>
      </c>
      <c r="B4923" s="7" t="s">
        <v>20620</v>
      </c>
      <c r="C4923" s="7" t="s">
        <v>20621</v>
      </c>
      <c r="D4923" s="7" t="s">
        <v>20617</v>
      </c>
      <c r="E4923" s="7" t="s">
        <v>20618</v>
      </c>
      <c r="F4923" s="7" t="str">
        <f>HYPERLINK("http://www.bapr.it/","www.bapr.it")</f>
        <v>www.bapr.it</v>
      </c>
    </row>
    <row r="4924" spans="1:6" ht="29.55" customHeight="1" x14ac:dyDescent="0.25">
      <c r="A4924" s="6" t="s">
        <v>20622</v>
      </c>
      <c r="B4924" s="5" t="s">
        <v>20623</v>
      </c>
      <c r="C4924" s="5" t="s">
        <v>20616</v>
      </c>
      <c r="D4924" s="5" t="s">
        <v>20617</v>
      </c>
      <c r="E4924" s="5" t="s">
        <v>20618</v>
      </c>
      <c r="F4924" s="5" t="str">
        <f>HYPERLINK("http://www.semidicomunita.it/","www.semidicomunita.it")</f>
        <v>www.semidicomunita.it</v>
      </c>
    </row>
    <row r="4925" spans="1:6" ht="16.95" customHeight="1" x14ac:dyDescent="0.25">
      <c r="A4925" s="1" t="s">
        <v>20626</v>
      </c>
      <c r="B4925" s="7" t="s">
        <v>20627</v>
      </c>
      <c r="C4925" s="7" t="s">
        <v>20625</v>
      </c>
      <c r="D4925" s="7" t="s">
        <v>20617</v>
      </c>
      <c r="E4925" s="7" t="s">
        <v>20618</v>
      </c>
      <c r="F4925" s="7" t="str">
        <f>HYPERLINK("http://www.megaedp.it/","www.megaedp.it")</f>
        <v>www.megaedp.it</v>
      </c>
    </row>
    <row r="4926" spans="1:6" ht="29.55" customHeight="1" x14ac:dyDescent="0.25">
      <c r="A4926" s="1" t="s">
        <v>20628</v>
      </c>
      <c r="B4926" s="7" t="s">
        <v>20629</v>
      </c>
      <c r="C4926" s="7" t="s">
        <v>20630</v>
      </c>
      <c r="D4926" s="7" t="s">
        <v>20617</v>
      </c>
      <c r="E4926" s="7" t="s">
        <v>20618</v>
      </c>
      <c r="F4926" s="7" t="str">
        <f>HYPERLINK("http://www.aziendaagricolagregori.it/","www.aziendaagricolagregori.it")</f>
        <v>www.aziendaagricolagregori.it</v>
      </c>
    </row>
    <row r="4927" spans="1:6" ht="55.65" customHeight="1" x14ac:dyDescent="0.25">
      <c r="A4927" s="6" t="s">
        <v>20631</v>
      </c>
      <c r="B4927" s="5" t="s">
        <v>20632</v>
      </c>
      <c r="C4927" s="5" t="s">
        <v>20624</v>
      </c>
      <c r="D4927" s="5" t="s">
        <v>20617</v>
      </c>
      <c r="E4927" s="5" t="s">
        <v>20618</v>
      </c>
      <c r="F4927" s="5" t="str">
        <f>HYPERLINK("http://www.agriturismoilcasalebicocca.com/","www.agriturismoilcasalebicocca.com")</f>
        <v>www.agriturismoilcasalebicocca.com</v>
      </c>
    </row>
    <row r="4928" spans="1:6" ht="55.65" customHeight="1" x14ac:dyDescent="0.25">
      <c r="A4928" s="6" t="s">
        <v>20636</v>
      </c>
      <c r="B4928" s="5" t="s">
        <v>20637</v>
      </c>
      <c r="C4928" s="5" t="s">
        <v>20638</v>
      </c>
      <c r="D4928" s="5" t="s">
        <v>20633</v>
      </c>
      <c r="E4928" s="5" t="s">
        <v>20634</v>
      </c>
      <c r="F4928" s="5" t="str">
        <f>HYPERLINK("http://www.opol.it/","www.opol.it")</f>
        <v>www.opol.it</v>
      </c>
    </row>
    <row r="4929" spans="1:6" ht="29.55" customHeight="1" x14ac:dyDescent="0.25">
      <c r="A4929" s="1" t="s">
        <v>20639</v>
      </c>
      <c r="B4929" s="7" t="s">
        <v>20640</v>
      </c>
      <c r="C4929" s="7" t="s">
        <v>20635</v>
      </c>
      <c r="D4929" s="7" t="s">
        <v>20633</v>
      </c>
      <c r="E4929" s="7" t="s">
        <v>20634</v>
      </c>
      <c r="F4929" s="7" t="str">
        <f>HYPERLINK("http://www.valle-santa.it/","www.valle-santa.it")</f>
        <v>www.valle-santa.it</v>
      </c>
    </row>
    <row r="4930" spans="1:6" ht="29.55" customHeight="1" x14ac:dyDescent="0.25">
      <c r="A4930" s="6" t="s">
        <v>20642</v>
      </c>
      <c r="B4930" s="5" t="s">
        <v>20643</v>
      </c>
      <c r="C4930" s="5" t="s">
        <v>20641</v>
      </c>
      <c r="D4930" s="5" t="s">
        <v>20633</v>
      </c>
      <c r="E4930" s="5" t="s">
        <v>20634</v>
      </c>
      <c r="F4930" s="5" t="str">
        <f>HYPERLINK("http://www.relaislacamilla.com/","www.relaislacamilla.com")</f>
        <v>www.relaislacamilla.com</v>
      </c>
    </row>
    <row r="4931" spans="1:6" ht="43.05" customHeight="1" x14ac:dyDescent="0.25">
      <c r="A4931" s="1" t="s">
        <v>20646</v>
      </c>
      <c r="B4931" s="7" t="s">
        <v>20647</v>
      </c>
      <c r="C4931" s="7" t="s">
        <v>20648</v>
      </c>
      <c r="D4931" s="7" t="s">
        <v>20644</v>
      </c>
      <c r="E4931" s="7" t="s">
        <v>20645</v>
      </c>
      <c r="F4931" s="7" t="str">
        <f>HYPERLINK("http://www.ilcolledellequerce.it/","www.ilcolledellequerce.it")</f>
        <v>www.ilcolledellequerce.it</v>
      </c>
    </row>
    <row r="4932" spans="1:6" ht="29.55" customHeight="1" x14ac:dyDescent="0.25">
      <c r="A4932" s="1" t="s">
        <v>20650</v>
      </c>
      <c r="B4932" s="7" t="s">
        <v>20651</v>
      </c>
      <c r="C4932" s="7" t="s">
        <v>20649</v>
      </c>
      <c r="D4932" s="7" t="s">
        <v>20644</v>
      </c>
      <c r="E4932" s="7" t="s">
        <v>20645</v>
      </c>
      <c r="F4932" s="7" t="str">
        <f>HYPERLINK("http://www.cafconfagricoltura.it/","www.cafconfagricoltura.it")</f>
        <v>www.cafconfagricoltura.it</v>
      </c>
    </row>
    <row r="4933" spans="1:6" ht="29.55" customHeight="1" x14ac:dyDescent="0.25">
      <c r="A4933" s="1" t="s">
        <v>20652</v>
      </c>
      <c r="B4933" s="7" t="s">
        <v>20653</v>
      </c>
      <c r="C4933" s="7" t="s">
        <v>20654</v>
      </c>
      <c r="D4933" s="7" t="s">
        <v>20655</v>
      </c>
      <c r="E4933" s="7" t="s">
        <v>20656</v>
      </c>
      <c r="F4933" s="7" t="str">
        <f>HYPERLINK("http://www.torregiuliaresort.com/","www.torregiuliaresort.com")</f>
        <v>www.torregiuliaresort.com</v>
      </c>
    </row>
    <row r="4934" spans="1:6" ht="29.55" customHeight="1" x14ac:dyDescent="0.25">
      <c r="A4934" s="6" t="s">
        <v>20659</v>
      </c>
      <c r="B4934" s="5" t="s">
        <v>20660</v>
      </c>
      <c r="C4934" s="5" t="s">
        <v>20661</v>
      </c>
      <c r="D4934" s="5" t="s">
        <v>20657</v>
      </c>
      <c r="E4934" s="5" t="s">
        <v>20658</v>
      </c>
      <c r="F4934" s="5" t="str">
        <f>HYPERLINK("http://www.poggiolivo.it/","www.poggiolivo.it")</f>
        <v>www.poggiolivo.it</v>
      </c>
    </row>
    <row r="4935" spans="1:6" ht="29.55" customHeight="1" x14ac:dyDescent="0.25">
      <c r="A4935" s="1" t="s">
        <v>20663</v>
      </c>
      <c r="B4935" s="7" t="s">
        <v>20664</v>
      </c>
      <c r="C4935" s="7" t="s">
        <v>20662</v>
      </c>
      <c r="D4935" s="7" t="s">
        <v>20657</v>
      </c>
      <c r="E4935" s="7" t="s">
        <v>20658</v>
      </c>
      <c r="F4935" s="7" t="str">
        <f>HYPERLINK("http://dottssa-emmanuela-guiducci-medico-di.business.site/","dottssa-emmanuela-guiducci-medico-di.business.site/")</f>
        <v>dottssa-emmanuela-guiducci-medico-di.business.site/</v>
      </c>
    </row>
    <row r="4936" spans="1:6" ht="43.05" customHeight="1" x14ac:dyDescent="0.25">
      <c r="A4936" s="6" t="s">
        <v>20665</v>
      </c>
      <c r="B4936" s="5" t="s">
        <v>20666</v>
      </c>
      <c r="C4936" s="5" t="s">
        <v>20667</v>
      </c>
      <c r="D4936" s="5" t="s">
        <v>20657</v>
      </c>
      <c r="E4936" s="5" t="s">
        <v>20658</v>
      </c>
      <c r="F4936" s="5" t="str">
        <f>HYPERLINK("http://www.casaledellairone.it/","www.casaledellairone.it")</f>
        <v>www.casaledellairone.it</v>
      </c>
    </row>
    <row r="4937" spans="1:6" ht="29.55" customHeight="1" x14ac:dyDescent="0.25">
      <c r="A4937" s="1" t="s">
        <v>20668</v>
      </c>
      <c r="B4937" s="7" t="s">
        <v>20669</v>
      </c>
      <c r="C4937" s="7" t="s">
        <v>20662</v>
      </c>
      <c r="D4937" s="7" t="s">
        <v>20657</v>
      </c>
      <c r="E4937" s="7" t="s">
        <v>20658</v>
      </c>
      <c r="F4937" s="7" t="str">
        <f>HYPERLINK("http://podere676.com/","podere676.com")</f>
        <v>podere676.com</v>
      </c>
    </row>
    <row r="4938" spans="1:6" ht="16.95" customHeight="1" x14ac:dyDescent="0.25">
      <c r="A4938" s="6" t="s">
        <v>20672</v>
      </c>
      <c r="B4938" s="5" t="s">
        <v>20673</v>
      </c>
      <c r="C4938" s="5" t="s">
        <v>20674</v>
      </c>
      <c r="D4938" s="5" t="s">
        <v>20670</v>
      </c>
      <c r="E4938" s="5" t="s">
        <v>20671</v>
      </c>
      <c r="F4938" s="5" t="str">
        <f>HYPERLINK("http://www.hoteltorresangelo.it/","www.hoteltorresangelo.it")</f>
        <v>www.hoteltorresangelo.it</v>
      </c>
    </row>
    <row r="4939" spans="1:6" ht="29.55" customHeight="1" x14ac:dyDescent="0.25">
      <c r="A4939" s="6" t="s">
        <v>20675</v>
      </c>
      <c r="B4939" s="5" t="s">
        <v>20676</v>
      </c>
      <c r="C4939" s="5" t="s">
        <v>20677</v>
      </c>
      <c r="D4939" s="5" t="s">
        <v>20670</v>
      </c>
      <c r="E4939" s="5" t="s">
        <v>20671</v>
      </c>
      <c r="F4939" s="5" t="str">
        <f>HYPERLINK("http://www.valleverdevivai.it/","www.valleverdevivai.it")</f>
        <v>www.valleverdevivai.it</v>
      </c>
    </row>
    <row r="4940" spans="1:6" ht="29.55" customHeight="1" x14ac:dyDescent="0.25">
      <c r="A4940" s="1" t="s">
        <v>20678</v>
      </c>
      <c r="B4940" s="7" t="s">
        <v>20679</v>
      </c>
      <c r="C4940" s="7" t="s">
        <v>20680</v>
      </c>
      <c r="D4940" s="7" t="s">
        <v>20670</v>
      </c>
      <c r="E4940" s="7" t="s">
        <v>20671</v>
      </c>
      <c r="F4940" s="7" t="str">
        <f>HYPERLINK("http://www.vallidargento.it/","www.vallidargento.it")</f>
        <v>www.vallidargento.it</v>
      </c>
    </row>
    <row r="4941" spans="1:6" ht="29.55" customHeight="1" x14ac:dyDescent="0.25">
      <c r="A4941" s="1" t="s">
        <v>20684</v>
      </c>
      <c r="B4941" s="7" t="s">
        <v>20685</v>
      </c>
      <c r="C4941" s="7" t="s">
        <v>20683</v>
      </c>
      <c r="D4941" s="7" t="s">
        <v>20681</v>
      </c>
      <c r="E4941" s="7" t="s">
        <v>20682</v>
      </c>
      <c r="F4941" s="7" t="str">
        <f>HYPERLINK("http://it-it.facebook.com/passolato/","it-it.facebook.com/passolato/")</f>
        <v>it-it.facebook.com/passolato/</v>
      </c>
    </row>
    <row r="4942" spans="1:6" ht="29.55" customHeight="1" x14ac:dyDescent="0.25">
      <c r="A4942" s="6" t="s">
        <v>20689</v>
      </c>
      <c r="B4942" s="5" t="s">
        <v>20690</v>
      </c>
      <c r="C4942" s="5" t="s">
        <v>20686</v>
      </c>
      <c r="D4942" s="5" t="s">
        <v>20687</v>
      </c>
      <c r="E4942" s="5" t="s">
        <v>20688</v>
      </c>
      <c r="F4942" s="5" t="str">
        <f>HYPERLINK("http://anguriareggianaigp.it/","anguriareggianaigp.it")</f>
        <v>anguriareggianaigp.it</v>
      </c>
    </row>
    <row r="4943" spans="1:6" ht="16.95" customHeight="1" x14ac:dyDescent="0.25">
      <c r="A4943" s="1" t="s">
        <v>20692</v>
      </c>
      <c r="B4943" s="7" t="s">
        <v>20693</v>
      </c>
      <c r="C4943" s="7" t="s">
        <v>20691</v>
      </c>
      <c r="D4943" s="7" t="s">
        <v>20687</v>
      </c>
      <c r="E4943" s="7" t="s">
        <v>20688</v>
      </c>
      <c r="F4943" s="7" t="str">
        <f>HYPERLINK("http://www.lbassociati.it/","www.lbassociati.it")</f>
        <v>www.lbassociati.it</v>
      </c>
    </row>
    <row r="4944" spans="1:6" ht="29.55" customHeight="1" x14ac:dyDescent="0.25">
      <c r="A4944" s="1" t="s">
        <v>20696</v>
      </c>
      <c r="B4944" s="7" t="s">
        <v>20697</v>
      </c>
      <c r="C4944" s="7" t="s">
        <v>20698</v>
      </c>
      <c r="D4944" s="7" t="s">
        <v>20699</v>
      </c>
      <c r="E4944" s="7" t="s">
        <v>20700</v>
      </c>
      <c r="F4944" s="7" t="str">
        <f>HYPERLINK("http://www.tampieri.com/","www.tampieri.com")</f>
        <v>www.tampieri.com</v>
      </c>
    </row>
    <row r="4945" spans="1:6" ht="29.55" customHeight="1" x14ac:dyDescent="0.25">
      <c r="A4945" s="6" t="s">
        <v>20701</v>
      </c>
      <c r="B4945" s="5" t="s">
        <v>20702</v>
      </c>
      <c r="C4945" s="5" t="s">
        <v>20703</v>
      </c>
      <c r="D4945" s="5" t="s">
        <v>20699</v>
      </c>
      <c r="E4945" s="5" t="s">
        <v>20700</v>
      </c>
      <c r="F4945" s="5" t="str">
        <f>HYPERLINK("http://www.casasso.info/","www.casasso.info")</f>
        <v>www.casasso.info</v>
      </c>
    </row>
    <row r="4946" spans="1:6" ht="29.55" customHeight="1" x14ac:dyDescent="0.25">
      <c r="A4946" s="6" t="s">
        <v>20704</v>
      </c>
      <c r="B4946" s="5" t="s">
        <v>20705</v>
      </c>
      <c r="C4946" s="5" t="s">
        <v>20706</v>
      </c>
      <c r="D4946" s="5" t="s">
        <v>20699</v>
      </c>
      <c r="E4946" s="5" t="s">
        <v>20700</v>
      </c>
      <c r="F4946" s="5" t="str">
        <f>HYPERLINK("http://www.enervitabio.com/","www.enervitabio.com")</f>
        <v>www.enervitabio.com</v>
      </c>
    </row>
    <row r="4947" spans="1:6" ht="29.55" customHeight="1" x14ac:dyDescent="0.25">
      <c r="A4947" s="6" t="s">
        <v>20708</v>
      </c>
      <c r="B4947" s="5" t="s">
        <v>20709</v>
      </c>
      <c r="C4947" s="5" t="s">
        <v>20710</v>
      </c>
      <c r="D4947" s="5" t="s">
        <v>20694</v>
      </c>
      <c r="E4947" s="5" t="s">
        <v>20695</v>
      </c>
      <c r="F4947" s="5" t="str">
        <f>HYPERLINK("http://www.grefamily.it/","www.grefamily.it")</f>
        <v>www.grefamily.it</v>
      </c>
    </row>
    <row r="4948" spans="1:6" ht="16.95" customHeight="1" x14ac:dyDescent="0.25">
      <c r="A4948" s="6" t="s">
        <v>20711</v>
      </c>
      <c r="B4948" s="5" t="s">
        <v>20712</v>
      </c>
      <c r="C4948" s="5" t="s">
        <v>20707</v>
      </c>
      <c r="D4948" s="5" t="s">
        <v>20694</v>
      </c>
      <c r="E4948" s="5" t="s">
        <v>20695</v>
      </c>
      <c r="F4948" s="5" t="str">
        <f>HYPERLINK("http://www.letrecolline.net/","www.letrecolline.net")</f>
        <v>www.letrecolline.net</v>
      </c>
    </row>
    <row r="4949" spans="1:6" ht="16.95" customHeight="1" x14ac:dyDescent="0.25">
      <c r="A4949" s="6" t="s">
        <v>20713</v>
      </c>
      <c r="B4949" s="5" t="s">
        <v>20714</v>
      </c>
      <c r="C4949" s="5" t="s">
        <v>20715</v>
      </c>
      <c r="D4949" s="5" t="s">
        <v>20694</v>
      </c>
      <c r="E4949" s="5" t="s">
        <v>20695</v>
      </c>
      <c r="F4949" s="5" t="str">
        <f>HYPERLINK("http://www.xflies.it/","www.xflies.it")</f>
        <v>www.xflies.it</v>
      </c>
    </row>
    <row r="4950" spans="1:6" ht="29.55" customHeight="1" x14ac:dyDescent="0.25">
      <c r="A4950" s="6" t="s">
        <v>20720</v>
      </c>
      <c r="B4950" s="5" t="s">
        <v>20721</v>
      </c>
      <c r="C4950" s="5" t="s">
        <v>20719</v>
      </c>
      <c r="D4950" s="5" t="s">
        <v>20717</v>
      </c>
      <c r="E4950" s="5" t="s">
        <v>20718</v>
      </c>
      <c r="F4950" s="5" t="str">
        <f>HYPERLINK("http://www.gaiaveg.it/","www.gaiaveg.it")</f>
        <v>www.gaiaveg.it</v>
      </c>
    </row>
    <row r="4951" spans="1:6" ht="16.95" customHeight="1" x14ac:dyDescent="0.25">
      <c r="A4951" s="1" t="s">
        <v>20722</v>
      </c>
      <c r="B4951" s="7" t="s">
        <v>20723</v>
      </c>
      <c r="C4951" s="7" t="s">
        <v>20724</v>
      </c>
      <c r="D4951" s="7" t="s">
        <v>20717</v>
      </c>
      <c r="E4951" s="7" t="s">
        <v>20718</v>
      </c>
      <c r="F4951" s="7" t="str">
        <f>HYPERLINK("http://www.agrifasrl.com/","www.agrifasrl.com")</f>
        <v>www.agrifasrl.com</v>
      </c>
    </row>
    <row r="4952" spans="1:6" ht="29.55" customHeight="1" x14ac:dyDescent="0.25">
      <c r="A4952" s="6" t="s">
        <v>20725</v>
      </c>
      <c r="B4952" s="5" t="s">
        <v>20726</v>
      </c>
      <c r="C4952" s="5" t="s">
        <v>20727</v>
      </c>
      <c r="D4952" s="5" t="s">
        <v>20717</v>
      </c>
      <c r="E4952" s="5" t="s">
        <v>20718</v>
      </c>
      <c r="F4952" s="5" t="str">
        <f>HYPERLINK("http://www.aziendecafra.com/","www.aziendecafra.com")</f>
        <v>www.aziendecafra.com</v>
      </c>
    </row>
    <row r="4953" spans="1:6" ht="68.099999999999994" customHeight="1" x14ac:dyDescent="0.25">
      <c r="A4953" s="6" t="s">
        <v>20729</v>
      </c>
      <c r="B4953" s="5" t="s">
        <v>20730</v>
      </c>
      <c r="C4953" s="5" t="s">
        <v>20716</v>
      </c>
      <c r="D4953" s="5" t="s">
        <v>20717</v>
      </c>
      <c r="E4953" s="5" t="s">
        <v>20718</v>
      </c>
      <c r="F4953" s="5" t="str">
        <f>HYPERLINK("http://www.funghicardopan.it/","www.funghicardopan.it")</f>
        <v>www.funghicardopan.it</v>
      </c>
    </row>
    <row r="4954" spans="1:6" ht="43.05" customHeight="1" x14ac:dyDescent="0.25">
      <c r="A4954" s="6" t="s">
        <v>20731</v>
      </c>
      <c r="B4954" s="5" t="s">
        <v>20732</v>
      </c>
      <c r="C4954" s="5" t="s">
        <v>20728</v>
      </c>
      <c r="D4954" s="5" t="s">
        <v>20717</v>
      </c>
      <c r="E4954" s="5" t="s">
        <v>20718</v>
      </c>
      <c r="F4954" s="5" t="str">
        <f>HYPERLINK("http://www.agriturismo-santagata.com/","www.agriturismo-santagata.com")</f>
        <v>www.agriturismo-santagata.com</v>
      </c>
    </row>
    <row r="4955" spans="1:6" ht="29.55" customHeight="1" x14ac:dyDescent="0.25">
      <c r="A4955" s="6" t="s">
        <v>20735</v>
      </c>
      <c r="B4955" s="5" t="s">
        <v>20736</v>
      </c>
      <c r="C4955" s="5" t="s">
        <v>20737</v>
      </c>
      <c r="D4955" s="5" t="s">
        <v>20733</v>
      </c>
      <c r="E4955" s="5" t="s">
        <v>20734</v>
      </c>
      <c r="F4955" s="5" t="str">
        <f>HYPERLINK("http://www.disinfestazione-piccioni-milano.it/","www.disinfestazione-piccioni-milano.it")</f>
        <v>www.disinfestazione-piccioni-milano.it</v>
      </c>
    </row>
    <row r="4956" spans="1:6" ht="55.65" customHeight="1" x14ac:dyDescent="0.25">
      <c r="A4956" s="6" t="s">
        <v>20738</v>
      </c>
      <c r="B4956" s="5" t="s">
        <v>20739</v>
      </c>
      <c r="C4956" s="5" t="s">
        <v>20716</v>
      </c>
      <c r="D4956" s="5" t="s">
        <v>20733</v>
      </c>
      <c r="E4956" s="5" t="s">
        <v>20734</v>
      </c>
      <c r="F4956" s="5" t="str">
        <f>HYPERLINK("http://borgodelmonteantico.it/","borgodelmonteantico.it")</f>
        <v>borgodelmonteantico.it</v>
      </c>
    </row>
    <row r="4957" spans="1:6" ht="16.95" customHeight="1" x14ac:dyDescent="0.25">
      <c r="A4957" s="6" t="s">
        <v>20745</v>
      </c>
      <c r="B4957" s="5" t="s">
        <v>20746</v>
      </c>
      <c r="C4957" s="5" t="s">
        <v>20747</v>
      </c>
      <c r="D4957" s="5" t="s">
        <v>20743</v>
      </c>
      <c r="E4957" s="5" t="s">
        <v>20744</v>
      </c>
      <c r="F4957" s="5" t="str">
        <f>HYPERLINK("http://www.i3puc.it/","www.i3puc.it")</f>
        <v>www.i3puc.it</v>
      </c>
    </row>
    <row r="4958" spans="1:6" ht="55.65" customHeight="1" x14ac:dyDescent="0.25">
      <c r="A4958" s="6" t="s">
        <v>20749</v>
      </c>
      <c r="B4958" s="5" t="s">
        <v>20750</v>
      </c>
      <c r="C4958" s="5" t="s">
        <v>20748</v>
      </c>
      <c r="D4958" s="5" t="s">
        <v>20741</v>
      </c>
      <c r="E4958" s="5" t="s">
        <v>20742</v>
      </c>
      <c r="F4958" s="5" t="str">
        <f>HYPERLINK("http://ammazzinipiante.it/","ammazzinipiante.it")</f>
        <v>ammazzinipiante.it</v>
      </c>
    </row>
    <row r="4959" spans="1:6" ht="29.55" customHeight="1" x14ac:dyDescent="0.25">
      <c r="A4959" s="1" t="s">
        <v>20751</v>
      </c>
      <c r="B4959" s="7" t="s">
        <v>20752</v>
      </c>
      <c r="C4959" s="7" t="s">
        <v>20740</v>
      </c>
      <c r="D4959" s="7" t="s">
        <v>20741</v>
      </c>
      <c r="E4959" s="7" t="s">
        <v>20742</v>
      </c>
      <c r="F4959" s="7" t="str">
        <f>HYPERLINK("http://www.latoscanadipinocchio.it/","www.latoscanadipinocchio.it")</f>
        <v>www.latoscanadipinocchio.it</v>
      </c>
    </row>
    <row r="4960" spans="1:6" ht="43.05" customHeight="1" x14ac:dyDescent="0.25">
      <c r="A4960" s="6" t="s">
        <v>20755</v>
      </c>
      <c r="B4960" s="5" t="s">
        <v>20756</v>
      </c>
      <c r="C4960" s="5" t="s">
        <v>20747</v>
      </c>
      <c r="D4960" s="5" t="s">
        <v>20753</v>
      </c>
      <c r="E4960" s="5" t="s">
        <v>20754</v>
      </c>
      <c r="F4960" s="5" t="str">
        <f>HYPERLINK("http://www.ekira.it/","www.ekira.it")</f>
        <v>www.ekira.it</v>
      </c>
    </row>
    <row r="4961" spans="1:6" ht="29.55" customHeight="1" x14ac:dyDescent="0.25">
      <c r="A4961" s="6" t="s">
        <v>20757</v>
      </c>
      <c r="B4961" s="5" t="s">
        <v>20758</v>
      </c>
      <c r="C4961" s="5" t="s">
        <v>20747</v>
      </c>
      <c r="D4961" s="5" t="s">
        <v>20759</v>
      </c>
      <c r="E4961" s="5" t="s">
        <v>20760</v>
      </c>
      <c r="F4961" s="5" t="str">
        <f>HYPERLINK("http://www.parmamoda.it/","www.parmamoda.it")</f>
        <v>www.parmamoda.it</v>
      </c>
    </row>
    <row r="4962" spans="1:6" ht="55.65" customHeight="1" x14ac:dyDescent="0.25">
      <c r="A4962" s="1" t="s">
        <v>20764</v>
      </c>
      <c r="B4962" s="7" t="s">
        <v>20765</v>
      </c>
      <c r="C4962" s="7" t="s">
        <v>20763</v>
      </c>
      <c r="D4962" s="7" t="s">
        <v>20761</v>
      </c>
      <c r="E4962" s="7" t="s">
        <v>20762</v>
      </c>
      <c r="F4962" s="7" t="str">
        <f>HYPERLINK("http://corteglam.it/","corteglam.it")</f>
        <v>corteglam.it</v>
      </c>
    </row>
    <row r="4963" spans="1:6" ht="29.55" customHeight="1" x14ac:dyDescent="0.25">
      <c r="A4963" s="6" t="s">
        <v>20766</v>
      </c>
      <c r="B4963" s="5" t="s">
        <v>20767</v>
      </c>
      <c r="C4963" s="5" t="s">
        <v>20768</v>
      </c>
      <c r="D4963" s="5" t="s">
        <v>20761</v>
      </c>
      <c r="E4963" s="5" t="s">
        <v>20762</v>
      </c>
      <c r="F4963" s="5" t="str">
        <f>HYPERLINK("http://www.poderepradarolo.com/","www.poderepradarolo.com")</f>
        <v>www.poderepradarolo.com</v>
      </c>
    </row>
    <row r="4964" spans="1:6" ht="55.65" customHeight="1" x14ac:dyDescent="0.25">
      <c r="A4964" s="6" t="s">
        <v>20769</v>
      </c>
      <c r="B4964" s="5" t="s">
        <v>20770</v>
      </c>
      <c r="C4964" s="5" t="s">
        <v>20771</v>
      </c>
      <c r="D4964" s="5" t="s">
        <v>20761</v>
      </c>
      <c r="E4964" s="5" t="s">
        <v>20762</v>
      </c>
      <c r="F4964" s="5" t="str">
        <f>HYPERLINK("http://www.solarhouse.cloud/","www.solarhouse.cloud")</f>
        <v>www.solarhouse.cloud</v>
      </c>
    </row>
    <row r="4965" spans="1:6" ht="29.55" customHeight="1" x14ac:dyDescent="0.25">
      <c r="A4965" s="6" t="s">
        <v>20776</v>
      </c>
      <c r="B4965" s="5" t="s">
        <v>20777</v>
      </c>
      <c r="C4965" s="5" t="s">
        <v>20773</v>
      </c>
      <c r="D4965" s="5" t="s">
        <v>20774</v>
      </c>
      <c r="E4965" s="5" t="s">
        <v>20775</v>
      </c>
      <c r="F4965" s="5" t="str">
        <f>HYPERLINK("http://cascinacipressa.com/","cascinacipressa.com")</f>
        <v>cascinacipressa.com</v>
      </c>
    </row>
    <row r="4966" spans="1:6" ht="43.05" customHeight="1" x14ac:dyDescent="0.25">
      <c r="A4966" s="1" t="s">
        <v>20779</v>
      </c>
      <c r="B4966" s="7" t="s">
        <v>20780</v>
      </c>
      <c r="C4966" s="7" t="s">
        <v>20778</v>
      </c>
      <c r="D4966" s="7" t="s">
        <v>20774</v>
      </c>
      <c r="E4966" s="7" t="s">
        <v>20775</v>
      </c>
      <c r="F4966" s="7" t="str">
        <f>HYPERLINK("http://www.agrienduro.com/","www.agrienduro.com")</f>
        <v>www.agrienduro.com</v>
      </c>
    </row>
    <row r="4967" spans="1:6" ht="16.95" customHeight="1" x14ac:dyDescent="0.25">
      <c r="A4967" s="1" t="s">
        <v>20781</v>
      </c>
      <c r="B4967" s="7" t="s">
        <v>20782</v>
      </c>
      <c r="C4967" s="7" t="s">
        <v>20772</v>
      </c>
      <c r="D4967" s="7" t="s">
        <v>20774</v>
      </c>
      <c r="E4967" s="7" t="s">
        <v>20775</v>
      </c>
      <c r="F4967" s="7" t="str">
        <f>HYPERLINK("http://www.arcenni.it/","www.arcenni.it")</f>
        <v>www.arcenni.it</v>
      </c>
    </row>
    <row r="4968" spans="1:6" ht="16.95" customHeight="1" x14ac:dyDescent="0.25">
      <c r="A4968" s="1" t="s">
        <v>20783</v>
      </c>
      <c r="B4968" s="7" t="s">
        <v>20784</v>
      </c>
      <c r="C4968" s="7" t="s">
        <v>20778</v>
      </c>
      <c r="D4968" s="7" t="s">
        <v>20774</v>
      </c>
      <c r="E4968" s="7" t="s">
        <v>20775</v>
      </c>
      <c r="F4968" s="7" t="str">
        <f>HYPERLINK("http://www.ristorantemontevecchio.com/","www.ristorantemontevecchio.com")</f>
        <v>www.ristorantemontevecchio.com</v>
      </c>
    </row>
    <row r="4969" spans="1:6" ht="29.55" customHeight="1" x14ac:dyDescent="0.25">
      <c r="A4969" s="6" t="s">
        <v>20788</v>
      </c>
      <c r="B4969" s="5" t="s">
        <v>20789</v>
      </c>
      <c r="C4969" s="5" t="s">
        <v>20787</v>
      </c>
      <c r="D4969" s="5" t="s">
        <v>20785</v>
      </c>
      <c r="E4969" s="5" t="s">
        <v>20786</v>
      </c>
      <c r="F4969" s="5" t="str">
        <f>HYPERLINK("http://www.dilevagarden.it/","www.dilevagarden.it")</f>
        <v>www.dilevagarden.it</v>
      </c>
    </row>
    <row r="4970" spans="1:6" ht="16.95" customHeight="1" x14ac:dyDescent="0.25">
      <c r="A4970" s="1" t="s">
        <v>20790</v>
      </c>
      <c r="B4970" s="7" t="s">
        <v>20791</v>
      </c>
      <c r="C4970" s="7" t="s">
        <v>20792</v>
      </c>
      <c r="D4970" s="7" t="s">
        <v>20785</v>
      </c>
      <c r="E4970" s="7" t="s">
        <v>20786</v>
      </c>
      <c r="F4970" s="7" t="str">
        <f>HYPERLINK("http://wannabis.it/","wannabis.it")</f>
        <v>wannabis.it</v>
      </c>
    </row>
    <row r="4971" spans="1:6" ht="16.95" customHeight="1" x14ac:dyDescent="0.25">
      <c r="A4971" s="6" t="s">
        <v>20795</v>
      </c>
      <c r="B4971" s="5" t="s">
        <v>20796</v>
      </c>
      <c r="C4971" s="5" t="s">
        <v>20797</v>
      </c>
      <c r="D4971" s="5" t="s">
        <v>20793</v>
      </c>
      <c r="E4971" s="5" t="s">
        <v>20794</v>
      </c>
      <c r="F4971" s="5" t="str">
        <f>HYPERLINK("http://www.goodlifelab.it/","www.goodlifelab.it")</f>
        <v>www.goodlifelab.it</v>
      </c>
    </row>
    <row r="4972" spans="1:6" ht="29.55" customHeight="1" x14ac:dyDescent="0.25">
      <c r="A4972" s="1" t="s">
        <v>20800</v>
      </c>
      <c r="B4972" s="7" t="s">
        <v>20801</v>
      </c>
      <c r="C4972" s="7" t="s">
        <v>20799</v>
      </c>
      <c r="D4972" s="7" t="s">
        <v>20793</v>
      </c>
      <c r="E4972" s="7" t="s">
        <v>20794</v>
      </c>
      <c r="F4972" s="7" t="str">
        <f>HYPERLINK("http://www.tenutadifiore.it/","www.tenutadifiore.it")</f>
        <v>www.tenutadifiore.it</v>
      </c>
    </row>
    <row r="4973" spans="1:6" ht="68.099999999999994" customHeight="1" x14ac:dyDescent="0.25">
      <c r="A4973" s="1" t="s">
        <v>20804</v>
      </c>
      <c r="B4973" s="7" t="s">
        <v>20805</v>
      </c>
      <c r="C4973" s="7" t="s">
        <v>20798</v>
      </c>
      <c r="D4973" s="7" t="s">
        <v>20802</v>
      </c>
      <c r="E4973" s="7" t="s">
        <v>20803</v>
      </c>
      <c r="F4973" s="7" t="str">
        <f>HYPERLINK("http://www.mercatodelpane.com/","www.mercatodelpane.com")</f>
        <v>www.mercatodelpane.com</v>
      </c>
    </row>
    <row r="4974" spans="1:6" ht="29.55" customHeight="1" x14ac:dyDescent="0.25">
      <c r="A4974" s="6" t="s">
        <v>20808</v>
      </c>
      <c r="B4974" s="5" t="s">
        <v>20809</v>
      </c>
      <c r="C4974" s="5" t="s">
        <v>20810</v>
      </c>
      <c r="D4974" s="5" t="s">
        <v>20806</v>
      </c>
      <c r="E4974" s="5" t="s">
        <v>20807</v>
      </c>
      <c r="F4974" s="5" t="str">
        <f>HYPERLINK("http://www.kalitechlab.it/","www.kalitechlab.it")</f>
        <v>www.kalitechlab.it</v>
      </c>
    </row>
    <row r="4975" spans="1:6" ht="16.95" customHeight="1" x14ac:dyDescent="0.25">
      <c r="A4975" s="1" t="s">
        <v>20811</v>
      </c>
      <c r="B4975" s="7" t="s">
        <v>20812</v>
      </c>
      <c r="C4975" s="7" t="s">
        <v>20813</v>
      </c>
      <c r="D4975" s="7" t="s">
        <v>20806</v>
      </c>
      <c r="E4975" s="7" t="s">
        <v>20807</v>
      </c>
      <c r="F4975" s="7" t="str">
        <f>HYPERLINK("http://www.bioshydrogel.com/","www.bioshydrogel.com")</f>
        <v>www.bioshydrogel.com</v>
      </c>
    </row>
    <row r="4976" spans="1:6" ht="29.55" customHeight="1" x14ac:dyDescent="0.25">
      <c r="A4976" s="1" t="s">
        <v>20814</v>
      </c>
      <c r="B4976" s="7" t="s">
        <v>20815</v>
      </c>
      <c r="C4976" s="7" t="s">
        <v>20816</v>
      </c>
      <c r="D4976" s="7" t="s">
        <v>20817</v>
      </c>
      <c r="E4976" s="7" t="s">
        <v>20818</v>
      </c>
      <c r="F4976" s="7" t="str">
        <f>HYPERLINK("http://www.mandranova.com/","www.mandranova.com")</f>
        <v>www.mandranova.com</v>
      </c>
    </row>
    <row r="4977" spans="1:6" ht="29.55" customHeight="1" x14ac:dyDescent="0.25">
      <c r="A4977" s="1" t="s">
        <v>20820</v>
      </c>
      <c r="B4977" s="7" t="s">
        <v>20821</v>
      </c>
      <c r="C4977" s="7" t="s">
        <v>20819</v>
      </c>
      <c r="D4977" s="7" t="s">
        <v>20817</v>
      </c>
      <c r="E4977" s="7" t="s">
        <v>20818</v>
      </c>
      <c r="F4977" s="7" t="str">
        <f>HYPERLINK("http://www.fondazionescimeca.it/","www.fondazionescimeca.it")</f>
        <v>www.fondazionescimeca.it</v>
      </c>
    </row>
    <row r="4978" spans="1:6" ht="16.95" customHeight="1" x14ac:dyDescent="0.25">
      <c r="A4978" s="1" t="s">
        <v>20823</v>
      </c>
      <c r="B4978" s="7" t="s">
        <v>20824</v>
      </c>
      <c r="C4978" s="7" t="s">
        <v>20822</v>
      </c>
      <c r="D4978" s="7" t="s">
        <v>20817</v>
      </c>
      <c r="E4978" s="7" t="s">
        <v>20818</v>
      </c>
      <c r="F4978" s="7" t="str">
        <f>HYPERLINK("http://www.tudia.it/","www.tudia.it")</f>
        <v>www.tudia.it</v>
      </c>
    </row>
    <row r="4979" spans="1:6" ht="29.55" customHeight="1" x14ac:dyDescent="0.25">
      <c r="A4979" s="1" t="s">
        <v>20825</v>
      </c>
      <c r="B4979" s="7" t="s">
        <v>20826</v>
      </c>
      <c r="C4979" s="7" t="s">
        <v>20827</v>
      </c>
      <c r="D4979" s="7" t="s">
        <v>20828</v>
      </c>
      <c r="E4979" s="7" t="s">
        <v>20829</v>
      </c>
      <c r="F4979" s="7" t="str">
        <f>HYPERLINK("http://www.heimasuite.com/","www.heimasuite.com")</f>
        <v>www.heimasuite.com</v>
      </c>
    </row>
    <row r="4980" spans="1:6" ht="43.05" customHeight="1" x14ac:dyDescent="0.25">
      <c r="A4980" s="1" t="s">
        <v>20830</v>
      </c>
      <c r="B4980" s="7" t="s">
        <v>20831</v>
      </c>
      <c r="C4980" s="7" t="s">
        <v>20827</v>
      </c>
      <c r="D4980" s="7" t="s">
        <v>20832</v>
      </c>
      <c r="E4980" s="7" t="s">
        <v>20833</v>
      </c>
      <c r="F4980" s="7" t="str">
        <f>HYPERLINK("http://www.renewablesfarm.com/","www.renewablesfarm.com")</f>
        <v>www.renewablesfarm.com</v>
      </c>
    </row>
    <row r="4981" spans="1:6" ht="29.55" customHeight="1" x14ac:dyDescent="0.25">
      <c r="A4981" s="6" t="s">
        <v>20834</v>
      </c>
      <c r="B4981" s="5" t="s">
        <v>20835</v>
      </c>
      <c r="C4981" s="5" t="s">
        <v>20836</v>
      </c>
      <c r="D4981" s="5" t="s">
        <v>20832</v>
      </c>
      <c r="E4981" s="5" t="s">
        <v>20833</v>
      </c>
      <c r="F4981" s="5" t="str">
        <f>HYPERLINK("http://www.agricolabioarborea.it/","www.agricolabioarborea.it")</f>
        <v>www.agricolabioarborea.it</v>
      </c>
    </row>
    <row r="4982" spans="1:6" ht="29.55" customHeight="1" x14ac:dyDescent="0.25">
      <c r="A4982" s="6" t="s">
        <v>20837</v>
      </c>
      <c r="B4982" s="5" t="s">
        <v>20838</v>
      </c>
      <c r="C4982" s="5" t="s">
        <v>20827</v>
      </c>
      <c r="D4982" s="5" t="s">
        <v>20832</v>
      </c>
      <c r="E4982" s="5" t="s">
        <v>20833</v>
      </c>
      <c r="F4982" s="5" t="str">
        <f>HYPERLINK("http://www.radicisardebio.it/","www.radicisardebio.it")</f>
        <v>www.radicisardebio.it</v>
      </c>
    </row>
    <row r="4983" spans="1:6" ht="29.55" customHeight="1" x14ac:dyDescent="0.25">
      <c r="A4983" s="6" t="s">
        <v>20840</v>
      </c>
      <c r="B4983" s="5" t="s">
        <v>20841</v>
      </c>
      <c r="C4983" s="5" t="s">
        <v>20836</v>
      </c>
      <c r="D4983" s="5" t="s">
        <v>20839</v>
      </c>
      <c r="E4983" s="5" t="s">
        <v>20833</v>
      </c>
      <c r="F4983" s="5" t="str">
        <f>HYPERLINK("http://www.sardegnaagricoltura.it/","www.sardegnaagricoltura.it")</f>
        <v>www.sardegnaagricoltura.it</v>
      </c>
    </row>
    <row r="4984" spans="1:6" ht="43.05" customHeight="1" x14ac:dyDescent="0.25">
      <c r="A4984" s="1" t="s">
        <v>20844</v>
      </c>
      <c r="B4984" s="7" t="s">
        <v>20845</v>
      </c>
      <c r="C4984" s="7" t="s">
        <v>20846</v>
      </c>
      <c r="D4984" s="7" t="s">
        <v>20842</v>
      </c>
      <c r="E4984" s="7" t="s">
        <v>20843</v>
      </c>
      <c r="F4984" s="7" t="str">
        <f>HYPERLINK("http://www.pescheriatortoli.it/","www.pescheriatortoli.it")</f>
        <v>www.pescheriatortoli.it</v>
      </c>
    </row>
    <row r="4985" spans="1:6" ht="29.55" customHeight="1" x14ac:dyDescent="0.25">
      <c r="A4985" s="1" t="s">
        <v>20849</v>
      </c>
      <c r="B4985" s="7" t="s">
        <v>20850</v>
      </c>
      <c r="C4985" s="7" t="s">
        <v>20851</v>
      </c>
      <c r="D4985" s="7" t="s">
        <v>20847</v>
      </c>
      <c r="E4985" s="7" t="s">
        <v>20848</v>
      </c>
      <c r="F4985" s="7" t="str">
        <f>HYPERLINK("http://cantinapidrin.it/","cantinapidrin.it")</f>
        <v>cantinapidrin.it</v>
      </c>
    </row>
    <row r="4986" spans="1:6" ht="55.65" customHeight="1" x14ac:dyDescent="0.25">
      <c r="A4986" s="6" t="s">
        <v>20852</v>
      </c>
      <c r="B4986" s="5" t="s">
        <v>20853</v>
      </c>
      <c r="C4986" s="5" t="s">
        <v>20851</v>
      </c>
      <c r="D4986" s="5" t="s">
        <v>20847</v>
      </c>
      <c r="E4986" s="5" t="s">
        <v>20848</v>
      </c>
      <c r="F4986" s="5" t="str">
        <f>HYPERLINK("http://www.torracciadelpiantavigna.it/","http://www.torracciadelpiantavigna.it")</f>
        <v>http://www.torracciadelpiantavigna.it</v>
      </c>
    </row>
    <row r="4987" spans="1:6" ht="16.95" customHeight="1" x14ac:dyDescent="0.25">
      <c r="A4987" s="6" t="s">
        <v>20856</v>
      </c>
      <c r="B4987" s="5" t="s">
        <v>20857</v>
      </c>
      <c r="C4987" s="5" t="s">
        <v>20858</v>
      </c>
      <c r="D4987" s="5" t="s">
        <v>20854</v>
      </c>
      <c r="E4987" s="5" t="s">
        <v>20855</v>
      </c>
      <c r="F4987" s="5" t="str">
        <f>HYPERLINK("http://www.verticaliasmart.it/","www.verticaliasmart.it")</f>
        <v>www.verticaliasmart.it</v>
      </c>
    </row>
    <row r="4988" spans="1:6" ht="29.55" customHeight="1" x14ac:dyDescent="0.25">
      <c r="A4988" s="6" t="s">
        <v>20862</v>
      </c>
      <c r="B4988" s="5" t="s">
        <v>20863</v>
      </c>
      <c r="C4988" s="5" t="s">
        <v>20864</v>
      </c>
      <c r="D4988" s="5" t="s">
        <v>20860</v>
      </c>
      <c r="E4988" s="5" t="s">
        <v>20861</v>
      </c>
      <c r="F4988" s="5" t="str">
        <f>HYPERLINK("http://www.medixasrl.com/","www.medixasrl.com")</f>
        <v>www.medixasrl.com</v>
      </c>
    </row>
    <row r="4989" spans="1:6" ht="29.55" customHeight="1" x14ac:dyDescent="0.25">
      <c r="A4989" s="6" t="s">
        <v>20865</v>
      </c>
      <c r="B4989" s="5" t="s">
        <v>20866</v>
      </c>
      <c r="C4989" s="5" t="s">
        <v>20859</v>
      </c>
      <c r="D4989" s="5" t="s">
        <v>20860</v>
      </c>
      <c r="E4989" s="5" t="s">
        <v>20861</v>
      </c>
      <c r="F4989" s="5" t="str">
        <f>HYPERLINK("http://www.zefiroechloride.it/","www.zefiroechloride.it")</f>
        <v>www.zefiroechloride.it</v>
      </c>
    </row>
    <row r="4990" spans="1:6" ht="29.55" customHeight="1" x14ac:dyDescent="0.25">
      <c r="A4990" s="1" t="s">
        <v>20869</v>
      </c>
      <c r="B4990" s="7" t="s">
        <v>20870</v>
      </c>
      <c r="C4990" s="7" t="s">
        <v>20871</v>
      </c>
      <c r="D4990" s="7" t="s">
        <v>20867</v>
      </c>
      <c r="E4990" s="7" t="s">
        <v>20868</v>
      </c>
      <c r="F4990" s="7" t="str">
        <f>HYPERLINK("http://www.tenutadoria.it/","www.tenutadoria.it")</f>
        <v>www.tenutadoria.it</v>
      </c>
    </row>
    <row r="4991" spans="1:6" ht="16.95" customHeight="1" x14ac:dyDescent="0.25">
      <c r="A4991" s="6" t="s">
        <v>20872</v>
      </c>
      <c r="B4991" s="5" t="s">
        <v>20873</v>
      </c>
      <c r="C4991" s="5" t="s">
        <v>20871</v>
      </c>
      <c r="D4991" s="5" t="s">
        <v>20867</v>
      </c>
      <c r="E4991" s="5" t="s">
        <v>20868</v>
      </c>
      <c r="F4991" s="5" t="str">
        <f>HYPERLINK("http://www.agrisolare.it/","www.agrisolare.it")</f>
        <v>www.agrisolare.it</v>
      </c>
    </row>
    <row r="4992" spans="1:6" ht="16.95" customHeight="1" x14ac:dyDescent="0.25">
      <c r="A4992" s="1" t="s">
        <v>20874</v>
      </c>
      <c r="B4992" s="7" t="s">
        <v>20875</v>
      </c>
      <c r="C4992" s="7" t="s">
        <v>20876</v>
      </c>
      <c r="D4992" s="7" t="s">
        <v>20867</v>
      </c>
      <c r="E4992" s="7" t="s">
        <v>20868</v>
      </c>
      <c r="F4992" s="7" t="str">
        <f>HYPERLINK("http://www.ricambicozzolino.it/","www.ricambicozzolino.it")</f>
        <v>www.ricambicozzolino.it</v>
      </c>
    </row>
    <row r="4993" spans="1:6" ht="29.55" customHeight="1" x14ac:dyDescent="0.25">
      <c r="A4993" s="6" t="s">
        <v>20879</v>
      </c>
      <c r="B4993" s="5" t="s">
        <v>20880</v>
      </c>
      <c r="C4993" s="5" t="s">
        <v>20877</v>
      </c>
      <c r="D4993" s="5" t="s">
        <v>20881</v>
      </c>
      <c r="E4993" s="5" t="s">
        <v>20882</v>
      </c>
      <c r="F4993" s="5" t="str">
        <f>HYPERLINK("http://ezen-coopsocagricola.business.site/","ezen-coopsocagricola.business.site/")</f>
        <v>ezen-coopsocagricola.business.site/</v>
      </c>
    </row>
    <row r="4994" spans="1:6" ht="43.05" customHeight="1" x14ac:dyDescent="0.25">
      <c r="A4994" s="1" t="s">
        <v>20883</v>
      </c>
      <c r="B4994" s="7" t="s">
        <v>20884</v>
      </c>
      <c r="C4994" s="7" t="s">
        <v>20885</v>
      </c>
      <c r="D4994" s="7" t="s">
        <v>20886</v>
      </c>
      <c r="E4994" s="7" t="s">
        <v>20887</v>
      </c>
      <c r="F4994" s="7" t="str">
        <f>HYPERLINK("http://www.vivaieuroflora.it/","www.vivaieuroflora.it")</f>
        <v>www.vivaieuroflora.it</v>
      </c>
    </row>
    <row r="4995" spans="1:6" ht="29.55" customHeight="1" x14ac:dyDescent="0.25">
      <c r="A4995" s="1" t="s">
        <v>20888</v>
      </c>
      <c r="B4995" s="7" t="s">
        <v>20889</v>
      </c>
      <c r="C4995" s="7" t="s">
        <v>20890</v>
      </c>
      <c r="D4995" s="7" t="s">
        <v>20886</v>
      </c>
      <c r="E4995" s="7" t="s">
        <v>20887</v>
      </c>
      <c r="F4995" s="7" t="str">
        <f>HYPERLINK("http://www.cfogroup.it/","www.cfogroup.it")</f>
        <v>www.cfogroup.it</v>
      </c>
    </row>
    <row r="4996" spans="1:6" ht="43.05" customHeight="1" x14ac:dyDescent="0.25">
      <c r="A4996" s="6" t="s">
        <v>20891</v>
      </c>
      <c r="B4996" s="5" t="s">
        <v>20892</v>
      </c>
      <c r="C4996" s="5" t="s">
        <v>20878</v>
      </c>
      <c r="D4996" s="5" t="s">
        <v>20886</v>
      </c>
      <c r="E4996" s="5" t="s">
        <v>20887</v>
      </c>
      <c r="F4996" s="5" t="str">
        <f>HYPERLINK("http://modenacoworking.it/","modenacoworking.it")</f>
        <v>modenacoworking.it</v>
      </c>
    </row>
    <row r="4997" spans="1:6" ht="29.55" customHeight="1" x14ac:dyDescent="0.25">
      <c r="A4997" s="1" t="s">
        <v>20897</v>
      </c>
      <c r="B4997" s="7" t="s">
        <v>20898</v>
      </c>
      <c r="C4997" s="7" t="s">
        <v>20895</v>
      </c>
      <c r="D4997" s="7" t="s">
        <v>20893</v>
      </c>
      <c r="E4997" s="7" t="s">
        <v>20894</v>
      </c>
      <c r="F4997" s="7" t="str">
        <f>HYPERLINK("http://www.elettrocelo.com/","www.elettrocelo.com")</f>
        <v>www.elettrocelo.com</v>
      </c>
    </row>
    <row r="4998" spans="1:6" ht="16.95" customHeight="1" x14ac:dyDescent="0.25">
      <c r="A4998" s="1" t="s">
        <v>20902</v>
      </c>
      <c r="B4998" s="7" t="s">
        <v>20903</v>
      </c>
      <c r="C4998" s="7" t="s">
        <v>20896</v>
      </c>
      <c r="D4998" s="7" t="s">
        <v>20901</v>
      </c>
      <c r="E4998" s="7" t="s">
        <v>20894</v>
      </c>
      <c r="F4998" s="7" t="str">
        <f>HYPERLINK("http://www.agriturismolerisaie.it/","www.agriturismolerisaie.it")</f>
        <v>www.agriturismolerisaie.it</v>
      </c>
    </row>
    <row r="4999" spans="1:6" ht="29.55" customHeight="1" x14ac:dyDescent="0.25">
      <c r="A4999" s="1" t="s">
        <v>20904</v>
      </c>
      <c r="B4999" s="7" t="s">
        <v>20905</v>
      </c>
      <c r="C4999" s="7" t="s">
        <v>20895</v>
      </c>
      <c r="D4999" s="7" t="s">
        <v>20901</v>
      </c>
      <c r="E4999" s="7" t="s">
        <v>20894</v>
      </c>
      <c r="F4999" s="7" t="str">
        <f>HYPERLINK("http://www.biomethan-green1.eu/","www.biomethan-green1.eu")</f>
        <v>www.biomethan-green1.eu</v>
      </c>
    </row>
    <row r="5000" spans="1:6" ht="29.55" customHeight="1" x14ac:dyDescent="0.25">
      <c r="A5000" s="6" t="s">
        <v>20906</v>
      </c>
      <c r="B5000" s="5" t="s">
        <v>20907</v>
      </c>
      <c r="C5000" s="5" t="s">
        <v>20900</v>
      </c>
      <c r="D5000" s="5" t="s">
        <v>20901</v>
      </c>
      <c r="E5000" s="5" t="s">
        <v>20894</v>
      </c>
      <c r="F5000" s="5" t="str">
        <f>HYPERLINK("http://www.empoweredbambu.com/","www.empoweredbambu.com")</f>
        <v>www.empoweredbambu.com</v>
      </c>
    </row>
    <row r="5001" spans="1:6" ht="29.55" customHeight="1" x14ac:dyDescent="0.25">
      <c r="A5001" s="6" t="s">
        <v>20908</v>
      </c>
      <c r="B5001" s="5" t="s">
        <v>20909</v>
      </c>
      <c r="C5001" s="5" t="s">
        <v>20899</v>
      </c>
      <c r="D5001" s="5" t="s">
        <v>20901</v>
      </c>
      <c r="E5001" s="5" t="s">
        <v>20894</v>
      </c>
      <c r="F5001" s="5" t="str">
        <f>HYPERLINK("http://www.molinidevita.it/","www.molinidevita.it")</f>
        <v>www.molinidevita.it</v>
      </c>
    </row>
    <row r="5002" spans="1:6" ht="43.05" customHeight="1" x14ac:dyDescent="0.25">
      <c r="A5002" s="1" t="s">
        <v>20910</v>
      </c>
      <c r="B5002" s="7" t="s">
        <v>20911</v>
      </c>
      <c r="C5002" s="7" t="s">
        <v>20912</v>
      </c>
      <c r="D5002" s="7" t="s">
        <v>20901</v>
      </c>
      <c r="E5002" s="7" t="s">
        <v>20894</v>
      </c>
      <c r="F5002" s="7" t="str">
        <f>HYPERLINK("http://www.agricolapiacentina.com/","www.agricolapiacentina.com")</f>
        <v>www.agricolapiacentina.com</v>
      </c>
    </row>
    <row r="5003" spans="1:6" ht="16.95" customHeight="1" x14ac:dyDescent="0.25">
      <c r="A5003" s="1" t="s">
        <v>20913</v>
      </c>
      <c r="B5003" s="7" t="s">
        <v>20914</v>
      </c>
      <c r="C5003" s="7" t="s">
        <v>20915</v>
      </c>
      <c r="D5003" s="7" t="s">
        <v>20916</v>
      </c>
      <c r="E5003" s="7" t="s">
        <v>20917</v>
      </c>
      <c r="F5003" s="7" t="str">
        <f>HYPERLINK("http://bioverdissimo.it/","bioverdissimo.it")</f>
        <v>bioverdissimo.it</v>
      </c>
    </row>
    <row r="5004" spans="1:6" ht="29.55" customHeight="1" x14ac:dyDescent="0.25">
      <c r="A5004" s="6" t="s">
        <v>20918</v>
      </c>
      <c r="B5004" s="5" t="s">
        <v>20919</v>
      </c>
      <c r="C5004" s="5" t="s">
        <v>20920</v>
      </c>
      <c r="D5004" s="5" t="s">
        <v>20916</v>
      </c>
      <c r="E5004" s="5" t="s">
        <v>20917</v>
      </c>
      <c r="F5004" s="5" t="str">
        <f>HYPERLINK("http://www.e-llumina.com/","www.e-llumina.com")</f>
        <v>www.e-llumina.com</v>
      </c>
    </row>
    <row r="5005" spans="1:6" ht="29.55" customHeight="1" x14ac:dyDescent="0.25">
      <c r="A5005" s="6" t="s">
        <v>20921</v>
      </c>
      <c r="B5005" s="5" t="s">
        <v>20922</v>
      </c>
      <c r="C5005" s="5" t="s">
        <v>20915</v>
      </c>
      <c r="D5005" s="5" t="s">
        <v>20916</v>
      </c>
      <c r="E5005" s="5" t="s">
        <v>20917</v>
      </c>
      <c r="F5005" s="5" t="str">
        <f>HYPERLINK("http://agricolamoderna.com/","agricolamoderna.com")</f>
        <v>agricolamoderna.com</v>
      </c>
    </row>
    <row r="5006" spans="1:6" ht="29.55" customHeight="1" x14ac:dyDescent="0.25">
      <c r="A5006" s="6" t="s">
        <v>20923</v>
      </c>
      <c r="B5006" s="5" t="s">
        <v>20924</v>
      </c>
      <c r="C5006" s="5" t="s">
        <v>20925</v>
      </c>
      <c r="D5006" s="5" t="s">
        <v>20916</v>
      </c>
      <c r="E5006" s="5" t="s">
        <v>20917</v>
      </c>
      <c r="F5006" s="5" t="str">
        <f>HYPERLINK("http://www.perseaitalia.it/","www.perseaitalia.it")</f>
        <v>www.perseaitalia.it</v>
      </c>
    </row>
    <row r="5007" spans="1:6" ht="16.95" customHeight="1" x14ac:dyDescent="0.25">
      <c r="A5007" s="1" t="s">
        <v>20926</v>
      </c>
      <c r="B5007" s="7" t="s">
        <v>20927</v>
      </c>
      <c r="C5007" s="7" t="s">
        <v>20915</v>
      </c>
      <c r="D5007" s="7" t="s">
        <v>20916</v>
      </c>
      <c r="E5007" s="7" t="s">
        <v>20917</v>
      </c>
      <c r="F5007" s="7" t="str">
        <f>HYPERLINK("http://www.vitalyti.it/","www.vitalyti.it")</f>
        <v>www.vitalyti.it</v>
      </c>
    </row>
    <row r="5008" spans="1:6" ht="29.55" customHeight="1" x14ac:dyDescent="0.25">
      <c r="A5008" s="6" t="s">
        <v>20928</v>
      </c>
      <c r="B5008" s="5" t="s">
        <v>20929</v>
      </c>
      <c r="C5008" s="5" t="s">
        <v>20930</v>
      </c>
      <c r="D5008" s="5" t="s">
        <v>20916</v>
      </c>
      <c r="E5008" s="5" t="s">
        <v>20917</v>
      </c>
      <c r="F5008" s="5" t="str">
        <f>HYPERLINK("http://www.sforza19.com/","www.sforza19.com")</f>
        <v>www.sforza19.com</v>
      </c>
    </row>
    <row r="5009" spans="1:6" ht="29.55" customHeight="1" x14ac:dyDescent="0.25">
      <c r="A5009" s="6" t="s">
        <v>20931</v>
      </c>
      <c r="B5009" s="5" t="s">
        <v>20932</v>
      </c>
      <c r="C5009" s="5" t="s">
        <v>20933</v>
      </c>
      <c r="D5009" s="5" t="s">
        <v>20916</v>
      </c>
      <c r="E5009" s="5" t="s">
        <v>20917</v>
      </c>
      <c r="F5009" s="5" t="str">
        <f>HYPERLINK("http://aliainsectfarm.it/","aliainsectfarm.it")</f>
        <v>aliainsectfarm.it</v>
      </c>
    </row>
    <row r="5010" spans="1:6" ht="29.55" customHeight="1" x14ac:dyDescent="0.25">
      <c r="A5010" s="1" t="s">
        <v>20934</v>
      </c>
      <c r="B5010" s="7" t="s">
        <v>20935</v>
      </c>
      <c r="C5010" s="7" t="s">
        <v>20936</v>
      </c>
      <c r="D5010" s="7" t="s">
        <v>20916</v>
      </c>
      <c r="E5010" s="7" t="s">
        <v>20917</v>
      </c>
      <c r="F5010" s="7" t="str">
        <f>HYPERLINK("http://www.genesilife.it/","www.genesilife.it")</f>
        <v>www.genesilife.it</v>
      </c>
    </row>
    <row r="5011" spans="1:6" ht="29.55" customHeight="1" x14ac:dyDescent="0.25">
      <c r="A5011" s="6" t="s">
        <v>20937</v>
      </c>
      <c r="B5011" s="5" t="s">
        <v>20938</v>
      </c>
      <c r="C5011" s="5" t="s">
        <v>20936</v>
      </c>
      <c r="D5011" s="5" t="s">
        <v>20916</v>
      </c>
      <c r="E5011" s="5" t="s">
        <v>20917</v>
      </c>
      <c r="F5011" s="5" t="str">
        <f>HYPERLINK("http://www.genesilife.it/","www.genesilife.it")</f>
        <v>www.genesilife.it</v>
      </c>
    </row>
    <row r="5012" spans="1:6" ht="29.55" customHeight="1" x14ac:dyDescent="0.25">
      <c r="A5012" s="1" t="s">
        <v>20939</v>
      </c>
      <c r="B5012" s="7" t="s">
        <v>20940</v>
      </c>
      <c r="C5012" s="7" t="s">
        <v>20936</v>
      </c>
      <c r="D5012" s="7" t="s">
        <v>20916</v>
      </c>
      <c r="E5012" s="7" t="s">
        <v>20917</v>
      </c>
      <c r="F5012" s="7" t="str">
        <f>HYPERLINK("http://www.genesilife.it/","www.genesilife.it")</f>
        <v>www.genesilife.it</v>
      </c>
    </row>
    <row r="5013" spans="1:6" ht="16.95" customHeight="1" x14ac:dyDescent="0.25">
      <c r="A5013" s="1" t="s">
        <v>20941</v>
      </c>
      <c r="B5013" s="7" t="s">
        <v>20942</v>
      </c>
      <c r="C5013" s="7" t="s">
        <v>20943</v>
      </c>
      <c r="D5013" s="7" t="s">
        <v>20944</v>
      </c>
      <c r="E5013" s="7" t="s">
        <v>20945</v>
      </c>
      <c r="F5013" s="7" t="str">
        <f>HYPERLINK("http://www.genesilife.com/","www.genesilife.com")</f>
        <v>www.genesilife.com</v>
      </c>
    </row>
    <row r="5014" spans="1:6" ht="29.55" customHeight="1" x14ac:dyDescent="0.25">
      <c r="A5014" s="1" t="s">
        <v>20946</v>
      </c>
      <c r="B5014" s="7" t="s">
        <v>20947</v>
      </c>
      <c r="C5014" s="7" t="s">
        <v>20948</v>
      </c>
      <c r="D5014" s="7" t="s">
        <v>20944</v>
      </c>
      <c r="E5014" s="7" t="s">
        <v>20945</v>
      </c>
      <c r="F5014" s="7" t="str">
        <f>HYPERLINK("http://cascinet.it/","cascinet.it")</f>
        <v>cascinet.it</v>
      </c>
    </row>
    <row r="5015" spans="1:6" ht="16.95" customHeight="1" x14ac:dyDescent="0.25">
      <c r="A5015" s="1" t="s">
        <v>20949</v>
      </c>
      <c r="B5015" s="7" t="s">
        <v>20950</v>
      </c>
      <c r="C5015" s="7" t="s">
        <v>20951</v>
      </c>
      <c r="D5015" s="7" t="s">
        <v>20944</v>
      </c>
      <c r="E5015" s="7" t="s">
        <v>20945</v>
      </c>
      <c r="F5015" s="7" t="str">
        <f>HYPERLINK("http://www.odontoprotesibuenosayres.it/","www.odontoprotesibuenosayres.it")</f>
        <v>www.odontoprotesibuenosayres.it</v>
      </c>
    </row>
    <row r="5016" spans="1:6" ht="29.55" customHeight="1" x14ac:dyDescent="0.25">
      <c r="A5016" s="6" t="s">
        <v>20954</v>
      </c>
      <c r="B5016" s="5" t="s">
        <v>20955</v>
      </c>
      <c r="C5016" s="5" t="s">
        <v>20956</v>
      </c>
      <c r="D5016" s="5" t="s">
        <v>20952</v>
      </c>
      <c r="E5016" s="5" t="s">
        <v>20953</v>
      </c>
      <c r="F5016" s="5" t="str">
        <f>HYPERLINK("http://www.anticocasale-gioiosamarea.it/","www.anticocasale-gioiosamarea.it")</f>
        <v>www.anticocasale-gioiosamarea.it</v>
      </c>
    </row>
    <row r="5017" spans="1:6" ht="29.55" customHeight="1" x14ac:dyDescent="0.25">
      <c r="A5017" s="6" t="s">
        <v>20959</v>
      </c>
      <c r="B5017" s="5" t="s">
        <v>20960</v>
      </c>
      <c r="C5017" s="5" t="s">
        <v>20961</v>
      </c>
      <c r="D5017" s="5" t="s">
        <v>20957</v>
      </c>
      <c r="E5017" s="5" t="s">
        <v>20958</v>
      </c>
      <c r="F5017" s="5" t="str">
        <f>HYPERLINK("http://www.agricolavalledagro.com/","www.agricolavalledagro.com")</f>
        <v>www.agricolavalledagro.com</v>
      </c>
    </row>
    <row r="5018" spans="1:6" ht="29.55" customHeight="1" x14ac:dyDescent="0.25">
      <c r="A5018" s="6" t="s">
        <v>20963</v>
      </c>
      <c r="B5018" s="5" t="s">
        <v>20964</v>
      </c>
      <c r="C5018" s="5" t="s">
        <v>20965</v>
      </c>
      <c r="D5018" s="5" t="s">
        <v>20957</v>
      </c>
      <c r="E5018" s="5" t="s">
        <v>20958</v>
      </c>
      <c r="F5018" s="5" t="str">
        <f>HYPERLINK("http://www.grenne.com/","www.grenne.com")</f>
        <v>www.grenne.com</v>
      </c>
    </row>
    <row r="5019" spans="1:6" ht="16.95" customHeight="1" x14ac:dyDescent="0.25">
      <c r="A5019" s="1" t="s">
        <v>20966</v>
      </c>
      <c r="B5019" s="7" t="s">
        <v>20967</v>
      </c>
      <c r="C5019" s="7" t="s">
        <v>20962</v>
      </c>
      <c r="D5019" s="7" t="s">
        <v>20957</v>
      </c>
      <c r="E5019" s="7" t="s">
        <v>20958</v>
      </c>
      <c r="F5019" s="7" t="str">
        <f>HYPERLINK("http://www.brancaspa.it/","www.brancaspa.it")</f>
        <v>www.brancaspa.it</v>
      </c>
    </row>
    <row r="5020" spans="1:6" ht="29.55" customHeight="1" x14ac:dyDescent="0.25">
      <c r="A5020" s="1" t="s">
        <v>20970</v>
      </c>
      <c r="B5020" s="7" t="s">
        <v>20971</v>
      </c>
      <c r="C5020" s="7" t="s">
        <v>20972</v>
      </c>
      <c r="D5020" s="7" t="s">
        <v>20968</v>
      </c>
      <c r="E5020" s="7" t="s">
        <v>20969</v>
      </c>
      <c r="F5020" s="7" t="str">
        <f>HYPERLINK("http://www.antonioforcina.it/","www.antonioforcina.it")</f>
        <v>www.antonioforcina.it</v>
      </c>
    </row>
    <row r="5021" spans="1:6" ht="43.05" customHeight="1" x14ac:dyDescent="0.25">
      <c r="A5021" s="6" t="s">
        <v>20976</v>
      </c>
      <c r="B5021" s="5" t="s">
        <v>20977</v>
      </c>
      <c r="C5021" s="5" t="s">
        <v>20973</v>
      </c>
      <c r="D5021" s="5" t="s">
        <v>20974</v>
      </c>
      <c r="E5021" s="5" t="s">
        <v>20975</v>
      </c>
      <c r="F5021" s="5" t="str">
        <f>HYPERLINK("http://www.principemassimo.com/","www.principemassimo.com")</f>
        <v>www.principemassimo.com</v>
      </c>
    </row>
    <row r="5022" spans="1:6" ht="16.95" customHeight="1" x14ac:dyDescent="0.25">
      <c r="A5022" s="1" t="s">
        <v>20978</v>
      </c>
      <c r="B5022" s="7" t="s">
        <v>20979</v>
      </c>
      <c r="C5022" s="7" t="s">
        <v>20980</v>
      </c>
      <c r="D5022" s="7" t="s">
        <v>20974</v>
      </c>
      <c r="E5022" s="7" t="s">
        <v>20975</v>
      </c>
      <c r="F5022" s="7" t="str">
        <f>HYPERLINK("http://www.vivaidionigi.com/","www.vivaidionigi.com")</f>
        <v>www.vivaidionigi.com</v>
      </c>
    </row>
    <row r="5023" spans="1:6" ht="29.55" customHeight="1" x14ac:dyDescent="0.25">
      <c r="A5023" s="1" t="s">
        <v>20981</v>
      </c>
      <c r="B5023" s="7" t="s">
        <v>20982</v>
      </c>
      <c r="C5023" s="7" t="s">
        <v>20983</v>
      </c>
      <c r="D5023" s="7" t="s">
        <v>20984</v>
      </c>
      <c r="E5023" s="7" t="s">
        <v>20985</v>
      </c>
      <c r="F5023" s="7" t="str">
        <f>HYPERLINK("http://www.tenutalabatistina.it/","www.tenutalabatistina.it")</f>
        <v>www.tenutalabatistina.it</v>
      </c>
    </row>
    <row r="5024" spans="1:6" ht="29.55" customHeight="1" x14ac:dyDescent="0.25">
      <c r="A5024" s="6" t="s">
        <v>20986</v>
      </c>
      <c r="B5024" s="5" t="s">
        <v>20987</v>
      </c>
      <c r="C5024" s="5" t="s">
        <v>20983</v>
      </c>
      <c r="D5024" s="5" t="s">
        <v>20984</v>
      </c>
      <c r="E5024" s="5" t="s">
        <v>20985</v>
      </c>
      <c r="F5024" s="5" t="str">
        <f>HYPERLINK("http://www.acquabonaelba.it/","www.acquabonaelba.it")</f>
        <v>www.acquabonaelba.it</v>
      </c>
    </row>
    <row r="5025" spans="1:6" ht="29.55" customHeight="1" x14ac:dyDescent="0.25">
      <c r="A5025" s="1" t="s">
        <v>20991</v>
      </c>
      <c r="B5025" s="7" t="s">
        <v>20992</v>
      </c>
      <c r="C5025" s="7" t="s">
        <v>20983</v>
      </c>
      <c r="D5025" s="7" t="s">
        <v>20984</v>
      </c>
      <c r="E5025" s="7" t="s">
        <v>20985</v>
      </c>
      <c r="F5025" s="7" t="str">
        <f>HYPERLINK("http://www.superetuscans.eu/","www.superetuscans.eu")</f>
        <v>www.superetuscans.eu</v>
      </c>
    </row>
    <row r="5026" spans="1:6" ht="43.05" customHeight="1" x14ac:dyDescent="0.25">
      <c r="A5026" s="6" t="s">
        <v>20993</v>
      </c>
      <c r="B5026" s="5" t="s">
        <v>20994</v>
      </c>
      <c r="C5026" s="5" t="s">
        <v>20988</v>
      </c>
      <c r="D5026" s="5" t="s">
        <v>20989</v>
      </c>
      <c r="E5026" s="5" t="s">
        <v>20990</v>
      </c>
      <c r="F5026" s="5" t="str">
        <f>HYPERLINK("http://www.icardinali.it/","www.icardinali.it")</f>
        <v>www.icardinali.it</v>
      </c>
    </row>
    <row r="5027" spans="1:6" ht="43.05" customHeight="1" x14ac:dyDescent="0.25">
      <c r="A5027" s="1" t="s">
        <v>20998</v>
      </c>
      <c r="B5027" s="7" t="s">
        <v>20999</v>
      </c>
      <c r="C5027" s="7" t="s">
        <v>20995</v>
      </c>
      <c r="D5027" s="7" t="s">
        <v>20996</v>
      </c>
      <c r="E5027" s="7" t="s">
        <v>20997</v>
      </c>
      <c r="F5027" s="7" t="str">
        <f>HYPERLINK("http://masseriadonvito.com/","masseriadonvito.com")</f>
        <v>masseriadonvito.com</v>
      </c>
    </row>
    <row r="5028" spans="1:6" ht="29.55" customHeight="1" x14ac:dyDescent="0.25">
      <c r="A5028" s="1" t="s">
        <v>21001</v>
      </c>
      <c r="B5028" s="7" t="s">
        <v>21002</v>
      </c>
      <c r="C5028" s="7" t="s">
        <v>21000</v>
      </c>
      <c r="D5028" s="7" t="s">
        <v>20996</v>
      </c>
      <c r="E5028" s="7" t="s">
        <v>20997</v>
      </c>
      <c r="F5028" s="7" t="str">
        <f>HYPERLINK("http://www.masseriagiovanni.it/","www.masseriagiovanni.it")</f>
        <v>www.masseriagiovanni.it</v>
      </c>
    </row>
    <row r="5029" spans="1:6" ht="43.05" customHeight="1" x14ac:dyDescent="0.25">
      <c r="A5029" s="6" t="s">
        <v>21006</v>
      </c>
      <c r="B5029" s="5" t="s">
        <v>21007</v>
      </c>
      <c r="C5029" s="5" t="s">
        <v>21003</v>
      </c>
      <c r="D5029" s="5" t="s">
        <v>21004</v>
      </c>
      <c r="E5029" s="5" t="s">
        <v>21005</v>
      </c>
      <c r="F5029" s="5" t="str">
        <f>HYPERLINK("http://poggio-al-turco.it/","poggio-al-turco.it")</f>
        <v>poggio-al-turco.it</v>
      </c>
    </row>
    <row r="5030" spans="1:6" ht="29.55" customHeight="1" x14ac:dyDescent="0.25">
      <c r="A5030" s="6" t="s">
        <v>21012</v>
      </c>
      <c r="B5030" s="5" t="s">
        <v>21013</v>
      </c>
      <c r="C5030" s="5" t="s">
        <v>21011</v>
      </c>
      <c r="D5030" s="5" t="s">
        <v>21008</v>
      </c>
      <c r="E5030" s="5" t="s">
        <v>21009</v>
      </c>
      <c r="F5030" s="5" t="str">
        <f>HYPERLINK("http://www.arteolio.com/","www.arteolio.com")</f>
        <v>www.arteolio.com</v>
      </c>
    </row>
    <row r="5031" spans="1:6" ht="29.55" customHeight="1" x14ac:dyDescent="0.25">
      <c r="A5031" s="1" t="s">
        <v>21014</v>
      </c>
      <c r="B5031" s="7" t="s">
        <v>21015</v>
      </c>
      <c r="C5031" s="7" t="s">
        <v>21011</v>
      </c>
      <c r="D5031" s="7" t="s">
        <v>21008</v>
      </c>
      <c r="E5031" s="7" t="s">
        <v>21009</v>
      </c>
      <c r="F5031" s="7" t="str">
        <f>HYPERLINK("http://anse-srl-societa-agricola-01613910536.quantofattura.com/","anse-srl-societa-agricola-01613910536.quantofattura.com")</f>
        <v>anse-srl-societa-agricola-01613910536.quantofattura.com</v>
      </c>
    </row>
    <row r="5032" spans="1:6" ht="43.05" customHeight="1" x14ac:dyDescent="0.25">
      <c r="A5032" s="1" t="s">
        <v>21016</v>
      </c>
      <c r="B5032" s="7" t="s">
        <v>21017</v>
      </c>
      <c r="C5032" s="7" t="s">
        <v>21010</v>
      </c>
      <c r="D5032" s="7" t="s">
        <v>21008</v>
      </c>
      <c r="E5032" s="7" t="s">
        <v>21009</v>
      </c>
      <c r="F5032" s="7" t="str">
        <f>HYPERLINK("http://www.lombardigeneration.it/","www.lombardigeneration.it")</f>
        <v>www.lombardigeneration.it</v>
      </c>
    </row>
    <row r="5033" spans="1:6" ht="43.05" customHeight="1" x14ac:dyDescent="0.25">
      <c r="A5033" s="1" t="s">
        <v>21020</v>
      </c>
      <c r="B5033" s="7" t="s">
        <v>21021</v>
      </c>
      <c r="C5033" s="7" t="s">
        <v>21022</v>
      </c>
      <c r="D5033" s="7" t="s">
        <v>21018</v>
      </c>
      <c r="E5033" s="7" t="s">
        <v>21019</v>
      </c>
      <c r="F5033" s="7" t="str">
        <f>HYPERLINK("http://www.tenutapoggioalto.it/","www.tenutapoggioalto.it")</f>
        <v>www.tenutapoggioalto.it</v>
      </c>
    </row>
    <row r="5034" spans="1:6" ht="29.55" customHeight="1" x14ac:dyDescent="0.25">
      <c r="A5034" s="6" t="s">
        <v>21026</v>
      </c>
      <c r="B5034" s="5" t="s">
        <v>21027</v>
      </c>
      <c r="C5034" s="5" t="s">
        <v>21023</v>
      </c>
      <c r="D5034" s="5" t="s">
        <v>21024</v>
      </c>
      <c r="E5034" s="5" t="s">
        <v>21025</v>
      </c>
      <c r="F5034" s="5" t="str">
        <f>HYPERLINK("http://www.donnavittori.com/","www.donnavittori.com")</f>
        <v>www.donnavittori.com</v>
      </c>
    </row>
    <row r="5035" spans="1:6" ht="43.05" customHeight="1" x14ac:dyDescent="0.25">
      <c r="A5035" s="6" t="s">
        <v>21032</v>
      </c>
      <c r="B5035" s="5" t="s">
        <v>21033</v>
      </c>
      <c r="C5035" s="5" t="s">
        <v>21028</v>
      </c>
      <c r="D5035" s="5" t="s">
        <v>21029</v>
      </c>
      <c r="E5035" s="5" t="s">
        <v>21030</v>
      </c>
      <c r="F5035" s="5" t="str">
        <f>HYPERLINK("http://www.facebook.com/aziendaagricolacarcaterra/","www.facebook.com/aziendaagricolacarcaterra/")</f>
        <v>www.facebook.com/aziendaagricolacarcaterra/</v>
      </c>
    </row>
    <row r="5036" spans="1:6" ht="43.05" customHeight="1" x14ac:dyDescent="0.25">
      <c r="A5036" s="6" t="s">
        <v>21034</v>
      </c>
      <c r="B5036" s="5" t="s">
        <v>21035</v>
      </c>
      <c r="C5036" s="5" t="s">
        <v>21036</v>
      </c>
      <c r="D5036" s="5" t="s">
        <v>21029</v>
      </c>
      <c r="E5036" s="5" t="s">
        <v>21030</v>
      </c>
      <c r="F5036" s="5" t="str">
        <f>HYPERLINK("http://www.abbianova.com/","www.abbianova.com")</f>
        <v>www.abbianova.com</v>
      </c>
    </row>
    <row r="5037" spans="1:6" ht="16.95" customHeight="1" x14ac:dyDescent="0.25">
      <c r="A5037" s="6" t="s">
        <v>21037</v>
      </c>
      <c r="B5037" s="5" t="s">
        <v>21038</v>
      </c>
      <c r="C5037" s="5" t="s">
        <v>21031</v>
      </c>
      <c r="D5037" s="5" t="s">
        <v>21029</v>
      </c>
      <c r="E5037" s="5" t="s">
        <v>21030</v>
      </c>
      <c r="F5037" s="5" t="str">
        <f>HYPERLINK("http://www.enapa.it/","www.enapa.it")</f>
        <v>www.enapa.it</v>
      </c>
    </row>
    <row r="5038" spans="1:6" ht="43.05" customHeight="1" x14ac:dyDescent="0.25">
      <c r="A5038" s="6" t="s">
        <v>21041</v>
      </c>
      <c r="B5038" s="5" t="s">
        <v>21042</v>
      </c>
      <c r="C5038" s="5" t="s">
        <v>21043</v>
      </c>
      <c r="D5038" s="5" t="s">
        <v>21039</v>
      </c>
      <c r="E5038" s="5" t="s">
        <v>21040</v>
      </c>
      <c r="F5038" s="5" t="str">
        <f>HYPERLINK("http://www.emeraldfarms.it/","www.emeraldfarms.it")</f>
        <v>www.emeraldfarms.it</v>
      </c>
    </row>
    <row r="5039" spans="1:6" ht="43.05" customHeight="1" x14ac:dyDescent="0.25">
      <c r="A5039" s="1" t="s">
        <v>21044</v>
      </c>
      <c r="B5039" s="7" t="s">
        <v>21045</v>
      </c>
      <c r="C5039" s="7" t="s">
        <v>21046</v>
      </c>
      <c r="D5039" s="7" t="s">
        <v>21047</v>
      </c>
      <c r="E5039" s="7" t="s">
        <v>21048</v>
      </c>
      <c r="F5039" s="7" t="str">
        <f>HYPERLINK("http://www.agrieuropa.com/","www.agrieuropa.com")</f>
        <v>www.agrieuropa.com</v>
      </c>
    </row>
    <row r="5040" spans="1:6" ht="29.55" customHeight="1" x14ac:dyDescent="0.25">
      <c r="A5040" s="6" t="s">
        <v>21049</v>
      </c>
      <c r="B5040" s="5" t="s">
        <v>21050</v>
      </c>
      <c r="C5040" s="5" t="s">
        <v>21046</v>
      </c>
      <c r="D5040" s="5" t="s">
        <v>21047</v>
      </c>
      <c r="E5040" s="5" t="s">
        <v>21048</v>
      </c>
      <c r="F5040" s="5" t="str">
        <f>HYPERLINK("http://fratellirosetti.it/","fratellirosetti.it")</f>
        <v>fratellirosetti.it</v>
      </c>
    </row>
    <row r="5041" spans="1:6" ht="29.55" customHeight="1" x14ac:dyDescent="0.25">
      <c r="A5041" s="6" t="s">
        <v>21053</v>
      </c>
      <c r="B5041" s="5" t="s">
        <v>21054</v>
      </c>
      <c r="C5041" s="5" t="s">
        <v>21055</v>
      </c>
      <c r="D5041" s="5" t="s">
        <v>21051</v>
      </c>
      <c r="E5041" s="5" t="s">
        <v>21052</v>
      </c>
      <c r="F5041" s="5" t="str">
        <f>HYPERLINK("http://www.tenutaletrevirtu.com/","www.tenutaletrevirtu.com")</f>
        <v>www.tenutaletrevirtu.com</v>
      </c>
    </row>
    <row r="5042" spans="1:6" ht="29.55" customHeight="1" x14ac:dyDescent="0.25">
      <c r="A5042" s="6" t="s">
        <v>21056</v>
      </c>
      <c r="B5042" s="5" t="s">
        <v>21057</v>
      </c>
      <c r="C5042" s="5" t="s">
        <v>21055</v>
      </c>
      <c r="D5042" s="5" t="s">
        <v>21051</v>
      </c>
      <c r="E5042" s="5" t="s">
        <v>21052</v>
      </c>
      <c r="F5042" s="5" t="str">
        <f>HYPERLINK("http://www.fumanelli.it/","www.fumanelli.it")</f>
        <v>www.fumanelli.it</v>
      </c>
    </row>
    <row r="5043" spans="1:6" ht="29.55" customHeight="1" x14ac:dyDescent="0.25">
      <c r="A5043" s="1" t="s">
        <v>21058</v>
      </c>
      <c r="B5043" s="7" t="s">
        <v>21059</v>
      </c>
      <c r="C5043" s="7" t="s">
        <v>21055</v>
      </c>
      <c r="D5043" s="7" t="s">
        <v>21051</v>
      </c>
      <c r="E5043" s="7" t="s">
        <v>21052</v>
      </c>
      <c r="F5043" s="7" t="str">
        <f>HYPERLINK("http://www.agriturismolarombaia.it/","www.agriturismolarombaia.it")</f>
        <v>www.agriturismolarombaia.it</v>
      </c>
    </row>
    <row r="5044" spans="1:6" ht="43.05" customHeight="1" x14ac:dyDescent="0.25">
      <c r="A5044" s="1" t="s">
        <v>21063</v>
      </c>
      <c r="B5044" s="7" t="s">
        <v>21064</v>
      </c>
      <c r="C5044" s="7" t="s">
        <v>21065</v>
      </c>
      <c r="D5044" s="7" t="s">
        <v>21061</v>
      </c>
      <c r="E5044" s="7" t="s">
        <v>21062</v>
      </c>
      <c r="F5044" s="7" t="str">
        <f>HYPERLINK("http://casaledellosparviero.com/","casaledellosparviero.com")</f>
        <v>casaledellosparviero.com</v>
      </c>
    </row>
    <row r="5045" spans="1:6" ht="29.55" customHeight="1" x14ac:dyDescent="0.25">
      <c r="A5045" s="6" t="s">
        <v>21066</v>
      </c>
      <c r="B5045" s="5" t="s">
        <v>21067</v>
      </c>
      <c r="C5045" s="5" t="s">
        <v>21060</v>
      </c>
      <c r="D5045" s="5" t="s">
        <v>21061</v>
      </c>
      <c r="E5045" s="5" t="s">
        <v>21062</v>
      </c>
      <c r="F5045" s="5" t="str">
        <f>HYPERLINK("http://www.castiglionchio.it/","www.castiglionchio.it")</f>
        <v>www.castiglionchio.it</v>
      </c>
    </row>
    <row r="5046" spans="1:6" ht="55.65" customHeight="1" x14ac:dyDescent="0.25">
      <c r="A5046" s="6" t="s">
        <v>21068</v>
      </c>
      <c r="B5046" s="5" t="s">
        <v>21069</v>
      </c>
      <c r="C5046" s="5" t="s">
        <v>21070</v>
      </c>
      <c r="D5046" s="5" t="s">
        <v>21061</v>
      </c>
      <c r="E5046" s="5" t="s">
        <v>21062</v>
      </c>
      <c r="F5046" s="5" t="str">
        <f>HYPERLINK("http://www.aziendacammelli.com/","www.aziendacammelli.com")</f>
        <v>www.aziendacammelli.com</v>
      </c>
    </row>
    <row r="5047" spans="1:6" ht="29.55" customHeight="1" x14ac:dyDescent="0.25">
      <c r="A5047" s="6" t="s">
        <v>21071</v>
      </c>
      <c r="B5047" s="5" t="s">
        <v>21072</v>
      </c>
      <c r="C5047" s="5" t="s">
        <v>21073</v>
      </c>
      <c r="D5047" s="5" t="s">
        <v>21061</v>
      </c>
      <c r="E5047" s="5" t="s">
        <v>21062</v>
      </c>
      <c r="F5047" s="5" t="str">
        <f>HYPERLINK("http://hospital-consulting.it/","hospital-consulting.it")</f>
        <v>hospital-consulting.it</v>
      </c>
    </row>
    <row r="5048" spans="1:6" ht="29.55" customHeight="1" x14ac:dyDescent="0.25">
      <c r="A5048" s="6" t="s">
        <v>21074</v>
      </c>
      <c r="B5048" s="5" t="s">
        <v>21075</v>
      </c>
      <c r="C5048" s="5" t="s">
        <v>21060</v>
      </c>
      <c r="D5048" s="5" t="s">
        <v>21061</v>
      </c>
      <c r="E5048" s="5" t="s">
        <v>21062</v>
      </c>
      <c r="F5048" s="5" t="str">
        <f>HYPERLINK("http://www.agrichianti.com/","www.agrichianti.com")</f>
        <v>www.agrichianti.com</v>
      </c>
    </row>
    <row r="5049" spans="1:6" ht="29.55" customHeight="1" x14ac:dyDescent="0.25">
      <c r="A5049" s="6" t="s">
        <v>21080</v>
      </c>
      <c r="B5049" s="5" t="s">
        <v>21081</v>
      </c>
      <c r="C5049" s="5" t="s">
        <v>21082</v>
      </c>
      <c r="D5049" s="5" t="s">
        <v>21076</v>
      </c>
      <c r="E5049" s="5" t="s">
        <v>21077</v>
      </c>
      <c r="F5049" s="5" t="str">
        <f>HYPERLINK("http://www.montefioralle.wine/","www.montefioralle.wine")</f>
        <v>www.montefioralle.wine</v>
      </c>
    </row>
    <row r="5050" spans="1:6" ht="29.55" customHeight="1" x14ac:dyDescent="0.25">
      <c r="A5050" s="1" t="s">
        <v>21083</v>
      </c>
      <c r="B5050" s="7" t="s">
        <v>21084</v>
      </c>
      <c r="C5050" s="7" t="s">
        <v>21085</v>
      </c>
      <c r="D5050" s="7" t="s">
        <v>21078</v>
      </c>
      <c r="E5050" s="7" t="s">
        <v>21079</v>
      </c>
      <c r="F5050" s="7" t="str">
        <f>HYPERLINK("http://www.nonnovittorio.it/","www.nonnovittorio.it")</f>
        <v>www.nonnovittorio.it</v>
      </c>
    </row>
    <row r="5051" spans="1:6" ht="29.55" customHeight="1" x14ac:dyDescent="0.25">
      <c r="A5051" s="6" t="s">
        <v>21090</v>
      </c>
      <c r="B5051" s="5" t="s">
        <v>21091</v>
      </c>
      <c r="C5051" s="5" t="s">
        <v>21092</v>
      </c>
      <c r="D5051" s="5" t="s">
        <v>21087</v>
      </c>
      <c r="E5051" s="5" t="s">
        <v>21088</v>
      </c>
      <c r="F5051" s="5" t="str">
        <f>HYPERLINK("http://www.bio-orto.com/","www.bio-orto.com")</f>
        <v>www.bio-orto.com</v>
      </c>
    </row>
    <row r="5052" spans="1:6" ht="81.75" customHeight="1" x14ac:dyDescent="0.25">
      <c r="A5052" s="6" t="s">
        <v>21093</v>
      </c>
      <c r="B5052" s="5" t="s">
        <v>21094</v>
      </c>
      <c r="C5052" s="5" t="s">
        <v>21089</v>
      </c>
      <c r="D5052" s="5" t="s">
        <v>21087</v>
      </c>
      <c r="E5052" s="5" t="s">
        <v>21088</v>
      </c>
      <c r="F5052" s="5" t="str">
        <f>HYPERLINK("http://www.facebook.com/coop-la-pineta-arl-376904935813301/","www.facebook.com/coop-la-pineta-arl-376904935813301/")</f>
        <v>www.facebook.com/coop-la-pineta-arl-376904935813301/</v>
      </c>
    </row>
    <row r="5053" spans="1:6" ht="16.95" customHeight="1" x14ac:dyDescent="0.25">
      <c r="A5053" s="1" t="s">
        <v>21095</v>
      </c>
      <c r="B5053" s="7" t="s">
        <v>21096</v>
      </c>
      <c r="C5053" s="7" t="s">
        <v>21086</v>
      </c>
      <c r="D5053" s="7" t="s">
        <v>21087</v>
      </c>
      <c r="E5053" s="7" t="s">
        <v>21088</v>
      </c>
      <c r="F5053" s="7" t="str">
        <f>HYPERLINK("http://www.eaglesport.it/","www.eaglesport.it")</f>
        <v>www.eaglesport.it</v>
      </c>
    </row>
    <row r="5054" spans="1:6" ht="55.65" customHeight="1" x14ac:dyDescent="0.25">
      <c r="A5054" s="6" t="s">
        <v>21097</v>
      </c>
      <c r="B5054" s="5" t="s">
        <v>21098</v>
      </c>
      <c r="C5054" s="5" t="s">
        <v>21089</v>
      </c>
      <c r="D5054" s="5" t="s">
        <v>21087</v>
      </c>
      <c r="E5054" s="5" t="s">
        <v>21088</v>
      </c>
      <c r="F5054" s="5" t="str">
        <f>HYPERLINK("http://noicoltivatoridelladaunia.it/","noicoltivatoridelladaunia.it")</f>
        <v>noicoltivatoridelladaunia.it</v>
      </c>
    </row>
    <row r="5055" spans="1:6" ht="81.75" customHeight="1" x14ac:dyDescent="0.25">
      <c r="A5055" s="6" t="s">
        <v>21099</v>
      </c>
      <c r="B5055" s="5" t="s">
        <v>21100</v>
      </c>
      <c r="C5055" s="5" t="s">
        <v>21086</v>
      </c>
      <c r="D5055" s="5" t="s">
        <v>21087</v>
      </c>
      <c r="E5055" s="5" t="s">
        <v>21088</v>
      </c>
      <c r="F5055" s="5" t="str">
        <f>HYPERLINK("http://www.agriturismomonteargentario.it/","www.agriturismomonteargentario.it")</f>
        <v>www.agriturismomonteargentario.it</v>
      </c>
    </row>
    <row r="5056" spans="1:6" ht="29.55" customHeight="1" x14ac:dyDescent="0.25">
      <c r="A5056" s="6" t="s">
        <v>21105</v>
      </c>
      <c r="B5056" s="5" t="s">
        <v>21106</v>
      </c>
      <c r="C5056" s="5" t="s">
        <v>21104</v>
      </c>
      <c r="D5056" s="5" t="s">
        <v>21102</v>
      </c>
      <c r="E5056" s="5" t="s">
        <v>21103</v>
      </c>
      <c r="F5056" s="5" t="str">
        <f>HYPERLINK("http://www.ortolevante.com/","www.ortolevante.com")</f>
        <v>www.ortolevante.com</v>
      </c>
    </row>
    <row r="5057" spans="1:6" ht="16.95" customHeight="1" x14ac:dyDescent="0.25">
      <c r="A5057" s="1" t="s">
        <v>21107</v>
      </c>
      <c r="B5057" s="7" t="s">
        <v>21108</v>
      </c>
      <c r="C5057" s="7" t="s">
        <v>21109</v>
      </c>
      <c r="D5057" s="7" t="s">
        <v>21102</v>
      </c>
      <c r="E5057" s="7" t="s">
        <v>21103</v>
      </c>
      <c r="F5057" s="7" t="str">
        <f>HYPERLINK("http://tenuteantoniodiiorio.it/","tenuteantoniodiiorio.it")</f>
        <v>tenuteantoniodiiorio.it</v>
      </c>
    </row>
    <row r="5058" spans="1:6" ht="68.099999999999994" customHeight="1" x14ac:dyDescent="0.25">
      <c r="A5058" s="6" t="s">
        <v>21110</v>
      </c>
      <c r="B5058" s="5" t="s">
        <v>21111</v>
      </c>
      <c r="C5058" s="5" t="s">
        <v>21109</v>
      </c>
      <c r="D5058" s="5" t="s">
        <v>21102</v>
      </c>
      <c r="E5058" s="5" t="s">
        <v>21103</v>
      </c>
      <c r="F5058" s="5" t="str">
        <f>HYPERLINK("http://www.cooperativagoldgreen.com/","www.cooperativagoldgreen.com")</f>
        <v>www.cooperativagoldgreen.com</v>
      </c>
    </row>
    <row r="5059" spans="1:6" ht="29.55" customHeight="1" x14ac:dyDescent="0.25">
      <c r="A5059" s="1" t="s">
        <v>21114</v>
      </c>
      <c r="B5059" s="7" t="s">
        <v>21115</v>
      </c>
      <c r="C5059" s="7" t="s">
        <v>21116</v>
      </c>
      <c r="D5059" s="7" t="s">
        <v>21112</v>
      </c>
      <c r="E5059" s="7" t="s">
        <v>21113</v>
      </c>
      <c r="F5059" s="7" t="str">
        <f>HYPERLINK("http://www.boariniortoflora.net/","www.boariniortoflora.net")</f>
        <v>www.boariniortoflora.net</v>
      </c>
    </row>
    <row r="5060" spans="1:6" ht="29.55" customHeight="1" x14ac:dyDescent="0.25">
      <c r="A5060" s="6" t="s">
        <v>21117</v>
      </c>
      <c r="B5060" s="5" t="s">
        <v>21118</v>
      </c>
      <c r="C5060" s="5" t="s">
        <v>21101</v>
      </c>
      <c r="D5060" s="5" t="s">
        <v>21112</v>
      </c>
      <c r="E5060" s="5" t="s">
        <v>21113</v>
      </c>
      <c r="F5060" s="5" t="str">
        <f>HYPERLINK("http://www.mazzonigroup.com/il-gruppo/contatti/","www.mazzonigroup.com/il-gruppo/contatti/")</f>
        <v>www.mazzonigroup.com/il-gruppo/contatti/</v>
      </c>
    </row>
    <row r="5061" spans="1:6" ht="29.55" customHeight="1" x14ac:dyDescent="0.25">
      <c r="A5061" s="1" t="s">
        <v>21119</v>
      </c>
      <c r="B5061" s="7" t="s">
        <v>21120</v>
      </c>
      <c r="C5061" s="7" t="s">
        <v>21101</v>
      </c>
      <c r="D5061" s="7" t="s">
        <v>21112</v>
      </c>
      <c r="E5061" s="7" t="s">
        <v>21113</v>
      </c>
      <c r="F5061" s="7" t="str">
        <f>HYPERLINK("http://www.mazzonigroup.com/il-gruppo/contatti/","www.mazzonigroup.com/il-gruppo/contatti/")</f>
        <v>www.mazzonigroup.com/il-gruppo/contatti/</v>
      </c>
    </row>
    <row r="5062" spans="1:6" ht="29.55" customHeight="1" x14ac:dyDescent="0.25">
      <c r="A5062" s="1" t="s">
        <v>21124</v>
      </c>
      <c r="B5062" s="7" t="s">
        <v>21125</v>
      </c>
      <c r="C5062" s="7" t="s">
        <v>21126</v>
      </c>
      <c r="D5062" s="7" t="s">
        <v>21122</v>
      </c>
      <c r="E5062" s="7" t="s">
        <v>21123</v>
      </c>
      <c r="F5062" s="7" t="str">
        <f>HYPERLINK("http://www.fundaco.it/","www.fundaco.it")</f>
        <v>www.fundaco.it</v>
      </c>
    </row>
    <row r="5063" spans="1:6" ht="16.95" customHeight="1" x14ac:dyDescent="0.25">
      <c r="A5063" s="6" t="s">
        <v>21127</v>
      </c>
      <c r="B5063" s="5" t="s">
        <v>21128</v>
      </c>
      <c r="C5063" s="5" t="s">
        <v>21121</v>
      </c>
      <c r="D5063" s="5" t="s">
        <v>21122</v>
      </c>
      <c r="E5063" s="5" t="s">
        <v>21123</v>
      </c>
      <c r="F5063" s="5" t="str">
        <f>HYPERLINK("http://www.progesist.it/","www.progesist.it")</f>
        <v>www.progesist.it</v>
      </c>
    </row>
    <row r="5064" spans="1:6" ht="43.05" customHeight="1" x14ac:dyDescent="0.25">
      <c r="A5064" s="6" t="s">
        <v>21133</v>
      </c>
      <c r="B5064" s="5" t="s">
        <v>21134</v>
      </c>
      <c r="C5064" s="5" t="s">
        <v>21131</v>
      </c>
      <c r="D5064" s="5" t="s">
        <v>21129</v>
      </c>
      <c r="E5064" s="5" t="s">
        <v>21130</v>
      </c>
      <c r="F5064" s="5" t="str">
        <f>HYPERLINK("http://www.castelmaurigi.it/","www.castelmaurigi.it")</f>
        <v>www.castelmaurigi.it</v>
      </c>
    </row>
    <row r="5065" spans="1:6" ht="29.55" customHeight="1" x14ac:dyDescent="0.25">
      <c r="A5065" s="1" t="s">
        <v>21135</v>
      </c>
      <c r="B5065" s="7" t="s">
        <v>21136</v>
      </c>
      <c r="C5065" s="7" t="s">
        <v>21132</v>
      </c>
      <c r="D5065" s="7" t="s">
        <v>21129</v>
      </c>
      <c r="E5065" s="7" t="s">
        <v>21130</v>
      </c>
      <c r="F5065" s="7" t="str">
        <f>HYPERLINK("http://www.agriturismobellaprima.com/","www.agriturismobellaprima.com")</f>
        <v>www.agriturismobellaprima.com</v>
      </c>
    </row>
    <row r="5066" spans="1:6" ht="29.55" customHeight="1" x14ac:dyDescent="0.25">
      <c r="A5066" s="1" t="s">
        <v>21140</v>
      </c>
      <c r="B5066" s="7" t="s">
        <v>21141</v>
      </c>
      <c r="C5066" s="7" t="s">
        <v>21142</v>
      </c>
      <c r="D5066" s="7" t="s">
        <v>21137</v>
      </c>
      <c r="E5066" s="7" t="s">
        <v>21138</v>
      </c>
      <c r="F5066" s="7" t="str">
        <f>HYPERLINK("http://www.merid.net/","www.merid.net")</f>
        <v>www.merid.net</v>
      </c>
    </row>
    <row r="5067" spans="1:6" ht="43.05" customHeight="1" x14ac:dyDescent="0.25">
      <c r="A5067" s="1" t="s">
        <v>21143</v>
      </c>
      <c r="B5067" s="7" t="s">
        <v>21144</v>
      </c>
      <c r="C5067" s="7" t="s">
        <v>21139</v>
      </c>
      <c r="D5067" s="7" t="s">
        <v>21137</v>
      </c>
      <c r="E5067" s="7" t="s">
        <v>21138</v>
      </c>
      <c r="F5067" s="7" t="str">
        <f>HYPERLINK("http://ciliegiaetnadop.it/","ciliegiaetnadop.it")</f>
        <v>ciliegiaetnadop.it</v>
      </c>
    </row>
    <row r="5068" spans="1:6" ht="43.05" customHeight="1" x14ac:dyDescent="0.25">
      <c r="A5068" s="1" t="s">
        <v>21145</v>
      </c>
      <c r="B5068" s="7" t="s">
        <v>21146</v>
      </c>
      <c r="C5068" s="7" t="s">
        <v>21147</v>
      </c>
      <c r="D5068" s="7" t="s">
        <v>21148</v>
      </c>
      <c r="E5068" s="7" t="s">
        <v>21149</v>
      </c>
      <c r="F5068" s="7" t="str">
        <f>HYPERLINK("http://agriparkgolealcantara.it/","agriparkgolealcantara.it/")</f>
        <v>agriparkgolealcantara.it/</v>
      </c>
    </row>
    <row r="5069" spans="1:6" ht="29.55" customHeight="1" x14ac:dyDescent="0.25">
      <c r="A5069" s="1" t="s">
        <v>21150</v>
      </c>
      <c r="B5069" s="7" t="s">
        <v>21151</v>
      </c>
      <c r="C5069" s="7" t="s">
        <v>21152</v>
      </c>
      <c r="D5069" s="7" t="s">
        <v>21148</v>
      </c>
      <c r="E5069" s="7" t="s">
        <v>21149</v>
      </c>
      <c r="F5069" s="7" t="str">
        <f>HYPERLINK("http://www.sicilmiele.com/","www.sicilmiele.com")</f>
        <v>www.sicilmiele.com</v>
      </c>
    </row>
    <row r="5070" spans="1:6" ht="29.55" customHeight="1" x14ac:dyDescent="0.25">
      <c r="A5070" s="6" t="s">
        <v>21153</v>
      </c>
      <c r="B5070" s="5" t="s">
        <v>21154</v>
      </c>
      <c r="C5070" s="5" t="s">
        <v>21155</v>
      </c>
      <c r="D5070" s="5" t="s">
        <v>21148</v>
      </c>
      <c r="E5070" s="5" t="s">
        <v>21149</v>
      </c>
      <c r="F5070" s="5" t="str">
        <f>HYPERLINK("http://www.aam.it/","www.aam.it")</f>
        <v>www.aam.it</v>
      </c>
    </row>
    <row r="5071" spans="1:6" ht="16.95" customHeight="1" x14ac:dyDescent="0.25">
      <c r="A5071" s="6" t="s">
        <v>21156</v>
      </c>
      <c r="B5071" s="5" t="s">
        <v>21157</v>
      </c>
      <c r="C5071" s="5" t="s">
        <v>21158</v>
      </c>
      <c r="D5071" s="5" t="s">
        <v>21148</v>
      </c>
      <c r="E5071" s="5" t="s">
        <v>21149</v>
      </c>
      <c r="F5071" s="5" t="str">
        <f>HYPERLINK("http://www.theyardhostel.it/","www.theyardhostel.it")</f>
        <v>www.theyardhostel.it</v>
      </c>
    </row>
    <row r="5072" spans="1:6" ht="29.55" customHeight="1" x14ac:dyDescent="0.25">
      <c r="A5072" s="1" t="s">
        <v>21161</v>
      </c>
      <c r="B5072" s="7" t="s">
        <v>21162</v>
      </c>
      <c r="C5072" s="7" t="s">
        <v>21147</v>
      </c>
      <c r="D5072" s="7" t="s">
        <v>21159</v>
      </c>
      <c r="E5072" s="7" t="s">
        <v>21160</v>
      </c>
      <c r="F5072" s="7" t="str">
        <f>HYPERLINK("http://www.agricolacrisa.it/","www.agricolacrisa.it")</f>
        <v>www.agricolacrisa.it</v>
      </c>
    </row>
    <row r="5073" spans="1:6" ht="43.05" customHeight="1" x14ac:dyDescent="0.25">
      <c r="A5073" s="6" t="s">
        <v>21166</v>
      </c>
      <c r="B5073" s="5" t="s">
        <v>21167</v>
      </c>
      <c r="C5073" s="5" t="s">
        <v>21165</v>
      </c>
      <c r="D5073" s="5" t="s">
        <v>21163</v>
      </c>
      <c r="E5073" s="5" t="s">
        <v>21164</v>
      </c>
      <c r="F5073" s="5" t="str">
        <f>HYPERLINK("http://www.tenuteoliveto.com/","www.tenuteoliveto.com")</f>
        <v>www.tenuteoliveto.com</v>
      </c>
    </row>
    <row r="5074" spans="1:6" ht="29.55" customHeight="1" x14ac:dyDescent="0.25">
      <c r="A5074" s="6" t="s">
        <v>21168</v>
      </c>
      <c r="B5074" s="5" t="s">
        <v>21169</v>
      </c>
      <c r="C5074" s="5" t="s">
        <v>21170</v>
      </c>
      <c r="D5074" s="5" t="s">
        <v>21163</v>
      </c>
      <c r="E5074" s="5" t="s">
        <v>21164</v>
      </c>
      <c r="F5074" s="5" t="str">
        <f>HYPERLINK("http://possidentefruit.it/","possidentefruit.it")</f>
        <v>possidentefruit.it</v>
      </c>
    </row>
    <row r="5075" spans="1:6" ht="43.05" customHeight="1" x14ac:dyDescent="0.25">
      <c r="A5075" s="1" t="s">
        <v>21171</v>
      </c>
      <c r="B5075" s="7" t="s">
        <v>21172</v>
      </c>
      <c r="C5075" s="7" t="s">
        <v>21170</v>
      </c>
      <c r="D5075" s="7" t="s">
        <v>21163</v>
      </c>
      <c r="E5075" s="7" t="s">
        <v>21164</v>
      </c>
      <c r="F5075" s="7" t="str">
        <f>HYPERLINK("http://www.peschenettarinepremium.com/","www.peschenettarinepremium.com")</f>
        <v>www.peschenettarinepremium.com</v>
      </c>
    </row>
    <row r="5076" spans="1:6" ht="16.95" customHeight="1" x14ac:dyDescent="0.25">
      <c r="A5076" s="1" t="s">
        <v>21175</v>
      </c>
      <c r="B5076" s="7" t="s">
        <v>21176</v>
      </c>
      <c r="C5076" s="7" t="s">
        <v>21177</v>
      </c>
      <c r="D5076" s="7" t="s">
        <v>21173</v>
      </c>
      <c r="E5076" s="7" t="s">
        <v>21174</v>
      </c>
      <c r="F5076" s="7" t="str">
        <f>HYPERLINK("http://www.medimais.com/","www.medimais.com")</f>
        <v>www.medimais.com</v>
      </c>
    </row>
    <row r="5077" spans="1:6" ht="29.55" customHeight="1" x14ac:dyDescent="0.25">
      <c r="A5077" s="6" t="s">
        <v>21180</v>
      </c>
      <c r="B5077" s="5" t="s">
        <v>21181</v>
      </c>
      <c r="C5077" s="5" t="s">
        <v>21182</v>
      </c>
      <c r="D5077" s="5" t="s">
        <v>21178</v>
      </c>
      <c r="E5077" s="5" t="s">
        <v>21179</v>
      </c>
      <c r="F5077" s="5" t="str">
        <f>HYPERLINK("http://www.aromaticusagricola.it/","www.aromaticusagricola.it")</f>
        <v>www.aromaticusagricola.it</v>
      </c>
    </row>
    <row r="5078" spans="1:6" ht="43.05" customHeight="1" x14ac:dyDescent="0.25">
      <c r="A5078" s="6" t="s">
        <v>21185</v>
      </c>
      <c r="B5078" s="5" t="s">
        <v>21186</v>
      </c>
      <c r="C5078" s="5" t="s">
        <v>21187</v>
      </c>
      <c r="D5078" s="5" t="s">
        <v>21184</v>
      </c>
      <c r="E5078" s="5" t="s">
        <v>21179</v>
      </c>
      <c r="F5078" s="5" t="str">
        <f>HYPERLINK("http://lamacina.info/","lamacina.info")</f>
        <v>lamacina.info</v>
      </c>
    </row>
    <row r="5079" spans="1:6" ht="29.55" customHeight="1" x14ac:dyDescent="0.25">
      <c r="A5079" s="1" t="s">
        <v>21188</v>
      </c>
      <c r="B5079" s="7" t="s">
        <v>21189</v>
      </c>
      <c r="C5079" s="7" t="s">
        <v>21183</v>
      </c>
      <c r="D5079" s="7" t="s">
        <v>21184</v>
      </c>
      <c r="E5079" s="7" t="s">
        <v>21179</v>
      </c>
      <c r="F5079" s="7" t="str">
        <f>HYPERLINK("http://agriturismovarenna.it/","agriturismovarenna.it")</f>
        <v>agriturismovarenna.it</v>
      </c>
    </row>
    <row r="5080" spans="1:6" ht="29.55" customHeight="1" x14ac:dyDescent="0.25">
      <c r="A5080" s="1" t="s">
        <v>21190</v>
      </c>
      <c r="B5080" s="7" t="s">
        <v>21191</v>
      </c>
      <c r="C5080" s="7" t="s">
        <v>21192</v>
      </c>
      <c r="D5080" s="7" t="s">
        <v>21193</v>
      </c>
      <c r="E5080" s="7" t="s">
        <v>21194</v>
      </c>
      <c r="F5080" s="7" t="str">
        <f>HYPERLINK("http://tenutastarza.com/","tenutastarza.com")</f>
        <v>tenutastarza.com</v>
      </c>
    </row>
    <row r="5081" spans="1:6" ht="29.55" customHeight="1" x14ac:dyDescent="0.25">
      <c r="A5081" s="1" t="s">
        <v>21199</v>
      </c>
      <c r="B5081" s="7" t="s">
        <v>21200</v>
      </c>
      <c r="C5081" s="7" t="s">
        <v>21195</v>
      </c>
      <c r="D5081" s="7" t="s">
        <v>21196</v>
      </c>
      <c r="E5081" s="7" t="s">
        <v>21197</v>
      </c>
      <c r="F5081" s="7" t="str">
        <f>HYPERLINK("http://www.vallepo.net/","www.vallepo.net")</f>
        <v>www.vallepo.net</v>
      </c>
    </row>
    <row r="5082" spans="1:6" ht="29.55" customHeight="1" x14ac:dyDescent="0.25">
      <c r="A5082" s="6" t="s">
        <v>21201</v>
      </c>
      <c r="B5082" s="5" t="s">
        <v>21202</v>
      </c>
      <c r="C5082" s="5" t="s">
        <v>21203</v>
      </c>
      <c r="D5082" s="5" t="s">
        <v>21196</v>
      </c>
      <c r="E5082" s="5" t="s">
        <v>21197</v>
      </c>
      <c r="F5082" s="5" t="str">
        <f>HYPERLINK("http://www.damilano.it/","www.damilano.it")</f>
        <v>www.damilano.it</v>
      </c>
    </row>
    <row r="5083" spans="1:6" ht="29.55" customHeight="1" x14ac:dyDescent="0.25">
      <c r="A5083" s="6" t="s">
        <v>21206</v>
      </c>
      <c r="B5083" s="5" t="s">
        <v>21207</v>
      </c>
      <c r="C5083" s="5" t="s">
        <v>21198</v>
      </c>
      <c r="D5083" s="5" t="s">
        <v>21204</v>
      </c>
      <c r="E5083" s="5" t="s">
        <v>21205</v>
      </c>
      <c r="F5083" s="5" t="str">
        <f>HYPERLINK("http://www.feudonobile.it/","www.feudonobile.it")</f>
        <v>www.feudonobile.it</v>
      </c>
    </row>
    <row r="5084" spans="1:6" ht="81.75" customHeight="1" x14ac:dyDescent="0.25">
      <c r="A5084" s="6" t="s">
        <v>21210</v>
      </c>
      <c r="B5084" s="5" t="s">
        <v>21211</v>
      </c>
      <c r="C5084" s="5" t="s">
        <v>21198</v>
      </c>
      <c r="D5084" s="5" t="s">
        <v>21208</v>
      </c>
      <c r="E5084" s="5" t="s">
        <v>21209</v>
      </c>
      <c r="F5084" s="5" t="str">
        <f>HYPERLINK("http://www.eredilegonziano.it/","www.eredilegonziano.it")</f>
        <v>www.eredilegonziano.it</v>
      </c>
    </row>
    <row r="5085" spans="1:6" ht="43.05" customHeight="1" x14ac:dyDescent="0.25">
      <c r="A5085" s="1" t="s">
        <v>21212</v>
      </c>
      <c r="B5085" s="7" t="s">
        <v>21213</v>
      </c>
      <c r="C5085" s="7" t="s">
        <v>21214</v>
      </c>
      <c r="D5085" s="7" t="s">
        <v>21215</v>
      </c>
      <c r="E5085" s="7" t="s">
        <v>21216</v>
      </c>
      <c r="F5085" s="7" t="str">
        <f>HYPERLINK("http://biovivaiortona-societa-a-responsabilita-limitata-s-02703170692.quantofattura.com/","biovivaiortona-societa-a-responsabilita-limitata-s-02703170692.quantofattura.com")</f>
        <v>biovivaiortona-societa-a-responsabilita-limitata-s-02703170692.quantofattura.com</v>
      </c>
    </row>
    <row r="5086" spans="1:6" ht="16.95" customHeight="1" x14ac:dyDescent="0.25">
      <c r="A5086" s="6" t="s">
        <v>21220</v>
      </c>
      <c r="B5086" s="5" t="s">
        <v>21221</v>
      </c>
      <c r="C5086" s="5" t="s">
        <v>21219</v>
      </c>
      <c r="D5086" s="5" t="s">
        <v>21217</v>
      </c>
      <c r="E5086" s="5" t="s">
        <v>21218</v>
      </c>
      <c r="F5086" s="5" t="str">
        <f>HYPERLINK("http://www.delucaortofrutta.it/","www.delucaortofrutta.it")</f>
        <v>www.delucaortofrutta.it</v>
      </c>
    </row>
    <row r="5087" spans="1:6" ht="43.05" customHeight="1" x14ac:dyDescent="0.25">
      <c r="A5087" s="1" t="s">
        <v>21222</v>
      </c>
      <c r="B5087" s="7" t="s">
        <v>21223</v>
      </c>
      <c r="C5087" s="7" t="s">
        <v>21224</v>
      </c>
      <c r="D5087" s="7" t="s">
        <v>21217</v>
      </c>
      <c r="E5087" s="7" t="s">
        <v>21218</v>
      </c>
      <c r="F5087" s="7" t="str">
        <f>HYPERLINK("http://www.tecnocasa.it/annunci/appartamenti/campania/caserta","www.tecnocasa.it/annunci/appartamenti/campania/caserta")</f>
        <v>www.tecnocasa.it/annunci/appartamenti/campania/caserta</v>
      </c>
    </row>
    <row r="5088" spans="1:6" ht="16.95" customHeight="1" x14ac:dyDescent="0.25">
      <c r="A5088" s="6" t="s">
        <v>21228</v>
      </c>
      <c r="B5088" s="5" t="s">
        <v>21229</v>
      </c>
      <c r="C5088" s="5" t="s">
        <v>21227</v>
      </c>
      <c r="D5088" s="5" t="s">
        <v>21225</v>
      </c>
      <c r="E5088" s="5" t="s">
        <v>21226</v>
      </c>
      <c r="F5088" s="5" t="str">
        <f>HYPERLINK("http://www.castelloducale.com/","www.castelloducale.com")</f>
        <v>www.castelloducale.com</v>
      </c>
    </row>
    <row r="5089" spans="1:6" ht="16.95" customHeight="1" x14ac:dyDescent="0.25">
      <c r="A5089" s="1" t="s">
        <v>21230</v>
      </c>
      <c r="B5089" s="7" t="s">
        <v>21231</v>
      </c>
      <c r="C5089" s="7" t="s">
        <v>21232</v>
      </c>
      <c r="D5089" s="7" t="s">
        <v>21233</v>
      </c>
      <c r="E5089" s="7" t="s">
        <v>21234</v>
      </c>
      <c r="F5089" s="7" t="str">
        <f>HYPERLINK("http://www.casalesangermano.it/","www.casalesangermano.it")</f>
        <v>www.casalesangermano.it</v>
      </c>
    </row>
    <row r="5090" spans="1:6" ht="16.95" customHeight="1" x14ac:dyDescent="0.25">
      <c r="A5090" s="1" t="s">
        <v>21238</v>
      </c>
      <c r="B5090" s="7" t="s">
        <v>21239</v>
      </c>
      <c r="C5090" s="7" t="s">
        <v>21240</v>
      </c>
      <c r="D5090" s="7" t="s">
        <v>21236</v>
      </c>
      <c r="E5090" s="7" t="s">
        <v>21237</v>
      </c>
      <c r="F5090" s="7" t="str">
        <f>HYPERLINK("http://www.oleificioevangelista.it/","www.oleificioevangelista.it")</f>
        <v>www.oleificioevangelista.it</v>
      </c>
    </row>
    <row r="5091" spans="1:6" ht="43.05" customHeight="1" x14ac:dyDescent="0.25">
      <c r="A5091" s="6" t="s">
        <v>21242</v>
      </c>
      <c r="B5091" s="5" t="s">
        <v>21243</v>
      </c>
      <c r="C5091" s="5" t="s">
        <v>21241</v>
      </c>
      <c r="D5091" s="5" t="s">
        <v>21236</v>
      </c>
      <c r="E5091" s="5" t="s">
        <v>21237</v>
      </c>
      <c r="F5091" s="5" t="str">
        <f>HYPERLINK("http://www.divito.eu/","www.divito.eu")</f>
        <v>www.divito.eu</v>
      </c>
    </row>
    <row r="5092" spans="1:6" ht="29.55" customHeight="1" x14ac:dyDescent="0.25">
      <c r="A5092" s="6" t="s">
        <v>21244</v>
      </c>
      <c r="B5092" s="5" t="s">
        <v>21245</v>
      </c>
      <c r="C5092" s="5" t="s">
        <v>21246</v>
      </c>
      <c r="D5092" s="5" t="s">
        <v>21236</v>
      </c>
      <c r="E5092" s="5" t="s">
        <v>21237</v>
      </c>
      <c r="F5092" s="5" t="str">
        <f>HYPERLINK("http://mielemolisebio.com/","mielemolisebio.com")</f>
        <v>mielemolisebio.com</v>
      </c>
    </row>
    <row r="5093" spans="1:6" ht="29.55" customHeight="1" x14ac:dyDescent="0.25">
      <c r="A5093" s="1" t="s">
        <v>21248</v>
      </c>
      <c r="B5093" s="7" t="s">
        <v>21249</v>
      </c>
      <c r="C5093" s="7" t="s">
        <v>21250</v>
      </c>
      <c r="D5093" s="7" t="s">
        <v>21236</v>
      </c>
      <c r="E5093" s="7" t="s">
        <v>21237</v>
      </c>
      <c r="F5093" s="7" t="str">
        <f>HYPERLINK("http://agriturismo-pometti-la-selva.hotels-tuscany.info/","agriturismo-pometti-la-selva.hotels-tuscany.info")</f>
        <v>agriturismo-pometti-la-selva.hotels-tuscany.info</v>
      </c>
    </row>
    <row r="5094" spans="1:6" ht="43.05" customHeight="1" x14ac:dyDescent="0.25">
      <c r="A5094" s="6" t="s">
        <v>21253</v>
      </c>
      <c r="B5094" s="5" t="s">
        <v>21254</v>
      </c>
      <c r="C5094" s="5" t="s">
        <v>21235</v>
      </c>
      <c r="D5094" s="5" t="s">
        <v>21251</v>
      </c>
      <c r="E5094" s="5" t="s">
        <v>21252</v>
      </c>
      <c r="F5094" s="5" t="str">
        <f>HYPERLINK("http://www.horreum.it/","www.horreum.it")</f>
        <v>www.horreum.it</v>
      </c>
    </row>
    <row r="5095" spans="1:6" ht="29.55" customHeight="1" x14ac:dyDescent="0.25">
      <c r="A5095" s="6" t="s">
        <v>21255</v>
      </c>
      <c r="B5095" s="5" t="s">
        <v>21256</v>
      </c>
      <c r="C5095" s="5" t="s">
        <v>21247</v>
      </c>
      <c r="D5095" s="5" t="s">
        <v>21251</v>
      </c>
      <c r="E5095" s="5" t="s">
        <v>21252</v>
      </c>
      <c r="F5095" s="5" t="str">
        <f>HYPERLINK("http://fitnessvillagequartu.it/","fitnessvillagequartu.it")</f>
        <v>fitnessvillagequartu.it</v>
      </c>
    </row>
    <row r="5096" spans="1:6" ht="55.65" customHeight="1" x14ac:dyDescent="0.25">
      <c r="A5096" s="6" t="s">
        <v>21259</v>
      </c>
      <c r="B5096" s="5" t="s">
        <v>21260</v>
      </c>
      <c r="C5096" s="5" t="s">
        <v>21261</v>
      </c>
      <c r="D5096" s="5" t="s">
        <v>21257</v>
      </c>
      <c r="E5096" s="5" t="s">
        <v>21258</v>
      </c>
      <c r="F5096" s="5" t="str">
        <f>HYPERLINK("http://www.sgaravattimediterranea.it/","www.sgaravattimediterranea.it")</f>
        <v>www.sgaravattimediterranea.it</v>
      </c>
    </row>
    <row r="5097" spans="1:6" ht="29.55" customHeight="1" x14ac:dyDescent="0.25">
      <c r="A5097" s="1" t="s">
        <v>21266</v>
      </c>
      <c r="B5097" s="7" t="s">
        <v>21267</v>
      </c>
      <c r="C5097" s="7" t="s">
        <v>21262</v>
      </c>
      <c r="D5097" s="7" t="s">
        <v>21263</v>
      </c>
      <c r="E5097" s="7" t="s">
        <v>21264</v>
      </c>
      <c r="F5097" s="7" t="str">
        <f>HYPERLINK("http://www.terra-del-sole-agricola.it/","www.terra-del-sole-agricola.it")</f>
        <v>www.terra-del-sole-agricola.it</v>
      </c>
    </row>
    <row r="5098" spans="1:6" ht="29.55" customHeight="1" x14ac:dyDescent="0.25">
      <c r="A5098" s="6" t="s">
        <v>21268</v>
      </c>
      <c r="B5098" s="5" t="s">
        <v>21269</v>
      </c>
      <c r="C5098" s="5" t="s">
        <v>21262</v>
      </c>
      <c r="D5098" s="5" t="s">
        <v>21263</v>
      </c>
      <c r="E5098" s="5" t="s">
        <v>21264</v>
      </c>
      <c r="F5098" s="5" t="str">
        <f>HYPERLINK("http://www.fri-el.it/","www.fri-el.it")</f>
        <v>www.fri-el.it</v>
      </c>
    </row>
    <row r="5099" spans="1:6" ht="29.55" customHeight="1" x14ac:dyDescent="0.25">
      <c r="A5099" s="6" t="s">
        <v>21270</v>
      </c>
      <c r="B5099" s="5" t="s">
        <v>21271</v>
      </c>
      <c r="C5099" s="5" t="s">
        <v>21265</v>
      </c>
      <c r="D5099" s="5" t="s">
        <v>21263</v>
      </c>
      <c r="E5099" s="5" t="s">
        <v>21264</v>
      </c>
      <c r="F5099" s="5" t="str">
        <f>HYPERLINK("http://bio-goji.it/","bio-goji.it")</f>
        <v>bio-goji.it</v>
      </c>
    </row>
    <row r="5100" spans="1:6" ht="29.55" customHeight="1" x14ac:dyDescent="0.25">
      <c r="A5100" s="1" t="s">
        <v>21277</v>
      </c>
      <c r="B5100" s="7" t="s">
        <v>21278</v>
      </c>
      <c r="C5100" s="7" t="s">
        <v>21272</v>
      </c>
      <c r="D5100" s="7" t="s">
        <v>21273</v>
      </c>
      <c r="E5100" s="7" t="s">
        <v>21274</v>
      </c>
      <c r="F5100" s="7" t="str">
        <f>HYPERLINK("http://www.drugolio.com/","www.drugolio.com")</f>
        <v>www.drugolio.com</v>
      </c>
    </row>
    <row r="5101" spans="1:6" ht="29.55" customHeight="1" x14ac:dyDescent="0.25">
      <c r="A5101" s="6" t="s">
        <v>21279</v>
      </c>
      <c r="B5101" s="5" t="s">
        <v>21280</v>
      </c>
      <c r="C5101" s="5" t="s">
        <v>21276</v>
      </c>
      <c r="D5101" s="5" t="s">
        <v>21273</v>
      </c>
      <c r="E5101" s="5" t="s">
        <v>21274</v>
      </c>
      <c r="F5101" s="5" t="str">
        <f>HYPERLINK("http://macellerialocatelli.it/","macellerialocatelli.it")</f>
        <v>macellerialocatelli.it</v>
      </c>
    </row>
    <row r="5102" spans="1:6" ht="29.55" customHeight="1" x14ac:dyDescent="0.25">
      <c r="A5102" s="1" t="s">
        <v>21282</v>
      </c>
      <c r="B5102" s="7" t="s">
        <v>21283</v>
      </c>
      <c r="C5102" s="7" t="s">
        <v>21281</v>
      </c>
      <c r="D5102" s="7" t="s">
        <v>21273</v>
      </c>
      <c r="E5102" s="7" t="s">
        <v>21274</v>
      </c>
      <c r="F5102" s="7" t="str">
        <f>HYPERLINK("http://www.antezzate.it/","www.antezzate.it")</f>
        <v>www.antezzate.it</v>
      </c>
    </row>
    <row r="5103" spans="1:6" ht="29.55" customHeight="1" x14ac:dyDescent="0.25">
      <c r="A5103" s="6" t="s">
        <v>21284</v>
      </c>
      <c r="B5103" s="5" t="s">
        <v>21285</v>
      </c>
      <c r="C5103" s="5" t="s">
        <v>21286</v>
      </c>
      <c r="D5103" s="5" t="s">
        <v>21273</v>
      </c>
      <c r="E5103" s="5" t="s">
        <v>21274</v>
      </c>
      <c r="F5103" s="5" t="str">
        <f>HYPERLINK("http://www.grupponk.it/","www.grupponk.it")</f>
        <v>www.grupponk.it</v>
      </c>
    </row>
    <row r="5104" spans="1:6" ht="29.55" customHeight="1" x14ac:dyDescent="0.25">
      <c r="A5104" s="1" t="s">
        <v>21287</v>
      </c>
      <c r="B5104" s="7" t="s">
        <v>21288</v>
      </c>
      <c r="C5104" s="7" t="s">
        <v>21275</v>
      </c>
      <c r="D5104" s="7" t="s">
        <v>21273</v>
      </c>
      <c r="E5104" s="7" t="s">
        <v>21274</v>
      </c>
      <c r="F5104" s="7" t="str">
        <f>HYPERLINK("http://agroenergia.eu/","agroenergia.eu")</f>
        <v>agroenergia.eu</v>
      </c>
    </row>
    <row r="5105" spans="1:6" ht="29.55" customHeight="1" x14ac:dyDescent="0.25">
      <c r="A5105" s="6" t="s">
        <v>21292</v>
      </c>
      <c r="B5105" s="5" t="s">
        <v>21293</v>
      </c>
      <c r="C5105" s="5" t="s">
        <v>21294</v>
      </c>
      <c r="D5105" s="5" t="s">
        <v>21290</v>
      </c>
      <c r="E5105" s="5" t="s">
        <v>21291</v>
      </c>
      <c r="F5105" s="5" t="str">
        <f t="shared" ref="F5105:F5111" si="0">HYPERLINK("http://agroenergia.eu/","agroenergia.eu")</f>
        <v>agroenergia.eu</v>
      </c>
    </row>
    <row r="5106" spans="1:6" ht="29.55" customHeight="1" x14ac:dyDescent="0.25">
      <c r="A5106" s="1" t="s">
        <v>21295</v>
      </c>
      <c r="B5106" s="7" t="s">
        <v>21296</v>
      </c>
      <c r="C5106" s="7" t="s">
        <v>21294</v>
      </c>
      <c r="D5106" s="7" t="s">
        <v>21290</v>
      </c>
      <c r="E5106" s="7" t="s">
        <v>21291</v>
      </c>
      <c r="F5106" s="7" t="str">
        <f t="shared" si="0"/>
        <v>agroenergia.eu</v>
      </c>
    </row>
    <row r="5107" spans="1:6" ht="43.05" customHeight="1" x14ac:dyDescent="0.25">
      <c r="A5107" s="6" t="s">
        <v>21297</v>
      </c>
      <c r="B5107" s="5" t="s">
        <v>21298</v>
      </c>
      <c r="C5107" s="5" t="s">
        <v>21294</v>
      </c>
      <c r="D5107" s="5" t="s">
        <v>21290</v>
      </c>
      <c r="E5107" s="5" t="s">
        <v>21291</v>
      </c>
      <c r="F5107" s="5" t="str">
        <f t="shared" si="0"/>
        <v>agroenergia.eu</v>
      </c>
    </row>
    <row r="5108" spans="1:6" ht="43.05" customHeight="1" x14ac:dyDescent="0.25">
      <c r="A5108" s="1" t="s">
        <v>21299</v>
      </c>
      <c r="B5108" s="7" t="s">
        <v>21300</v>
      </c>
      <c r="C5108" s="7" t="s">
        <v>21294</v>
      </c>
      <c r="D5108" s="7" t="s">
        <v>21290</v>
      </c>
      <c r="E5108" s="7" t="s">
        <v>21291</v>
      </c>
      <c r="F5108" s="7" t="str">
        <f t="shared" si="0"/>
        <v>agroenergia.eu</v>
      </c>
    </row>
    <row r="5109" spans="1:6" ht="43.05" customHeight="1" x14ac:dyDescent="0.25">
      <c r="A5109" s="6" t="s">
        <v>21301</v>
      </c>
      <c r="B5109" s="5" t="s">
        <v>21302</v>
      </c>
      <c r="C5109" s="5" t="s">
        <v>21294</v>
      </c>
      <c r="D5109" s="5" t="s">
        <v>21290</v>
      </c>
      <c r="E5109" s="5" t="s">
        <v>21291</v>
      </c>
      <c r="F5109" s="5" t="str">
        <f t="shared" si="0"/>
        <v>agroenergia.eu</v>
      </c>
    </row>
    <row r="5110" spans="1:6" ht="29.55" customHeight="1" x14ac:dyDescent="0.25">
      <c r="A5110" s="1" t="s">
        <v>21303</v>
      </c>
      <c r="B5110" s="7" t="s">
        <v>21304</v>
      </c>
      <c r="C5110" s="7" t="s">
        <v>21294</v>
      </c>
      <c r="D5110" s="7" t="s">
        <v>21290</v>
      </c>
      <c r="E5110" s="7" t="s">
        <v>21291</v>
      </c>
      <c r="F5110" s="7" t="str">
        <f t="shared" si="0"/>
        <v>agroenergia.eu</v>
      </c>
    </row>
    <row r="5111" spans="1:6" ht="29.55" customHeight="1" x14ac:dyDescent="0.25">
      <c r="A5111" s="6" t="s">
        <v>21305</v>
      </c>
      <c r="B5111" s="5" t="s">
        <v>21306</v>
      </c>
      <c r="C5111" s="5" t="s">
        <v>21294</v>
      </c>
      <c r="D5111" s="5" t="s">
        <v>21290</v>
      </c>
      <c r="E5111" s="5" t="s">
        <v>21291</v>
      </c>
      <c r="F5111" s="5" t="str">
        <f t="shared" si="0"/>
        <v>agroenergia.eu</v>
      </c>
    </row>
    <row r="5112" spans="1:6" ht="29.55" customHeight="1" x14ac:dyDescent="0.25">
      <c r="A5112" s="6" t="s">
        <v>21307</v>
      </c>
      <c r="B5112" s="5" t="s">
        <v>21308</v>
      </c>
      <c r="C5112" s="5" t="s">
        <v>21289</v>
      </c>
      <c r="D5112" s="5" t="s">
        <v>21290</v>
      </c>
      <c r="E5112" s="5" t="s">
        <v>21291</v>
      </c>
      <c r="F5112" s="5" t="str">
        <f>HYPERLINK("http://www.colombarino.it/","www.colombarino.it")</f>
        <v>www.colombarino.it</v>
      </c>
    </row>
    <row r="5113" spans="1:6" ht="29.55" customHeight="1" x14ac:dyDescent="0.25">
      <c r="A5113" s="1" t="s">
        <v>21309</v>
      </c>
      <c r="B5113" s="7" t="s">
        <v>21310</v>
      </c>
      <c r="C5113" s="7" t="s">
        <v>21311</v>
      </c>
      <c r="D5113" s="7" t="s">
        <v>21290</v>
      </c>
      <c r="E5113" s="7" t="s">
        <v>21291</v>
      </c>
      <c r="F5113" s="7" t="str">
        <f>HYPERLINK("http://www.romangelo.it/","www.romangelo.it")</f>
        <v>www.romangelo.it</v>
      </c>
    </row>
    <row r="5114" spans="1:6" ht="55.65" customHeight="1" x14ac:dyDescent="0.25">
      <c r="A5114" s="1" t="s">
        <v>21312</v>
      </c>
      <c r="B5114" s="7" t="s">
        <v>21313</v>
      </c>
      <c r="C5114" s="7" t="s">
        <v>21314</v>
      </c>
      <c r="D5114" s="7" t="s">
        <v>21290</v>
      </c>
      <c r="E5114" s="7" t="s">
        <v>21291</v>
      </c>
      <c r="F5114" s="7" t="str">
        <f>HYPERLINK("http://www.comazoo.it/","www.comazoo.it")</f>
        <v>www.comazoo.it</v>
      </c>
    </row>
    <row r="5115" spans="1:6" ht="29.55" customHeight="1" x14ac:dyDescent="0.25">
      <c r="A5115" s="1" t="s">
        <v>21315</v>
      </c>
      <c r="B5115" s="7" t="s">
        <v>21316</v>
      </c>
      <c r="C5115" s="7" t="s">
        <v>21294</v>
      </c>
      <c r="D5115" s="7" t="s">
        <v>21290</v>
      </c>
      <c r="E5115" s="7" t="s">
        <v>21291</v>
      </c>
      <c r="F5115" s="7" t="str">
        <f>HYPERLINK("http://agriturismo-locanda-macina.loveitalia.top/","agriturismo-locanda-macina.loveitalia.top")</f>
        <v>agriturismo-locanda-macina.loveitalia.top</v>
      </c>
    </row>
    <row r="5116" spans="1:6" ht="68.099999999999994" customHeight="1" x14ac:dyDescent="0.25">
      <c r="A5116" s="6" t="s">
        <v>21320</v>
      </c>
      <c r="B5116" s="5" t="s">
        <v>21321</v>
      </c>
      <c r="C5116" s="5" t="s">
        <v>21322</v>
      </c>
      <c r="D5116" s="5" t="s">
        <v>21318</v>
      </c>
      <c r="E5116" s="5" t="s">
        <v>21319</v>
      </c>
      <c r="F5116" s="5" t="str">
        <f>HYPERLINK("http://www.sanita.puglia.it/web/asl-brindisi/distretti-socio-sanitari_det/-/journal_content/56/36031/dss-n-1-brindisi","www.sanita.puglia.it/web/asl-brindisi/distretti-socio-sanitari_det/-/journal_content/56/36031/dss-n-1-brindisi")</f>
        <v>www.sanita.puglia.it/web/asl-brindisi/distretti-socio-sanitari_det/-/journal_content/56/36031/dss-n-1-brindisi</v>
      </c>
    </row>
    <row r="5117" spans="1:6" ht="29.55" customHeight="1" x14ac:dyDescent="0.25">
      <c r="A5117" s="1" t="s">
        <v>21323</v>
      </c>
      <c r="B5117" s="7" t="s">
        <v>21324</v>
      </c>
      <c r="C5117" s="7" t="s">
        <v>21325</v>
      </c>
      <c r="D5117" s="7" t="s">
        <v>21318</v>
      </c>
      <c r="E5117" s="7" t="s">
        <v>21319</v>
      </c>
      <c r="F5117" s="7" t="str">
        <f>HYPERLINK("http://www.newearthsrl.com/","www.newearthsrl.com")</f>
        <v>www.newearthsrl.com</v>
      </c>
    </row>
    <row r="5118" spans="1:6" ht="16.95" customHeight="1" x14ac:dyDescent="0.25">
      <c r="A5118" s="1" t="s">
        <v>21326</v>
      </c>
      <c r="B5118" s="7" t="s">
        <v>21327</v>
      </c>
      <c r="C5118" s="7" t="s">
        <v>21317</v>
      </c>
      <c r="D5118" s="7" t="s">
        <v>21318</v>
      </c>
      <c r="E5118" s="7" t="s">
        <v>21319</v>
      </c>
      <c r="F5118" s="7" t="str">
        <f>HYPERLINK("http://www.brioagri.it/","www.brioagri.it")</f>
        <v>www.brioagri.it</v>
      </c>
    </row>
    <row r="5119" spans="1:6" ht="16.95" customHeight="1" x14ac:dyDescent="0.25">
      <c r="A5119" s="1" t="s">
        <v>21328</v>
      </c>
      <c r="B5119" s="7" t="s">
        <v>21329</v>
      </c>
      <c r="C5119" s="7" t="s">
        <v>21317</v>
      </c>
      <c r="D5119" s="7" t="s">
        <v>21318</v>
      </c>
      <c r="E5119" s="7" t="s">
        <v>21319</v>
      </c>
      <c r="F5119" s="7" t="str">
        <f>HYPERLINK("http://www.bblamadigalizia.it/","www.bblamadigalizia.it")</f>
        <v>www.bblamadigalizia.it</v>
      </c>
    </row>
    <row r="5120" spans="1:6" ht="29.55" customHeight="1" x14ac:dyDescent="0.25">
      <c r="A5120" s="6" t="s">
        <v>21330</v>
      </c>
      <c r="B5120" s="5" t="s">
        <v>21331</v>
      </c>
      <c r="C5120" s="5" t="s">
        <v>21332</v>
      </c>
      <c r="D5120" s="5" t="s">
        <v>21318</v>
      </c>
      <c r="E5120" s="5" t="s">
        <v>21319</v>
      </c>
      <c r="F5120" s="5" t="str">
        <f>HYPERLINK("http://www.agricolasannicola.com/","www.agricolasannicola.com")</f>
        <v>www.agricolasannicola.com</v>
      </c>
    </row>
    <row r="5121" spans="1:6" ht="29.55" customHeight="1" x14ac:dyDescent="0.25">
      <c r="A5121" s="1" t="s">
        <v>21336</v>
      </c>
      <c r="B5121" s="7" t="s">
        <v>21337</v>
      </c>
      <c r="C5121" s="7" t="s">
        <v>21333</v>
      </c>
      <c r="D5121" s="7" t="s">
        <v>21334</v>
      </c>
      <c r="E5121" s="7" t="s">
        <v>21335</v>
      </c>
      <c r="F5121" s="7" t="str">
        <f>HYPERLINK("http://www.centrogea.eu/","www.centrogea.eu")</f>
        <v>www.centrogea.eu</v>
      </c>
    </row>
    <row r="5122" spans="1:6" ht="16.95" customHeight="1" x14ac:dyDescent="0.25">
      <c r="A5122" s="6" t="s">
        <v>21338</v>
      </c>
      <c r="B5122" s="5" t="s">
        <v>21339</v>
      </c>
      <c r="C5122" s="5" t="s">
        <v>21340</v>
      </c>
      <c r="D5122" s="5" t="s">
        <v>21334</v>
      </c>
      <c r="E5122" s="5" t="s">
        <v>21335</v>
      </c>
      <c r="F5122" s="5" t="str">
        <f>HYPERLINK("http://ekoagrogroup.com/","ekoagrogroup.com")</f>
        <v>ekoagrogroup.com</v>
      </c>
    </row>
    <row r="5123" spans="1:6" ht="29.55" customHeight="1" x14ac:dyDescent="0.25">
      <c r="A5123" s="6" t="s">
        <v>21341</v>
      </c>
      <c r="B5123" s="5" t="s">
        <v>21342</v>
      </c>
      <c r="C5123" s="5" t="s">
        <v>21343</v>
      </c>
      <c r="D5123" s="5" t="s">
        <v>21344</v>
      </c>
      <c r="E5123" s="5" t="s">
        <v>21345</v>
      </c>
      <c r="F5123" s="5" t="str">
        <f>HYPERLINK("http://tenuta-caretti.bellaitaliatrips.top/","tenuta-caretti.bellaitaliatrips.top")</f>
        <v>tenuta-caretti.bellaitaliatrips.top</v>
      </c>
    </row>
    <row r="5124" spans="1:6" ht="29.55" customHeight="1" x14ac:dyDescent="0.25">
      <c r="A5124" s="1" t="s">
        <v>21350</v>
      </c>
      <c r="B5124" s="7" t="s">
        <v>21351</v>
      </c>
      <c r="C5124" s="7" t="s">
        <v>21348</v>
      </c>
      <c r="D5124" s="7" t="s">
        <v>21346</v>
      </c>
      <c r="E5124" s="7" t="s">
        <v>21347</v>
      </c>
      <c r="F5124" s="7" t="str">
        <f>HYPERLINK("http://fattoriamuccio.it/","fattoriamuccio.it")</f>
        <v>fattoriamuccio.it</v>
      </c>
    </row>
    <row r="5125" spans="1:6" ht="43.05" customHeight="1" x14ac:dyDescent="0.25">
      <c r="A5125" s="6" t="s">
        <v>21352</v>
      </c>
      <c r="B5125" s="5" t="s">
        <v>21353</v>
      </c>
      <c r="C5125" s="5" t="s">
        <v>21349</v>
      </c>
      <c r="D5125" s="5" t="s">
        <v>21346</v>
      </c>
      <c r="E5125" s="5" t="s">
        <v>21347</v>
      </c>
      <c r="F5125" s="5" t="str">
        <f>HYPERLINK("http://tenuta-caretti.bellaitaliatrips.top/","tenuta-caretti.bellaitaliatrips.top")</f>
        <v>tenuta-caretti.bellaitaliatrips.top</v>
      </c>
    </row>
    <row r="5126" spans="1:6" ht="29.55" customHeight="1" x14ac:dyDescent="0.25">
      <c r="A5126" s="1" t="s">
        <v>21360</v>
      </c>
      <c r="B5126" s="7" t="s">
        <v>21361</v>
      </c>
      <c r="C5126" s="7" t="s">
        <v>21358</v>
      </c>
      <c r="D5126" s="7" t="s">
        <v>21355</v>
      </c>
      <c r="E5126" s="7" t="s">
        <v>21356</v>
      </c>
      <c r="F5126" s="7" t="str">
        <f>HYPERLINK("http://bi-farm.com/","bi-farm.com")</f>
        <v>bi-farm.com</v>
      </c>
    </row>
    <row r="5127" spans="1:6" ht="43.05" customHeight="1" x14ac:dyDescent="0.25">
      <c r="A5127" s="6" t="s">
        <v>21362</v>
      </c>
      <c r="B5127" s="5" t="s">
        <v>21363</v>
      </c>
      <c r="C5127" s="5" t="s">
        <v>21357</v>
      </c>
      <c r="D5127" s="5" t="s">
        <v>21355</v>
      </c>
      <c r="E5127" s="5" t="s">
        <v>21356</v>
      </c>
      <c r="F5127" s="5" t="str">
        <f>HYPERLINK("http://www.verdedifara.com/","www.verdedifara.com")</f>
        <v>www.verdedifara.com</v>
      </c>
    </row>
    <row r="5128" spans="1:6" ht="43.05" customHeight="1" x14ac:dyDescent="0.25">
      <c r="A5128" s="6" t="s">
        <v>21364</v>
      </c>
      <c r="B5128" s="5" t="s">
        <v>21365</v>
      </c>
      <c r="C5128" s="5" t="s">
        <v>21358</v>
      </c>
      <c r="D5128" s="5" t="s">
        <v>21355</v>
      </c>
      <c r="E5128" s="5" t="s">
        <v>21356</v>
      </c>
      <c r="F5128" s="5" t="str">
        <f>HYPERLINK("http://www.verdebioagricola.it/","www.verdebioagricola.it")</f>
        <v>www.verdebioagricola.it</v>
      </c>
    </row>
    <row r="5129" spans="1:6" ht="43.05" customHeight="1" x14ac:dyDescent="0.25">
      <c r="A5129" s="1" t="s">
        <v>21366</v>
      </c>
      <c r="B5129" s="7" t="s">
        <v>21367</v>
      </c>
      <c r="C5129" s="7" t="s">
        <v>21357</v>
      </c>
      <c r="D5129" s="7" t="s">
        <v>21355</v>
      </c>
      <c r="E5129" s="7" t="s">
        <v>21356</v>
      </c>
      <c r="F5129" s="7" t="str">
        <f>HYPERLINK("http://www.verdeidea.com/","www.verdeidea.com")</f>
        <v>www.verdeidea.com</v>
      </c>
    </row>
    <row r="5130" spans="1:6" ht="29.55" customHeight="1" x14ac:dyDescent="0.25">
      <c r="A5130" s="6" t="s">
        <v>21368</v>
      </c>
      <c r="B5130" s="5" t="s">
        <v>21369</v>
      </c>
      <c r="C5130" s="5" t="s">
        <v>21370</v>
      </c>
      <c r="D5130" s="5" t="s">
        <v>21355</v>
      </c>
      <c r="E5130" s="5" t="s">
        <v>21356</v>
      </c>
      <c r="F5130" s="5" t="str">
        <f>HYPERLINK("http://www.agroluxenergetica.it/","www.agroluxenergetica.it")</f>
        <v>www.agroluxenergetica.it</v>
      </c>
    </row>
    <row r="5131" spans="1:6" ht="29.55" customHeight="1" x14ac:dyDescent="0.25">
      <c r="A5131" s="1" t="s">
        <v>21371</v>
      </c>
      <c r="B5131" s="7" t="s">
        <v>21372</v>
      </c>
      <c r="C5131" s="7" t="s">
        <v>21359</v>
      </c>
      <c r="D5131" s="7" t="s">
        <v>21355</v>
      </c>
      <c r="E5131" s="7" t="s">
        <v>21356</v>
      </c>
      <c r="F5131" s="7" t="str">
        <f>HYPERLINK("http://www.verdedicovoagricola.it/","www.verdedicovoagricola.it")</f>
        <v>www.verdedicovoagricola.it</v>
      </c>
    </row>
    <row r="5132" spans="1:6" ht="29.55" customHeight="1" x14ac:dyDescent="0.25">
      <c r="A5132" s="1" t="s">
        <v>21373</v>
      </c>
      <c r="B5132" s="7" t="s">
        <v>21374</v>
      </c>
      <c r="C5132" s="7" t="s">
        <v>21354</v>
      </c>
      <c r="D5132" s="7" t="s">
        <v>21355</v>
      </c>
      <c r="E5132" s="7" t="s">
        <v>21356</v>
      </c>
      <c r="F5132" s="7" t="str">
        <f>HYPERLINK("http://www.legami.com/","www.legami.com")</f>
        <v>www.legami.com</v>
      </c>
    </row>
    <row r="5133" spans="1:6" ht="29.55" customHeight="1" x14ac:dyDescent="0.25">
      <c r="A5133" s="6" t="s">
        <v>21377</v>
      </c>
      <c r="B5133" s="5" t="s">
        <v>21378</v>
      </c>
      <c r="C5133" s="5" t="s">
        <v>21379</v>
      </c>
      <c r="D5133" s="5" t="s">
        <v>21375</v>
      </c>
      <c r="E5133" s="5" t="s">
        <v>21376</v>
      </c>
      <c r="F5133" s="5" t="str">
        <f>HYPERLINK("http://www.scarpelliniincaflor.it/","http://www.scarpelliniincaflor.it/")</f>
        <v>http://www.scarpelliniincaflor.it/</v>
      </c>
    </row>
    <row r="5134" spans="1:6" ht="29.55" customHeight="1" x14ac:dyDescent="0.25">
      <c r="A5134" s="1" t="s">
        <v>21380</v>
      </c>
      <c r="B5134" s="7" t="s">
        <v>21381</v>
      </c>
      <c r="C5134" s="7" t="s">
        <v>21382</v>
      </c>
      <c r="D5134" s="7" t="s">
        <v>21375</v>
      </c>
      <c r="E5134" s="7" t="s">
        <v>21376</v>
      </c>
      <c r="F5134" s="7" t="str">
        <f>HYPERLINK("http://www.manifatturepezzoli.it/","www.manifatturepezzoli.it")</f>
        <v>www.manifatturepezzoli.it</v>
      </c>
    </row>
    <row r="5135" spans="1:6" ht="29.55" customHeight="1" x14ac:dyDescent="0.25">
      <c r="A5135" s="6" t="s">
        <v>21386</v>
      </c>
      <c r="B5135" s="5" t="s">
        <v>21387</v>
      </c>
      <c r="C5135" s="5" t="s">
        <v>21385</v>
      </c>
      <c r="D5135" s="5" t="s">
        <v>21384</v>
      </c>
      <c r="E5135" s="5" t="s">
        <v>21383</v>
      </c>
      <c r="F5135" s="5" t="str">
        <f>HYPERLINK("http://www.ditria.eu/","www.ditria.eu")</f>
        <v>www.ditria.eu</v>
      </c>
    </row>
    <row r="5136" spans="1:6" ht="55.65" customHeight="1" x14ac:dyDescent="0.25">
      <c r="A5136" s="1" t="s">
        <v>21391</v>
      </c>
      <c r="B5136" s="7" t="s">
        <v>21392</v>
      </c>
      <c r="C5136" s="7" t="s">
        <v>21390</v>
      </c>
      <c r="D5136" s="7" t="s">
        <v>21388</v>
      </c>
      <c r="E5136" s="7" t="s">
        <v>21389</v>
      </c>
      <c r="F5136" s="7" t="str">
        <f>HYPERLINK("http://www.aziendaagricolavolpe.it/","www.aziendaagricolavolpe.it")</f>
        <v>www.aziendaagricolavolpe.it</v>
      </c>
    </row>
    <row r="5137" spans="1:6" ht="43.05" customHeight="1" x14ac:dyDescent="0.25">
      <c r="A5137" s="6" t="s">
        <v>21395</v>
      </c>
      <c r="B5137" s="5" t="s">
        <v>21396</v>
      </c>
      <c r="C5137" s="5" t="s">
        <v>21397</v>
      </c>
      <c r="D5137" s="5" t="s">
        <v>21393</v>
      </c>
      <c r="E5137" s="5" t="s">
        <v>21394</v>
      </c>
      <c r="F5137" s="5" t="str">
        <f>HYPERLINK("http://www.produttorinoci.it/","www.produttorinoci.it")</f>
        <v>www.produttorinoci.it</v>
      </c>
    </row>
    <row r="5138" spans="1:6" ht="68.099999999999994" customHeight="1" x14ac:dyDescent="0.25">
      <c r="A5138" s="6" t="s">
        <v>21398</v>
      </c>
      <c r="B5138" s="5" t="s">
        <v>21399</v>
      </c>
      <c r="C5138" s="5" t="s">
        <v>21397</v>
      </c>
      <c r="D5138" s="5" t="s">
        <v>21393</v>
      </c>
      <c r="E5138" s="5" t="s">
        <v>21394</v>
      </c>
      <c r="F5138" s="5" t="str">
        <f>HYPERLINK("http://www.murgepugliesi.it/","www.murgepugliesi.it")</f>
        <v>www.murgepugliesi.it</v>
      </c>
    </row>
    <row r="5139" spans="1:6" ht="29.55" customHeight="1" x14ac:dyDescent="0.25">
      <c r="A5139" s="6" t="s">
        <v>21402</v>
      </c>
      <c r="B5139" s="5" t="s">
        <v>21403</v>
      </c>
      <c r="C5139" s="5" t="s">
        <v>21404</v>
      </c>
      <c r="D5139" s="5" t="s">
        <v>21405</v>
      </c>
      <c r="E5139" s="5" t="s">
        <v>21406</v>
      </c>
      <c r="F5139" s="5" t="str">
        <f>HYPERLINK("http://cantinaciaomondo.ch/","cantinaciaomondo.ch")</f>
        <v>cantinaciaomondo.ch</v>
      </c>
    </row>
    <row r="5140" spans="1:6" ht="16.95" customHeight="1" x14ac:dyDescent="0.25">
      <c r="A5140" s="6" t="s">
        <v>21408</v>
      </c>
      <c r="B5140" s="5" t="s">
        <v>21409</v>
      </c>
      <c r="C5140" s="5" t="s">
        <v>21407</v>
      </c>
      <c r="D5140" s="5" t="s">
        <v>21400</v>
      </c>
      <c r="E5140" s="5" t="s">
        <v>21401</v>
      </c>
      <c r="F5140" s="5" t="str">
        <f>HYPERLINK("http://www.buonoebio.1200.it/","www.buonoebio.1200.it")</f>
        <v>www.buonoebio.1200.it</v>
      </c>
    </row>
    <row r="5141" spans="1:6" ht="16.95" customHeight="1" x14ac:dyDescent="0.25">
      <c r="A5141" s="1" t="s">
        <v>21410</v>
      </c>
      <c r="B5141" s="7" t="s">
        <v>21411</v>
      </c>
      <c r="C5141" s="7" t="s">
        <v>21412</v>
      </c>
      <c r="D5141" s="7" t="s">
        <v>21400</v>
      </c>
      <c r="E5141" s="7" t="s">
        <v>21401</v>
      </c>
      <c r="F5141" s="7" t="str">
        <f>HYPERLINK("http://www.cortebracco.it/","www.cortebracco.it")</f>
        <v>www.cortebracco.it</v>
      </c>
    </row>
    <row r="5142" spans="1:6" ht="55.65" customHeight="1" x14ac:dyDescent="0.25">
      <c r="A5142" s="6" t="s">
        <v>21414</v>
      </c>
      <c r="B5142" s="5" t="s">
        <v>21415</v>
      </c>
      <c r="C5142" s="5" t="s">
        <v>21413</v>
      </c>
      <c r="D5142" s="5" t="s">
        <v>21400</v>
      </c>
      <c r="E5142" s="5" t="s">
        <v>21401</v>
      </c>
      <c r="F5142" s="5" t="str">
        <f>HYPERLINK("http://www.gravinadoc.it/","www.gravinadoc.it")</f>
        <v>www.gravinadoc.it</v>
      </c>
    </row>
    <row r="5143" spans="1:6" ht="29.55" customHeight="1" x14ac:dyDescent="0.25">
      <c r="A5143" s="6" t="s">
        <v>21417</v>
      </c>
      <c r="B5143" s="5" t="s">
        <v>21418</v>
      </c>
      <c r="C5143" s="5" t="s">
        <v>21419</v>
      </c>
      <c r="D5143" s="5" t="s">
        <v>21420</v>
      </c>
      <c r="E5143" s="5" t="s">
        <v>21421</v>
      </c>
      <c r="F5143" s="5" t="str">
        <f>HYPERLINK("http://www.serrocroce.it/","www.serrocroce.it")</f>
        <v>www.serrocroce.it</v>
      </c>
    </row>
    <row r="5144" spans="1:6" ht="29.55" customHeight="1" x14ac:dyDescent="0.25">
      <c r="A5144" s="1" t="s">
        <v>21422</v>
      </c>
      <c r="B5144" s="7" t="s">
        <v>21423</v>
      </c>
      <c r="C5144" s="7" t="s">
        <v>21416</v>
      </c>
      <c r="D5144" s="7" t="s">
        <v>21420</v>
      </c>
      <c r="E5144" s="7" t="s">
        <v>21421</v>
      </c>
      <c r="F5144" s="7" t="str">
        <f>HYPERLINK("http://www.stefaniabarbot.it/","www.stefaniabarbot.it")</f>
        <v>www.stefaniabarbot.it</v>
      </c>
    </row>
    <row r="5145" spans="1:6" ht="29.55" customHeight="1" x14ac:dyDescent="0.25">
      <c r="A5145" s="6" t="s">
        <v>21427</v>
      </c>
      <c r="B5145" s="5" t="s">
        <v>21428</v>
      </c>
      <c r="C5145" s="5" t="s">
        <v>21424</v>
      </c>
      <c r="D5145" s="5" t="s">
        <v>21425</v>
      </c>
      <c r="E5145" s="5" t="s">
        <v>21426</v>
      </c>
      <c r="F5145" s="5" t="str">
        <f>HYPERLINK("http://www.tenutamagrini.com/","www.tenutamagrini.com")</f>
        <v>www.tenutamagrini.com</v>
      </c>
    </row>
    <row r="5146" spans="1:6" ht="16.95" customHeight="1" x14ac:dyDescent="0.25">
      <c r="A5146" s="1" t="s">
        <v>21432</v>
      </c>
      <c r="B5146" s="7" t="s">
        <v>21433</v>
      </c>
      <c r="C5146" s="7" t="s">
        <v>21434</v>
      </c>
      <c r="D5146" s="7" t="s">
        <v>21430</v>
      </c>
      <c r="E5146" s="7" t="s">
        <v>21431</v>
      </c>
      <c r="F5146" s="7" t="str">
        <f>HYPERLINK("http://www.bancavaldarno.it/","www.bancavaldarno.it")</f>
        <v>www.bancavaldarno.it</v>
      </c>
    </row>
    <row r="5147" spans="1:6" ht="29.55" customHeight="1" x14ac:dyDescent="0.25">
      <c r="A5147" s="1" t="s">
        <v>21435</v>
      </c>
      <c r="B5147" s="7" t="s">
        <v>21436</v>
      </c>
      <c r="C5147" s="7" t="s">
        <v>21429</v>
      </c>
      <c r="D5147" s="7" t="s">
        <v>21437</v>
      </c>
      <c r="E5147" s="7" t="s">
        <v>21438</v>
      </c>
      <c r="F5147" s="7" t="str">
        <f>HYPERLINK("http://www.pimo.it/","www.pimo.it")</f>
        <v>www.pimo.it</v>
      </c>
    </row>
    <row r="5148" spans="1:6" ht="43.05" customHeight="1" x14ac:dyDescent="0.25">
      <c r="A5148" s="1" t="s">
        <v>21439</v>
      </c>
      <c r="B5148" s="7" t="s">
        <v>21440</v>
      </c>
      <c r="C5148" s="7" t="s">
        <v>21441</v>
      </c>
      <c r="D5148" s="7" t="s">
        <v>21442</v>
      </c>
      <c r="E5148" s="7" t="s">
        <v>21443</v>
      </c>
      <c r="F5148" s="7" t="str">
        <f>HYPERLINK("http://saladinipilastri.it/","saladinipilastri.it")</f>
        <v>saladinipilastri.it</v>
      </c>
    </row>
    <row r="5149" spans="1:6" ht="29.55" customHeight="1" x14ac:dyDescent="0.25">
      <c r="A5149" s="1" t="s">
        <v>21444</v>
      </c>
      <c r="B5149" s="7" t="s">
        <v>21445</v>
      </c>
      <c r="C5149" s="7" t="s">
        <v>21446</v>
      </c>
      <c r="D5149" s="7" t="s">
        <v>21442</v>
      </c>
      <c r="E5149" s="7" t="s">
        <v>21443</v>
      </c>
      <c r="F5149" s="7" t="str">
        <f>HYPERLINK("http://www.vinicostadoro.com/","www.vinicostadoro.com")</f>
        <v>www.vinicostadoro.com</v>
      </c>
    </row>
    <row r="5150" spans="1:6" ht="29.55" customHeight="1" x14ac:dyDescent="0.25">
      <c r="A5150" s="1" t="s">
        <v>21449</v>
      </c>
      <c r="B5150" s="7" t="s">
        <v>21450</v>
      </c>
      <c r="C5150" s="7" t="s">
        <v>21448</v>
      </c>
      <c r="D5150" s="7" t="s">
        <v>21447</v>
      </c>
      <c r="E5150" s="7" t="s">
        <v>21443</v>
      </c>
      <c r="F5150" s="7" t="str">
        <f>HYPERLINK("http://www.vallesinabio.com/","www.vallesinabio.com")</f>
        <v>www.vallesinabio.com</v>
      </c>
    </row>
    <row r="5151" spans="1:6" ht="29.55" customHeight="1" x14ac:dyDescent="0.25">
      <c r="A5151" s="6" t="s">
        <v>21453</v>
      </c>
      <c r="B5151" s="5" t="s">
        <v>21454</v>
      </c>
      <c r="C5151" s="5" t="s">
        <v>21446</v>
      </c>
      <c r="D5151" s="5" t="s">
        <v>21451</v>
      </c>
      <c r="E5151" s="5" t="s">
        <v>21452</v>
      </c>
      <c r="F5151" s="5" t="str">
        <f>HYPERLINK("http://www.cerruti.com/","www.cerruti.com")</f>
        <v>www.cerruti.com</v>
      </c>
    </row>
    <row r="5152" spans="1:6" ht="43.05" customHeight="1" x14ac:dyDescent="0.25">
      <c r="A5152" s="1" t="s">
        <v>21455</v>
      </c>
      <c r="B5152" s="7" t="s">
        <v>21456</v>
      </c>
      <c r="C5152" s="7" t="s">
        <v>21441</v>
      </c>
      <c r="D5152" s="7" t="s">
        <v>21451</v>
      </c>
      <c r="E5152" s="7" t="s">
        <v>21452</v>
      </c>
      <c r="F5152" s="7" t="str">
        <f>HYPERLINK("http://www.dimsport.it/","www.dimsport.it")</f>
        <v>www.dimsport.it</v>
      </c>
    </row>
    <row r="5153" spans="1:6" ht="29.55" customHeight="1" x14ac:dyDescent="0.25">
      <c r="A5153" s="6" t="s">
        <v>21461</v>
      </c>
      <c r="B5153" s="5" t="s">
        <v>21462</v>
      </c>
      <c r="C5153" s="5" t="s">
        <v>21460</v>
      </c>
      <c r="D5153" s="5" t="s">
        <v>21458</v>
      </c>
      <c r="E5153" s="5" t="s">
        <v>21459</v>
      </c>
      <c r="F5153" s="5" t="str">
        <f>HYPERLINK("http://www.biohortusag.com/","www.biohortusag.com")</f>
        <v>www.biohortusag.com</v>
      </c>
    </row>
    <row r="5154" spans="1:6" ht="43.05" customHeight="1" x14ac:dyDescent="0.25">
      <c r="A5154" s="1" t="s">
        <v>21463</v>
      </c>
      <c r="B5154" s="7" t="s">
        <v>21464</v>
      </c>
      <c r="C5154" s="7" t="s">
        <v>21465</v>
      </c>
      <c r="D5154" s="7" t="s">
        <v>21466</v>
      </c>
      <c r="E5154" s="7" t="s">
        <v>21467</v>
      </c>
      <c r="F5154" s="7" t="str">
        <f>HYPERLINK("http://www.prosus.it/","www.prosus.it")</f>
        <v>www.prosus.it</v>
      </c>
    </row>
    <row r="5155" spans="1:6" ht="29.55" customHeight="1" x14ac:dyDescent="0.25">
      <c r="A5155" s="6" t="s">
        <v>21469</v>
      </c>
      <c r="B5155" s="5" t="s">
        <v>21470</v>
      </c>
      <c r="C5155" s="5" t="s">
        <v>21471</v>
      </c>
      <c r="D5155" s="5" t="s">
        <v>21472</v>
      </c>
      <c r="E5155" s="5" t="s">
        <v>21473</v>
      </c>
      <c r="F5155" s="5" t="str">
        <f>HYPERLINK("http://www.produttoriarborea.it/","www.produttoriarborea.it")</f>
        <v>www.produttoriarborea.it</v>
      </c>
    </row>
    <row r="5156" spans="1:6" ht="29.55" customHeight="1" x14ac:dyDescent="0.25">
      <c r="A5156" s="1" t="s">
        <v>21474</v>
      </c>
      <c r="B5156" s="7" t="s">
        <v>21475</v>
      </c>
      <c r="C5156" s="7" t="s">
        <v>21476</v>
      </c>
      <c r="D5156" s="7" t="s">
        <v>21477</v>
      </c>
      <c r="E5156" s="7" t="s">
        <v>21467</v>
      </c>
      <c r="F5156" s="7" t="str">
        <f>HYPERLINK("http://www.consorzioeuro2000.com/","www.consorzioeuro2000.com")</f>
        <v>www.consorzioeuro2000.com</v>
      </c>
    </row>
    <row r="5157" spans="1:6" ht="16.95" customHeight="1" x14ac:dyDescent="0.25">
      <c r="A5157" s="6" t="s">
        <v>21478</v>
      </c>
      <c r="B5157" s="5" t="s">
        <v>21479</v>
      </c>
      <c r="C5157" s="5" t="s">
        <v>21480</v>
      </c>
      <c r="D5157" s="5" t="s">
        <v>21481</v>
      </c>
      <c r="E5157" s="5" t="s">
        <v>21457</v>
      </c>
      <c r="F5157" s="5" t="str">
        <f>HYPERLINK("http://www.exper.green/","www.exper.green")</f>
        <v>www.exper.green</v>
      </c>
    </row>
    <row r="5158" spans="1:6" ht="29.55" customHeight="1" x14ac:dyDescent="0.25">
      <c r="A5158" s="6" t="s">
        <v>21483</v>
      </c>
      <c r="B5158" s="5" t="s">
        <v>21484</v>
      </c>
      <c r="C5158" s="5" t="s">
        <v>21485</v>
      </c>
      <c r="D5158" s="5" t="s">
        <v>21486</v>
      </c>
      <c r="E5158" s="5" t="s">
        <v>21459</v>
      </c>
      <c r="F5158" s="5" t="str">
        <f>HYPERLINK("http://www.progettonaturaformaggi.com/","www.progettonaturaformaggi.com")</f>
        <v>www.progettonaturaformaggi.com</v>
      </c>
    </row>
    <row r="5159" spans="1:6" ht="29.55" customHeight="1" x14ac:dyDescent="0.25">
      <c r="A5159" s="1" t="s">
        <v>21487</v>
      </c>
      <c r="B5159" s="7" t="s">
        <v>21488</v>
      </c>
      <c r="C5159" s="7" t="s">
        <v>21471</v>
      </c>
      <c r="D5159" s="7" t="s">
        <v>21489</v>
      </c>
      <c r="E5159" s="7" t="s">
        <v>21459</v>
      </c>
      <c r="F5159" s="7" t="str">
        <f>HYPERLINK("http://rossadisicilia.it/","rossadisicilia.it")</f>
        <v>rossadisicilia.it</v>
      </c>
    </row>
    <row r="5160" spans="1:6" ht="43.05" customHeight="1" x14ac:dyDescent="0.25">
      <c r="A5160" s="1" t="s">
        <v>21490</v>
      </c>
      <c r="B5160" s="7" t="s">
        <v>21491</v>
      </c>
      <c r="C5160" s="7" t="s">
        <v>21482</v>
      </c>
      <c r="D5160" s="7" t="s">
        <v>21486</v>
      </c>
      <c r="E5160" s="7" t="s">
        <v>21459</v>
      </c>
      <c r="F5160" s="7" t="str">
        <f>HYPERLINK("http://questure.poliziadistato.it/servizio/commissariati/5730dc9ce5587703914213","questure.poliziadistato.it/servizio/commissariati/5730dc9ce5587703914213")</f>
        <v>questure.poliziadistato.it/servizio/commissariati/5730dc9ce5587703914213</v>
      </c>
    </row>
    <row r="5161" spans="1:6" ht="16.95" customHeight="1" x14ac:dyDescent="0.25">
      <c r="A5161" s="1" t="s">
        <v>21492</v>
      </c>
      <c r="B5161" s="7" t="s">
        <v>21493</v>
      </c>
      <c r="C5161" s="7" t="s">
        <v>21468</v>
      </c>
      <c r="D5161" s="7" t="s">
        <v>21494</v>
      </c>
      <c r="E5161" s="7" t="s">
        <v>21495</v>
      </c>
      <c r="F5161" s="7" t="str">
        <f>HYPERLINK("http://www.comune.castrocarotermeeterradelsole.fc.it/","www.comune.castrocarotermeeterradelsole.fc.it")</f>
        <v>www.comune.castrocarotermeeterradelsole.fc.it</v>
      </c>
    </row>
    <row r="5162" spans="1:6" ht="29.55" customHeight="1" x14ac:dyDescent="0.25">
      <c r="A5162" s="6" t="s">
        <v>21496</v>
      </c>
      <c r="B5162" s="5" t="s">
        <v>21497</v>
      </c>
      <c r="C5162" s="5" t="s">
        <v>21471</v>
      </c>
      <c r="D5162" s="5" t="s">
        <v>21498</v>
      </c>
      <c r="E5162" s="5" t="s">
        <v>21499</v>
      </c>
      <c r="F5162" s="5" t="str">
        <f>HYPERLINK("http://m.caseificiovaldorcia.com/","m.caseificiovaldorcia.com")</f>
        <v>m.caseificiovaldorcia.com</v>
      </c>
    </row>
    <row r="5163" spans="1:6" ht="68.099999999999994" customHeight="1" x14ac:dyDescent="0.25">
      <c r="A5163" s="1" t="s">
        <v>21500</v>
      </c>
      <c r="B5163" s="7" t="s">
        <v>21501</v>
      </c>
      <c r="C5163" s="7" t="s">
        <v>21502</v>
      </c>
      <c r="D5163" s="7" t="s">
        <v>21503</v>
      </c>
      <c r="E5163" s="7" t="s">
        <v>21504</v>
      </c>
      <c r="F5163" s="7" t="str">
        <f>HYPERLINK("http://www.clafc.it/","www.clafc.it")</f>
        <v>www.clafc.it</v>
      </c>
    </row>
    <row r="5164" spans="1:6" ht="43.05" customHeight="1" x14ac:dyDescent="0.25">
      <c r="A5164" s="6" t="s">
        <v>21505</v>
      </c>
      <c r="B5164" s="5" t="s">
        <v>21506</v>
      </c>
      <c r="C5164" s="5" t="s">
        <v>21507</v>
      </c>
      <c r="D5164" s="5" t="s">
        <v>21508</v>
      </c>
      <c r="E5164" s="5" t="s">
        <v>21509</v>
      </c>
      <c r="F5164" s="5" t="str">
        <f>HYPERLINK("http://www.cooperativemontalbano.it/","www.cooperativemontalbano.it")</f>
        <v>www.cooperativemontalbano.it</v>
      </c>
    </row>
    <row r="5165" spans="1:6" ht="29.55" customHeight="1" x14ac:dyDescent="0.25">
      <c r="A5165" s="1" t="s">
        <v>21510</v>
      </c>
      <c r="B5165" s="7" t="s">
        <v>21511</v>
      </c>
      <c r="C5165" s="7" t="s">
        <v>21512</v>
      </c>
      <c r="D5165" s="7" t="s">
        <v>21513</v>
      </c>
      <c r="E5165" s="7" t="s">
        <v>21514</v>
      </c>
      <c r="F5165" s="7" t="str">
        <f>HYPERLINK("http://www.pianteepassione.it/","www.pianteepassione.it")</f>
        <v>www.pianteepassione.it</v>
      </c>
    </row>
    <row r="5166" spans="1:6" ht="29.55" customHeight="1" x14ac:dyDescent="0.25">
      <c r="A5166" s="1" t="s">
        <v>21517</v>
      </c>
      <c r="B5166" s="7" t="s">
        <v>21518</v>
      </c>
      <c r="C5166" s="7" t="s">
        <v>21502</v>
      </c>
      <c r="D5166" s="7" t="s">
        <v>21519</v>
      </c>
      <c r="E5166" s="7" t="s">
        <v>21520</v>
      </c>
      <c r="F5166" s="7" t="str">
        <f>HYPERLINK("http://www.zeolifruit.com/","www.zeolifruit.com")</f>
        <v>www.zeolifruit.com</v>
      </c>
    </row>
    <row r="5167" spans="1:6" ht="29.55" customHeight="1" x14ac:dyDescent="0.25">
      <c r="A5167" s="6" t="s">
        <v>21521</v>
      </c>
      <c r="B5167" s="5" t="s">
        <v>21522</v>
      </c>
      <c r="C5167" s="5" t="s">
        <v>21523</v>
      </c>
      <c r="D5167" s="5" t="s">
        <v>21524</v>
      </c>
      <c r="E5167" s="5" t="s">
        <v>21525</v>
      </c>
      <c r="F5167" s="5" t="str">
        <f>HYPERLINK("http://www.naturaealimenta.it/","www.naturaealimenta.it")</f>
        <v>www.naturaealimenta.it</v>
      </c>
    </row>
    <row r="5168" spans="1:6" ht="43.05" customHeight="1" x14ac:dyDescent="0.25">
      <c r="A5168" s="1" t="s">
        <v>21526</v>
      </c>
      <c r="B5168" s="7" t="s">
        <v>21527</v>
      </c>
      <c r="C5168" s="7" t="s">
        <v>21528</v>
      </c>
      <c r="D5168" s="7" t="s">
        <v>21529</v>
      </c>
      <c r="E5168" s="7" t="s">
        <v>21530</v>
      </c>
      <c r="F5168" s="7" t="str">
        <f>HYPERLINK("http://www.saipa.it/","www.saipa.it")</f>
        <v>www.saipa.it</v>
      </c>
    </row>
    <row r="5169" spans="1:6" ht="29.55" customHeight="1" x14ac:dyDescent="0.25">
      <c r="A5169" s="6" t="s">
        <v>21531</v>
      </c>
      <c r="B5169" s="5" t="s">
        <v>21532</v>
      </c>
      <c r="C5169" s="5" t="s">
        <v>21533</v>
      </c>
      <c r="D5169" s="5" t="s">
        <v>21534</v>
      </c>
      <c r="E5169" s="5" t="s">
        <v>21535</v>
      </c>
      <c r="F5169" s="5" t="str">
        <f>HYPERLINK("http://www.lagodoroaziendaagricola.it/","http://www.lagodoroaziendaagricola.it")</f>
        <v>http://www.lagodoroaziendaagricola.it</v>
      </c>
    </row>
    <row r="5170" spans="1:6" ht="29.55" customHeight="1" x14ac:dyDescent="0.25">
      <c r="A5170" s="1" t="s">
        <v>21536</v>
      </c>
      <c r="B5170" s="7" t="s">
        <v>21537</v>
      </c>
      <c r="C5170" s="7" t="s">
        <v>21507</v>
      </c>
      <c r="D5170" s="7" t="s">
        <v>21538</v>
      </c>
      <c r="E5170" s="7" t="s">
        <v>21539</v>
      </c>
      <c r="F5170" s="7" t="str">
        <f>HYPERLINK("http://tmnaturalmente.it/","tmnaturalmente.it")</f>
        <v>tmnaturalmente.it</v>
      </c>
    </row>
    <row r="5171" spans="1:6" ht="55.65" customHeight="1" x14ac:dyDescent="0.25">
      <c r="A5171" s="6" t="s">
        <v>21540</v>
      </c>
      <c r="B5171" s="5" t="s">
        <v>21541</v>
      </c>
      <c r="C5171" s="5" t="s">
        <v>21542</v>
      </c>
      <c r="D5171" s="5" t="s">
        <v>21543</v>
      </c>
      <c r="E5171" s="5" t="s">
        <v>21509</v>
      </c>
      <c r="F5171" s="5" t="str">
        <f>HYPERLINK("http://shop.castellidelgrevepesa.it/","shop.castellidelgrevepesa.it")</f>
        <v>shop.castellidelgrevepesa.it</v>
      </c>
    </row>
    <row r="5172" spans="1:6" ht="55.65" customHeight="1" x14ac:dyDescent="0.25">
      <c r="A5172" s="1" t="s">
        <v>21546</v>
      </c>
      <c r="B5172" s="7" t="s">
        <v>21547</v>
      </c>
      <c r="C5172" s="7" t="s">
        <v>21542</v>
      </c>
      <c r="D5172" s="7" t="s">
        <v>21548</v>
      </c>
      <c r="E5172" s="7" t="s">
        <v>21549</v>
      </c>
      <c r="F5172" s="7" t="str">
        <f>HYPERLINK("http://vinicontini.com/","vinicontini.com")</f>
        <v>vinicontini.com</v>
      </c>
    </row>
    <row r="5173" spans="1:6" ht="29.55" customHeight="1" x14ac:dyDescent="0.25">
      <c r="A5173" s="6" t="s">
        <v>21550</v>
      </c>
      <c r="B5173" s="5" t="s">
        <v>21551</v>
      </c>
      <c r="C5173" s="5" t="s">
        <v>21552</v>
      </c>
      <c r="D5173" s="5" t="s">
        <v>21538</v>
      </c>
      <c r="E5173" s="5" t="s">
        <v>21539</v>
      </c>
      <c r="F5173" s="5" t="str">
        <f>HYPERLINK("http://www.gcpartecipazioni.eu/","www.gcpartecipazioni.eu")</f>
        <v>www.gcpartecipazioni.eu</v>
      </c>
    </row>
    <row r="5174" spans="1:6" ht="43.05" customHeight="1" x14ac:dyDescent="0.25">
      <c r="A5174" s="1" t="s">
        <v>21553</v>
      </c>
      <c r="B5174" s="7" t="s">
        <v>21554</v>
      </c>
      <c r="C5174" s="7" t="s">
        <v>21507</v>
      </c>
      <c r="D5174" s="7" t="s">
        <v>21555</v>
      </c>
      <c r="E5174" s="7" t="s">
        <v>21509</v>
      </c>
      <c r="F5174" s="7" t="str">
        <f>HYPERLINK("http://www.illuminatigmm.it/","www.illuminatigmm.it")</f>
        <v>www.illuminatigmm.it</v>
      </c>
    </row>
    <row r="5175" spans="1:6" ht="94.2" customHeight="1" x14ac:dyDescent="0.25">
      <c r="A5175" s="1" t="s">
        <v>21556</v>
      </c>
      <c r="B5175" s="7" t="s">
        <v>21557</v>
      </c>
      <c r="C5175" s="7" t="s">
        <v>21542</v>
      </c>
      <c r="D5175" s="7" t="s">
        <v>21515</v>
      </c>
      <c r="E5175" s="7" t="s">
        <v>21516</v>
      </c>
      <c r="F5175" s="7" t="str">
        <f>HYPERLINK("http://www.cantinacanneto.it/","http://www.cantinacanneto.it")</f>
        <v>http://www.cantinacanneto.it</v>
      </c>
    </row>
    <row r="5176" spans="1:6" ht="68.099999999999994" customHeight="1" x14ac:dyDescent="0.25">
      <c r="A5176" s="1" t="s">
        <v>21558</v>
      </c>
      <c r="B5176" s="7" t="s">
        <v>21559</v>
      </c>
      <c r="C5176" s="7" t="s">
        <v>21544</v>
      </c>
      <c r="D5176" s="7" t="s">
        <v>21560</v>
      </c>
      <c r="E5176" s="7" t="s">
        <v>21504</v>
      </c>
      <c r="F5176" s="7" t="str">
        <f>HYPERLINK("http://www.allevamentialbero.com/","www.allevamentialbero.com")</f>
        <v>www.allevamentialbero.com</v>
      </c>
    </row>
    <row r="5177" spans="1:6" ht="29.55" customHeight="1" x14ac:dyDescent="0.25">
      <c r="A5177" s="6" t="s">
        <v>21561</v>
      </c>
      <c r="B5177" s="5" t="s">
        <v>21562</v>
      </c>
      <c r="C5177" s="5" t="s">
        <v>21502</v>
      </c>
      <c r="D5177" s="5" t="s">
        <v>21563</v>
      </c>
      <c r="E5177" s="5" t="s">
        <v>21545</v>
      </c>
      <c r="F5177" s="5" t="str">
        <f>HYPERLINK("http://fidelity.vivaidallerive.it/","fidelity.vivaidallerive.it")</f>
        <v>fidelity.vivaidallerive.it</v>
      </c>
    </row>
    <row r="5178" spans="1:6" ht="29.55" customHeight="1" x14ac:dyDescent="0.25">
      <c r="A5178" s="6" t="s">
        <v>21564</v>
      </c>
      <c r="B5178" s="5" t="s">
        <v>21565</v>
      </c>
      <c r="C5178" s="5" t="s">
        <v>21566</v>
      </c>
      <c r="D5178" s="5" t="s">
        <v>21529</v>
      </c>
      <c r="E5178" s="5" t="s">
        <v>21530</v>
      </c>
      <c r="F5178" s="5" t="str">
        <f>HYPERLINK("http://www.aziendaleopardi.it/","www.aziendaleopardi.it")</f>
        <v>www.aziendaleopardi.it</v>
      </c>
    </row>
    <row r="5179" spans="1:6" ht="29.55" customHeight="1" x14ac:dyDescent="0.25">
      <c r="A5179" s="1" t="s">
        <v>21567</v>
      </c>
      <c r="B5179" s="7" t="s">
        <v>21568</v>
      </c>
      <c r="C5179" s="7" t="s">
        <v>21507</v>
      </c>
      <c r="D5179" s="7" t="s">
        <v>21569</v>
      </c>
      <c r="E5179" s="7" t="s">
        <v>21514</v>
      </c>
      <c r="F5179" s="7" t="str">
        <f>HYPERLINK("http://sirio2000.com/","sirio2000.com")</f>
        <v>sirio2000.com</v>
      </c>
    </row>
    <row r="5180" spans="1:6" ht="29.55" customHeight="1" x14ac:dyDescent="0.25">
      <c r="A5180" s="6" t="s">
        <v>21570</v>
      </c>
      <c r="B5180" s="5" t="s">
        <v>21571</v>
      </c>
      <c r="C5180" s="5" t="s">
        <v>21533</v>
      </c>
      <c r="D5180" s="5" t="s">
        <v>21534</v>
      </c>
      <c r="E5180" s="5" t="s">
        <v>21535</v>
      </c>
      <c r="F5180" s="5" t="str">
        <f>HYPERLINK("http://www.ioriweb.com/","www.ioriweb.com")</f>
        <v>www.ioriweb.com</v>
      </c>
    </row>
    <row r="5181" spans="1:6" ht="55.65" customHeight="1" x14ac:dyDescent="0.25">
      <c r="A5181" s="1" t="s">
        <v>21572</v>
      </c>
      <c r="B5181" s="7" t="s">
        <v>21573</v>
      </c>
      <c r="C5181" s="7" t="s">
        <v>21502</v>
      </c>
      <c r="D5181" s="7" t="s">
        <v>21574</v>
      </c>
      <c r="E5181" s="7" t="s">
        <v>21539</v>
      </c>
      <c r="F5181" s="7" t="str">
        <f>HYPERLINK("http://oliveti.it/","oliveti.it")</f>
        <v>oliveti.it</v>
      </c>
    </row>
    <row r="5182" spans="1:6" ht="29.55" customHeight="1" x14ac:dyDescent="0.25">
      <c r="A5182" s="6" t="s">
        <v>21582</v>
      </c>
      <c r="B5182" s="5" t="s">
        <v>21583</v>
      </c>
      <c r="C5182" s="5" t="s">
        <v>21580</v>
      </c>
      <c r="D5182" s="5" t="s">
        <v>21581</v>
      </c>
      <c r="E5182" s="5" t="s">
        <v>21577</v>
      </c>
      <c r="F5182" s="5" t="str">
        <f>HYPERLINK("http://www.ladynature.it/","www.ladynature.it")</f>
        <v>www.ladynature.it</v>
      </c>
    </row>
    <row r="5183" spans="1:6" ht="29.55" customHeight="1" x14ac:dyDescent="0.25">
      <c r="A5183" s="1" t="s">
        <v>21585</v>
      </c>
      <c r="B5183" s="7" t="s">
        <v>21586</v>
      </c>
      <c r="C5183" s="7" t="s">
        <v>21587</v>
      </c>
      <c r="D5183" s="7" t="s">
        <v>21588</v>
      </c>
      <c r="E5183" s="7" t="s">
        <v>21589</v>
      </c>
      <c r="F5183" s="7" t="str">
        <f>HYPERLINK("http://www.birrificioantoniano.it/","www.birrificioantoniano.it")</f>
        <v>www.birrificioantoniano.it</v>
      </c>
    </row>
    <row r="5184" spans="1:6" ht="29.55" customHeight="1" x14ac:dyDescent="0.25">
      <c r="A5184" s="6" t="s">
        <v>21590</v>
      </c>
      <c r="B5184" s="5" t="s">
        <v>21591</v>
      </c>
      <c r="C5184" s="5" t="s">
        <v>21592</v>
      </c>
      <c r="D5184" s="5" t="s">
        <v>21593</v>
      </c>
      <c r="E5184" s="5" t="s">
        <v>21576</v>
      </c>
      <c r="F5184" s="5" t="str">
        <f>HYPERLINK("http://www.naturcitrus.it/","www.naturcitrus.it")</f>
        <v>www.naturcitrus.it</v>
      </c>
    </row>
    <row r="5185" spans="1:6" ht="29.55" customHeight="1" x14ac:dyDescent="0.25">
      <c r="A5185" s="1" t="s">
        <v>21594</v>
      </c>
      <c r="B5185" s="7" t="s">
        <v>21595</v>
      </c>
      <c r="C5185" s="7" t="s">
        <v>21596</v>
      </c>
      <c r="D5185" s="7" t="s">
        <v>21597</v>
      </c>
      <c r="E5185" s="7" t="s">
        <v>21598</v>
      </c>
      <c r="F5185" s="7" t="str">
        <f>HYPERLINK("http://www.ortosestu.it/","www.ortosestu.it")</f>
        <v>www.ortosestu.it</v>
      </c>
    </row>
    <row r="5186" spans="1:6" ht="29.55" customHeight="1" x14ac:dyDescent="0.25">
      <c r="A5186" s="6" t="s">
        <v>21599</v>
      </c>
      <c r="B5186" s="5" t="s">
        <v>21600</v>
      </c>
      <c r="C5186" s="5" t="s">
        <v>21601</v>
      </c>
      <c r="D5186" s="5" t="s">
        <v>21602</v>
      </c>
      <c r="E5186" s="5" t="s">
        <v>21603</v>
      </c>
      <c r="F5186" s="5" t="str">
        <f>HYPERLINK("http://www.apoconerpo.com/","www.apoconerpo.com")</f>
        <v>www.apoconerpo.com</v>
      </c>
    </row>
    <row r="5187" spans="1:6" ht="29.55" customHeight="1" x14ac:dyDescent="0.25">
      <c r="A5187" s="6" t="s">
        <v>21604</v>
      </c>
      <c r="B5187" s="5" t="s">
        <v>21605</v>
      </c>
      <c r="C5187" s="5" t="s">
        <v>21606</v>
      </c>
      <c r="D5187" s="5" t="s">
        <v>21607</v>
      </c>
      <c r="E5187" s="5" t="s">
        <v>21584</v>
      </c>
      <c r="F5187" s="5" t="str">
        <f>HYPERLINK("http://hombre.it/","hombre.it")</f>
        <v>hombre.it</v>
      </c>
    </row>
    <row r="5188" spans="1:6" ht="29.55" customHeight="1" x14ac:dyDescent="0.25">
      <c r="A5188" s="1" t="s">
        <v>21608</v>
      </c>
      <c r="B5188" s="7" t="s">
        <v>21609</v>
      </c>
      <c r="C5188" s="7" t="s">
        <v>21610</v>
      </c>
      <c r="D5188" s="7" t="s">
        <v>21578</v>
      </c>
      <c r="E5188" s="7" t="s">
        <v>21579</v>
      </c>
      <c r="F5188" s="7" t="str">
        <f>HYPERLINK("http://www.biofucino.net/","www.biofucino.net")</f>
        <v>www.biofucino.net</v>
      </c>
    </row>
    <row r="5189" spans="1:6" ht="16.95" customHeight="1" x14ac:dyDescent="0.25">
      <c r="A5189" s="6" t="s">
        <v>21611</v>
      </c>
      <c r="B5189" s="5" t="s">
        <v>21612</v>
      </c>
      <c r="C5189" s="5" t="s">
        <v>21613</v>
      </c>
      <c r="D5189" s="5" t="s">
        <v>21575</v>
      </c>
      <c r="E5189" s="5" t="s">
        <v>21576</v>
      </c>
      <c r="F5189" s="5" t="str">
        <f>HYPERLINK("http://www.fortunato-srl.it/","www.fortunato-srl.it")</f>
        <v>www.fortunato-srl.it</v>
      </c>
    </row>
    <row r="5190" spans="1:6" ht="55.65" customHeight="1" x14ac:dyDescent="0.25">
      <c r="A5190" s="6" t="s">
        <v>21614</v>
      </c>
      <c r="B5190" s="5" t="s">
        <v>21615</v>
      </c>
      <c r="C5190" s="5" t="s">
        <v>21616</v>
      </c>
      <c r="D5190" s="5" t="s">
        <v>21617</v>
      </c>
      <c r="E5190" s="5" t="s">
        <v>21618</v>
      </c>
      <c r="F5190" s="5" t="str">
        <f>HYPERLINK("http://www.caseificiocastaldo.it/","www.caseificiocastaldo.it")</f>
        <v>www.caseificiocastaldo.it</v>
      </c>
    </row>
    <row r="5191" spans="1:6" ht="29.55" customHeight="1" x14ac:dyDescent="0.25">
      <c r="A5191" s="6" t="s">
        <v>21621</v>
      </c>
      <c r="B5191" s="5" t="s">
        <v>21622</v>
      </c>
      <c r="C5191" s="5" t="s">
        <v>21616</v>
      </c>
      <c r="D5191" s="5" t="s">
        <v>21623</v>
      </c>
      <c r="E5191" s="5" t="s">
        <v>21620</v>
      </c>
      <c r="F5191" s="5" t="str">
        <f>HYPERLINK("http://www.villaaiola.it/","http://www.villaaiola.it")</f>
        <v>http://www.villaaiola.it</v>
      </c>
    </row>
    <row r="5192" spans="1:6" ht="29.55" customHeight="1" x14ac:dyDescent="0.25">
      <c r="A5192" s="1" t="s">
        <v>21627</v>
      </c>
      <c r="B5192" s="7" t="s">
        <v>21628</v>
      </c>
      <c r="C5192" s="7" t="s">
        <v>21626</v>
      </c>
      <c r="D5192" s="7" t="s">
        <v>21629</v>
      </c>
      <c r="E5192" s="7" t="s">
        <v>21625</v>
      </c>
      <c r="F5192" s="7" t="str">
        <f>HYPERLINK("http://www.bioagnello.it/","www.bioagnello.it")</f>
        <v>www.bioagnello.it</v>
      </c>
    </row>
    <row r="5193" spans="1:6" ht="29.55" customHeight="1" x14ac:dyDescent="0.25">
      <c r="A5193" s="6" t="s">
        <v>21630</v>
      </c>
      <c r="B5193" s="5" t="s">
        <v>21631</v>
      </c>
      <c r="C5193" s="5" t="s">
        <v>21632</v>
      </c>
      <c r="D5193" s="5" t="s">
        <v>21633</v>
      </c>
      <c r="E5193" s="5" t="s">
        <v>21624</v>
      </c>
      <c r="F5193" s="5" t="str">
        <f>HYPERLINK("http://shop.bersiserlini.it/","shop.bersiserlini.it")</f>
        <v>shop.bersiserlini.it</v>
      </c>
    </row>
    <row r="5194" spans="1:6" ht="29.55" customHeight="1" x14ac:dyDescent="0.25">
      <c r="A5194" s="1" t="s">
        <v>21634</v>
      </c>
      <c r="B5194" s="7" t="s">
        <v>21635</v>
      </c>
      <c r="C5194" s="7" t="s">
        <v>21619</v>
      </c>
      <c r="D5194" s="7" t="s">
        <v>21636</v>
      </c>
      <c r="E5194" s="7" t="s">
        <v>21637</v>
      </c>
      <c r="F5194" s="7" t="str">
        <f>HYPERLINK("http://ilfaldo.ipsnet.it/","ilfaldo.ipsnet.it")</f>
        <v>ilfaldo.ipsnet.it</v>
      </c>
    </row>
    <row r="5195" spans="1:6" ht="29.55" customHeight="1" x14ac:dyDescent="0.25">
      <c r="A5195" s="6" t="s">
        <v>21638</v>
      </c>
      <c r="B5195" s="5" t="s">
        <v>21639</v>
      </c>
      <c r="C5195" s="5" t="s">
        <v>21640</v>
      </c>
      <c r="D5195" s="5" t="s">
        <v>21641</v>
      </c>
      <c r="E5195" s="5" t="s">
        <v>21642</v>
      </c>
      <c r="F5195" s="5" t="str">
        <f>HYPERLINK("http://www.olioepatate.it/","http://www.olioepatate.it")</f>
        <v>http://www.olioepatate.it</v>
      </c>
    </row>
    <row r="5196" spans="1:6" ht="29.55" customHeight="1" x14ac:dyDescent="0.25">
      <c r="A5196" s="1" t="s">
        <v>21644</v>
      </c>
      <c r="B5196" s="7" t="s">
        <v>21645</v>
      </c>
      <c r="C5196" s="7" t="s">
        <v>21643</v>
      </c>
      <c r="D5196" s="7" t="s">
        <v>21646</v>
      </c>
      <c r="E5196" s="7" t="s">
        <v>21647</v>
      </c>
      <c r="F5196" s="7" t="str">
        <f>HYPERLINK("http://www.agricolacolombrino.it/","www.agricolacolombrino.it")</f>
        <v>www.agricolacolombrino.it</v>
      </c>
    </row>
    <row r="5197" spans="1:6" ht="29.55" customHeight="1" x14ac:dyDescent="0.25">
      <c r="A5197" s="1" t="s">
        <v>21651</v>
      </c>
      <c r="B5197" s="7" t="s">
        <v>21652</v>
      </c>
      <c r="C5197" s="7" t="s">
        <v>21653</v>
      </c>
      <c r="D5197" s="7" t="s">
        <v>21654</v>
      </c>
      <c r="E5197" s="7" t="s">
        <v>21655</v>
      </c>
      <c r="F5197" s="7" t="str">
        <f>HYPERLINK("http://www.ervinsrl.com/","www.ervinsrl.com")</f>
        <v>www.ervinsrl.com</v>
      </c>
    </row>
    <row r="5198" spans="1:6" ht="29.55" customHeight="1" x14ac:dyDescent="0.25">
      <c r="A5198" s="6" t="s">
        <v>21658</v>
      </c>
      <c r="B5198" s="5" t="s">
        <v>21659</v>
      </c>
      <c r="C5198" s="5" t="s">
        <v>21660</v>
      </c>
      <c r="D5198" s="5" t="s">
        <v>21661</v>
      </c>
      <c r="E5198" s="5" t="s">
        <v>21657</v>
      </c>
      <c r="F5198" s="5" t="str">
        <f>HYPERLINK("http://www.cooperativaagricolacometa.it/","www.cooperativaagricolacometa.it")</f>
        <v>www.cooperativaagricolacometa.it</v>
      </c>
    </row>
    <row r="5199" spans="1:6" ht="55.65" customHeight="1" x14ac:dyDescent="0.25">
      <c r="A5199" s="6" t="s">
        <v>21663</v>
      </c>
      <c r="B5199" s="5" t="s">
        <v>21664</v>
      </c>
      <c r="C5199" s="5" t="s">
        <v>21665</v>
      </c>
      <c r="D5199" s="5" t="s">
        <v>21666</v>
      </c>
      <c r="E5199" s="5" t="s">
        <v>21667</v>
      </c>
      <c r="F5199" s="5" t="str">
        <f>HYPERLINK("http://www.cantinavalsamoggia.com/","www.cantinavalsamoggia.com")</f>
        <v>www.cantinavalsamoggia.com</v>
      </c>
    </row>
    <row r="5200" spans="1:6" ht="29.55" customHeight="1" x14ac:dyDescent="0.25">
      <c r="A5200" s="6" t="s">
        <v>21668</v>
      </c>
      <c r="B5200" s="5" t="s">
        <v>21669</v>
      </c>
      <c r="C5200" s="5" t="s">
        <v>21662</v>
      </c>
      <c r="D5200" s="5" t="s">
        <v>21670</v>
      </c>
      <c r="E5200" s="5" t="s">
        <v>21671</v>
      </c>
      <c r="F5200" s="5" t="str">
        <f>HYPERLINK("http://az-agr-mellano-stefano.business.site/","az-agr-mellano-stefano.business.site/")</f>
        <v>az-agr-mellano-stefano.business.site/</v>
      </c>
    </row>
    <row r="5201" spans="1:6" ht="29.55" customHeight="1" x14ac:dyDescent="0.25">
      <c r="A5201" s="6" t="s">
        <v>21672</v>
      </c>
      <c r="B5201" s="5" t="s">
        <v>21673</v>
      </c>
      <c r="C5201" s="5" t="s">
        <v>21648</v>
      </c>
      <c r="D5201" s="5" t="s">
        <v>21674</v>
      </c>
      <c r="E5201" s="5" t="s">
        <v>21675</v>
      </c>
      <c r="F5201" s="5" t="str">
        <f>HYPERLINK("http://naturaiblea.it/","naturaiblea.it")</f>
        <v>naturaiblea.it</v>
      </c>
    </row>
    <row r="5202" spans="1:6" ht="16.95" customHeight="1" x14ac:dyDescent="0.25">
      <c r="A5202" s="1" t="s">
        <v>21676</v>
      </c>
      <c r="B5202" s="7" t="s">
        <v>21677</v>
      </c>
      <c r="C5202" s="7" t="s">
        <v>21678</v>
      </c>
      <c r="D5202" s="7" t="s">
        <v>21674</v>
      </c>
      <c r="E5202" s="7" t="s">
        <v>21675</v>
      </c>
      <c r="F5202" s="7" t="str">
        <f>HYPERLINK("http://www.terredicapopassero.it/","www.terredicapopassero.it")</f>
        <v>www.terredicapopassero.it</v>
      </c>
    </row>
    <row r="5203" spans="1:6" ht="16.95" customHeight="1" x14ac:dyDescent="0.25">
      <c r="A5203" s="1" t="s">
        <v>21679</v>
      </c>
      <c r="B5203" s="7" t="s">
        <v>21680</v>
      </c>
      <c r="C5203" s="7" t="s">
        <v>21656</v>
      </c>
      <c r="D5203" s="7" t="s">
        <v>21666</v>
      </c>
      <c r="E5203" s="7" t="s">
        <v>21667</v>
      </c>
      <c r="F5203" s="7" t="str">
        <f>HYPERLINK("http://www.giordanigroup.it/","www.giordanigroup.it")</f>
        <v>www.giordanigroup.it</v>
      </c>
    </row>
    <row r="5204" spans="1:6" ht="29.55" customHeight="1" x14ac:dyDescent="0.25">
      <c r="A5204" s="1" t="s">
        <v>21681</v>
      </c>
      <c r="B5204" s="7" t="s">
        <v>21682</v>
      </c>
      <c r="C5204" s="7" t="s">
        <v>21648</v>
      </c>
      <c r="D5204" s="7" t="s">
        <v>21683</v>
      </c>
      <c r="E5204" s="7" t="s">
        <v>21684</v>
      </c>
      <c r="F5204" s="7" t="str">
        <f>HYPERLINK("http://www.paghera.com/","http://www.paghera.com")</f>
        <v>http://www.paghera.com</v>
      </c>
    </row>
    <row r="5205" spans="1:6" ht="16.95" customHeight="1" x14ac:dyDescent="0.25">
      <c r="A5205" s="1" t="s">
        <v>21685</v>
      </c>
      <c r="B5205" s="7" t="s">
        <v>21686</v>
      </c>
      <c r="C5205" s="7" t="s">
        <v>21687</v>
      </c>
      <c r="D5205" s="7" t="s">
        <v>21649</v>
      </c>
      <c r="E5205" s="7" t="s">
        <v>21650</v>
      </c>
      <c r="F5205" s="7" t="str">
        <f>HYPERLINK("http://www.digregoriosergio.net/","www.digregoriosergio.net")</f>
        <v>www.digregoriosergio.net</v>
      </c>
    </row>
    <row r="5206" spans="1:6" ht="16.95" customHeight="1" x14ac:dyDescent="0.25">
      <c r="A5206" s="1" t="s">
        <v>21688</v>
      </c>
      <c r="B5206" s="7" t="s">
        <v>21689</v>
      </c>
      <c r="C5206" s="7" t="s">
        <v>21665</v>
      </c>
      <c r="D5206" s="7" t="s">
        <v>21690</v>
      </c>
      <c r="E5206" s="7" t="s">
        <v>21691</v>
      </c>
      <c r="F5206" s="7" t="str">
        <f>HYPERLINK("http://www.brigl.com/","www.brigl.com")</f>
        <v>www.brigl.com</v>
      </c>
    </row>
    <row r="5207" spans="1:6" ht="29.55" customHeight="1" x14ac:dyDescent="0.25">
      <c r="A5207" s="1" t="s">
        <v>21692</v>
      </c>
      <c r="B5207" s="7" t="s">
        <v>21693</v>
      </c>
      <c r="C5207" s="7" t="s">
        <v>21694</v>
      </c>
      <c r="D5207" s="7" t="s">
        <v>21695</v>
      </c>
      <c r="E5207" s="7" t="s">
        <v>21695</v>
      </c>
      <c r="F5207" s="7" t="str">
        <f>HYPERLINK("http://www.noumacarni.com/","www.noumacarni.com")</f>
        <v>www.noumacarni.com</v>
      </c>
    </row>
    <row r="5208" spans="1:6" ht="29.55" customHeight="1" x14ac:dyDescent="0.25">
      <c r="A5208" s="1" t="s">
        <v>21696</v>
      </c>
      <c r="B5208" s="7" t="s">
        <v>21697</v>
      </c>
      <c r="C5208" s="7" t="s">
        <v>21698</v>
      </c>
      <c r="D5208" s="7" t="s">
        <v>21699</v>
      </c>
      <c r="E5208" s="7" t="s">
        <v>21700</v>
      </c>
      <c r="F5208" s="7" t="str">
        <f>HYPERLINK("http://www.santocooperativa.it/","www.santocooperativa.it")</f>
        <v>www.santocooperativa.it</v>
      </c>
    </row>
    <row r="5209" spans="1:6" ht="29.55" customHeight="1" x14ac:dyDescent="0.25">
      <c r="A5209" s="6" t="s">
        <v>21701</v>
      </c>
      <c r="B5209" s="5" t="s">
        <v>21702</v>
      </c>
      <c r="C5209" s="5" t="s">
        <v>21703</v>
      </c>
      <c r="D5209" s="5" t="s">
        <v>21704</v>
      </c>
      <c r="E5209" s="5" t="s">
        <v>21705</v>
      </c>
      <c r="F5209" s="5" t="str">
        <f>HYPERLINK("http://www.raccolto.bio/","www.raccolto.bio")</f>
        <v>www.raccolto.bio</v>
      </c>
    </row>
    <row r="5210" spans="1:6" ht="29.55" customHeight="1" x14ac:dyDescent="0.25">
      <c r="A5210" s="1" t="s">
        <v>21709</v>
      </c>
      <c r="B5210" s="7" t="s">
        <v>21710</v>
      </c>
      <c r="C5210" s="7" t="s">
        <v>21711</v>
      </c>
      <c r="D5210" s="7" t="s">
        <v>21707</v>
      </c>
      <c r="E5210" s="7" t="s">
        <v>21700</v>
      </c>
      <c r="F5210" s="7" t="str">
        <f>HYPERLINK("http://www.opolivolio.it/","www.opolivolio.it")</f>
        <v>www.opolivolio.it</v>
      </c>
    </row>
    <row r="5211" spans="1:6" ht="16.95" customHeight="1" x14ac:dyDescent="0.25">
      <c r="A5211" s="1" t="s">
        <v>21712</v>
      </c>
      <c r="B5211" s="7" t="s">
        <v>21713</v>
      </c>
      <c r="C5211" s="7" t="s">
        <v>21703</v>
      </c>
      <c r="D5211" s="7" t="s">
        <v>21714</v>
      </c>
      <c r="E5211" s="7" t="s">
        <v>21708</v>
      </c>
      <c r="F5211" s="7" t="str">
        <f>HYPERLINK("http://agricolaliscio.it/","agricolaliscio.it")</f>
        <v>agricolaliscio.it</v>
      </c>
    </row>
    <row r="5212" spans="1:6" ht="29.55" customHeight="1" x14ac:dyDescent="0.25">
      <c r="A5212" s="1" t="s">
        <v>21715</v>
      </c>
      <c r="B5212" s="7" t="s">
        <v>21716</v>
      </c>
      <c r="C5212" s="7" t="s">
        <v>21717</v>
      </c>
      <c r="D5212" s="7" t="s">
        <v>21718</v>
      </c>
      <c r="E5212" s="7" t="s">
        <v>21719</v>
      </c>
      <c r="F5212" s="7" t="str">
        <f>HYPERLINK("http://www.riomilk.it/","www.riomilk.it")</f>
        <v>www.riomilk.it</v>
      </c>
    </row>
    <row r="5213" spans="1:6" ht="16.95" customHeight="1" x14ac:dyDescent="0.25">
      <c r="A5213" s="1" t="s">
        <v>21720</v>
      </c>
      <c r="B5213" s="7" t="s">
        <v>21721</v>
      </c>
      <c r="C5213" s="7" t="s">
        <v>21706</v>
      </c>
      <c r="D5213" s="7" t="s">
        <v>21722</v>
      </c>
      <c r="E5213" s="7" t="s">
        <v>21723</v>
      </c>
      <c r="F5213" s="7" t="str">
        <f>HYPERLINK("http://www.agriservizi-srl.it/","www.agriservizi-srl.it")</f>
        <v>www.agriservizi-srl.it</v>
      </c>
    </row>
    <row r="5214" spans="1:6" ht="29.55" customHeight="1" x14ac:dyDescent="0.25">
      <c r="A5214" s="6" t="s">
        <v>21726</v>
      </c>
      <c r="B5214" s="5" t="s">
        <v>21727</v>
      </c>
      <c r="C5214" s="5" t="s">
        <v>21728</v>
      </c>
      <c r="D5214" s="5" t="s">
        <v>21729</v>
      </c>
      <c r="E5214" s="5" t="s">
        <v>21730</v>
      </c>
      <c r="F5214" s="5" t="str">
        <f>HYPERLINK("http://www.ortofrutta-milellasrl.it/","www.ortofrutta-milellasrl.it")</f>
        <v>www.ortofrutta-milellasrl.it</v>
      </c>
    </row>
    <row r="5215" spans="1:6" ht="29.55" customHeight="1" x14ac:dyDescent="0.25">
      <c r="A5215" s="1" t="s">
        <v>21731</v>
      </c>
      <c r="B5215" s="7" t="s">
        <v>21732</v>
      </c>
      <c r="C5215" s="7" t="s">
        <v>21733</v>
      </c>
      <c r="D5215" s="7" t="s">
        <v>21734</v>
      </c>
      <c r="E5215" s="7" t="s">
        <v>21730</v>
      </c>
      <c r="F5215" s="7" t="str">
        <f>HYPERLINK("http://www.lacapitanata.com/","www.lacapitanata.com")</f>
        <v>www.lacapitanata.com</v>
      </c>
    </row>
    <row r="5216" spans="1:6" ht="29.55" customHeight="1" x14ac:dyDescent="0.25">
      <c r="A5216" s="6" t="s">
        <v>21736</v>
      </c>
      <c r="B5216" s="5" t="s">
        <v>21737</v>
      </c>
      <c r="C5216" s="5" t="s">
        <v>21724</v>
      </c>
      <c r="D5216" s="5" t="s">
        <v>21738</v>
      </c>
      <c r="E5216" s="5" t="s">
        <v>21739</v>
      </c>
      <c r="F5216" s="5" t="str">
        <f>HYPERLINK("http://www.corifrut.com/","www.corifrut.com")</f>
        <v>www.corifrut.com</v>
      </c>
    </row>
    <row r="5217" spans="1:6" ht="29.55" customHeight="1" x14ac:dyDescent="0.25">
      <c r="A5217" s="1" t="s">
        <v>21740</v>
      </c>
      <c r="B5217" s="7" t="s">
        <v>21741</v>
      </c>
      <c r="C5217" s="7" t="s">
        <v>21724</v>
      </c>
      <c r="D5217" s="7" t="s">
        <v>21742</v>
      </c>
      <c r="E5217" s="7" t="s">
        <v>21743</v>
      </c>
      <c r="F5217" s="7" t="str">
        <f>HYPERLINK("http://www.infinitybio.it/","www.infinitybio.it")</f>
        <v>www.infinitybio.it</v>
      </c>
    </row>
    <row r="5218" spans="1:6" ht="55.65" customHeight="1" x14ac:dyDescent="0.25">
      <c r="A5218" s="6" t="s">
        <v>21744</v>
      </c>
      <c r="B5218" s="5" t="s">
        <v>21745</v>
      </c>
      <c r="C5218" s="5" t="s">
        <v>21746</v>
      </c>
      <c r="D5218" s="5" t="s">
        <v>21747</v>
      </c>
      <c r="E5218" s="5" t="s">
        <v>21743</v>
      </c>
      <c r="F5218" s="5" t="str">
        <f>HYPERLINK("http://anhea.it/","anhea.it")</f>
        <v>anhea.it</v>
      </c>
    </row>
    <row r="5219" spans="1:6" ht="29.55" customHeight="1" x14ac:dyDescent="0.25">
      <c r="A5219" s="6" t="s">
        <v>21748</v>
      </c>
      <c r="B5219" s="5" t="s">
        <v>21749</v>
      </c>
      <c r="C5219" s="5" t="s">
        <v>21735</v>
      </c>
      <c r="D5219" s="5" t="s">
        <v>21750</v>
      </c>
      <c r="E5219" s="5" t="s">
        <v>21725</v>
      </c>
      <c r="F5219" s="5" t="str">
        <f>HYPERLINK("http://www.salamita.it/","www.salamita.it")</f>
        <v>www.salamita.it</v>
      </c>
    </row>
    <row r="5220" spans="1:6" ht="29.55" customHeight="1" x14ac:dyDescent="0.25">
      <c r="A5220" s="6" t="s">
        <v>21751</v>
      </c>
      <c r="B5220" s="5" t="s">
        <v>21752</v>
      </c>
      <c r="C5220" s="5" t="s">
        <v>21753</v>
      </c>
      <c r="D5220" s="5" t="s">
        <v>21754</v>
      </c>
      <c r="E5220" s="5" t="s">
        <v>21755</v>
      </c>
      <c r="F5220" s="5" t="str">
        <f>HYPERLINK("http://www.florsystem.com/","www.florsystem.com")</f>
        <v>www.florsystem.com</v>
      </c>
    </row>
    <row r="5221" spans="1:6" ht="16.95" customHeight="1" x14ac:dyDescent="0.25">
      <c r="A5221" s="1" t="s">
        <v>21756</v>
      </c>
      <c r="B5221" s="7" t="s">
        <v>21757</v>
      </c>
      <c r="C5221" s="7" t="s">
        <v>21758</v>
      </c>
      <c r="D5221" s="7" t="s">
        <v>21759</v>
      </c>
      <c r="E5221" s="7" t="s">
        <v>21730</v>
      </c>
      <c r="F5221" s="7" t="str">
        <f>HYPERLINK("http://www.lepajaresalento.com/","www.lepajaresalento.com")</f>
        <v>www.lepajaresalento.com</v>
      </c>
    </row>
    <row r="5222" spans="1:6" ht="120.3" customHeight="1" x14ac:dyDescent="0.25">
      <c r="A5222" s="6" t="s">
        <v>21760</v>
      </c>
      <c r="B5222" s="5" t="s">
        <v>21761</v>
      </c>
      <c r="C5222" s="5" t="s">
        <v>21762</v>
      </c>
      <c r="D5222" s="5" t="s">
        <v>21763</v>
      </c>
      <c r="E5222" s="5" t="s">
        <v>21764</v>
      </c>
      <c r="F5222" s="5" t="str">
        <f>HYPERLINK("http://www.mpstenimenti.it/","www.mpstenimenti.it")</f>
        <v>www.mpstenimenti.it</v>
      </c>
    </row>
    <row r="5223" spans="1:6" ht="43.05" customHeight="1" x14ac:dyDescent="0.25">
      <c r="A5223" s="1" t="s">
        <v>21765</v>
      </c>
      <c r="B5223" s="7" t="s">
        <v>21766</v>
      </c>
      <c r="C5223" s="7" t="s">
        <v>21724</v>
      </c>
      <c r="D5223" s="7" t="s">
        <v>21763</v>
      </c>
      <c r="E5223" s="7" t="s">
        <v>21764</v>
      </c>
      <c r="F5223" s="7" t="str">
        <f>HYPERLINK("http://www.maidicolasovicille.it/","www.maidicolasovicille.it")</f>
        <v>www.maidicolasovicille.it</v>
      </c>
    </row>
    <row r="5224" spans="1:6" ht="29.55" customHeight="1" x14ac:dyDescent="0.25">
      <c r="A5224" s="1" t="s">
        <v>21768</v>
      </c>
      <c r="B5224" s="7" t="s">
        <v>21769</v>
      </c>
      <c r="C5224" s="7" t="s">
        <v>21770</v>
      </c>
      <c r="D5224" s="7" t="s">
        <v>21771</v>
      </c>
      <c r="E5224" s="7" t="s">
        <v>21772</v>
      </c>
      <c r="F5224" s="7" t="str">
        <f>HYPERLINK("http://www.agricolaranieri.it/","www.agricolaranieri.it")</f>
        <v>www.agricolaranieri.it</v>
      </c>
    </row>
    <row r="5225" spans="1:6" ht="43.05" customHeight="1" x14ac:dyDescent="0.25">
      <c r="A5225" s="6" t="s">
        <v>21773</v>
      </c>
      <c r="B5225" s="5" t="s">
        <v>21774</v>
      </c>
      <c r="C5225" s="5" t="s">
        <v>21767</v>
      </c>
      <c r="D5225" s="5" t="s">
        <v>21775</v>
      </c>
      <c r="E5225" s="5" t="s">
        <v>21776</v>
      </c>
      <c r="F5225" s="5" t="str">
        <f>HYPERLINK("http://www.cvocatanzaro.it/","www.cvocatanzaro.it")</f>
        <v>www.cvocatanzaro.it</v>
      </c>
    </row>
    <row r="5226" spans="1:6" ht="29.55" customHeight="1" x14ac:dyDescent="0.25">
      <c r="A5226" s="6" t="s">
        <v>21778</v>
      </c>
      <c r="B5226" s="5" t="s">
        <v>21779</v>
      </c>
      <c r="C5226" s="5" t="s">
        <v>21777</v>
      </c>
      <c r="D5226" s="5" t="s">
        <v>21780</v>
      </c>
      <c r="E5226" s="5" t="s">
        <v>21781</v>
      </c>
      <c r="F5226" s="5" t="str">
        <f>HYPERLINK("http://www.zic-zac.net/","www.zic-zac.net")</f>
        <v>www.zic-zac.net</v>
      </c>
    </row>
    <row r="5227" spans="1:6" ht="29.55" customHeight="1" x14ac:dyDescent="0.25">
      <c r="A5227" s="1" t="s">
        <v>21784</v>
      </c>
      <c r="B5227" s="7" t="s">
        <v>21785</v>
      </c>
      <c r="C5227" s="7" t="s">
        <v>21786</v>
      </c>
      <c r="D5227" s="7" t="s">
        <v>21787</v>
      </c>
      <c r="E5227" s="7" t="s">
        <v>21782</v>
      </c>
      <c r="F5227" s="7" t="str">
        <f>HYPERLINK("http://pratoerboso.com/","pratoerboso.com")</f>
        <v>pratoerboso.com</v>
      </c>
    </row>
    <row r="5228" spans="1:6" ht="29.55" customHeight="1" x14ac:dyDescent="0.25">
      <c r="A5228" s="1" t="s">
        <v>21790</v>
      </c>
      <c r="B5228" s="7" t="s">
        <v>21791</v>
      </c>
      <c r="C5228" s="7" t="s">
        <v>21789</v>
      </c>
      <c r="D5228" s="7" t="s">
        <v>21792</v>
      </c>
      <c r="E5228" s="7" t="s">
        <v>21793</v>
      </c>
      <c r="F5228" s="7" t="str">
        <f>HYPERLINK("http://www.naturveneta.it/","www.naturveneta.it")</f>
        <v>www.naturveneta.it</v>
      </c>
    </row>
    <row r="5229" spans="1:6" ht="68.099999999999994" customHeight="1" x14ac:dyDescent="0.25">
      <c r="A5229" s="1" t="s">
        <v>21797</v>
      </c>
      <c r="B5229" s="7" t="s">
        <v>21798</v>
      </c>
      <c r="C5229" s="7" t="s">
        <v>21799</v>
      </c>
      <c r="D5229" s="7" t="s">
        <v>21788</v>
      </c>
      <c r="E5229" s="7" t="s">
        <v>21788</v>
      </c>
      <c r="F5229" s="7" t="str">
        <f>HYPERLINK("http://www.cantinadicalasetta.it/","www.cantinadicalasetta.it")</f>
        <v>www.cantinadicalasetta.it</v>
      </c>
    </row>
    <row r="5230" spans="1:6" ht="29.55" customHeight="1" x14ac:dyDescent="0.25">
      <c r="A5230" s="1" t="s">
        <v>21801</v>
      </c>
      <c r="B5230" s="7" t="s">
        <v>21802</v>
      </c>
      <c r="C5230" s="7" t="s">
        <v>21799</v>
      </c>
      <c r="D5230" s="7" t="s">
        <v>21800</v>
      </c>
      <c r="E5230" s="7" t="s">
        <v>21796</v>
      </c>
      <c r="F5230" s="7" t="str">
        <f>HYPERLINK("http://www.poderecastelmerlo.com/","www.poderecastelmerlo.com")</f>
        <v>www.poderecastelmerlo.com</v>
      </c>
    </row>
    <row r="5231" spans="1:6" ht="29.55" customHeight="1" x14ac:dyDescent="0.25">
      <c r="A5231" s="1" t="s">
        <v>21803</v>
      </c>
      <c r="B5231" s="7" t="s">
        <v>21804</v>
      </c>
      <c r="C5231" s="7" t="s">
        <v>21795</v>
      </c>
      <c r="D5231" s="7" t="s">
        <v>21794</v>
      </c>
      <c r="E5231" s="7" t="s">
        <v>21783</v>
      </c>
      <c r="F5231" s="7" t="str">
        <f>HYPERLINK("http://www.tenutachirico.it/","www.tenutachirico.it")</f>
        <v>www.tenutachirico.it</v>
      </c>
    </row>
    <row r="5232" spans="1:6" ht="29.55" customHeight="1" x14ac:dyDescent="0.25">
      <c r="A5232" s="6" t="s">
        <v>21811</v>
      </c>
      <c r="B5232" s="5" t="s">
        <v>21812</v>
      </c>
      <c r="C5232" s="5" t="s">
        <v>21805</v>
      </c>
      <c r="D5232" s="5" t="s">
        <v>21813</v>
      </c>
      <c r="E5232" s="5" t="s">
        <v>21810</v>
      </c>
      <c r="F5232" s="5" t="str">
        <f>HYPERLINK("http://www.frudesol.com/","www.frudesol.com")</f>
        <v>www.frudesol.com</v>
      </c>
    </row>
    <row r="5233" spans="1:6" ht="29.55" customHeight="1" x14ac:dyDescent="0.25">
      <c r="A5233" s="1" t="s">
        <v>21814</v>
      </c>
      <c r="B5233" s="7" t="s">
        <v>21815</v>
      </c>
      <c r="C5233" s="7" t="s">
        <v>21816</v>
      </c>
      <c r="D5233" s="7" t="s">
        <v>21813</v>
      </c>
      <c r="E5233" s="7" t="s">
        <v>21810</v>
      </c>
      <c r="F5233" s="7" t="str">
        <f>HYPERLINK("http://www.nigropollastre.it/","www.nigropollastre.it")</f>
        <v>www.nigropollastre.it</v>
      </c>
    </row>
    <row r="5234" spans="1:6" ht="29.55" customHeight="1" x14ac:dyDescent="0.25">
      <c r="A5234" s="6" t="s">
        <v>21819</v>
      </c>
      <c r="B5234" s="5" t="s">
        <v>21820</v>
      </c>
      <c r="C5234" s="5" t="s">
        <v>21821</v>
      </c>
      <c r="D5234" s="5" t="s">
        <v>21822</v>
      </c>
      <c r="E5234" s="5" t="s">
        <v>21823</v>
      </c>
      <c r="F5234" s="5" t="str">
        <f>HYPERLINK("http://www.vivaiviticolitrentini.it/","http://www.vivaiviticolitrentini.it")</f>
        <v>http://www.vivaiviticolitrentini.it</v>
      </c>
    </row>
    <row r="5235" spans="1:6" ht="55.65" customHeight="1" x14ac:dyDescent="0.25">
      <c r="A5235" s="1" t="s">
        <v>21824</v>
      </c>
      <c r="B5235" s="7" t="s">
        <v>21825</v>
      </c>
      <c r="C5235" s="7" t="s">
        <v>21826</v>
      </c>
      <c r="D5235" s="7" t="s">
        <v>21827</v>
      </c>
      <c r="E5235" s="7" t="s">
        <v>21828</v>
      </c>
      <c r="F5235" s="7" t="str">
        <f>HYPERLINK("http://www.padagri.it/","www.padagri.it")</f>
        <v>www.padagri.it</v>
      </c>
    </row>
    <row r="5236" spans="1:6" ht="29.55" customHeight="1" x14ac:dyDescent="0.25">
      <c r="A5236" s="1" t="s">
        <v>21829</v>
      </c>
      <c r="B5236" s="7" t="s">
        <v>21830</v>
      </c>
      <c r="C5236" s="7" t="s">
        <v>21809</v>
      </c>
      <c r="D5236" s="7" t="s">
        <v>21807</v>
      </c>
      <c r="E5236" s="7" t="s">
        <v>21808</v>
      </c>
      <c r="F5236" s="7" t="str">
        <f>HYPERLINK("http://www.trefcoop.it/","www.trefcoop.it")</f>
        <v>www.trefcoop.it</v>
      </c>
    </row>
    <row r="5237" spans="1:6" ht="29.55" customHeight="1" x14ac:dyDescent="0.25">
      <c r="A5237" s="6" t="s">
        <v>21833</v>
      </c>
      <c r="B5237" s="5" t="s">
        <v>21834</v>
      </c>
      <c r="C5237" s="5" t="s">
        <v>21831</v>
      </c>
      <c r="D5237" s="5" t="s">
        <v>21832</v>
      </c>
      <c r="E5237" s="5" t="s">
        <v>21806</v>
      </c>
      <c r="F5237" s="5" t="str">
        <f>HYPERLINK("http://ericaanzalone.it/","ericaanzalone.it")</f>
        <v>ericaanzalone.it</v>
      </c>
    </row>
    <row r="5238" spans="1:6" ht="29.55" customHeight="1" x14ac:dyDescent="0.25">
      <c r="A5238" s="1" t="s">
        <v>21835</v>
      </c>
      <c r="B5238" s="7" t="s">
        <v>21836</v>
      </c>
      <c r="C5238" s="7" t="s">
        <v>21805</v>
      </c>
      <c r="D5238" s="7" t="s">
        <v>21817</v>
      </c>
      <c r="E5238" s="7" t="s">
        <v>21818</v>
      </c>
      <c r="F5238" s="7" t="str">
        <f>HYPERLINK("http://www.fattoriacasabianca.it/","www.fattoriacasabianca.it")</f>
        <v>www.fattoriacasabianca.it</v>
      </c>
    </row>
    <row r="5239" spans="1:6" ht="29.55" customHeight="1" x14ac:dyDescent="0.25">
      <c r="A5239" s="6" t="s">
        <v>21837</v>
      </c>
      <c r="B5239" s="5" t="s">
        <v>21838</v>
      </c>
      <c r="C5239" s="5" t="s">
        <v>21839</v>
      </c>
      <c r="D5239" s="5" t="s">
        <v>21840</v>
      </c>
      <c r="E5239" s="5" t="s">
        <v>21841</v>
      </c>
      <c r="F5239" s="5" t="str">
        <f>HYPERLINK("http://www.essenzabergamotto.com/","www.essenzabergamotto.com")</f>
        <v>www.essenzabergamotto.com</v>
      </c>
    </row>
    <row r="5240" spans="1:6" ht="29.55" customHeight="1" x14ac:dyDescent="0.25">
      <c r="A5240" s="6" t="s">
        <v>21844</v>
      </c>
      <c r="B5240" s="5" t="s">
        <v>21845</v>
      </c>
      <c r="C5240" s="5" t="s">
        <v>21846</v>
      </c>
      <c r="D5240" s="5" t="s">
        <v>21847</v>
      </c>
      <c r="E5240" s="5" t="s">
        <v>21842</v>
      </c>
      <c r="F5240" s="5" t="str">
        <f>HYPERLINK("http://www.straberry.it/","www.straberry.it")</f>
        <v>www.straberry.it</v>
      </c>
    </row>
    <row r="5241" spans="1:6" ht="29.55" customHeight="1" x14ac:dyDescent="0.25">
      <c r="A5241" s="6" t="s">
        <v>21848</v>
      </c>
      <c r="B5241" s="5" t="s">
        <v>21849</v>
      </c>
      <c r="C5241" s="5" t="s">
        <v>21843</v>
      </c>
      <c r="D5241" s="5" t="s">
        <v>21840</v>
      </c>
      <c r="E5241" s="5" t="s">
        <v>21841</v>
      </c>
      <c r="F5241" s="5" t="str">
        <f>HYPERLINK("http://www.tecnicaimpiantisrl.com/","www.tecnicaimpiantisrl.com")</f>
        <v>www.tecnicaimpiantisrl.com</v>
      </c>
    </row>
    <row r="5242" spans="1:6" ht="29.55" customHeight="1" x14ac:dyDescent="0.25">
      <c r="A5242" s="6" t="s">
        <v>21851</v>
      </c>
      <c r="B5242" s="5" t="s">
        <v>21852</v>
      </c>
      <c r="C5242" s="5" t="s">
        <v>21853</v>
      </c>
      <c r="D5242" s="5" t="s">
        <v>21854</v>
      </c>
      <c r="E5242" s="5" t="s">
        <v>21855</v>
      </c>
      <c r="F5242" s="5" t="str">
        <f>HYPERLINK("http://oleificiocericola.com/","oleificiocericola.com")</f>
        <v>oleificiocericola.com</v>
      </c>
    </row>
    <row r="5243" spans="1:6" ht="43.05" customHeight="1" x14ac:dyDescent="0.25">
      <c r="A5243" s="6" t="s">
        <v>21856</v>
      </c>
      <c r="B5243" s="5" t="s">
        <v>21857</v>
      </c>
      <c r="C5243" s="5" t="s">
        <v>21858</v>
      </c>
      <c r="D5243" s="5" t="s">
        <v>21859</v>
      </c>
      <c r="E5243" s="5" t="s">
        <v>21860</v>
      </c>
      <c r="F5243" s="5" t="str">
        <f>HYPERLINK("http://natura-e-giardini-societa-cooperativa-agricola-in--02035080684.quantofattura.com/","natura-e-giardini-societa-cooperativa-agricola-in--02035080684.quantofattura.com")</f>
        <v>natura-e-giardini-societa-cooperativa-agricola-in--02035080684.quantofattura.com</v>
      </c>
    </row>
    <row r="5244" spans="1:6" ht="29.55" customHeight="1" x14ac:dyDescent="0.25">
      <c r="A5244" s="6" t="s">
        <v>21861</v>
      </c>
      <c r="B5244" s="5" t="s">
        <v>21862</v>
      </c>
      <c r="C5244" s="5" t="s">
        <v>21850</v>
      </c>
      <c r="D5244" s="5" t="s">
        <v>21863</v>
      </c>
      <c r="E5244" s="5" t="s">
        <v>21864</v>
      </c>
      <c r="F5244" s="5" t="str">
        <f>HYPERLINK("http://www.figliristovskisoccoop.com/","www.figliristovskisoccoop.com")</f>
        <v>www.figliristovskisoccoop.com</v>
      </c>
    </row>
    <row r="5245" spans="1:6" ht="29.55" customHeight="1" x14ac:dyDescent="0.25">
      <c r="A5245" s="1" t="s">
        <v>21870</v>
      </c>
      <c r="B5245" s="7" t="s">
        <v>21871</v>
      </c>
      <c r="C5245" s="7" t="s">
        <v>21872</v>
      </c>
      <c r="D5245" s="7" t="s">
        <v>21873</v>
      </c>
      <c r="E5245" s="7" t="s">
        <v>21874</v>
      </c>
      <c r="F5245" s="7" t="str">
        <f>HYPERLINK("http://www.olivisecolari.com/","www.olivisecolari.com")</f>
        <v>www.olivisecolari.com</v>
      </c>
    </row>
    <row r="5246" spans="1:6" ht="29.55" customHeight="1" x14ac:dyDescent="0.25">
      <c r="A5246" s="1" t="s">
        <v>21875</v>
      </c>
      <c r="B5246" s="7" t="s">
        <v>21876</v>
      </c>
      <c r="C5246" s="7" t="s">
        <v>21877</v>
      </c>
      <c r="D5246" s="7" t="s">
        <v>21878</v>
      </c>
      <c r="E5246" s="7" t="s">
        <v>21867</v>
      </c>
      <c r="F5246" s="7" t="str">
        <f>HYPERLINK("http://www.cornaleto.it/","www.cornaleto.it")</f>
        <v>www.cornaleto.it</v>
      </c>
    </row>
    <row r="5247" spans="1:6" ht="16.95" customHeight="1" x14ac:dyDescent="0.25">
      <c r="A5247" s="6" t="s">
        <v>21879</v>
      </c>
      <c r="B5247" s="5" t="s">
        <v>21880</v>
      </c>
      <c r="C5247" s="5" t="s">
        <v>21881</v>
      </c>
      <c r="D5247" s="5" t="s">
        <v>21865</v>
      </c>
      <c r="E5247" s="5" t="s">
        <v>21866</v>
      </c>
      <c r="F5247" s="5" t="str">
        <f>HYPERLINK("http://www.chupachupalido.it/","www.chupachupalido.it")</f>
        <v>www.chupachupalido.it</v>
      </c>
    </row>
    <row r="5248" spans="1:6" ht="16.95" customHeight="1" x14ac:dyDescent="0.25">
      <c r="A5248" s="1" t="s">
        <v>21882</v>
      </c>
      <c r="B5248" s="7" t="s">
        <v>21883</v>
      </c>
      <c r="C5248" s="7" t="s">
        <v>21884</v>
      </c>
      <c r="D5248" s="7" t="s">
        <v>21885</v>
      </c>
      <c r="E5248" s="7" t="s">
        <v>21886</v>
      </c>
      <c r="F5248" s="7" t="str">
        <f>HYPERLINK("http://www.biovitissrl.it/","www.biovitissrl.it")</f>
        <v>www.biovitissrl.it</v>
      </c>
    </row>
    <row r="5249" spans="1:6" ht="29.55" customHeight="1" x14ac:dyDescent="0.25">
      <c r="A5249" s="6" t="s">
        <v>21887</v>
      </c>
      <c r="B5249" s="5" t="s">
        <v>21888</v>
      </c>
      <c r="C5249" s="5" t="s">
        <v>21889</v>
      </c>
      <c r="D5249" s="5" t="s">
        <v>21868</v>
      </c>
      <c r="E5249" s="5" t="s">
        <v>21869</v>
      </c>
      <c r="F5249" s="5" t="str">
        <f>HYPERLINK("http://fattoriacarpineto.com/","fattoriacarpineto.com")</f>
        <v>fattoriacarpineto.com</v>
      </c>
    </row>
    <row r="5250" spans="1:6" ht="29.55" customHeight="1" x14ac:dyDescent="0.25">
      <c r="A5250" s="6" t="s">
        <v>21890</v>
      </c>
      <c r="B5250" s="5" t="s">
        <v>21891</v>
      </c>
      <c r="C5250" s="5" t="s">
        <v>21877</v>
      </c>
      <c r="D5250" s="5" t="s">
        <v>21892</v>
      </c>
      <c r="E5250" s="5" t="s">
        <v>21893</v>
      </c>
      <c r="F5250" s="5" t="str">
        <f>HYPERLINK("http://montespada.it/","montespada.it")</f>
        <v>montespada.it</v>
      </c>
    </row>
    <row r="5251" spans="1:6" ht="29.55" customHeight="1" x14ac:dyDescent="0.25">
      <c r="A5251" s="1" t="s">
        <v>21894</v>
      </c>
      <c r="B5251" s="7" t="s">
        <v>21895</v>
      </c>
      <c r="C5251" s="7" t="s">
        <v>21877</v>
      </c>
      <c r="D5251" s="7" t="s">
        <v>21896</v>
      </c>
      <c r="E5251" s="7" t="s">
        <v>21897</v>
      </c>
      <c r="F5251" s="7" t="str">
        <f>HYPERLINK("http://www.ilpollenza.it/","www.ilpollenza.it")</f>
        <v>www.ilpollenza.it</v>
      </c>
    </row>
    <row r="5252" spans="1:6" ht="29.55" customHeight="1" x14ac:dyDescent="0.25">
      <c r="A5252" s="1" t="s">
        <v>21903</v>
      </c>
      <c r="B5252" s="7" t="s">
        <v>21904</v>
      </c>
      <c r="C5252" s="7" t="s">
        <v>21905</v>
      </c>
      <c r="D5252" s="7" t="s">
        <v>21906</v>
      </c>
      <c r="E5252" s="7" t="s">
        <v>21907</v>
      </c>
      <c r="F5252" s="7" t="str">
        <f>HYPERLINK("http://shop.tenutedelogu.com/","shop.tenutedelogu.com")</f>
        <v>shop.tenutedelogu.com</v>
      </c>
    </row>
    <row r="5253" spans="1:6" ht="29.55" customHeight="1" x14ac:dyDescent="0.25">
      <c r="A5253" s="1" t="s">
        <v>21909</v>
      </c>
      <c r="B5253" s="7" t="s">
        <v>21910</v>
      </c>
      <c r="C5253" s="7" t="s">
        <v>21911</v>
      </c>
      <c r="D5253" s="7" t="s">
        <v>21912</v>
      </c>
      <c r="E5253" s="7" t="s">
        <v>21913</v>
      </c>
      <c r="F5253" s="7" t="str">
        <f>HYPERLINK("http://www.icasalidelpino.it/","www.icasalidelpino.it")</f>
        <v>www.icasalidelpino.it</v>
      </c>
    </row>
    <row r="5254" spans="1:6" ht="43.05" customHeight="1" x14ac:dyDescent="0.25">
      <c r="A5254" s="6" t="s">
        <v>21914</v>
      </c>
      <c r="B5254" s="5" t="s">
        <v>21915</v>
      </c>
      <c r="C5254" s="5" t="s">
        <v>21916</v>
      </c>
      <c r="D5254" s="5" t="s">
        <v>21917</v>
      </c>
      <c r="E5254" s="5" t="s">
        <v>21918</v>
      </c>
      <c r="F5254" s="5" t="str">
        <f>HYPERLINK("http://www.carnekmzero.it/","www.carnekmzero.it")</f>
        <v>www.carnekmzero.it</v>
      </c>
    </row>
    <row r="5255" spans="1:6" ht="29.55" customHeight="1" x14ac:dyDescent="0.25">
      <c r="A5255" s="1" t="s">
        <v>21919</v>
      </c>
      <c r="B5255" s="7" t="s">
        <v>21920</v>
      </c>
      <c r="C5255" s="7" t="s">
        <v>21905</v>
      </c>
      <c r="D5255" s="7" t="s">
        <v>21921</v>
      </c>
      <c r="E5255" s="7" t="s">
        <v>21899</v>
      </c>
      <c r="F5255" s="7" t="str">
        <f>HYPERLINK("http://sorrentinovini.vudoo.it/","sorrentinovini.vudoo.it")</f>
        <v>sorrentinovini.vudoo.it</v>
      </c>
    </row>
    <row r="5256" spans="1:6" ht="43.05" customHeight="1" x14ac:dyDescent="0.25">
      <c r="A5256" s="1" t="s">
        <v>21923</v>
      </c>
      <c r="B5256" s="7" t="s">
        <v>21924</v>
      </c>
      <c r="C5256" s="7" t="s">
        <v>21925</v>
      </c>
      <c r="D5256" s="7" t="s">
        <v>21908</v>
      </c>
      <c r="E5256" s="7" t="s">
        <v>21899</v>
      </c>
      <c r="F5256" s="7" t="str">
        <f>HYPERLINK("http://www.apicolturaonline.it/","www.apicolturaonline.it")</f>
        <v>www.apicolturaonline.it</v>
      </c>
    </row>
    <row r="5257" spans="1:6" ht="43.05" customHeight="1" x14ac:dyDescent="0.25">
      <c r="A5257" s="1" t="s">
        <v>21926</v>
      </c>
      <c r="B5257" s="7" t="s">
        <v>21927</v>
      </c>
      <c r="C5257" s="7" t="s">
        <v>21928</v>
      </c>
      <c r="D5257" s="7" t="s">
        <v>21929</v>
      </c>
      <c r="E5257" s="7" t="s">
        <v>21922</v>
      </c>
      <c r="F5257" s="7" t="str">
        <f>HYPERLINK("http://www.biosicula.it/","www.biosicula.it")</f>
        <v>www.biosicula.it</v>
      </c>
    </row>
    <row r="5258" spans="1:6" ht="43.05" customHeight="1" x14ac:dyDescent="0.25">
      <c r="A5258" s="1" t="s">
        <v>21931</v>
      </c>
      <c r="B5258" s="7" t="s">
        <v>21932</v>
      </c>
      <c r="C5258" s="7" t="s">
        <v>21900</v>
      </c>
      <c r="D5258" s="7" t="s">
        <v>21901</v>
      </c>
      <c r="E5258" s="7" t="s">
        <v>21902</v>
      </c>
      <c r="F5258" s="7" t="str">
        <f>HYPERLINK("http://www.pscpiccola.it/","www.pscpiccola.it")</f>
        <v>www.pscpiccola.it</v>
      </c>
    </row>
    <row r="5259" spans="1:6" ht="29.55" customHeight="1" x14ac:dyDescent="0.25">
      <c r="A5259" s="6" t="s">
        <v>21933</v>
      </c>
      <c r="B5259" s="5" t="s">
        <v>21934</v>
      </c>
      <c r="C5259" s="5" t="s">
        <v>21935</v>
      </c>
      <c r="D5259" s="5" t="s">
        <v>21901</v>
      </c>
      <c r="E5259" s="5" t="s">
        <v>21902</v>
      </c>
      <c r="F5259" s="5" t="str">
        <f>HYPERLINK("http://www.happydogrc.it/","www.happydogrc.it")</f>
        <v>www.happydogrc.it</v>
      </c>
    </row>
    <row r="5260" spans="1:6" ht="29.55" customHeight="1" x14ac:dyDescent="0.25">
      <c r="A5260" s="1" t="s">
        <v>21936</v>
      </c>
      <c r="B5260" s="7" t="s">
        <v>21937</v>
      </c>
      <c r="C5260" s="7" t="s">
        <v>21930</v>
      </c>
      <c r="D5260" s="7" t="s">
        <v>21938</v>
      </c>
      <c r="E5260" s="7" t="s">
        <v>21898</v>
      </c>
      <c r="F5260" s="7" t="str">
        <f>HYPERLINK("http://www.biologicocozzano.it/","www.biologicocozzano.it")</f>
        <v>www.biologicocozzano.it</v>
      </c>
    </row>
    <row r="5261" spans="1:6" ht="29.55" customHeight="1" x14ac:dyDescent="0.25">
      <c r="A5261" s="6" t="s">
        <v>21939</v>
      </c>
      <c r="B5261" s="5" t="s">
        <v>21940</v>
      </c>
      <c r="C5261" s="5" t="s">
        <v>21911</v>
      </c>
      <c r="D5261" s="5" t="s">
        <v>21941</v>
      </c>
      <c r="E5261" s="5" t="s">
        <v>21918</v>
      </c>
      <c r="F5261" s="5" t="str">
        <f>HYPERLINK("http://www.agriturismoilboschetto.net/","www.agriturismoilboschetto.net")</f>
        <v>www.agriturismoilboschetto.net</v>
      </c>
    </row>
    <row r="5262" spans="1:6" ht="43.05" customHeight="1" x14ac:dyDescent="0.25">
      <c r="A5262" s="6" t="s">
        <v>21943</v>
      </c>
      <c r="B5262" s="5" t="s">
        <v>21944</v>
      </c>
      <c r="C5262" s="5" t="s">
        <v>21945</v>
      </c>
      <c r="D5262" s="5" t="s">
        <v>21946</v>
      </c>
      <c r="E5262" s="5" t="s">
        <v>21947</v>
      </c>
      <c r="F5262" s="5" t="str">
        <f>HYPERLINK("http://www.comunitaminoricrisalide.it/","www.comunitaminoricrisalide.it")</f>
        <v>www.comunitaminoricrisalide.it</v>
      </c>
    </row>
    <row r="5263" spans="1:6" ht="29.55" customHeight="1" x14ac:dyDescent="0.25">
      <c r="A5263" s="1" t="s">
        <v>21950</v>
      </c>
      <c r="B5263" s="7" t="s">
        <v>21951</v>
      </c>
      <c r="C5263" s="7" t="s">
        <v>21949</v>
      </c>
      <c r="D5263" s="7" t="s">
        <v>21952</v>
      </c>
      <c r="E5263" s="7" t="s">
        <v>21953</v>
      </c>
      <c r="F5263" s="7" t="str">
        <f>HYPERLINK("http://www.formaggiopermattoni.it/","www.formaggiopermattoni.it")</f>
        <v>www.formaggiopermattoni.it</v>
      </c>
    </row>
    <row r="5264" spans="1:6" ht="43.05" customHeight="1" x14ac:dyDescent="0.25">
      <c r="A5264" s="6" t="s">
        <v>21954</v>
      </c>
      <c r="B5264" s="5" t="s">
        <v>21955</v>
      </c>
      <c r="C5264" s="5" t="s">
        <v>21956</v>
      </c>
      <c r="D5264" s="5" t="s">
        <v>21948</v>
      </c>
      <c r="E5264" s="5" t="s">
        <v>21942</v>
      </c>
      <c r="F5264" s="5" t="str">
        <f>HYPERLINK("http://www.cooperativavaira.puglia.it/","www.cooperativavaira.puglia.it")</f>
        <v>www.cooperativavaira.puglia.it</v>
      </c>
    </row>
    <row r="5265" spans="1:6" ht="29.55" customHeight="1" x14ac:dyDescent="0.25">
      <c r="A5265" s="6" t="s">
        <v>21960</v>
      </c>
      <c r="B5265" s="5" t="s">
        <v>21961</v>
      </c>
      <c r="C5265" s="5" t="s">
        <v>21957</v>
      </c>
      <c r="D5265" s="5" t="s">
        <v>21958</v>
      </c>
      <c r="E5265" s="5" t="s">
        <v>21959</v>
      </c>
      <c r="F5265" s="5" t="str">
        <f>HYPERLINK("http://www.ortitalia.com/","www.ortitalia.com")</f>
        <v>www.ortitalia.com</v>
      </c>
    </row>
    <row r="5266" spans="1:6" ht="29.55" customHeight="1" x14ac:dyDescent="0.25">
      <c r="A5266" s="1" t="s">
        <v>21962</v>
      </c>
      <c r="B5266" s="7" t="s">
        <v>21963</v>
      </c>
      <c r="C5266" s="7" t="s">
        <v>21964</v>
      </c>
      <c r="D5266" s="7" t="s">
        <v>21965</v>
      </c>
      <c r="E5266" s="7" t="s">
        <v>21966</v>
      </c>
      <c r="F5266" s="7" t="str">
        <f>HYPERLINK("http://laboratoriocreativocapelli.it/","laboratoriocreativocapelli.it")</f>
        <v>laboratoriocreativocapelli.it</v>
      </c>
    </row>
    <row r="5267" spans="1:6" ht="29.55" customHeight="1" x14ac:dyDescent="0.25">
      <c r="A5267" s="1" t="s">
        <v>21967</v>
      </c>
      <c r="B5267" s="7" t="s">
        <v>21968</v>
      </c>
      <c r="C5267" s="7" t="s">
        <v>21969</v>
      </c>
      <c r="D5267" s="7" t="s">
        <v>21970</v>
      </c>
      <c r="E5267" s="7" t="s">
        <v>21971</v>
      </c>
      <c r="F5267" s="7" t="str">
        <f>HYPERLINK("http://www.lbapro.it/","www.lbapro.it")</f>
        <v>www.lbapro.it</v>
      </c>
    </row>
    <row r="5268" spans="1:6" ht="29.55" customHeight="1" x14ac:dyDescent="0.25">
      <c r="A5268" s="6" t="s">
        <v>21972</v>
      </c>
      <c r="B5268" s="5" t="s">
        <v>21973</v>
      </c>
      <c r="C5268" s="5" t="s">
        <v>21974</v>
      </c>
      <c r="D5268" s="5" t="s">
        <v>21975</v>
      </c>
      <c r="E5268" s="5" t="s">
        <v>21971</v>
      </c>
      <c r="F5268" s="5" t="str">
        <f>HYPERLINK("http://lefontipoggibonsi.it/","lefontipoggibonsi.it")</f>
        <v>lefontipoggibonsi.it</v>
      </c>
    </row>
    <row r="5269" spans="1:6" ht="29.55" customHeight="1" x14ac:dyDescent="0.25">
      <c r="A5269" s="1" t="s">
        <v>21976</v>
      </c>
      <c r="B5269" s="7" t="s">
        <v>21977</v>
      </c>
      <c r="C5269" s="7" t="s">
        <v>21978</v>
      </c>
      <c r="D5269" s="7" t="s">
        <v>21979</v>
      </c>
      <c r="E5269" s="7" t="s">
        <v>21980</v>
      </c>
      <c r="F5269" s="7" t="str">
        <f>HYPERLINK("http://www.caseificiolabontadelsele.it/","www.caseificiolabontadelsele.it")</f>
        <v>www.caseificiolabontadelsele.it</v>
      </c>
    </row>
    <row r="5270" spans="1:6" ht="29.55" customHeight="1" x14ac:dyDescent="0.25">
      <c r="A5270" s="1" t="s">
        <v>21981</v>
      </c>
      <c r="B5270" s="7" t="s">
        <v>21982</v>
      </c>
      <c r="C5270" s="7" t="s">
        <v>21983</v>
      </c>
      <c r="D5270" s="7" t="s">
        <v>21984</v>
      </c>
      <c r="E5270" s="7" t="s">
        <v>21985</v>
      </c>
      <c r="F5270" s="7" t="str">
        <f>HYPERLINK("http://www.hotelatlante.it/","www.hotelatlante.it")</f>
        <v>www.hotelatlante.it</v>
      </c>
    </row>
    <row r="5271" spans="1:6" ht="29.55" customHeight="1" x14ac:dyDescent="0.25">
      <c r="A5271" s="6" t="s">
        <v>21990</v>
      </c>
      <c r="B5271" s="5" t="s">
        <v>21991</v>
      </c>
      <c r="C5271" s="5" t="s">
        <v>21987</v>
      </c>
      <c r="D5271" s="5" t="s">
        <v>21992</v>
      </c>
      <c r="E5271" s="5" t="s">
        <v>21989</v>
      </c>
      <c r="F5271" s="5" t="str">
        <f>HYPERLINK("http://www.cooperativasolosole.it/","www.cooperativasolosole.it")</f>
        <v>www.cooperativasolosole.it</v>
      </c>
    </row>
    <row r="5272" spans="1:6" ht="29.55" customHeight="1" x14ac:dyDescent="0.25">
      <c r="A5272" s="1" t="s">
        <v>21996</v>
      </c>
      <c r="B5272" s="7" t="s">
        <v>21997</v>
      </c>
      <c r="C5272" s="7" t="s">
        <v>21986</v>
      </c>
      <c r="D5272" s="7" t="s">
        <v>21998</v>
      </c>
      <c r="E5272" s="7" t="s">
        <v>21995</v>
      </c>
      <c r="F5272" s="7" t="str">
        <f>HYPERLINK("http://collinedelgiglio.it/","collinedelgiglio.it")</f>
        <v>collinedelgiglio.it</v>
      </c>
    </row>
    <row r="5273" spans="1:6" ht="29.55" customHeight="1" x14ac:dyDescent="0.25">
      <c r="A5273" s="6" t="s">
        <v>21999</v>
      </c>
      <c r="B5273" s="5" t="s">
        <v>22000</v>
      </c>
      <c r="C5273" s="5" t="s">
        <v>22001</v>
      </c>
      <c r="D5273" s="5" t="s">
        <v>21994</v>
      </c>
      <c r="E5273" s="5" t="s">
        <v>21995</v>
      </c>
      <c r="F5273" s="5" t="str">
        <f>HYPERLINK("http://www.serramadre.it/","www.serramadre.it")</f>
        <v>www.serramadre.it</v>
      </c>
    </row>
    <row r="5274" spans="1:6" ht="29.55" customHeight="1" x14ac:dyDescent="0.25">
      <c r="A5274" s="6" t="s">
        <v>22003</v>
      </c>
      <c r="B5274" s="5" t="s">
        <v>22004</v>
      </c>
      <c r="C5274" s="5" t="s">
        <v>22005</v>
      </c>
      <c r="D5274" s="5" t="s">
        <v>22006</v>
      </c>
      <c r="E5274" s="5" t="s">
        <v>22007</v>
      </c>
      <c r="F5274" s="5" t="str">
        <f>HYPERLINK("http://www.floriamo.eu/","www.floriamo.eu/")</f>
        <v>www.floriamo.eu/</v>
      </c>
    </row>
    <row r="5275" spans="1:6" ht="29.55" customHeight="1" x14ac:dyDescent="0.25">
      <c r="A5275" s="1" t="s">
        <v>22008</v>
      </c>
      <c r="B5275" s="7" t="s">
        <v>22009</v>
      </c>
      <c r="C5275" s="7" t="s">
        <v>22010</v>
      </c>
      <c r="D5275" s="7" t="s">
        <v>22011</v>
      </c>
      <c r="E5275" s="7" t="s">
        <v>21993</v>
      </c>
      <c r="F5275" s="7" t="str">
        <f>HYPERLINK("http://www.ortomilella.it/azienda.htm","www.ortomilella.it/azienda.htm")</f>
        <v>www.ortomilella.it/azienda.htm</v>
      </c>
    </row>
    <row r="5276" spans="1:6" ht="29.55" customHeight="1" x14ac:dyDescent="0.25">
      <c r="A5276" s="6" t="s">
        <v>22012</v>
      </c>
      <c r="B5276" s="5" t="s">
        <v>22013</v>
      </c>
      <c r="C5276" s="5" t="s">
        <v>22002</v>
      </c>
      <c r="D5276" s="5" t="s">
        <v>21988</v>
      </c>
      <c r="E5276" s="5" t="s">
        <v>21989</v>
      </c>
      <c r="F5276" s="5" t="str">
        <f>HYPERLINK("http://www.vivaioilcignodoro.it/","www.vivaioilcignodoro.it")</f>
        <v>www.vivaioilcignodoro.it</v>
      </c>
    </row>
    <row r="5277" spans="1:6" ht="29.55" customHeight="1" x14ac:dyDescent="0.25">
      <c r="A5277" s="6" t="s">
        <v>22017</v>
      </c>
      <c r="B5277" s="5" t="s">
        <v>22018</v>
      </c>
      <c r="C5277" s="5" t="s">
        <v>22014</v>
      </c>
      <c r="D5277" s="5" t="s">
        <v>22019</v>
      </c>
      <c r="E5277" s="5" t="s">
        <v>22020</v>
      </c>
      <c r="F5277" s="5" t="str">
        <f>HYPERLINK("http://tenutadipetriolo.com/","tenutadipetriolo.com")</f>
        <v>tenutadipetriolo.com</v>
      </c>
    </row>
    <row r="5278" spans="1:6" ht="43.05" customHeight="1" x14ac:dyDescent="0.25">
      <c r="A5278" s="6" t="s">
        <v>22021</v>
      </c>
      <c r="B5278" s="5" t="s">
        <v>22022</v>
      </c>
      <c r="C5278" s="5" t="s">
        <v>22023</v>
      </c>
      <c r="D5278" s="5" t="s">
        <v>22024</v>
      </c>
      <c r="E5278" s="5" t="s">
        <v>22025</v>
      </c>
      <c r="F5278" s="5" t="str">
        <f>HYPERLINK("http://www.agriturismolacerra.com/","www.agriturismolacerra.com")</f>
        <v>www.agriturismolacerra.com</v>
      </c>
    </row>
    <row r="5279" spans="1:6" ht="29.55" customHeight="1" x14ac:dyDescent="0.25">
      <c r="A5279" s="1" t="s">
        <v>22026</v>
      </c>
      <c r="B5279" s="7" t="s">
        <v>22027</v>
      </c>
      <c r="C5279" s="7" t="s">
        <v>22015</v>
      </c>
      <c r="D5279" s="7" t="s">
        <v>22028</v>
      </c>
      <c r="E5279" s="7" t="s">
        <v>22016</v>
      </c>
      <c r="F5279" s="7" t="str">
        <f>HYPERLINK("http://www.apsvivai.it/","www.apsvivai.it")</f>
        <v>www.apsvivai.it</v>
      </c>
    </row>
    <row r="5280" spans="1:6" ht="16.95" customHeight="1" x14ac:dyDescent="0.25">
      <c r="A5280" s="1" t="s">
        <v>22031</v>
      </c>
      <c r="B5280" s="7" t="s">
        <v>22032</v>
      </c>
      <c r="C5280" s="7" t="s">
        <v>22014</v>
      </c>
      <c r="D5280" s="7" t="s">
        <v>22029</v>
      </c>
      <c r="E5280" s="7" t="s">
        <v>22030</v>
      </c>
      <c r="F5280" s="7" t="str">
        <f>HYPERLINK("http://www.labioca.it/","www.labioca.it")</f>
        <v>www.labioca.it</v>
      </c>
    </row>
    <row r="5281" spans="1:6" ht="29.55" customHeight="1" x14ac:dyDescent="0.25">
      <c r="A5281" s="6" t="s">
        <v>22033</v>
      </c>
      <c r="B5281" s="5" t="s">
        <v>22034</v>
      </c>
      <c r="C5281" s="5" t="s">
        <v>22035</v>
      </c>
      <c r="D5281" s="5" t="s">
        <v>22036</v>
      </c>
      <c r="E5281" s="5" t="s">
        <v>22037</v>
      </c>
      <c r="F5281" s="5" t="str">
        <f>HYPERLINK("http://www.rellich-apple.com/","www.rellich-apple.com")</f>
        <v>www.rellich-apple.com</v>
      </c>
    </row>
    <row r="5282" spans="1:6" ht="29.55" customHeight="1" x14ac:dyDescent="0.25">
      <c r="A5282" s="1" t="s">
        <v>22039</v>
      </c>
      <c r="B5282" s="7" t="s">
        <v>22040</v>
      </c>
      <c r="C5282" s="7" t="s">
        <v>22014</v>
      </c>
      <c r="D5282" s="7" t="s">
        <v>22041</v>
      </c>
      <c r="E5282" s="7" t="s">
        <v>22041</v>
      </c>
      <c r="F5282" s="7" t="str">
        <f>HYPERLINK("http://www.cavemontblanc.com/","www.cavemontblanc.com")</f>
        <v>www.cavemontblanc.com</v>
      </c>
    </row>
    <row r="5283" spans="1:6" ht="16.95" customHeight="1" x14ac:dyDescent="0.25">
      <c r="A5283" s="6" t="s">
        <v>22042</v>
      </c>
      <c r="B5283" s="5" t="s">
        <v>22043</v>
      </c>
      <c r="C5283" s="5" t="s">
        <v>22044</v>
      </c>
      <c r="D5283" s="5" t="s">
        <v>22038</v>
      </c>
      <c r="E5283" s="5" t="s">
        <v>22020</v>
      </c>
      <c r="F5283" s="5" t="str">
        <f>HYPERLINK("http://minizoosrl.com/","minizoosrl.com")</f>
        <v>minizoosrl.com</v>
      </c>
    </row>
    <row r="5284" spans="1:6" ht="16.95" customHeight="1" x14ac:dyDescent="0.25">
      <c r="A5284" s="1" t="s">
        <v>22045</v>
      </c>
      <c r="B5284" s="7" t="s">
        <v>22046</v>
      </c>
      <c r="C5284" s="7" t="s">
        <v>22047</v>
      </c>
      <c r="D5284" s="7" t="s">
        <v>22048</v>
      </c>
      <c r="E5284" s="7" t="s">
        <v>22049</v>
      </c>
      <c r="F5284" s="7" t="str">
        <f>HYPERLINK("http://www.consalvo.it/","http://www.consalvo.it")</f>
        <v>http://www.consalvo.it</v>
      </c>
    </row>
    <row r="5285" spans="1:6" ht="29.55" customHeight="1" x14ac:dyDescent="0.25">
      <c r="A5285" s="6" t="s">
        <v>22052</v>
      </c>
      <c r="B5285" s="5" t="s">
        <v>22053</v>
      </c>
      <c r="C5285" s="5" t="s">
        <v>22054</v>
      </c>
      <c r="D5285" s="5" t="s">
        <v>22055</v>
      </c>
      <c r="E5285" s="5" t="s">
        <v>22056</v>
      </c>
      <c r="F5285" s="5" t="str">
        <f>HYPERLINK("http://www.cianigaetanoaziendaagricola.it/","www.cianigaetanoaziendaagricola.it")</f>
        <v>www.cianigaetanoaziendaagricola.it</v>
      </c>
    </row>
    <row r="5286" spans="1:6" ht="29.55" customHeight="1" x14ac:dyDescent="0.25">
      <c r="A5286" s="1" t="s">
        <v>22057</v>
      </c>
      <c r="B5286" s="7" t="s">
        <v>22058</v>
      </c>
      <c r="C5286" s="7" t="s">
        <v>22059</v>
      </c>
      <c r="D5286" s="7" t="s">
        <v>22060</v>
      </c>
      <c r="E5286" s="7" t="s">
        <v>22061</v>
      </c>
      <c r="F5286" s="7" t="str">
        <f>HYPERLINK("http://www.cantinalangelina.it/","www.cantinalangelina.it")</f>
        <v>www.cantinalangelina.it</v>
      </c>
    </row>
    <row r="5287" spans="1:6" ht="29.55" customHeight="1" x14ac:dyDescent="0.25">
      <c r="A5287" s="1" t="s">
        <v>22062</v>
      </c>
      <c r="B5287" s="7" t="s">
        <v>22063</v>
      </c>
      <c r="C5287" s="7" t="s">
        <v>22064</v>
      </c>
      <c r="D5287" s="7" t="s">
        <v>22055</v>
      </c>
      <c r="E5287" s="7" t="s">
        <v>22056</v>
      </c>
      <c r="F5287" s="7" t="str">
        <f>HYPERLINK("http://www.mojoli.it/","www.mojoli.it")</f>
        <v>www.mojoli.it</v>
      </c>
    </row>
    <row r="5288" spans="1:6" ht="29.55" customHeight="1" x14ac:dyDescent="0.25">
      <c r="A5288" s="1" t="s">
        <v>22065</v>
      </c>
      <c r="B5288" s="7" t="s">
        <v>22066</v>
      </c>
      <c r="C5288" s="7" t="s">
        <v>22050</v>
      </c>
      <c r="D5288" s="7" t="s">
        <v>22067</v>
      </c>
      <c r="E5288" s="7" t="s">
        <v>22051</v>
      </c>
      <c r="F5288" s="7" t="str">
        <f>HYPERLINK("http://www.opmadreterra.it/","www.opmadreterra.it")</f>
        <v>www.opmadreterra.it</v>
      </c>
    </row>
    <row r="5289" spans="1:6" ht="29.55" customHeight="1" x14ac:dyDescent="0.25">
      <c r="A5289" s="6" t="s">
        <v>22074</v>
      </c>
      <c r="B5289" s="5" t="s">
        <v>22075</v>
      </c>
      <c r="C5289" s="5" t="s">
        <v>22076</v>
      </c>
      <c r="D5289" s="5" t="s">
        <v>22077</v>
      </c>
      <c r="E5289" s="5" t="s">
        <v>22078</v>
      </c>
      <c r="F5289" s="5" t="str">
        <f>HYPERLINK("http://www.mattaranagarden.it/","www.mattaranagarden.it")</f>
        <v>www.mattaranagarden.it</v>
      </c>
    </row>
    <row r="5290" spans="1:6" ht="29.55" customHeight="1" x14ac:dyDescent="0.25">
      <c r="A5290" s="1" t="s">
        <v>22079</v>
      </c>
      <c r="B5290" s="7" t="s">
        <v>22080</v>
      </c>
      <c r="C5290" s="7" t="s">
        <v>22081</v>
      </c>
      <c r="D5290" s="7" t="s">
        <v>22082</v>
      </c>
      <c r="E5290" s="7" t="s">
        <v>22068</v>
      </c>
      <c r="F5290" s="7" t="str">
        <f>HYPERLINK("http://esecuzione-verde-bari.mybestshops.it/","esecuzione-verde-bari.mybestshops.it")</f>
        <v>esecuzione-verde-bari.mybestshops.it</v>
      </c>
    </row>
    <row r="5291" spans="1:6" ht="29.55" customHeight="1" x14ac:dyDescent="0.25">
      <c r="A5291" s="6" t="s">
        <v>22084</v>
      </c>
      <c r="B5291" s="5" t="s">
        <v>22085</v>
      </c>
      <c r="C5291" s="5" t="s">
        <v>22086</v>
      </c>
      <c r="D5291" s="5" t="s">
        <v>22087</v>
      </c>
      <c r="E5291" s="5" t="s">
        <v>22072</v>
      </c>
      <c r="F5291" s="5" t="str">
        <f>HYPERLINK("http://www.vicolo11.it/","www.vicolo11.it")</f>
        <v>www.vicolo11.it</v>
      </c>
    </row>
    <row r="5292" spans="1:6" ht="29.55" customHeight="1" x14ac:dyDescent="0.25">
      <c r="A5292" s="6" t="s">
        <v>22089</v>
      </c>
      <c r="B5292" s="5" t="s">
        <v>22090</v>
      </c>
      <c r="C5292" s="5" t="s">
        <v>22086</v>
      </c>
      <c r="D5292" s="5" t="s">
        <v>22087</v>
      </c>
      <c r="E5292" s="5" t="s">
        <v>22072</v>
      </c>
      <c r="F5292" s="5" t="str">
        <f>HYPERLINK("http://www.tenutasantilario.it/","www.tenutasantilario.it")</f>
        <v>www.tenutasantilario.it</v>
      </c>
    </row>
    <row r="5293" spans="1:6" ht="29.55" customHeight="1" x14ac:dyDescent="0.25">
      <c r="A5293" s="1" t="s">
        <v>22092</v>
      </c>
      <c r="B5293" s="7" t="s">
        <v>22093</v>
      </c>
      <c r="C5293" s="7" t="s">
        <v>22081</v>
      </c>
      <c r="D5293" s="7" t="s">
        <v>22094</v>
      </c>
      <c r="E5293" s="7" t="s">
        <v>22095</v>
      </c>
      <c r="F5293" s="7" t="str">
        <f>HYPERLINK("http://www.cooperativaagritec.it/","www.cooperativaagritec.it")</f>
        <v>www.cooperativaagritec.it</v>
      </c>
    </row>
    <row r="5294" spans="1:6" ht="29.55" customHeight="1" x14ac:dyDescent="0.25">
      <c r="A5294" s="6" t="s">
        <v>22096</v>
      </c>
      <c r="B5294" s="5" t="s">
        <v>22097</v>
      </c>
      <c r="C5294" s="5" t="s">
        <v>22098</v>
      </c>
      <c r="D5294" s="5" t="s">
        <v>22091</v>
      </c>
      <c r="E5294" s="5" t="s">
        <v>22073</v>
      </c>
      <c r="F5294" s="5" t="str">
        <f>HYPERLINK("http://www.cantineprivitera.com/","www.cantineprivitera.com")</f>
        <v>www.cantineprivitera.com</v>
      </c>
    </row>
    <row r="5295" spans="1:6" ht="29.55" customHeight="1" x14ac:dyDescent="0.25">
      <c r="A5295" s="1" t="s">
        <v>22099</v>
      </c>
      <c r="B5295" s="7" t="s">
        <v>22100</v>
      </c>
      <c r="C5295" s="7" t="s">
        <v>22071</v>
      </c>
      <c r="D5295" s="7" t="s">
        <v>22101</v>
      </c>
      <c r="E5295" s="7" t="s">
        <v>22070</v>
      </c>
      <c r="F5295" s="7" t="str">
        <f>HYPERLINK("http://www.vivicalafoma.it/","www.vivicalafoma.it")</f>
        <v>www.vivicalafoma.it</v>
      </c>
    </row>
    <row r="5296" spans="1:6" ht="29.55" customHeight="1" x14ac:dyDescent="0.25">
      <c r="A5296" s="6" t="s">
        <v>22102</v>
      </c>
      <c r="B5296" s="5" t="s">
        <v>22103</v>
      </c>
      <c r="C5296" s="5" t="s">
        <v>22069</v>
      </c>
      <c r="D5296" s="5" t="s">
        <v>22104</v>
      </c>
      <c r="E5296" s="5" t="s">
        <v>22088</v>
      </c>
      <c r="F5296" s="5" t="str">
        <f>HYPERLINK("http://armania.it/","armania.it")</f>
        <v>armania.it</v>
      </c>
    </row>
    <row r="5297" spans="1:6" ht="55.65" customHeight="1" x14ac:dyDescent="0.25">
      <c r="A5297" s="6" t="s">
        <v>22105</v>
      </c>
      <c r="B5297" s="5" t="s">
        <v>22106</v>
      </c>
      <c r="C5297" s="5" t="s">
        <v>22107</v>
      </c>
      <c r="D5297" s="5" t="s">
        <v>22108</v>
      </c>
      <c r="E5297" s="5" t="s">
        <v>22083</v>
      </c>
      <c r="F5297" s="5" t="str">
        <f>HYPERLINK("http://novaplant-societa-a-responsabilita-limitata-in-for-02276410590.quantofattura.com/","novaplant-societa-a-responsabilita-limitata-in-for-02276410590.quantofattura.com")</f>
        <v>novaplant-societa-a-responsabilita-limitata-in-for-02276410590.quantofattura.com</v>
      </c>
    </row>
    <row r="5298" spans="1:6" ht="29.55" customHeight="1" x14ac:dyDescent="0.25">
      <c r="A5298" s="6" t="s">
        <v>22112</v>
      </c>
      <c r="B5298" s="5" t="s">
        <v>22113</v>
      </c>
      <c r="C5298" s="5" t="s">
        <v>22114</v>
      </c>
      <c r="D5298" s="5" t="s">
        <v>22109</v>
      </c>
      <c r="E5298" s="5" t="s">
        <v>22110</v>
      </c>
      <c r="F5298" s="5" t="str">
        <f>HYPERLINK("http://www.xn--grancel-5ya.com/","www.xn--grancel-5ya.com")</f>
        <v>www.xn--grancel-5ya.com</v>
      </c>
    </row>
    <row r="5299" spans="1:6" ht="29.55" customHeight="1" x14ac:dyDescent="0.25">
      <c r="A5299" s="1" t="s">
        <v>22115</v>
      </c>
      <c r="B5299" s="7" t="s">
        <v>22116</v>
      </c>
      <c r="C5299" s="7" t="s">
        <v>22117</v>
      </c>
      <c r="D5299" s="7" t="s">
        <v>22118</v>
      </c>
      <c r="E5299" s="7" t="s">
        <v>22111</v>
      </c>
      <c r="F5299" s="7" t="str">
        <f>HYPERLINK("http://euroaltea.com/","euroaltea.com")</f>
        <v>euroaltea.com</v>
      </c>
    </row>
    <row r="5300" spans="1:6" ht="43.05" customHeight="1" x14ac:dyDescent="0.25">
      <c r="A5300" s="1" t="s">
        <v>22119</v>
      </c>
      <c r="B5300" s="7" t="s">
        <v>22120</v>
      </c>
      <c r="C5300" s="7" t="s">
        <v>22121</v>
      </c>
      <c r="D5300" s="7" t="s">
        <v>22122</v>
      </c>
      <c r="E5300" s="7" t="s">
        <v>22123</v>
      </c>
      <c r="F5300" s="7" t="str">
        <f>HYPERLINK("http://www.terraevitafarm.it/","www.terraevitafarm.it")</f>
        <v>www.terraevitafarm.it</v>
      </c>
    </row>
    <row r="5301" spans="1:6" ht="29.55" customHeight="1" x14ac:dyDescent="0.25">
      <c r="A5301" s="1" t="s">
        <v>22125</v>
      </c>
      <c r="B5301" s="7" t="s">
        <v>22126</v>
      </c>
      <c r="C5301" s="7" t="s">
        <v>22124</v>
      </c>
      <c r="D5301" s="7" t="s">
        <v>22127</v>
      </c>
      <c r="E5301" s="7" t="s">
        <v>22111</v>
      </c>
      <c r="F5301" s="7" t="str">
        <f>HYPERLINK("http://www.villailcastagnowineresort.com/","www.villailcastagnowineresort.com")</f>
        <v>www.villailcastagnowineresort.com</v>
      </c>
    </row>
    <row r="5302" spans="1:6" ht="29.55" customHeight="1" x14ac:dyDescent="0.25">
      <c r="A5302" s="1" t="s">
        <v>22128</v>
      </c>
      <c r="B5302" s="7" t="s">
        <v>22129</v>
      </c>
      <c r="C5302" s="7" t="s">
        <v>22130</v>
      </c>
      <c r="D5302" s="7" t="s">
        <v>22131</v>
      </c>
      <c r="E5302" s="7" t="s">
        <v>22123</v>
      </c>
      <c r="F5302" s="7" t="str">
        <f>HYPERLINK("http://giacchini-snc-di-giacchini-gianfederico.business.site/","giacchini-snc-di-giacchini-gianfederico.business.site")</f>
        <v>giacchini-snc-di-giacchini-gianfederico.business.site</v>
      </c>
    </row>
    <row r="5303" spans="1:6" ht="43.05" customHeight="1" x14ac:dyDescent="0.25">
      <c r="A5303" s="1" t="s">
        <v>22132</v>
      </c>
      <c r="B5303" s="7" t="s">
        <v>22133</v>
      </c>
      <c r="C5303" s="7" t="s">
        <v>22134</v>
      </c>
      <c r="D5303" s="7" t="s">
        <v>22135</v>
      </c>
      <c r="E5303" s="7" t="s">
        <v>22136</v>
      </c>
      <c r="F5303" s="7" t="str">
        <f>HYPERLINK("http://www.sipuofare.eu/","www.sipuofare.eu")</f>
        <v>www.sipuofare.eu</v>
      </c>
    </row>
    <row r="5304" spans="1:6" ht="29.55" customHeight="1" x14ac:dyDescent="0.25">
      <c r="A5304" s="6" t="s">
        <v>22140</v>
      </c>
      <c r="B5304" s="5" t="s">
        <v>22141</v>
      </c>
      <c r="C5304" s="5" t="s">
        <v>22142</v>
      </c>
      <c r="D5304" s="5" t="s">
        <v>22143</v>
      </c>
      <c r="E5304" s="5" t="s">
        <v>22138</v>
      </c>
      <c r="F5304" s="5" t="str">
        <f>HYPERLINK("http://www.salentoverde.it/","www.salentoverde.it")</f>
        <v>www.salentoverde.it</v>
      </c>
    </row>
    <row r="5305" spans="1:6" ht="29.55" customHeight="1" x14ac:dyDescent="0.25">
      <c r="A5305" s="6" t="s">
        <v>22144</v>
      </c>
      <c r="B5305" s="5" t="s">
        <v>22145</v>
      </c>
      <c r="C5305" s="5" t="s">
        <v>22146</v>
      </c>
      <c r="D5305" s="5" t="s">
        <v>22147</v>
      </c>
      <c r="E5305" s="5" t="s">
        <v>22148</v>
      </c>
      <c r="F5305" s="5" t="str">
        <f>HYPERLINK("http://www.agriwattsardegna.it/","www.agriwattsardegna.it")</f>
        <v>www.agriwattsardegna.it</v>
      </c>
    </row>
    <row r="5306" spans="1:6" ht="29.55" customHeight="1" x14ac:dyDescent="0.25">
      <c r="A5306" s="1" t="s">
        <v>22149</v>
      </c>
      <c r="B5306" s="7" t="s">
        <v>22150</v>
      </c>
      <c r="C5306" s="7" t="s">
        <v>22151</v>
      </c>
      <c r="D5306" s="7" t="s">
        <v>22152</v>
      </c>
      <c r="E5306" s="7" t="s">
        <v>22139</v>
      </c>
      <c r="F5306" s="7" t="str">
        <f>HYPERLINK("http://www.cantinelento.it/","www.cantinelento.it")</f>
        <v>www.cantinelento.it</v>
      </c>
    </row>
    <row r="5307" spans="1:6" ht="68.099999999999994" customHeight="1" x14ac:dyDescent="0.25">
      <c r="A5307" s="6" t="s">
        <v>22154</v>
      </c>
      <c r="B5307" s="5" t="s">
        <v>22155</v>
      </c>
      <c r="C5307" s="5" t="s">
        <v>22142</v>
      </c>
      <c r="D5307" s="5" t="s">
        <v>22156</v>
      </c>
      <c r="E5307" s="5" t="s">
        <v>22153</v>
      </c>
      <c r="F5307" s="5" t="str">
        <f>HYPERLINK("http://www.coopvelinia.it/","www.coopvelinia.it")</f>
        <v>www.coopvelinia.it</v>
      </c>
    </row>
    <row r="5308" spans="1:6" ht="29.55" customHeight="1" x14ac:dyDescent="0.25">
      <c r="A5308" s="6" t="s">
        <v>22157</v>
      </c>
      <c r="B5308" s="5" t="s">
        <v>22158</v>
      </c>
      <c r="C5308" s="5" t="s">
        <v>22159</v>
      </c>
      <c r="D5308" s="5" t="s">
        <v>22137</v>
      </c>
      <c r="E5308" s="5" t="s">
        <v>22138</v>
      </c>
      <c r="F5308" s="5" t="str">
        <f>HYPERLINK("http://www.castiglionemasseria.com/","www.castiglionemasseria.com")</f>
        <v>www.castiglionemasseria.com</v>
      </c>
    </row>
    <row r="5309" spans="1:6" ht="43.05" customHeight="1" x14ac:dyDescent="0.25">
      <c r="A5309" s="6" t="s">
        <v>22160</v>
      </c>
      <c r="B5309" s="5" t="s">
        <v>22161</v>
      </c>
      <c r="C5309" s="5" t="s">
        <v>22162</v>
      </c>
      <c r="D5309" s="5" t="s">
        <v>22163</v>
      </c>
      <c r="E5309" s="5" t="s">
        <v>22164</v>
      </c>
      <c r="F5309" s="5" t="str">
        <f>HYPERLINK("http://www.lalunanelcesto.it/","www.lalunanelcesto.it")</f>
        <v>www.lalunanelcesto.it</v>
      </c>
    </row>
    <row r="5310" spans="1:6" ht="29.55" customHeight="1" x14ac:dyDescent="0.25">
      <c r="A5310" s="6" t="s">
        <v>22173</v>
      </c>
      <c r="B5310" s="5" t="s">
        <v>22174</v>
      </c>
      <c r="C5310" s="5" t="s">
        <v>22175</v>
      </c>
      <c r="D5310" s="5" t="s">
        <v>22176</v>
      </c>
      <c r="E5310" s="5" t="s">
        <v>22177</v>
      </c>
      <c r="F5310" s="5" t="str">
        <f>HYPERLINK("http://www.petroia.it/","www.petroia.it")</f>
        <v>www.petroia.it</v>
      </c>
    </row>
    <row r="5311" spans="1:6" ht="29.55" customHeight="1" x14ac:dyDescent="0.25">
      <c r="A5311" s="6" t="s">
        <v>22178</v>
      </c>
      <c r="B5311" s="5" t="s">
        <v>22179</v>
      </c>
      <c r="C5311" s="5" t="s">
        <v>22170</v>
      </c>
      <c r="D5311" s="5" t="s">
        <v>22166</v>
      </c>
      <c r="E5311" s="5" t="s">
        <v>22167</v>
      </c>
      <c r="F5311" s="5" t="str">
        <f>HYPERLINK("http://golocal.guide/place/page/terre-della-daunia","golocal.guide/place/page/terre-della-daunia")</f>
        <v>golocal.guide/place/page/terre-della-daunia</v>
      </c>
    </row>
    <row r="5312" spans="1:6" ht="29.55" customHeight="1" x14ac:dyDescent="0.25">
      <c r="A5312" s="1" t="s">
        <v>22180</v>
      </c>
      <c r="B5312" s="7" t="s">
        <v>22181</v>
      </c>
      <c r="C5312" s="7" t="s">
        <v>22182</v>
      </c>
      <c r="D5312" s="7" t="s">
        <v>22183</v>
      </c>
      <c r="E5312" s="7" t="s">
        <v>22184</v>
      </c>
      <c r="F5312" s="7" t="str">
        <f>HYPERLINK("http://tenutafornace.it/","tenutafornace.it")</f>
        <v>tenutafornace.it</v>
      </c>
    </row>
    <row r="5313" spans="1:6" ht="29.55" customHeight="1" x14ac:dyDescent="0.25">
      <c r="A5313" s="6" t="s">
        <v>22185</v>
      </c>
      <c r="B5313" s="5" t="s">
        <v>22186</v>
      </c>
      <c r="C5313" s="5" t="s">
        <v>22187</v>
      </c>
      <c r="D5313" s="5" t="s">
        <v>22188</v>
      </c>
      <c r="E5313" s="5" t="s">
        <v>22189</v>
      </c>
      <c r="F5313" s="5" t="str">
        <f>HYPERLINK("http://www.efficacecab.it/","www.efficacecab.it")</f>
        <v>www.efficacecab.it</v>
      </c>
    </row>
    <row r="5314" spans="1:6" ht="29.55" customHeight="1" x14ac:dyDescent="0.25">
      <c r="A5314" s="6" t="s">
        <v>22190</v>
      </c>
      <c r="B5314" s="5" t="s">
        <v>22191</v>
      </c>
      <c r="C5314" s="5" t="s">
        <v>22165</v>
      </c>
      <c r="D5314" s="5" t="s">
        <v>22171</v>
      </c>
      <c r="E5314" s="5" t="s">
        <v>22172</v>
      </c>
      <c r="F5314" s="5" t="str">
        <f>HYPERLINK("http://www.likoresort.it/","www.likoresort.it")</f>
        <v>www.likoresort.it</v>
      </c>
    </row>
    <row r="5315" spans="1:6" ht="43.05" customHeight="1" x14ac:dyDescent="0.25">
      <c r="A5315" s="1" t="s">
        <v>22192</v>
      </c>
      <c r="B5315" s="7" t="s">
        <v>22193</v>
      </c>
      <c r="C5315" s="7" t="s">
        <v>22162</v>
      </c>
      <c r="D5315" s="7" t="s">
        <v>22168</v>
      </c>
      <c r="E5315" s="7" t="s">
        <v>22169</v>
      </c>
      <c r="F5315" s="7" t="str">
        <f>HYPERLINK("http://www.casalmartino.it/","http://www.casalmartino.it")</f>
        <v>http://www.casalmartino.it</v>
      </c>
    </row>
    <row r="5316" spans="1:6" ht="29.55" customHeight="1" x14ac:dyDescent="0.25">
      <c r="A5316" s="6" t="s">
        <v>22194</v>
      </c>
      <c r="B5316" s="5" t="s">
        <v>22195</v>
      </c>
      <c r="C5316" s="5" t="s">
        <v>22196</v>
      </c>
      <c r="D5316" s="5" t="s">
        <v>22171</v>
      </c>
      <c r="E5316" s="5" t="s">
        <v>22172</v>
      </c>
      <c r="F5316" s="5" t="str">
        <f>HYPERLINK("http://www.vivaiomarino.it/","www.vivaiomarino.it")</f>
        <v>www.vivaiomarino.it</v>
      </c>
    </row>
    <row r="5317" spans="1:6" ht="29.55" customHeight="1" x14ac:dyDescent="0.25">
      <c r="A5317" s="6" t="s">
        <v>22197</v>
      </c>
      <c r="B5317" s="5" t="s">
        <v>22198</v>
      </c>
      <c r="C5317" s="5" t="s">
        <v>22182</v>
      </c>
      <c r="D5317" s="5" t="s">
        <v>22199</v>
      </c>
      <c r="E5317" s="5" t="s">
        <v>22200</v>
      </c>
      <c r="F5317" s="5" t="str">
        <f>HYPERLINK("http://www.winescopone.com/lazienda/azienda/%EF%BF%BD%EF%BF%BD%EF%BF%BD%EF%BF%BD%EF%BF%BD%EF%BF%BD%EF%BF%BD%EF%BF%BD%EF%BF%BD","www.winescopone.com/lazienda/azienda/%ef%bf%bd%ef%bf%bd%ef%bf%bd%ef%bf%bd%ef%bf%bd%ef%bf%bd%ef%bf%bd%ef%bf%bd%ef%bf%bd")</f>
        <v>www.winescopone.com/lazienda/azienda/%ef%bf%bd%ef%bf%bd%ef%bf%bd%ef%bf%bd%ef%bf%bd%ef%bf%bd%ef%bf%bd%ef%bf%bd%ef%bf%bd</v>
      </c>
    </row>
    <row r="5318" spans="1:6" ht="43.05" customHeight="1" x14ac:dyDescent="0.25">
      <c r="A5318" s="1" t="s">
        <v>22206</v>
      </c>
      <c r="B5318" s="7" t="s">
        <v>22207</v>
      </c>
      <c r="C5318" s="7" t="s">
        <v>22208</v>
      </c>
      <c r="D5318" s="7" t="s">
        <v>22209</v>
      </c>
      <c r="E5318" s="7" t="s">
        <v>22205</v>
      </c>
      <c r="F5318" s="7" t="str">
        <f>HYPERLINK("http://www.cantinecollinovaresi.com/","www.cantinecollinovaresi.com")</f>
        <v>www.cantinecollinovaresi.com</v>
      </c>
    </row>
    <row r="5319" spans="1:6" ht="29.55" customHeight="1" x14ac:dyDescent="0.25">
      <c r="A5319" s="1" t="s">
        <v>22214</v>
      </c>
      <c r="B5319" s="7" t="s">
        <v>22215</v>
      </c>
      <c r="C5319" s="7" t="s">
        <v>22203</v>
      </c>
      <c r="D5319" s="7" t="s">
        <v>22204</v>
      </c>
      <c r="E5319" s="7" t="s">
        <v>22202</v>
      </c>
      <c r="F5319" s="7" t="str">
        <f>HYPERLINK("http://www.costa-service.it/","www.costa-service.it")</f>
        <v>www.costa-service.it</v>
      </c>
    </row>
    <row r="5320" spans="1:6" ht="29.55" customHeight="1" x14ac:dyDescent="0.25">
      <c r="A5320" s="1" t="s">
        <v>22217</v>
      </c>
      <c r="B5320" s="7" t="s">
        <v>22218</v>
      </c>
      <c r="C5320" s="7" t="s">
        <v>22219</v>
      </c>
      <c r="D5320" s="7" t="s">
        <v>22220</v>
      </c>
      <c r="E5320" s="7" t="s">
        <v>22211</v>
      </c>
      <c r="F5320" s="7" t="str">
        <f>HYPERLINK("http://lanevenelbicchiere.com/","lanevenelbicchiere.com")</f>
        <v>lanevenelbicchiere.com</v>
      </c>
    </row>
    <row r="5321" spans="1:6" ht="29.55" customHeight="1" x14ac:dyDescent="0.25">
      <c r="A5321" s="6" t="s">
        <v>22223</v>
      </c>
      <c r="B5321" s="5" t="s">
        <v>22224</v>
      </c>
      <c r="C5321" s="5" t="s">
        <v>22201</v>
      </c>
      <c r="D5321" s="5" t="s">
        <v>22212</v>
      </c>
      <c r="E5321" s="5" t="s">
        <v>22211</v>
      </c>
      <c r="F5321" s="5" t="str">
        <f>HYPERLINK("http://geagricola.com/","geagricola.com")</f>
        <v>geagricola.com</v>
      </c>
    </row>
    <row r="5322" spans="1:6" ht="16.95" customHeight="1" x14ac:dyDescent="0.25">
      <c r="A5322" s="1" t="s">
        <v>22225</v>
      </c>
      <c r="B5322" s="7" t="s">
        <v>22226</v>
      </c>
      <c r="C5322" s="7" t="s">
        <v>22216</v>
      </c>
      <c r="D5322" s="7" t="s">
        <v>22221</v>
      </c>
      <c r="E5322" s="7" t="s">
        <v>22222</v>
      </c>
      <c r="F5322" s="7" t="str">
        <f>HYPERLINK("http://www.montes.it/","www.montes.it")</f>
        <v>www.montes.it</v>
      </c>
    </row>
    <row r="5323" spans="1:6" ht="55.65" customHeight="1" x14ac:dyDescent="0.25">
      <c r="A5323" s="6" t="s">
        <v>22227</v>
      </c>
      <c r="B5323" s="5" t="s">
        <v>22228</v>
      </c>
      <c r="C5323" s="5" t="s">
        <v>22208</v>
      </c>
      <c r="D5323" s="5" t="s">
        <v>22213</v>
      </c>
      <c r="E5323" s="5" t="s">
        <v>22210</v>
      </c>
      <c r="F5323" s="5" t="str">
        <f>HYPERLINK("http://cantinasocialempc.com/","cantinasocialempc.com")</f>
        <v>cantinasocialempc.com</v>
      </c>
    </row>
    <row r="5324" spans="1:6" ht="29.55" customHeight="1" x14ac:dyDescent="0.25">
      <c r="A5324" s="1" t="s">
        <v>22229</v>
      </c>
      <c r="B5324" s="7" t="s">
        <v>22230</v>
      </c>
      <c r="C5324" s="7" t="s">
        <v>22231</v>
      </c>
      <c r="D5324" s="7" t="s">
        <v>22232</v>
      </c>
      <c r="E5324" s="7" t="s">
        <v>22233</v>
      </c>
      <c r="F5324" s="7" t="str">
        <f>HYPERLINK("http://deliziedelletna.business.site/","deliziedelletna.business.site/")</f>
        <v>deliziedelletna.business.site/</v>
      </c>
    </row>
    <row r="5325" spans="1:6" ht="43.05" customHeight="1" x14ac:dyDescent="0.25">
      <c r="A5325" s="1" t="s">
        <v>22239</v>
      </c>
      <c r="B5325" s="7" t="s">
        <v>22240</v>
      </c>
      <c r="C5325" s="7" t="s">
        <v>22235</v>
      </c>
      <c r="D5325" s="7" t="s">
        <v>22241</v>
      </c>
      <c r="E5325" s="7" t="s">
        <v>22242</v>
      </c>
      <c r="F5325" s="7" t="str">
        <f>HYPERLINK("http://aziendadesiderio.com/","aziendadesiderio.com")</f>
        <v>aziendadesiderio.com</v>
      </c>
    </row>
    <row r="5326" spans="1:6" ht="29.55" customHeight="1" x14ac:dyDescent="0.25">
      <c r="A5326" s="6" t="s">
        <v>22243</v>
      </c>
      <c r="B5326" s="5" t="s">
        <v>22244</v>
      </c>
      <c r="C5326" s="5" t="s">
        <v>22234</v>
      </c>
      <c r="D5326" s="5" t="s">
        <v>22236</v>
      </c>
      <c r="E5326" s="5" t="s">
        <v>22233</v>
      </c>
      <c r="F5326" s="5" t="str">
        <f>HYPERLINK("http://www.pinettiirrigationsystem.com/","www.pinettiirrigationsystem.com")</f>
        <v>www.pinettiirrigationsystem.com</v>
      </c>
    </row>
    <row r="5327" spans="1:6" ht="29.55" customHeight="1" x14ac:dyDescent="0.25">
      <c r="A5327" s="1" t="s">
        <v>22245</v>
      </c>
      <c r="B5327" s="7" t="s">
        <v>22246</v>
      </c>
      <c r="C5327" s="7" t="s">
        <v>22247</v>
      </c>
      <c r="D5327" s="7" t="s">
        <v>22238</v>
      </c>
      <c r="E5327" s="7" t="s">
        <v>22237</v>
      </c>
      <c r="F5327" s="7" t="str">
        <f>HYPERLINK("http://old.coopflorcamp.it/","old.coopflorcamp.it")</f>
        <v>old.coopflorcamp.it</v>
      </c>
    </row>
    <row r="5328" spans="1:6" ht="16.95" customHeight="1" x14ac:dyDescent="0.25">
      <c r="A5328" s="6" t="s">
        <v>22248</v>
      </c>
      <c r="B5328" s="5" t="s">
        <v>22249</v>
      </c>
      <c r="C5328" s="5" t="s">
        <v>22234</v>
      </c>
      <c r="D5328" s="5" t="s">
        <v>22232</v>
      </c>
      <c r="E5328" s="5" t="s">
        <v>22233</v>
      </c>
      <c r="F5328" s="5" t="str">
        <f>HYPERLINK("http://www.lanormanna.it/","www.lanormanna.it")</f>
        <v>www.lanormanna.it</v>
      </c>
    </row>
    <row r="5329" spans="1:6" ht="29.55" customHeight="1" x14ac:dyDescent="0.25">
      <c r="A5329" s="1" t="s">
        <v>22251</v>
      </c>
      <c r="B5329" s="7" t="s">
        <v>22252</v>
      </c>
      <c r="C5329" s="7" t="s">
        <v>22250</v>
      </c>
      <c r="D5329" s="7" t="s">
        <v>22253</v>
      </c>
      <c r="E5329" s="7" t="s">
        <v>22254</v>
      </c>
      <c r="F5329" s="7" t="str">
        <f>HYPERLINK("http://www.facebook.com/profile.php?id=100013480740405","www.facebook.com/profile.php?id=100013480740405")</f>
        <v>www.facebook.com/profile.php?id=100013480740405</v>
      </c>
    </row>
    <row r="5330" spans="1:6" ht="29.55" customHeight="1" x14ac:dyDescent="0.25">
      <c r="A5330" s="6" t="s">
        <v>22257</v>
      </c>
      <c r="B5330" s="5" t="s">
        <v>22258</v>
      </c>
      <c r="C5330" s="5" t="s">
        <v>22259</v>
      </c>
      <c r="D5330" s="5" t="s">
        <v>22255</v>
      </c>
      <c r="E5330" s="5" t="s">
        <v>22256</v>
      </c>
      <c r="F5330" s="5" t="str">
        <f>HYPERLINK("http://euroinvest-italia-srl-02035340716.quantofattura.com/","euroinvest-italia-srl-02035340716.quantofattura.com")</f>
        <v>euroinvest-italia-srl-02035340716.quantofattura.com</v>
      </c>
    </row>
    <row r="5331" spans="1:6" ht="43.05" customHeight="1" x14ac:dyDescent="0.25">
      <c r="A5331" s="6" t="s">
        <v>22265</v>
      </c>
      <c r="B5331" s="5" t="s">
        <v>22266</v>
      </c>
      <c r="C5331" s="5" t="s">
        <v>22267</v>
      </c>
      <c r="D5331" s="5" t="s">
        <v>22268</v>
      </c>
      <c r="E5331" s="5" t="s">
        <v>22269</v>
      </c>
      <c r="F5331" s="5" t="str">
        <f>HYPERLINK("http://www.valledelmarro.it/","www.valledelmarro.it")</f>
        <v>www.valledelmarro.it</v>
      </c>
    </row>
    <row r="5332" spans="1:6" ht="94.2" customHeight="1" x14ac:dyDescent="0.25">
      <c r="A5332" s="1" t="s">
        <v>22273</v>
      </c>
      <c r="B5332" s="7" t="s">
        <v>22274</v>
      </c>
      <c r="C5332" s="7" t="s">
        <v>22275</v>
      </c>
      <c r="D5332" s="7" t="s">
        <v>22276</v>
      </c>
      <c r="E5332" s="7" t="s">
        <v>22276</v>
      </c>
      <c r="F5332" s="7" t="str">
        <f>HYPERLINK("http://www.zafferanoitria.it/","www.zafferanoitria.it")</f>
        <v>www.zafferanoitria.it</v>
      </c>
    </row>
    <row r="5333" spans="1:6" ht="55.65" customHeight="1" x14ac:dyDescent="0.25">
      <c r="A5333" s="6" t="s">
        <v>22277</v>
      </c>
      <c r="B5333" s="5" t="s">
        <v>22278</v>
      </c>
      <c r="C5333" s="5" t="s">
        <v>22279</v>
      </c>
      <c r="D5333" s="5" t="s">
        <v>22280</v>
      </c>
      <c r="E5333" s="5" t="s">
        <v>22281</v>
      </c>
      <c r="F5333" s="5" t="str">
        <f>HYPERLINK("http://www.cantinadivilla.it/","www.cantinadivilla.it")</f>
        <v>www.cantinadivilla.it</v>
      </c>
    </row>
    <row r="5334" spans="1:6" ht="16.95" customHeight="1" x14ac:dyDescent="0.25">
      <c r="A5334" s="6" t="s">
        <v>22283</v>
      </c>
      <c r="B5334" s="5" t="s">
        <v>22284</v>
      </c>
      <c r="C5334" s="5" t="s">
        <v>22285</v>
      </c>
      <c r="D5334" s="5" t="s">
        <v>22286</v>
      </c>
      <c r="E5334" s="5" t="s">
        <v>22271</v>
      </c>
      <c r="F5334" s="5" t="str">
        <f>HYPERLINK("http://www.ortoblanco.it/","www.ortoblanco.it")</f>
        <v>www.ortoblanco.it</v>
      </c>
    </row>
    <row r="5335" spans="1:6" ht="29.55" customHeight="1" x14ac:dyDescent="0.25">
      <c r="A5335" s="1" t="s">
        <v>22287</v>
      </c>
      <c r="B5335" s="7" t="s">
        <v>22288</v>
      </c>
      <c r="C5335" s="7" t="s">
        <v>22289</v>
      </c>
      <c r="D5335" s="7" t="s">
        <v>22263</v>
      </c>
      <c r="E5335" s="7" t="s">
        <v>22264</v>
      </c>
      <c r="F5335" s="7" t="str">
        <f>HYPERLINK("http://www.terredeiconsoligolfclub.it/","www.terredeiconsoligolfclub.it")</f>
        <v>www.terredeiconsoligolfclub.it</v>
      </c>
    </row>
    <row r="5336" spans="1:6" ht="43.05" customHeight="1" x14ac:dyDescent="0.25">
      <c r="A5336" s="6" t="s">
        <v>22290</v>
      </c>
      <c r="B5336" s="5" t="s">
        <v>22291</v>
      </c>
      <c r="C5336" s="5" t="s">
        <v>22279</v>
      </c>
      <c r="D5336" s="5" t="s">
        <v>22292</v>
      </c>
      <c r="E5336" s="5" t="s">
        <v>22293</v>
      </c>
      <c r="F5336" s="5" t="str">
        <f>HYPERLINK("http://www.vinivalbiferno.com/","www.vinivalbiferno.com")</f>
        <v>www.vinivalbiferno.com</v>
      </c>
    </row>
    <row r="5337" spans="1:6" ht="29.55" customHeight="1" x14ac:dyDescent="0.25">
      <c r="A5337" s="1" t="s">
        <v>22295</v>
      </c>
      <c r="B5337" s="7" t="s">
        <v>22296</v>
      </c>
      <c r="C5337" s="7" t="s">
        <v>22294</v>
      </c>
      <c r="D5337" s="7" t="s">
        <v>22297</v>
      </c>
      <c r="E5337" s="7" t="s">
        <v>22271</v>
      </c>
      <c r="F5337" s="7" t="str">
        <f>HYPERLINK("http://www.castellodimile.it/","www.castellodimile.it")</f>
        <v>www.castellodimile.it</v>
      </c>
    </row>
    <row r="5338" spans="1:6" ht="29.55" customHeight="1" x14ac:dyDescent="0.25">
      <c r="A5338" s="1" t="s">
        <v>22298</v>
      </c>
      <c r="B5338" s="7" t="s">
        <v>22299</v>
      </c>
      <c r="C5338" s="7" t="s">
        <v>22289</v>
      </c>
      <c r="D5338" s="7" t="s">
        <v>22300</v>
      </c>
      <c r="E5338" s="7" t="s">
        <v>22262</v>
      </c>
      <c r="F5338" s="7" t="str">
        <f>HYPERLINK("http://www.ilpoggioagrisport.it/","www.ilpoggioagrisport.it")</f>
        <v>www.ilpoggioagrisport.it</v>
      </c>
    </row>
    <row r="5339" spans="1:6" ht="43.05" customHeight="1" x14ac:dyDescent="0.25">
      <c r="A5339" s="6" t="s">
        <v>22301</v>
      </c>
      <c r="B5339" s="5" t="s">
        <v>22302</v>
      </c>
      <c r="C5339" s="5" t="s">
        <v>22261</v>
      </c>
      <c r="D5339" s="5" t="s">
        <v>22260</v>
      </c>
      <c r="E5339" s="5" t="s">
        <v>22260</v>
      </c>
      <c r="F5339" s="5" t="str">
        <f>HYPERLINK("http://0.0.0.11/","11")</f>
        <v>11</v>
      </c>
    </row>
    <row r="5340" spans="1:6" ht="29.55" customHeight="1" x14ac:dyDescent="0.25">
      <c r="A5340" s="1" t="s">
        <v>22303</v>
      </c>
      <c r="B5340" s="7" t="s">
        <v>22304</v>
      </c>
      <c r="C5340" s="7" t="s">
        <v>22305</v>
      </c>
      <c r="D5340" s="7" t="s">
        <v>22272</v>
      </c>
      <c r="E5340" s="7" t="s">
        <v>22269</v>
      </c>
      <c r="F5340" s="7" t="str">
        <f>HYPERLINK("http://www.tenutaditorregarga.it/","www.tenutaditorregarga.it")</f>
        <v>www.tenutaditorregarga.it</v>
      </c>
    </row>
    <row r="5341" spans="1:6" ht="29.55" customHeight="1" x14ac:dyDescent="0.25">
      <c r="A5341" s="1" t="s">
        <v>22306</v>
      </c>
      <c r="B5341" s="7" t="s">
        <v>22307</v>
      </c>
      <c r="C5341" s="7" t="s">
        <v>22282</v>
      </c>
      <c r="D5341" s="7" t="s">
        <v>22270</v>
      </c>
      <c r="E5341" s="7" t="s">
        <v>22271</v>
      </c>
      <c r="F5341" s="7" t="str">
        <f>HYPERLINK("http://www.ifruttidelletna.it/","www.ifruttidelletna.it")</f>
        <v>www.ifruttidelletna.it</v>
      </c>
    </row>
    <row r="5342" spans="1:6" ht="16.95" customHeight="1" x14ac:dyDescent="0.25">
      <c r="A5342" s="6" t="s">
        <v>22311</v>
      </c>
      <c r="B5342" s="5" t="s">
        <v>22312</v>
      </c>
      <c r="C5342" s="5" t="s">
        <v>22313</v>
      </c>
      <c r="D5342" s="5" t="s">
        <v>22309</v>
      </c>
      <c r="E5342" s="5" t="s">
        <v>22310</v>
      </c>
      <c r="F5342" s="5" t="str">
        <f>HYPERLINK("http://www.paginegialle.it/ladispensacapodorlando","www.paginegialle.it/ladispensacapodorlando")</f>
        <v>www.paginegialle.it/ladispensacapodorlando</v>
      </c>
    </row>
    <row r="5343" spans="1:6" ht="16.95" customHeight="1" x14ac:dyDescent="0.25">
      <c r="A5343" s="1" t="s">
        <v>22318</v>
      </c>
      <c r="B5343" s="7" t="s">
        <v>22319</v>
      </c>
      <c r="C5343" s="7" t="s">
        <v>22315</v>
      </c>
      <c r="D5343" s="7" t="s">
        <v>22320</v>
      </c>
      <c r="E5343" s="7" t="s">
        <v>22321</v>
      </c>
      <c r="F5343" s="7" t="str">
        <f>HYPERLINK("http://www.aromiverdoliva.it/","www.aromiverdoliva.it")</f>
        <v>www.aromiverdoliva.it</v>
      </c>
    </row>
    <row r="5344" spans="1:6" ht="16.95" customHeight="1" x14ac:dyDescent="0.25">
      <c r="A5344" s="6" t="s">
        <v>22322</v>
      </c>
      <c r="B5344" s="5" t="s">
        <v>22323</v>
      </c>
      <c r="C5344" s="5" t="s">
        <v>22314</v>
      </c>
      <c r="D5344" s="5" t="s">
        <v>22324</v>
      </c>
      <c r="E5344" s="5" t="s">
        <v>22325</v>
      </c>
      <c r="F5344" s="5" t="str">
        <f>HYPERLINK("http://www.tenutamattei.com/","www.tenutamattei.com")</f>
        <v>www.tenutamattei.com</v>
      </c>
    </row>
    <row r="5345" spans="1:6" ht="16.95" customHeight="1" x14ac:dyDescent="0.25">
      <c r="A5345" s="6" t="s">
        <v>22326</v>
      </c>
      <c r="B5345" s="5" t="s">
        <v>22327</v>
      </c>
      <c r="C5345" s="5" t="s">
        <v>22316</v>
      </c>
      <c r="D5345" s="5" t="s">
        <v>22328</v>
      </c>
      <c r="E5345" s="5" t="s">
        <v>22310</v>
      </c>
      <c r="F5345" s="5" t="str">
        <f>HYPERLINK("http://www.olioverde.it/","www.olioverde.it")</f>
        <v>www.olioverde.it</v>
      </c>
    </row>
    <row r="5346" spans="1:6" ht="16.95" customHeight="1" x14ac:dyDescent="0.25">
      <c r="A5346" s="1" t="s">
        <v>22329</v>
      </c>
      <c r="B5346" s="7" t="s">
        <v>22330</v>
      </c>
      <c r="C5346" s="7" t="s">
        <v>22317</v>
      </c>
      <c r="D5346" s="7" t="s">
        <v>22331</v>
      </c>
      <c r="E5346" s="7" t="s">
        <v>22332</v>
      </c>
      <c r="F5346" s="7" t="str">
        <f>HYPERLINK("http://m.lineaverde-srl.it/","m.lineaverde-srl.it")</f>
        <v>m.lineaverde-srl.it</v>
      </c>
    </row>
    <row r="5347" spans="1:6" ht="55.65" customHeight="1" x14ac:dyDescent="0.25">
      <c r="A5347" s="6" t="s">
        <v>22333</v>
      </c>
      <c r="B5347" s="5" t="s">
        <v>22334</v>
      </c>
      <c r="C5347" s="5" t="s">
        <v>22316</v>
      </c>
      <c r="D5347" s="5" t="s">
        <v>22335</v>
      </c>
      <c r="E5347" s="5" t="s">
        <v>22308</v>
      </c>
      <c r="F5347" s="5" t="str">
        <f>HYPERLINK("http://store.terrenicolazzi.com/","store.terrenicolazzi.com")</f>
        <v>store.terrenicolazzi.com</v>
      </c>
    </row>
    <row r="5348" spans="1:6" ht="29.55" customHeight="1" x14ac:dyDescent="0.25">
      <c r="A5348" s="6" t="s">
        <v>22338</v>
      </c>
      <c r="B5348" s="5" t="s">
        <v>22339</v>
      </c>
      <c r="C5348" s="5" t="s">
        <v>22340</v>
      </c>
      <c r="D5348" s="5" t="s">
        <v>22341</v>
      </c>
      <c r="E5348" s="5" t="s">
        <v>22337</v>
      </c>
      <c r="F5348" s="5" t="str">
        <f>HYPERLINK("http://www.sangimignanello.it/","www.sangimignanello.it")</f>
        <v>www.sangimignanello.it</v>
      </c>
    </row>
    <row r="5349" spans="1:6" ht="43.05" customHeight="1" x14ac:dyDescent="0.25">
      <c r="A5349" s="1" t="s">
        <v>22342</v>
      </c>
      <c r="B5349" s="7" t="s">
        <v>22343</v>
      </c>
      <c r="C5349" s="7" t="s">
        <v>22344</v>
      </c>
      <c r="D5349" s="7" t="s">
        <v>22345</v>
      </c>
      <c r="E5349" s="7" t="s">
        <v>22346</v>
      </c>
      <c r="F5349" s="7" t="str">
        <f>HYPERLINK("http://www.grifalcoshop.com/","www.grifalcoshop.com")</f>
        <v>www.grifalcoshop.com</v>
      </c>
    </row>
    <row r="5350" spans="1:6" ht="29.55" customHeight="1" x14ac:dyDescent="0.25">
      <c r="A5350" s="6" t="s">
        <v>22347</v>
      </c>
      <c r="B5350" s="5" t="s">
        <v>22348</v>
      </c>
      <c r="C5350" s="5" t="s">
        <v>22349</v>
      </c>
      <c r="D5350" s="5" t="s">
        <v>22350</v>
      </c>
      <c r="E5350" s="5" t="s">
        <v>22351</v>
      </c>
      <c r="F5350" s="5" t="str">
        <f>HYPERLINK("http://selveshop.it/","selveshop.it")</f>
        <v>selveshop.it</v>
      </c>
    </row>
    <row r="5351" spans="1:6" ht="43.05" customHeight="1" x14ac:dyDescent="0.25">
      <c r="A5351" s="1" t="s">
        <v>22353</v>
      </c>
      <c r="B5351" s="7" t="s">
        <v>22354</v>
      </c>
      <c r="C5351" s="7" t="s">
        <v>22352</v>
      </c>
      <c r="D5351" s="7" t="s">
        <v>22341</v>
      </c>
      <c r="E5351" s="7" t="s">
        <v>22337</v>
      </c>
      <c r="F5351" s="7" t="str">
        <f>HYPERLINK("http://www.poderecastellare.it/","www.poderecastellare.it")</f>
        <v>www.poderecastellare.it</v>
      </c>
    </row>
    <row r="5352" spans="1:6" ht="29.55" customHeight="1" x14ac:dyDescent="0.25">
      <c r="A5352" s="6" t="s">
        <v>22355</v>
      </c>
      <c r="B5352" s="5" t="s">
        <v>22356</v>
      </c>
      <c r="C5352" s="5" t="s">
        <v>22336</v>
      </c>
      <c r="D5352" s="5" t="s">
        <v>22357</v>
      </c>
      <c r="E5352" s="5" t="s">
        <v>22351</v>
      </c>
      <c r="F5352" s="5" t="str">
        <f>HYPERLINK("http://www.societacooperativatresoci.com/","www.societacooperativatresoci.com")</f>
        <v>www.societacooperativatresoci.com</v>
      </c>
    </row>
    <row r="5353" spans="1:6" ht="43.05" customHeight="1" x14ac:dyDescent="0.25">
      <c r="A5353" s="6" t="s">
        <v>22358</v>
      </c>
      <c r="B5353" s="5" t="s">
        <v>22359</v>
      </c>
      <c r="C5353" s="5" t="s">
        <v>22344</v>
      </c>
      <c r="D5353" s="5" t="s">
        <v>22360</v>
      </c>
      <c r="E5353" s="5" t="s">
        <v>22361</v>
      </c>
      <c r="F5353" s="5" t="str">
        <f>HYPERLINK("http://www.cantineperusia.it/","www.cantineperusia.it")</f>
        <v>www.cantineperusia.it</v>
      </c>
    </row>
    <row r="5354" spans="1:6" ht="29.55" customHeight="1" x14ac:dyDescent="0.25">
      <c r="A5354" s="6" t="s">
        <v>22366</v>
      </c>
      <c r="B5354" s="5" t="s">
        <v>22367</v>
      </c>
      <c r="C5354" s="5" t="s">
        <v>22368</v>
      </c>
      <c r="D5354" s="5" t="s">
        <v>22369</v>
      </c>
      <c r="E5354" s="5" t="s">
        <v>22365</v>
      </c>
      <c r="F5354" s="5" t="str">
        <f>HYPERLINK("http://www.eurogreensrl.it/","www.eurogreensrl.it")</f>
        <v>www.eurogreensrl.it</v>
      </c>
    </row>
    <row r="5355" spans="1:6" ht="29.55" customHeight="1" x14ac:dyDescent="0.25">
      <c r="A5355" s="1" t="s">
        <v>22370</v>
      </c>
      <c r="B5355" s="7" t="s">
        <v>22371</v>
      </c>
      <c r="C5355" s="7" t="s">
        <v>22372</v>
      </c>
      <c r="D5355" s="7" t="s">
        <v>22362</v>
      </c>
      <c r="E5355" s="7" t="s">
        <v>22363</v>
      </c>
      <c r="F5355" s="7" t="str">
        <f>HYPERLINK("http://tartuficastagne.com/","tartuficastagne.com")</f>
        <v>tartuficastagne.com</v>
      </c>
    </row>
    <row r="5356" spans="1:6" ht="29.55" customHeight="1" x14ac:dyDescent="0.25">
      <c r="A5356" s="6" t="s">
        <v>22373</v>
      </c>
      <c r="B5356" s="5" t="s">
        <v>22374</v>
      </c>
      <c r="C5356" s="5" t="s">
        <v>22375</v>
      </c>
      <c r="D5356" s="5" t="s">
        <v>22364</v>
      </c>
      <c r="E5356" s="5" t="s">
        <v>22363</v>
      </c>
      <c r="F5356" s="5" t="str">
        <f>HYPERLINK("http://www.floricolturamazzeo.it/","www.floricolturamazzeo.it")</f>
        <v>www.floricolturamazzeo.it</v>
      </c>
    </row>
    <row r="5357" spans="1:6" ht="43.05" customHeight="1" x14ac:dyDescent="0.25">
      <c r="A5357" s="1" t="s">
        <v>22376</v>
      </c>
      <c r="B5357" s="7" t="s">
        <v>22377</v>
      </c>
      <c r="C5357" s="7" t="s">
        <v>22378</v>
      </c>
      <c r="D5357" s="7" t="s">
        <v>22362</v>
      </c>
      <c r="E5357" s="7" t="s">
        <v>22363</v>
      </c>
      <c r="F5357" s="7" t="str">
        <f>HYPERLINK("http://www.pecorinobagnolese.com/","www.pecorinobagnolese.com")</f>
        <v>www.pecorinobagnolese.com</v>
      </c>
    </row>
    <row r="5358" spans="1:6" ht="43.05" customHeight="1" x14ac:dyDescent="0.25">
      <c r="A5358" s="1" t="s">
        <v>22379</v>
      </c>
      <c r="B5358" s="7" t="s">
        <v>22380</v>
      </c>
      <c r="C5358" s="7" t="s">
        <v>22381</v>
      </c>
      <c r="D5358" s="7" t="s">
        <v>22382</v>
      </c>
      <c r="E5358" s="7" t="s">
        <v>22383</v>
      </c>
      <c r="F5358" s="7" t="str">
        <f>HYPERLINK("http://www.facebook.com/vivaitipaldi","www.facebook.com/vivaitipaldi")</f>
        <v>www.facebook.com/vivaitipaldi</v>
      </c>
    </row>
    <row r="5359" spans="1:6" ht="29.55" customHeight="1" x14ac:dyDescent="0.25">
      <c r="A5359" s="6" t="s">
        <v>22384</v>
      </c>
      <c r="B5359" s="5" t="s">
        <v>22385</v>
      </c>
      <c r="C5359" s="5" t="s">
        <v>22386</v>
      </c>
      <c r="D5359" s="5" t="s">
        <v>22387</v>
      </c>
      <c r="E5359" s="5" t="s">
        <v>22388</v>
      </c>
      <c r="F5359" s="5" t="str">
        <f>HYPERLINK("http://www.lattemarini.it/","www.lattemarini.it")</f>
        <v>www.lattemarini.it</v>
      </c>
    </row>
    <row r="5360" spans="1:6" ht="16.95" customHeight="1" x14ac:dyDescent="0.25">
      <c r="A5360" s="1" t="s">
        <v>22389</v>
      </c>
      <c r="B5360" s="7" t="s">
        <v>22390</v>
      </c>
      <c r="C5360" s="7" t="s">
        <v>22391</v>
      </c>
      <c r="D5360" s="7" t="s">
        <v>22392</v>
      </c>
      <c r="E5360" s="7" t="s">
        <v>22393</v>
      </c>
      <c r="F5360" s="7" t="str">
        <f>HYPERLINK("http://www.pluchino.it/","www.pluchino.it")</f>
        <v>www.pluchino.it</v>
      </c>
    </row>
    <row r="5361" spans="1:6" ht="29.55" customHeight="1" x14ac:dyDescent="0.25">
      <c r="A5361" s="6" t="s">
        <v>22395</v>
      </c>
      <c r="B5361" s="5" t="s">
        <v>22396</v>
      </c>
      <c r="C5361" s="5" t="s">
        <v>22391</v>
      </c>
      <c r="D5361" s="5" t="s">
        <v>22397</v>
      </c>
      <c r="E5361" s="5" t="s">
        <v>22394</v>
      </c>
      <c r="F5361" s="5" t="str">
        <f>HYPERLINK("http://www.ekstra.it/","www.ekstra.it")</f>
        <v>www.ekstra.it</v>
      </c>
    </row>
    <row r="5362" spans="1:6" ht="43.05" customHeight="1" x14ac:dyDescent="0.25">
      <c r="A5362" s="6" t="s">
        <v>22399</v>
      </c>
      <c r="B5362" s="5" t="s">
        <v>22400</v>
      </c>
      <c r="C5362" s="5" t="s">
        <v>22398</v>
      </c>
      <c r="D5362" s="5" t="s">
        <v>22401</v>
      </c>
      <c r="E5362" s="5" t="s">
        <v>22402</v>
      </c>
      <c r="F5362" s="5" t="str">
        <f>HYPERLINK("http://www.torrerivera.it/","www.torrerivera.it")</f>
        <v>www.torrerivera.it</v>
      </c>
    </row>
    <row r="5363" spans="1:6" ht="29.55" customHeight="1" x14ac:dyDescent="0.25">
      <c r="A5363" s="6" t="s">
        <v>22404</v>
      </c>
      <c r="B5363" s="5" t="s">
        <v>22405</v>
      </c>
      <c r="C5363" s="5" t="s">
        <v>22403</v>
      </c>
      <c r="D5363" s="5" t="s">
        <v>22406</v>
      </c>
      <c r="E5363" s="5" t="s">
        <v>22407</v>
      </c>
      <c r="F5363" s="5" t="str">
        <f>HYPERLINK("http://www.villapapiano.it/","www.villapapiano.it")</f>
        <v>www.villapapiano.it</v>
      </c>
    </row>
    <row r="5364" spans="1:6" ht="43.05" customHeight="1" x14ac:dyDescent="0.25">
      <c r="A5364" s="1" t="s">
        <v>22412</v>
      </c>
      <c r="B5364" s="7" t="s">
        <v>22413</v>
      </c>
      <c r="C5364" s="7" t="s">
        <v>22408</v>
      </c>
      <c r="D5364" s="7" t="s">
        <v>22414</v>
      </c>
      <c r="E5364" s="7" t="s">
        <v>22410</v>
      </c>
      <c r="F5364" s="7" t="str">
        <f>HYPERLINK("http://www.coopapollo.it/","www.coopapollo.it")</f>
        <v>www.coopapollo.it</v>
      </c>
    </row>
    <row r="5365" spans="1:6" ht="29.55" customHeight="1" x14ac:dyDescent="0.25">
      <c r="A5365" s="1" t="s">
        <v>22416</v>
      </c>
      <c r="B5365" s="7" t="s">
        <v>22417</v>
      </c>
      <c r="C5365" s="7" t="s">
        <v>22418</v>
      </c>
      <c r="D5365" s="7" t="s">
        <v>22419</v>
      </c>
      <c r="E5365" s="7" t="s">
        <v>22420</v>
      </c>
      <c r="F5365" s="7" t="str">
        <f>HYPERLINK("http://www.tenutamontereale.com/","http://www.tenutamontereale.com")</f>
        <v>http://www.tenutamontereale.com</v>
      </c>
    </row>
    <row r="5366" spans="1:6" ht="29.55" customHeight="1" x14ac:dyDescent="0.25">
      <c r="A5366" s="6" t="s">
        <v>22421</v>
      </c>
      <c r="B5366" s="5" t="s">
        <v>22422</v>
      </c>
      <c r="C5366" s="5" t="s">
        <v>22423</v>
      </c>
      <c r="D5366" s="5" t="s">
        <v>22424</v>
      </c>
      <c r="E5366" s="5" t="s">
        <v>22410</v>
      </c>
      <c r="F5366" s="5" t="str">
        <f>HYPERLINK("http://it-it.facebook.com/passolato/","it-it.facebook.com/passolato/")</f>
        <v>it-it.facebook.com/passolato/</v>
      </c>
    </row>
    <row r="5367" spans="1:6" ht="29.55" customHeight="1" x14ac:dyDescent="0.25">
      <c r="A5367" s="1" t="s">
        <v>22425</v>
      </c>
      <c r="B5367" s="7" t="s">
        <v>22426</v>
      </c>
      <c r="C5367" s="7" t="s">
        <v>22418</v>
      </c>
      <c r="D5367" s="7" t="s">
        <v>22427</v>
      </c>
      <c r="E5367" s="7" t="s">
        <v>22415</v>
      </c>
      <c r="F5367" s="7" t="str">
        <f>HYPERLINK("http://www.larasenna.it/","www.larasenna.it")</f>
        <v>www.larasenna.it</v>
      </c>
    </row>
    <row r="5368" spans="1:6" ht="29.55" customHeight="1" x14ac:dyDescent="0.25">
      <c r="A5368" s="1" t="s">
        <v>22429</v>
      </c>
      <c r="B5368" s="7" t="s">
        <v>22430</v>
      </c>
      <c r="C5368" s="7" t="s">
        <v>22428</v>
      </c>
      <c r="D5368" s="7" t="s">
        <v>22411</v>
      </c>
      <c r="E5368" s="7" t="s">
        <v>22411</v>
      </c>
      <c r="F5368" s="7" t="str">
        <f>HYPERLINK("http://www.argei.it/","www.argei.it")</f>
        <v>www.argei.it</v>
      </c>
    </row>
    <row r="5369" spans="1:6" ht="43.05" customHeight="1" x14ac:dyDescent="0.25">
      <c r="A5369" s="6" t="s">
        <v>22431</v>
      </c>
      <c r="B5369" s="5" t="s">
        <v>22432</v>
      </c>
      <c r="C5369" s="5" t="s">
        <v>22433</v>
      </c>
      <c r="D5369" s="5" t="s">
        <v>22409</v>
      </c>
      <c r="E5369" s="5" t="s">
        <v>22410</v>
      </c>
      <c r="F5369" s="5" t="str">
        <f>HYPERLINK("http://www.boscoficuzza-bio.com/","www.boscoficuzza-bio.com")</f>
        <v>www.boscoficuzza-bio.com</v>
      </c>
    </row>
    <row r="5370" spans="1:6" ht="29.55" customHeight="1" x14ac:dyDescent="0.25">
      <c r="A5370" s="1" t="s">
        <v>22434</v>
      </c>
      <c r="B5370" s="7" t="s">
        <v>22435</v>
      </c>
      <c r="C5370" s="7" t="s">
        <v>22436</v>
      </c>
      <c r="D5370" s="7" t="s">
        <v>22427</v>
      </c>
      <c r="E5370" s="7" t="s">
        <v>22415</v>
      </c>
      <c r="F5370" s="7" t="str">
        <f>HYPERLINK("http://www.vifra.it/","www.vifra.it")</f>
        <v>www.vifra.it</v>
      </c>
    </row>
    <row r="5371" spans="1:6" ht="68.099999999999994" customHeight="1" x14ac:dyDescent="0.25">
      <c r="A5371" s="6" t="s">
        <v>22437</v>
      </c>
      <c r="B5371" s="5" t="s">
        <v>22438</v>
      </c>
      <c r="C5371" s="5" t="s">
        <v>22439</v>
      </c>
      <c r="D5371" s="5" t="s">
        <v>22440</v>
      </c>
      <c r="E5371" s="5" t="s">
        <v>22441</v>
      </c>
      <c r="F5371" s="5" t="str">
        <f>HYPERLINK("http://coopsansilvestro.it/","coopsansilvestro.it")</f>
        <v>coopsansilvestro.it</v>
      </c>
    </row>
    <row r="5372" spans="1:6" ht="16.95" customHeight="1" x14ac:dyDescent="0.25">
      <c r="A5372" s="6" t="s">
        <v>22442</v>
      </c>
      <c r="B5372" s="5" t="s">
        <v>22443</v>
      </c>
      <c r="C5372" s="5" t="s">
        <v>22444</v>
      </c>
      <c r="D5372" s="5" t="s">
        <v>22445</v>
      </c>
      <c r="E5372" s="5" t="s">
        <v>22446</v>
      </c>
      <c r="F5372" s="5" t="str">
        <f>HYPERLINK("http://www.hotel-laurito.it/","www.hotel-laurito.it")</f>
        <v>www.hotel-laurito.it</v>
      </c>
    </row>
    <row r="5373" spans="1:6" ht="16.95" customHeight="1" x14ac:dyDescent="0.25">
      <c r="A5373" s="1" t="s">
        <v>22448</v>
      </c>
      <c r="B5373" s="7" t="s">
        <v>22449</v>
      </c>
      <c r="C5373" s="7" t="s">
        <v>22450</v>
      </c>
      <c r="D5373" s="7" t="s">
        <v>22451</v>
      </c>
      <c r="E5373" s="7" t="s">
        <v>22447</v>
      </c>
      <c r="F5373" s="7" t="str">
        <f>HYPERLINK("http://bioelix.com/","bioelix.com")</f>
        <v>bioelix.com</v>
      </c>
    </row>
    <row r="5374" spans="1:6" ht="29.55" customHeight="1" x14ac:dyDescent="0.25">
      <c r="A5374" s="6" t="s">
        <v>22452</v>
      </c>
      <c r="B5374" s="5" t="s">
        <v>22453</v>
      </c>
      <c r="C5374" s="5" t="s">
        <v>22454</v>
      </c>
      <c r="D5374" s="5" t="s">
        <v>22455</v>
      </c>
      <c r="E5374" s="5" t="s">
        <v>22456</v>
      </c>
      <c r="F5374" s="5" t="str">
        <f>HYPERLINK("http://www.lafaccenda.it/","www.lafaccenda.it")</f>
        <v>www.lafaccenda.it</v>
      </c>
    </row>
    <row r="5375" spans="1:6" ht="29.55" customHeight="1" x14ac:dyDescent="0.25">
      <c r="A5375" s="6" t="s">
        <v>22459</v>
      </c>
      <c r="B5375" s="5" t="s">
        <v>22460</v>
      </c>
      <c r="C5375" s="5" t="s">
        <v>22461</v>
      </c>
      <c r="D5375" s="5" t="s">
        <v>22462</v>
      </c>
      <c r="E5375" s="5" t="s">
        <v>22463</v>
      </c>
      <c r="F5375" s="5" t="str">
        <f>HYPERLINK("http://www.cadeifaggi.it/","www.cadeifaggi.it")</f>
        <v>www.cadeifaggi.it</v>
      </c>
    </row>
    <row r="5376" spans="1:6" ht="29.55" customHeight="1" x14ac:dyDescent="0.25">
      <c r="A5376" s="6" t="s">
        <v>22465</v>
      </c>
      <c r="B5376" s="5" t="s">
        <v>22466</v>
      </c>
      <c r="C5376" s="5" t="s">
        <v>22461</v>
      </c>
      <c r="D5376" s="5" t="s">
        <v>22467</v>
      </c>
      <c r="E5376" s="5" t="s">
        <v>22468</v>
      </c>
      <c r="F5376" s="5" t="str">
        <f>HYPERLINK("http://www.tenutamorrealeagnello.eu/","www.tenutamorrealeagnello.eu")</f>
        <v>www.tenutamorrealeagnello.eu</v>
      </c>
    </row>
    <row r="5377" spans="1:6" ht="29.55" customHeight="1" x14ac:dyDescent="0.25">
      <c r="A5377" s="1" t="s">
        <v>22469</v>
      </c>
      <c r="B5377" s="7" t="s">
        <v>22470</v>
      </c>
      <c r="C5377" s="7" t="s">
        <v>22471</v>
      </c>
      <c r="D5377" s="7" t="s">
        <v>22472</v>
      </c>
      <c r="E5377" s="7" t="s">
        <v>22458</v>
      </c>
      <c r="F5377" s="7" t="str">
        <f>HYPERLINK("http://www.agriturismofassi.com/","www.agriturismofassi.com")</f>
        <v>www.agriturismofassi.com</v>
      </c>
    </row>
    <row r="5378" spans="1:6" ht="29.55" customHeight="1" x14ac:dyDescent="0.25">
      <c r="A5378" s="1" t="s">
        <v>22474</v>
      </c>
      <c r="B5378" s="7" t="s">
        <v>22475</v>
      </c>
      <c r="C5378" s="7" t="s">
        <v>22476</v>
      </c>
      <c r="D5378" s="7" t="s">
        <v>22462</v>
      </c>
      <c r="E5378" s="7" t="s">
        <v>22463</v>
      </c>
      <c r="F5378" s="7" t="str">
        <f>HYPERLINK("http://www.jesolgarden.it/","www.jesolgarden.it")</f>
        <v>www.jesolgarden.it</v>
      </c>
    </row>
    <row r="5379" spans="1:6" ht="29.55" customHeight="1" x14ac:dyDescent="0.25">
      <c r="A5379" s="1" t="s">
        <v>22478</v>
      </c>
      <c r="B5379" s="7" t="s">
        <v>22479</v>
      </c>
      <c r="C5379" s="7" t="s">
        <v>22480</v>
      </c>
      <c r="D5379" s="7" t="s">
        <v>22481</v>
      </c>
      <c r="E5379" s="7" t="s">
        <v>22457</v>
      </c>
      <c r="F5379" s="7" t="str">
        <f>HYPERLINK("http://www.agriturismosmartino.com/","www.agriturismosmartino.com")</f>
        <v>www.agriturismosmartino.com</v>
      </c>
    </row>
    <row r="5380" spans="1:6" ht="43.05" customHeight="1" x14ac:dyDescent="0.25">
      <c r="A5380" s="1" t="s">
        <v>22482</v>
      </c>
      <c r="B5380" s="7" t="s">
        <v>22483</v>
      </c>
      <c r="C5380" s="7" t="s">
        <v>22484</v>
      </c>
      <c r="D5380" s="7" t="s">
        <v>22477</v>
      </c>
      <c r="E5380" s="7" t="s">
        <v>22473</v>
      </c>
      <c r="F5380" s="7" t="str">
        <f>HYPERLINK("http://www.murgiaturismo.it/","www.murgiaturismo.it")</f>
        <v>www.murgiaturismo.it</v>
      </c>
    </row>
    <row r="5381" spans="1:6" ht="29.55" customHeight="1" x14ac:dyDescent="0.25">
      <c r="A5381" s="6" t="s">
        <v>22485</v>
      </c>
      <c r="B5381" s="5" t="s">
        <v>22486</v>
      </c>
      <c r="C5381" s="5" t="s">
        <v>22487</v>
      </c>
      <c r="D5381" s="5" t="s">
        <v>22488</v>
      </c>
      <c r="E5381" s="5" t="s">
        <v>22464</v>
      </c>
      <c r="F5381" s="5" t="str">
        <f>HYPERLINK("http://agronetdelivery.it/","agronetdelivery.it")</f>
        <v>agronetdelivery.it</v>
      </c>
    </row>
    <row r="5382" spans="1:6" ht="43.05" customHeight="1" x14ac:dyDescent="0.25">
      <c r="A5382" s="1" t="s">
        <v>22489</v>
      </c>
      <c r="B5382" s="7" t="s">
        <v>22490</v>
      </c>
      <c r="C5382" s="7" t="s">
        <v>22491</v>
      </c>
      <c r="D5382" s="7" t="s">
        <v>22492</v>
      </c>
      <c r="E5382" s="7" t="s">
        <v>22493</v>
      </c>
      <c r="F5382" s="7" t="str">
        <f>HYPERLINK("http://costeghirlanda.it/costeghirlanda/","costeghirlanda.it/costeghirlanda/")</f>
        <v>costeghirlanda.it/costeghirlanda/</v>
      </c>
    </row>
    <row r="5383" spans="1:6" ht="16.95" customHeight="1" x14ac:dyDescent="0.25">
      <c r="A5383" s="1" t="s">
        <v>22494</v>
      </c>
      <c r="B5383" s="7" t="s">
        <v>22495</v>
      </c>
      <c r="C5383" s="7" t="s">
        <v>22496</v>
      </c>
      <c r="D5383" s="7" t="s">
        <v>22492</v>
      </c>
      <c r="E5383" s="7" t="s">
        <v>22493</v>
      </c>
      <c r="F5383" s="7" t="str">
        <f>HYPERLINK("http://www.cantinaottoventi.it/","www.cantinaottoventi.it")</f>
        <v>www.cantinaottoventi.it</v>
      </c>
    </row>
    <row r="5384" spans="1:6" ht="16.95" customHeight="1" x14ac:dyDescent="0.25">
      <c r="A5384" s="1" t="s">
        <v>22500</v>
      </c>
      <c r="B5384" s="7" t="s">
        <v>22501</v>
      </c>
      <c r="C5384" s="7" t="s">
        <v>22502</v>
      </c>
      <c r="D5384" s="7" t="s">
        <v>22503</v>
      </c>
      <c r="E5384" s="7" t="s">
        <v>22504</v>
      </c>
      <c r="F5384" s="7" t="str">
        <f>HYPERLINK("http://www.ilquartomiglio.it/","www.ilquartomiglio.it")</f>
        <v>www.ilquartomiglio.it</v>
      </c>
    </row>
    <row r="5385" spans="1:6" ht="68.099999999999994" customHeight="1" x14ac:dyDescent="0.25">
      <c r="A5385" s="6" t="s">
        <v>22505</v>
      </c>
      <c r="B5385" s="5" t="s">
        <v>22506</v>
      </c>
      <c r="C5385" s="5" t="s">
        <v>22507</v>
      </c>
      <c r="D5385" s="5" t="s">
        <v>22508</v>
      </c>
      <c r="E5385" s="5" t="s">
        <v>22509</v>
      </c>
      <c r="F5385" s="5" t="str">
        <f>HYPERLINK("http://rinnovamento-agricolo-del-sangro-rias-societa-coop-00122990690.quantofattura.com/","rinnovamento-agricolo-del-sangro-rias-societa-coop-00122990690.quantofattura.com")</f>
        <v>rinnovamento-agricolo-del-sangro-rias-societa-coop-00122990690.quantofattura.com</v>
      </c>
    </row>
    <row r="5386" spans="1:6" ht="43.05" customHeight="1" x14ac:dyDescent="0.25">
      <c r="A5386" s="1" t="s">
        <v>22510</v>
      </c>
      <c r="B5386" s="7" t="s">
        <v>22511</v>
      </c>
      <c r="C5386" s="7" t="s">
        <v>22502</v>
      </c>
      <c r="D5386" s="7" t="s">
        <v>22512</v>
      </c>
      <c r="E5386" s="7" t="s">
        <v>22513</v>
      </c>
      <c r="F5386" s="7" t="str">
        <f>HYPERLINK("http://www.villabagnolo.it/","www.villabagnolo.it")</f>
        <v>www.villabagnolo.it</v>
      </c>
    </row>
    <row r="5387" spans="1:6" ht="55.65" customHeight="1" x14ac:dyDescent="0.25">
      <c r="A5387" s="6" t="s">
        <v>22514</v>
      </c>
      <c r="B5387" s="5" t="s">
        <v>22515</v>
      </c>
      <c r="C5387" s="5" t="s">
        <v>22516</v>
      </c>
      <c r="D5387" s="5" t="s">
        <v>22498</v>
      </c>
      <c r="E5387" s="5" t="s">
        <v>22499</v>
      </c>
      <c r="F5387" s="5" t="str">
        <f>HYPERLINK("http://masseriaviviano.it/","masseriaviviano.it")</f>
        <v>masseriaviviano.it</v>
      </c>
    </row>
    <row r="5388" spans="1:6" ht="29.55" customHeight="1" x14ac:dyDescent="0.25">
      <c r="A5388" s="6" t="s">
        <v>22517</v>
      </c>
      <c r="B5388" s="5" t="s">
        <v>22518</v>
      </c>
      <c r="C5388" s="5" t="s">
        <v>22519</v>
      </c>
      <c r="D5388" s="5" t="s">
        <v>22520</v>
      </c>
      <c r="E5388" s="5" t="s">
        <v>22521</v>
      </c>
      <c r="F5388" s="5" t="str">
        <f>HYPERLINK("http://www.sangiovenale.it/","www.sangiovenale.it")</f>
        <v>www.sangiovenale.it</v>
      </c>
    </row>
    <row r="5389" spans="1:6" ht="29.55" customHeight="1" x14ac:dyDescent="0.25">
      <c r="A5389" s="1" t="s">
        <v>22522</v>
      </c>
      <c r="B5389" s="7" t="s">
        <v>22523</v>
      </c>
      <c r="C5389" s="7" t="s">
        <v>22516</v>
      </c>
      <c r="D5389" s="7" t="s">
        <v>22524</v>
      </c>
      <c r="E5389" s="7" t="s">
        <v>22521</v>
      </c>
      <c r="F5389" s="7" t="str">
        <f>HYPERLINK("http://www.tenimentiborgia.com/","www.tenimentiborgia.com")</f>
        <v>www.tenimentiborgia.com</v>
      </c>
    </row>
    <row r="5390" spans="1:6" ht="16.95" customHeight="1" x14ac:dyDescent="0.25">
      <c r="A5390" s="6" t="s">
        <v>22525</v>
      </c>
      <c r="B5390" s="5" t="s">
        <v>22526</v>
      </c>
      <c r="C5390" s="5" t="s">
        <v>22497</v>
      </c>
      <c r="D5390" s="5" t="s">
        <v>22527</v>
      </c>
      <c r="E5390" s="5" t="s">
        <v>22521</v>
      </c>
      <c r="F5390" s="5" t="str">
        <f>HYPERLINK("http://verdeviglianti.it/","verdeviglianti.it")</f>
        <v>verdeviglianti.it</v>
      </c>
    </row>
    <row r="5391" spans="1:6" ht="29.55" customHeight="1" x14ac:dyDescent="0.25">
      <c r="A5391" s="6" t="s">
        <v>22528</v>
      </c>
      <c r="B5391" s="5" t="s">
        <v>22529</v>
      </c>
      <c r="C5391" s="5" t="s">
        <v>22530</v>
      </c>
      <c r="D5391" s="5" t="s">
        <v>22531</v>
      </c>
      <c r="E5391" s="5" t="s">
        <v>22532</v>
      </c>
      <c r="F5391" s="5" t="str">
        <f>HYPERLINK("http://www.soccoopagridaunia.it/","www.soccoopagridaunia.it")</f>
        <v>www.soccoopagridaunia.it</v>
      </c>
    </row>
    <row r="5392" spans="1:6" ht="16.95" customHeight="1" x14ac:dyDescent="0.25">
      <c r="A5392" s="6" t="s">
        <v>22534</v>
      </c>
      <c r="B5392" s="5" t="s">
        <v>22535</v>
      </c>
      <c r="C5392" s="5" t="s">
        <v>22536</v>
      </c>
      <c r="D5392" s="5" t="s">
        <v>22537</v>
      </c>
      <c r="E5392" s="5" t="s">
        <v>22538</v>
      </c>
      <c r="F5392" s="5" t="str">
        <f>HYPERLINK("http://www.selvole.com/","www.selvole.com")</f>
        <v>www.selvole.com</v>
      </c>
    </row>
    <row r="5393" spans="1:6" ht="29.55" customHeight="1" x14ac:dyDescent="0.25">
      <c r="A5393" s="1" t="s">
        <v>22541</v>
      </c>
      <c r="B5393" s="7" t="s">
        <v>22542</v>
      </c>
      <c r="C5393" s="7" t="s">
        <v>22536</v>
      </c>
      <c r="D5393" s="7" t="s">
        <v>22539</v>
      </c>
      <c r="E5393" s="7" t="s">
        <v>22540</v>
      </c>
      <c r="F5393" s="7" t="str">
        <f>HYPERLINK("http://www.castellodelleregine.com/","www.castellodelleregine.com")</f>
        <v>www.castellodelleregine.com</v>
      </c>
    </row>
    <row r="5394" spans="1:6" ht="29.55" customHeight="1" x14ac:dyDescent="0.25">
      <c r="A5394" s="6" t="s">
        <v>22544</v>
      </c>
      <c r="B5394" s="5" t="s">
        <v>22545</v>
      </c>
      <c r="C5394" s="5" t="s">
        <v>22546</v>
      </c>
      <c r="D5394" s="5" t="s">
        <v>22547</v>
      </c>
      <c r="E5394" s="5" t="s">
        <v>22532</v>
      </c>
      <c r="F5394" s="5" t="str">
        <f>HYPERLINK("http://www.agricolavergari.it/","www.agricolavergari.it")</f>
        <v>www.agricolavergari.it</v>
      </c>
    </row>
    <row r="5395" spans="1:6" ht="43.05" customHeight="1" x14ac:dyDescent="0.25">
      <c r="A5395" s="1" t="s">
        <v>22549</v>
      </c>
      <c r="B5395" s="7" t="s">
        <v>22550</v>
      </c>
      <c r="C5395" s="7" t="s">
        <v>22543</v>
      </c>
      <c r="D5395" s="7" t="s">
        <v>22548</v>
      </c>
      <c r="E5395" s="7" t="s">
        <v>22532</v>
      </c>
      <c r="F5395" s="7" t="str">
        <f>HYPERLINK("http://frutta-e-verdura-da-cotrino.business.site/","frutta-e-verdura-da-cotrino.business.site")</f>
        <v>frutta-e-verdura-da-cotrino.business.site</v>
      </c>
    </row>
    <row r="5396" spans="1:6" ht="16.95" customHeight="1" x14ac:dyDescent="0.25">
      <c r="A5396" s="6" t="s">
        <v>22552</v>
      </c>
      <c r="B5396" s="5" t="s">
        <v>22553</v>
      </c>
      <c r="C5396" s="5" t="s">
        <v>22554</v>
      </c>
      <c r="D5396" s="5" t="s">
        <v>22555</v>
      </c>
      <c r="E5396" s="5" t="s">
        <v>22533</v>
      </c>
      <c r="F5396" s="5" t="str">
        <f>HYPERLINK("http://www.casaluca.it/","www.casaluca.it")</f>
        <v>www.casaluca.it</v>
      </c>
    </row>
    <row r="5397" spans="1:6" ht="29.55" customHeight="1" x14ac:dyDescent="0.25">
      <c r="A5397" s="6" t="s">
        <v>22556</v>
      </c>
      <c r="B5397" s="5" t="s">
        <v>22557</v>
      </c>
      <c r="C5397" s="5" t="s">
        <v>22558</v>
      </c>
      <c r="D5397" s="5" t="s">
        <v>22531</v>
      </c>
      <c r="E5397" s="5" t="s">
        <v>22532</v>
      </c>
      <c r="F5397" s="5" t="str">
        <f>HYPERLINK("http://incoronata.impresarosso.it/","incoronata.impresarosso.it")</f>
        <v>incoronata.impresarosso.it</v>
      </c>
    </row>
    <row r="5398" spans="1:6" ht="16.95" customHeight="1" x14ac:dyDescent="0.25">
      <c r="A5398" s="6" t="s">
        <v>22559</v>
      </c>
      <c r="B5398" s="5" t="s">
        <v>22560</v>
      </c>
      <c r="C5398" s="5" t="s">
        <v>22551</v>
      </c>
      <c r="D5398" s="5" t="s">
        <v>22555</v>
      </c>
      <c r="E5398" s="5" t="s">
        <v>22533</v>
      </c>
      <c r="F5398" s="5" t="str">
        <f>HYPERLINK("http://www.agriturismocollepacioccotivoli.it/","www.agriturismocollepacioccotivoli.it")</f>
        <v>www.agriturismocollepacioccotivoli.it</v>
      </c>
    </row>
    <row r="5399" spans="1:6" ht="43.05" customHeight="1" x14ac:dyDescent="0.25">
      <c r="A5399" s="1" t="s">
        <v>22565</v>
      </c>
      <c r="B5399" s="7" t="s">
        <v>22566</v>
      </c>
      <c r="C5399" s="7" t="s">
        <v>22567</v>
      </c>
      <c r="D5399" s="7" t="s">
        <v>22568</v>
      </c>
      <c r="E5399" s="7" t="s">
        <v>22569</v>
      </c>
      <c r="F5399" s="7" t="str">
        <f>HYPERLINK("http://www.montemercole.com/","www.montemercole.com")</f>
        <v>www.montemercole.com</v>
      </c>
    </row>
    <row r="5400" spans="1:6" ht="43.05" customHeight="1" x14ac:dyDescent="0.25">
      <c r="A5400" s="1" t="s">
        <v>22570</v>
      </c>
      <c r="B5400" s="7" t="s">
        <v>22571</v>
      </c>
      <c r="C5400" s="7" t="s">
        <v>22572</v>
      </c>
      <c r="D5400" s="7" t="s">
        <v>22573</v>
      </c>
      <c r="E5400" s="7" t="s">
        <v>22574</v>
      </c>
      <c r="F5400" s="7" t="str">
        <f>HYPERLINK("http://www.tenutadelvarco.com/","www.tenutadelvarco.com")</f>
        <v>www.tenutadelvarco.com</v>
      </c>
    </row>
    <row r="5401" spans="1:6" ht="29.55" customHeight="1" x14ac:dyDescent="0.25">
      <c r="A5401" s="6" t="s">
        <v>22575</v>
      </c>
      <c r="B5401" s="5" t="s">
        <v>22576</v>
      </c>
      <c r="C5401" s="5" t="s">
        <v>22577</v>
      </c>
      <c r="D5401" s="5" t="s">
        <v>22578</v>
      </c>
      <c r="E5401" s="5" t="s">
        <v>22569</v>
      </c>
      <c r="F5401" s="5" t="str">
        <f>HYPERLINK("http://www.agribufala.it/","www.agribufala.it")</f>
        <v>www.agribufala.it</v>
      </c>
    </row>
    <row r="5402" spans="1:6" ht="94.2" customHeight="1" x14ac:dyDescent="0.25">
      <c r="A5402" s="1" t="s">
        <v>22579</v>
      </c>
      <c r="B5402" s="7" t="s">
        <v>22580</v>
      </c>
      <c r="C5402" s="7" t="s">
        <v>22562</v>
      </c>
      <c r="D5402" s="7" t="s">
        <v>22581</v>
      </c>
      <c r="E5402" s="7" t="s">
        <v>22564</v>
      </c>
      <c r="F5402" s="7" t="str">
        <f>HYPERLINK("http://www.icapitani.com/","www.icapitani.com")</f>
        <v>www.icapitani.com</v>
      </c>
    </row>
    <row r="5403" spans="1:6" ht="55.65" customHeight="1" x14ac:dyDescent="0.25">
      <c r="A5403" s="1" t="s">
        <v>22582</v>
      </c>
      <c r="B5403" s="7" t="s">
        <v>22583</v>
      </c>
      <c r="C5403" s="7" t="s">
        <v>22577</v>
      </c>
      <c r="D5403" s="7" t="s">
        <v>22584</v>
      </c>
      <c r="E5403" s="7" t="s">
        <v>22561</v>
      </c>
      <c r="F5403" s="7" t="str">
        <f>HYPERLINK("http://www.massarianova.it/","www.massarianova.it")</f>
        <v>www.massarianova.it</v>
      </c>
    </row>
    <row r="5404" spans="1:6" ht="29.55" customHeight="1" x14ac:dyDescent="0.25">
      <c r="A5404" s="6" t="s">
        <v>22585</v>
      </c>
      <c r="B5404" s="5" t="s">
        <v>22586</v>
      </c>
      <c r="C5404" s="5" t="s">
        <v>22562</v>
      </c>
      <c r="D5404" s="5" t="s">
        <v>22587</v>
      </c>
      <c r="E5404" s="5" t="s">
        <v>22563</v>
      </c>
      <c r="F5404" s="5" t="str">
        <f>HYPERLINK("http://agriturismolabiolca.it/","agriturismolabiolca.it")</f>
        <v>agriturismolabiolca.it</v>
      </c>
    </row>
    <row r="5405" spans="1:6" ht="29.55" customHeight="1" x14ac:dyDescent="0.25">
      <c r="A5405" s="6" t="s">
        <v>22590</v>
      </c>
      <c r="B5405" s="5" t="s">
        <v>22591</v>
      </c>
      <c r="C5405" s="5" t="s">
        <v>22592</v>
      </c>
      <c r="D5405" s="5" t="s">
        <v>22593</v>
      </c>
      <c r="E5405" s="5" t="s">
        <v>22594</v>
      </c>
      <c r="F5405" s="5" t="str">
        <f>HYPERLINK("http://www.sdnacademy.it/","www.sdnacademy.it")</f>
        <v>www.sdnacademy.it</v>
      </c>
    </row>
    <row r="5406" spans="1:6" ht="16.95" customHeight="1" x14ac:dyDescent="0.25">
      <c r="A5406" s="1" t="s">
        <v>22595</v>
      </c>
      <c r="B5406" s="7" t="s">
        <v>22596</v>
      </c>
      <c r="C5406" s="7" t="s">
        <v>22588</v>
      </c>
      <c r="D5406" s="7" t="s">
        <v>22597</v>
      </c>
      <c r="E5406" s="7" t="s">
        <v>22589</v>
      </c>
      <c r="F5406" s="7" t="str">
        <f>HYPERLINK("http://www.lamiavalle.it/","www.lamiavalle.it")</f>
        <v>www.lamiavalle.it</v>
      </c>
    </row>
    <row r="5407" spans="1:6" ht="29.55" customHeight="1" x14ac:dyDescent="0.25">
      <c r="A5407" s="6" t="s">
        <v>22601</v>
      </c>
      <c r="B5407" s="5" t="s">
        <v>22602</v>
      </c>
      <c r="C5407" s="5" t="s">
        <v>22603</v>
      </c>
      <c r="D5407" s="5" t="s">
        <v>22604</v>
      </c>
      <c r="E5407" s="5" t="s">
        <v>22605</v>
      </c>
      <c r="F5407" s="5" t="str">
        <f>HYPERLINK("http://www.forumiulii.it/","www.forumiulii.it")</f>
        <v>www.forumiulii.it</v>
      </c>
    </row>
    <row r="5408" spans="1:6" ht="43.05" customHeight="1" x14ac:dyDescent="0.25">
      <c r="A5408" s="1" t="s">
        <v>22606</v>
      </c>
      <c r="B5408" s="7" t="s">
        <v>22607</v>
      </c>
      <c r="C5408" s="7" t="s">
        <v>22598</v>
      </c>
      <c r="D5408" s="7" t="s">
        <v>22608</v>
      </c>
      <c r="E5408" s="7" t="s">
        <v>22609</v>
      </c>
      <c r="F5408" s="7" t="str">
        <f>HYPERLINK("http://www.almaterra.it/","www.almaterra.it")</f>
        <v>www.almaterra.it</v>
      </c>
    </row>
    <row r="5409" spans="1:6" ht="29.55" customHeight="1" x14ac:dyDescent="0.25">
      <c r="A5409" s="6" t="s">
        <v>22610</v>
      </c>
      <c r="B5409" s="5" t="s">
        <v>22611</v>
      </c>
      <c r="C5409" s="5" t="s">
        <v>22612</v>
      </c>
      <c r="D5409" s="5" t="s">
        <v>22613</v>
      </c>
      <c r="E5409" s="5" t="s">
        <v>22614</v>
      </c>
      <c r="F5409" s="5" t="str">
        <f>HYPERLINK("http://www.erbadelchianti.it/","www.erbadelchianti.it")</f>
        <v>www.erbadelchianti.it</v>
      </c>
    </row>
    <row r="5410" spans="1:6" ht="29.55" customHeight="1" x14ac:dyDescent="0.25">
      <c r="A5410" s="6" t="s">
        <v>22615</v>
      </c>
      <c r="B5410" s="5" t="s">
        <v>22616</v>
      </c>
      <c r="C5410" s="5" t="s">
        <v>22617</v>
      </c>
      <c r="D5410" s="5" t="s">
        <v>22599</v>
      </c>
      <c r="E5410" s="5" t="s">
        <v>22600</v>
      </c>
      <c r="F5410" s="5" t="str">
        <f>HYPERLINK("http://www.mcl.it/","www.mcl.it")</f>
        <v>www.mcl.it</v>
      </c>
    </row>
    <row r="5411" spans="1:6" ht="29.55" customHeight="1" x14ac:dyDescent="0.25">
      <c r="A5411" s="6" t="s">
        <v>22619</v>
      </c>
      <c r="B5411" s="5" t="s">
        <v>22620</v>
      </c>
      <c r="C5411" s="5" t="s">
        <v>22621</v>
      </c>
      <c r="D5411" s="5" t="s">
        <v>22622</v>
      </c>
      <c r="E5411" s="5" t="s">
        <v>22623</v>
      </c>
      <c r="F5411" s="5" t="str">
        <f>HYPERLINK("http://moltenigarden.it/","moltenigarden.it")</f>
        <v>moltenigarden.it</v>
      </c>
    </row>
    <row r="5412" spans="1:6" ht="16.95" customHeight="1" x14ac:dyDescent="0.25">
      <c r="A5412" s="1" t="s">
        <v>22624</v>
      </c>
      <c r="B5412" s="7" t="s">
        <v>22625</v>
      </c>
      <c r="C5412" s="7" t="s">
        <v>22626</v>
      </c>
      <c r="D5412" s="7" t="s">
        <v>22627</v>
      </c>
      <c r="E5412" s="7" t="s">
        <v>22628</v>
      </c>
      <c r="F5412" s="7" t="str">
        <f>HYPERLINK("http://eurocanapa.it/","eurocanapa.it")</f>
        <v>eurocanapa.it</v>
      </c>
    </row>
    <row r="5413" spans="1:6" ht="29.55" customHeight="1" x14ac:dyDescent="0.25">
      <c r="A5413" s="6" t="s">
        <v>22631</v>
      </c>
      <c r="B5413" s="5" t="s">
        <v>22632</v>
      </c>
      <c r="C5413" s="5" t="s">
        <v>22633</v>
      </c>
      <c r="D5413" s="5" t="s">
        <v>22634</v>
      </c>
      <c r="E5413" s="5" t="s">
        <v>22635</v>
      </c>
      <c r="F5413" s="5" t="str">
        <f>HYPERLINK("http://www.biomaisto.it/","www.biomaisto.it")</f>
        <v>www.biomaisto.it</v>
      </c>
    </row>
    <row r="5414" spans="1:6" ht="29.55" customHeight="1" x14ac:dyDescent="0.25">
      <c r="A5414" s="6" t="s">
        <v>22637</v>
      </c>
      <c r="B5414" s="5" t="s">
        <v>22638</v>
      </c>
      <c r="C5414" s="5" t="s">
        <v>22639</v>
      </c>
      <c r="D5414" s="5" t="s">
        <v>22640</v>
      </c>
      <c r="E5414" s="5" t="s">
        <v>22635</v>
      </c>
      <c r="F5414" s="5" t="str">
        <f>HYPERLINK("http://www.oconevini.it/","http://www.oconevini.it")</f>
        <v>http://www.oconevini.it</v>
      </c>
    </row>
    <row r="5415" spans="1:6" ht="68.099999999999994" customHeight="1" x14ac:dyDescent="0.25">
      <c r="A5415" s="1" t="s">
        <v>22642</v>
      </c>
      <c r="B5415" s="7" t="s">
        <v>22643</v>
      </c>
      <c r="C5415" s="7" t="s">
        <v>22644</v>
      </c>
      <c r="D5415" s="7" t="s">
        <v>22645</v>
      </c>
      <c r="E5415" s="7" t="s">
        <v>22646</v>
      </c>
      <c r="F5415" s="7" t="str">
        <f>HYPERLINK("http://www.castellomonticelli.com/","www.castellomonticelli.com")</f>
        <v>www.castellomonticelli.com</v>
      </c>
    </row>
    <row r="5416" spans="1:6" ht="16.95" customHeight="1" x14ac:dyDescent="0.25">
      <c r="A5416" s="6" t="s">
        <v>22647</v>
      </c>
      <c r="B5416" s="5" t="s">
        <v>22648</v>
      </c>
      <c r="C5416" s="5" t="s">
        <v>22649</v>
      </c>
      <c r="D5416" s="5" t="s">
        <v>22650</v>
      </c>
      <c r="E5416" s="5" t="s">
        <v>22636</v>
      </c>
      <c r="F5416" s="5" t="str">
        <f>HYPERLINK("http://gramotto.com/","gramotto.com")</f>
        <v>gramotto.com</v>
      </c>
    </row>
    <row r="5417" spans="1:6" ht="29.55" customHeight="1" x14ac:dyDescent="0.25">
      <c r="A5417" s="1" t="s">
        <v>22651</v>
      </c>
      <c r="B5417" s="7" t="s">
        <v>22652</v>
      </c>
      <c r="C5417" s="7" t="s">
        <v>22618</v>
      </c>
      <c r="D5417" s="7" t="s">
        <v>22630</v>
      </c>
      <c r="E5417" s="7" t="s">
        <v>22629</v>
      </c>
      <c r="F5417" s="7" t="str">
        <f>HYPERLINK("http://www.agrifedel.com/","www.agrifedel.com")</f>
        <v>www.agrifedel.com</v>
      </c>
    </row>
    <row r="5418" spans="1:6" ht="29.55" customHeight="1" x14ac:dyDescent="0.25">
      <c r="A5418" s="6" t="s">
        <v>22653</v>
      </c>
      <c r="B5418" s="5" t="s">
        <v>22654</v>
      </c>
      <c r="C5418" s="5" t="s">
        <v>22655</v>
      </c>
      <c r="D5418" s="5" t="s">
        <v>22656</v>
      </c>
      <c r="E5418" s="5" t="s">
        <v>22657</v>
      </c>
      <c r="F5418" s="5" t="str">
        <f>HYPERLINK("http://www.milker.it/","www.milker.it")</f>
        <v>www.milker.it</v>
      </c>
    </row>
    <row r="5419" spans="1:6" ht="29.55" customHeight="1" x14ac:dyDescent="0.25">
      <c r="A5419" s="6" t="s">
        <v>22658</v>
      </c>
      <c r="B5419" s="5" t="s">
        <v>22659</v>
      </c>
      <c r="C5419" s="5" t="s">
        <v>22641</v>
      </c>
      <c r="D5419" s="5" t="s">
        <v>22660</v>
      </c>
      <c r="E5419" s="5" t="s">
        <v>22635</v>
      </c>
      <c r="F5419" s="5" t="str">
        <f>HYPERLINK("http://www.lecollinedisorrento.com/","www.lecollinedisorrento.com")</f>
        <v>www.lecollinedisorrento.com</v>
      </c>
    </row>
    <row r="5420" spans="1:6" ht="29.55" customHeight="1" x14ac:dyDescent="0.25">
      <c r="A5420" s="6" t="s">
        <v>22663</v>
      </c>
      <c r="B5420" s="5" t="s">
        <v>22664</v>
      </c>
      <c r="C5420" s="5" t="s">
        <v>22665</v>
      </c>
      <c r="D5420" s="5" t="s">
        <v>22666</v>
      </c>
      <c r="E5420" s="5" t="s">
        <v>22667</v>
      </c>
      <c r="F5420" s="5" t="str">
        <f>HYPERLINK("http://www.cascinaboschi.com/","www.cascinaboschi.com")</f>
        <v>www.cascinaboschi.com</v>
      </c>
    </row>
    <row r="5421" spans="1:6" ht="29.55" customHeight="1" x14ac:dyDescent="0.25">
      <c r="A5421" s="6" t="s">
        <v>22668</v>
      </c>
      <c r="B5421" s="5" t="s">
        <v>22669</v>
      </c>
      <c r="C5421" s="5" t="s">
        <v>22670</v>
      </c>
      <c r="D5421" s="5" t="s">
        <v>22671</v>
      </c>
      <c r="E5421" s="5" t="s">
        <v>22672</v>
      </c>
      <c r="F5421" s="5" t="str">
        <f>HYPERLINK("http://www.terracoop.it/","www.terracoop.it")</f>
        <v>www.terracoop.it</v>
      </c>
    </row>
    <row r="5422" spans="1:6" ht="29.55" customHeight="1" x14ac:dyDescent="0.25">
      <c r="A5422" s="1" t="s">
        <v>22674</v>
      </c>
      <c r="B5422" s="7" t="s">
        <v>22675</v>
      </c>
      <c r="C5422" s="7" t="s">
        <v>22661</v>
      </c>
      <c r="D5422" s="7" t="s">
        <v>22676</v>
      </c>
      <c r="E5422" s="7" t="s">
        <v>22677</v>
      </c>
      <c r="F5422" s="7" t="str">
        <f>HYPERLINK("http://www.villa-santostefano.it/","www.villa-santostefano.it")</f>
        <v>www.villa-santostefano.it</v>
      </c>
    </row>
    <row r="5423" spans="1:6" ht="29.55" customHeight="1" x14ac:dyDescent="0.25">
      <c r="A5423" s="1" t="s">
        <v>22682</v>
      </c>
      <c r="B5423" s="7" t="s">
        <v>22683</v>
      </c>
      <c r="C5423" s="7" t="s">
        <v>22661</v>
      </c>
      <c r="D5423" s="7" t="s">
        <v>22684</v>
      </c>
      <c r="E5423" s="7" t="s">
        <v>22677</v>
      </c>
      <c r="F5423" s="7" t="str">
        <f>HYPERLINK("http://www.perazzeta.it/","www.perazzeta.it")</f>
        <v>www.perazzeta.it</v>
      </c>
    </row>
    <row r="5424" spans="1:6" ht="29.55" customHeight="1" x14ac:dyDescent="0.25">
      <c r="A5424" s="1" t="s">
        <v>22685</v>
      </c>
      <c r="B5424" s="7" t="s">
        <v>22686</v>
      </c>
      <c r="C5424" s="7" t="s">
        <v>22661</v>
      </c>
      <c r="D5424" s="7" t="s">
        <v>22687</v>
      </c>
      <c r="E5424" s="7" t="s">
        <v>22688</v>
      </c>
      <c r="F5424" s="7" t="str">
        <f>HYPERLINK("http://canoso.it/","canoso.it")</f>
        <v>canoso.it</v>
      </c>
    </row>
    <row r="5425" spans="1:6" ht="29.55" customHeight="1" x14ac:dyDescent="0.25">
      <c r="A5425" s="6" t="s">
        <v>22690</v>
      </c>
      <c r="B5425" s="5" t="s">
        <v>22691</v>
      </c>
      <c r="C5425" s="5" t="s">
        <v>22678</v>
      </c>
      <c r="D5425" s="5" t="s">
        <v>22679</v>
      </c>
      <c r="E5425" s="5" t="s">
        <v>22662</v>
      </c>
      <c r="F5425" s="5" t="str">
        <f>HYPERLINK("http://www.postafaugno.com/","www.postafaugno.com")</f>
        <v>www.postafaugno.com</v>
      </c>
    </row>
    <row r="5426" spans="1:6" ht="29.55" customHeight="1" x14ac:dyDescent="0.25">
      <c r="A5426" s="1" t="s">
        <v>22692</v>
      </c>
      <c r="B5426" s="7" t="s">
        <v>22693</v>
      </c>
      <c r="C5426" s="7" t="s">
        <v>22661</v>
      </c>
      <c r="D5426" s="7" t="s">
        <v>22680</v>
      </c>
      <c r="E5426" s="7" t="s">
        <v>22681</v>
      </c>
      <c r="F5426" s="7" t="str">
        <f>HYPERLINK("http://www.avide.it/","www.avide.it")</f>
        <v>www.avide.it</v>
      </c>
    </row>
    <row r="5427" spans="1:6" ht="29.55" customHeight="1" x14ac:dyDescent="0.25">
      <c r="A5427" s="6" t="s">
        <v>22694</v>
      </c>
      <c r="B5427" s="5" t="s">
        <v>22695</v>
      </c>
      <c r="C5427" s="5" t="s">
        <v>22696</v>
      </c>
      <c r="D5427" s="5" t="s">
        <v>22697</v>
      </c>
      <c r="E5427" s="5" t="s">
        <v>22681</v>
      </c>
      <c r="F5427" s="5" t="str">
        <f>HYPERLINK("http://vivaio-stella-verde.business.site/","vivaio-stella-verde.business.site")</f>
        <v>vivaio-stella-verde.business.site</v>
      </c>
    </row>
    <row r="5428" spans="1:6" ht="43.05" customHeight="1" x14ac:dyDescent="0.25">
      <c r="A5428" s="6" t="s">
        <v>22698</v>
      </c>
      <c r="B5428" s="5" t="s">
        <v>22699</v>
      </c>
      <c r="C5428" s="5" t="s">
        <v>22673</v>
      </c>
      <c r="D5428" s="5" t="s">
        <v>22689</v>
      </c>
      <c r="E5428" s="5" t="s">
        <v>22677</v>
      </c>
      <c r="F5428" s="5" t="str">
        <f>HYPERLINK("http://www.oleificiosociale-buti.it/","www.oleificiosociale-buti.it")</f>
        <v>www.oleificiosociale-buti.it</v>
      </c>
    </row>
    <row r="5429" spans="1:6" ht="29.55" customHeight="1" x14ac:dyDescent="0.25">
      <c r="A5429" s="1" t="s">
        <v>22701</v>
      </c>
      <c r="B5429" s="7" t="s">
        <v>22702</v>
      </c>
      <c r="C5429" s="7" t="s">
        <v>22703</v>
      </c>
      <c r="D5429" s="7" t="s">
        <v>22704</v>
      </c>
      <c r="E5429" s="7" t="s">
        <v>22705</v>
      </c>
      <c r="F5429" s="7" t="str">
        <f>HYPERLINK("http://agroenergia.eu/","agroenergia.eu")</f>
        <v>agroenergia.eu</v>
      </c>
    </row>
    <row r="5430" spans="1:6" ht="29.55" customHeight="1" x14ac:dyDescent="0.25">
      <c r="A5430" s="6" t="s">
        <v>22709</v>
      </c>
      <c r="B5430" s="5" t="s">
        <v>22710</v>
      </c>
      <c r="C5430" s="5" t="s">
        <v>22703</v>
      </c>
      <c r="D5430" s="5" t="s">
        <v>22706</v>
      </c>
      <c r="E5430" s="5" t="s">
        <v>22705</v>
      </c>
      <c r="F5430" s="5" t="str">
        <f>HYPERLINK("http://www.agriturismo.campania.it/","www.agriturismo.campania.it")</f>
        <v>www.agriturismo.campania.it</v>
      </c>
    </row>
    <row r="5431" spans="1:6" ht="55.65" customHeight="1" x14ac:dyDescent="0.25">
      <c r="A5431" s="1" t="s">
        <v>22711</v>
      </c>
      <c r="B5431" s="7" t="s">
        <v>22712</v>
      </c>
      <c r="C5431" s="7" t="s">
        <v>22713</v>
      </c>
      <c r="D5431" s="7" t="s">
        <v>22714</v>
      </c>
      <c r="E5431" s="7" t="s">
        <v>22707</v>
      </c>
      <c r="F5431" s="7" t="str">
        <f>HYPERLINK("http://www.vivaivalledeltevere.it/","www.vivaivalledeltevere.it")</f>
        <v>www.vivaivalledeltevere.it</v>
      </c>
    </row>
    <row r="5432" spans="1:6" ht="43.05" customHeight="1" x14ac:dyDescent="0.25">
      <c r="A5432" s="6" t="s">
        <v>22715</v>
      </c>
      <c r="B5432" s="5" t="s">
        <v>22716</v>
      </c>
      <c r="C5432" s="5" t="s">
        <v>22717</v>
      </c>
      <c r="D5432" s="5" t="s">
        <v>22718</v>
      </c>
      <c r="E5432" s="5" t="s">
        <v>22719</v>
      </c>
      <c r="F5432" s="5" t="str">
        <f>HYPERLINK("http://agririfugiomolini.it/","agririfugiomolini.it")</f>
        <v>agririfugiomolini.it</v>
      </c>
    </row>
    <row r="5433" spans="1:6" ht="29.55" customHeight="1" x14ac:dyDescent="0.25">
      <c r="A5433" s="6" t="s">
        <v>22721</v>
      </c>
      <c r="B5433" s="5" t="s">
        <v>22722</v>
      </c>
      <c r="C5433" s="5" t="s">
        <v>22723</v>
      </c>
      <c r="D5433" s="5" t="s">
        <v>22724</v>
      </c>
      <c r="E5433" s="5" t="s">
        <v>22700</v>
      </c>
      <c r="F5433" s="5" t="str">
        <f>HYPERLINK("http://www.puntoverdemarsala.com/","www.puntoverdemarsala.com")</f>
        <v>www.puntoverdemarsala.com</v>
      </c>
    </row>
    <row r="5434" spans="1:6" ht="43.05" customHeight="1" x14ac:dyDescent="0.25">
      <c r="A5434" s="1" t="s">
        <v>22725</v>
      </c>
      <c r="B5434" s="7" t="s">
        <v>22726</v>
      </c>
      <c r="C5434" s="7" t="s">
        <v>22720</v>
      </c>
      <c r="D5434" s="7" t="s">
        <v>22727</v>
      </c>
      <c r="E5434" s="7" t="s">
        <v>22728</v>
      </c>
      <c r="F5434" s="7" t="str">
        <f>HYPERLINK("http://en.tenutaigelsi.com/","en.tenutaigelsi.com")</f>
        <v>en.tenutaigelsi.com</v>
      </c>
    </row>
    <row r="5435" spans="1:6" ht="16.95" customHeight="1" x14ac:dyDescent="0.25">
      <c r="A5435" s="1" t="s">
        <v>22729</v>
      </c>
      <c r="B5435" s="7" t="s">
        <v>22730</v>
      </c>
      <c r="C5435" s="7" t="s">
        <v>22703</v>
      </c>
      <c r="D5435" s="7" t="s">
        <v>22731</v>
      </c>
      <c r="E5435" s="7" t="s">
        <v>22700</v>
      </c>
      <c r="F5435" s="7" t="str">
        <f>HYPERLINK("http://nebros.it/","nebros.it")</f>
        <v>nebros.it</v>
      </c>
    </row>
    <row r="5436" spans="1:6" ht="43.05" customHeight="1" x14ac:dyDescent="0.25">
      <c r="A5436" s="6" t="s">
        <v>22732</v>
      </c>
      <c r="B5436" s="5" t="s">
        <v>22733</v>
      </c>
      <c r="C5436" s="5" t="s">
        <v>22708</v>
      </c>
      <c r="D5436" s="5" t="s">
        <v>22714</v>
      </c>
      <c r="E5436" s="5" t="s">
        <v>22707</v>
      </c>
      <c r="F5436" s="5" t="str">
        <f>HYPERLINK("http://www.voltadisacco.com/","www.voltadisacco.com")</f>
        <v>www.voltadisacco.com</v>
      </c>
    </row>
    <row r="5437" spans="1:6" ht="43.05" customHeight="1" x14ac:dyDescent="0.25">
      <c r="A5437" s="1" t="s">
        <v>22736</v>
      </c>
      <c r="B5437" s="7" t="s">
        <v>22737</v>
      </c>
      <c r="C5437" s="7" t="s">
        <v>22738</v>
      </c>
      <c r="D5437" s="7" t="s">
        <v>22739</v>
      </c>
      <c r="E5437" s="7" t="s">
        <v>22740</v>
      </c>
      <c r="F5437" s="7" t="str">
        <f>HYPERLINK("http://www.tenutamattei.com/","www.tenutamattei.com")</f>
        <v>www.tenutamattei.com</v>
      </c>
    </row>
    <row r="5438" spans="1:6" ht="55.65" customHeight="1" x14ac:dyDescent="0.25">
      <c r="A5438" s="6" t="s">
        <v>22744</v>
      </c>
      <c r="B5438" s="5" t="s">
        <v>22745</v>
      </c>
      <c r="C5438" s="5" t="s">
        <v>22746</v>
      </c>
      <c r="D5438" s="5" t="s">
        <v>22747</v>
      </c>
      <c r="E5438" s="5" t="s">
        <v>22735</v>
      </c>
      <c r="F5438" s="5" t="str">
        <f>HYPERLINK("http://www.agriturismobaronefortunato.it/","www.agriturismobaronefortunato.it")</f>
        <v>www.agriturismobaronefortunato.it</v>
      </c>
    </row>
    <row r="5439" spans="1:6" ht="16.95" customHeight="1" x14ac:dyDescent="0.25">
      <c r="A5439" s="6" t="s">
        <v>22748</v>
      </c>
      <c r="B5439" s="5" t="s">
        <v>22749</v>
      </c>
      <c r="C5439" s="5" t="s">
        <v>22750</v>
      </c>
      <c r="D5439" s="5" t="s">
        <v>22742</v>
      </c>
      <c r="E5439" s="5" t="s">
        <v>22743</v>
      </c>
      <c r="F5439" s="5" t="str">
        <f>HYPERLINK("http://farnetodelprincipe.it/","farnetodelprincipe.it")</f>
        <v>farnetodelprincipe.it</v>
      </c>
    </row>
    <row r="5440" spans="1:6" ht="43.05" customHeight="1" x14ac:dyDescent="0.25">
      <c r="A5440" s="1" t="s">
        <v>22751</v>
      </c>
      <c r="B5440" s="7" t="s">
        <v>22752</v>
      </c>
      <c r="C5440" s="7" t="s">
        <v>22741</v>
      </c>
      <c r="D5440" s="7" t="s">
        <v>22753</v>
      </c>
      <c r="E5440" s="7" t="s">
        <v>22754</v>
      </c>
      <c r="F5440" s="7" t="str">
        <f>HYPERLINK("http://www.vallevigezzo.eu/","www.vallevigezzo.eu")</f>
        <v>www.vallevigezzo.eu</v>
      </c>
    </row>
    <row r="5441" spans="1:6" ht="29.55" customHeight="1" x14ac:dyDescent="0.25">
      <c r="A5441" s="6" t="s">
        <v>22757</v>
      </c>
      <c r="B5441" s="5" t="s">
        <v>22758</v>
      </c>
      <c r="C5441" s="5" t="s">
        <v>22759</v>
      </c>
      <c r="D5441" s="5" t="s">
        <v>22760</v>
      </c>
      <c r="E5441" s="5" t="s">
        <v>22734</v>
      </c>
      <c r="F5441" s="5" t="str">
        <f>HYPERLINK("http://www.agricolapadovanisrl.it/","www.agricolapadovanisrl.it")</f>
        <v>www.agricolapadovanisrl.it</v>
      </c>
    </row>
    <row r="5442" spans="1:6" ht="29.55" customHeight="1" x14ac:dyDescent="0.25">
      <c r="A5442" s="1" t="s">
        <v>22761</v>
      </c>
      <c r="B5442" s="7" t="s">
        <v>22762</v>
      </c>
      <c r="C5442" s="7" t="s">
        <v>22738</v>
      </c>
      <c r="D5442" s="7" t="s">
        <v>22763</v>
      </c>
      <c r="E5442" s="7" t="s">
        <v>22735</v>
      </c>
      <c r="F5442" s="7" t="str">
        <f>HYPERLINK("http://www.lemasciare.com/","www.lemasciare.com")</f>
        <v>www.lemasciare.com</v>
      </c>
    </row>
    <row r="5443" spans="1:6" ht="29.55" customHeight="1" x14ac:dyDescent="0.25">
      <c r="A5443" s="1" t="s">
        <v>22764</v>
      </c>
      <c r="B5443" s="7" t="s">
        <v>22765</v>
      </c>
      <c r="C5443" s="7" t="s">
        <v>22738</v>
      </c>
      <c r="D5443" s="7" t="s">
        <v>22766</v>
      </c>
      <c r="E5443" s="7" t="s">
        <v>22767</v>
      </c>
      <c r="F5443" s="7" t="str">
        <f>HYPERLINK("http://www.atlantiswine.it/","www.atlantiswine.it")</f>
        <v>www.atlantiswine.it</v>
      </c>
    </row>
    <row r="5444" spans="1:6" ht="29.55" customHeight="1" x14ac:dyDescent="0.25">
      <c r="A5444" s="6" t="s">
        <v>22768</v>
      </c>
      <c r="B5444" s="5" t="s">
        <v>22769</v>
      </c>
      <c r="C5444" s="5" t="s">
        <v>22759</v>
      </c>
      <c r="D5444" s="5" t="s">
        <v>22755</v>
      </c>
      <c r="E5444" s="5" t="s">
        <v>22756</v>
      </c>
      <c r="F5444" s="5" t="str">
        <f>HYPERLINK("http://www.agricolavinica.it/","www.agricolavinica.it")</f>
        <v>www.agricolavinica.it</v>
      </c>
    </row>
    <row r="5445" spans="1:6" ht="29.55" customHeight="1" x14ac:dyDescent="0.25">
      <c r="A5445" s="6" t="s">
        <v>22773</v>
      </c>
      <c r="B5445" s="5" t="s">
        <v>22774</v>
      </c>
      <c r="C5445" s="5" t="s">
        <v>22775</v>
      </c>
      <c r="D5445" s="5" t="s">
        <v>22776</v>
      </c>
      <c r="E5445" s="5" t="s">
        <v>22771</v>
      </c>
      <c r="F5445" s="5" t="str">
        <f>HYPERLINK("http://www.joaquinwines.com/","www.joaquinwines.com")</f>
        <v>www.joaquinwines.com</v>
      </c>
    </row>
    <row r="5446" spans="1:6" ht="29.55" customHeight="1" x14ac:dyDescent="0.25">
      <c r="A5446" s="1" t="s">
        <v>22778</v>
      </c>
      <c r="B5446" s="7" t="s">
        <v>22779</v>
      </c>
      <c r="C5446" s="7" t="s">
        <v>22780</v>
      </c>
      <c r="D5446" s="7" t="s">
        <v>22781</v>
      </c>
      <c r="E5446" s="7" t="s">
        <v>22772</v>
      </c>
      <c r="F5446" s="7" t="str">
        <f>HYPERLINK("http://www.cooperativavallelao.com/","www.cooperativavallelao.com")</f>
        <v>www.cooperativavallelao.com</v>
      </c>
    </row>
    <row r="5447" spans="1:6" ht="29.55" customHeight="1" x14ac:dyDescent="0.25">
      <c r="A5447" s="1" t="s">
        <v>22782</v>
      </c>
      <c r="B5447" s="7" t="s">
        <v>22783</v>
      </c>
      <c r="C5447" s="7" t="s">
        <v>22777</v>
      </c>
      <c r="D5447" s="7" t="s">
        <v>22784</v>
      </c>
      <c r="E5447" s="7" t="s">
        <v>22770</v>
      </c>
      <c r="F5447" s="7" t="str">
        <f>HYPERLINK("http://fattorieazzolino.com/","fattorieazzolino.com")</f>
        <v>fattorieazzolino.com</v>
      </c>
    </row>
    <row r="5448" spans="1:6" ht="43.05" customHeight="1" x14ac:dyDescent="0.25">
      <c r="A5448" s="1" t="s">
        <v>22788</v>
      </c>
      <c r="B5448" s="7" t="s">
        <v>22789</v>
      </c>
      <c r="C5448" s="7" t="s">
        <v>22790</v>
      </c>
      <c r="D5448" s="7" t="s">
        <v>22791</v>
      </c>
      <c r="E5448" s="7" t="s">
        <v>22792</v>
      </c>
      <c r="F5448" s="7" t="str">
        <f>HYPERLINK("http://www.cerea.net/","www.cerea.net")</f>
        <v>www.cerea.net</v>
      </c>
    </row>
    <row r="5449" spans="1:6" ht="29.55" customHeight="1" x14ac:dyDescent="0.25">
      <c r="A5449" s="6" t="s">
        <v>22793</v>
      </c>
      <c r="B5449" s="5" t="s">
        <v>22794</v>
      </c>
      <c r="C5449" s="5" t="s">
        <v>22787</v>
      </c>
      <c r="D5449" s="5" t="s">
        <v>22795</v>
      </c>
      <c r="E5449" s="5" t="s">
        <v>22796</v>
      </c>
      <c r="F5449" s="5" t="str">
        <f>HYPERLINK("http://www.roncidinepi.it/","www.roncidinepi.it")</f>
        <v>www.roncidinepi.it</v>
      </c>
    </row>
    <row r="5450" spans="1:6" ht="29.55" customHeight="1" x14ac:dyDescent="0.25">
      <c r="A5450" s="6" t="s">
        <v>22797</v>
      </c>
      <c r="B5450" s="5" t="s">
        <v>22798</v>
      </c>
      <c r="C5450" s="5" t="s">
        <v>22787</v>
      </c>
      <c r="D5450" s="5" t="s">
        <v>22799</v>
      </c>
      <c r="E5450" s="5" t="s">
        <v>22800</v>
      </c>
      <c r="F5450" s="5" t="str">
        <f>HYPERLINK("http://www.lasiegia.it/","www.lasiegia.it")</f>
        <v>www.lasiegia.it</v>
      </c>
    </row>
    <row r="5451" spans="1:6" ht="29.55" customHeight="1" x14ac:dyDescent="0.25">
      <c r="A5451" s="6" t="s">
        <v>22801</v>
      </c>
      <c r="B5451" s="5" t="s">
        <v>22802</v>
      </c>
      <c r="C5451" s="5" t="s">
        <v>22786</v>
      </c>
      <c r="D5451" s="5" t="s">
        <v>22803</v>
      </c>
      <c r="E5451" s="5" t="s">
        <v>22804</v>
      </c>
      <c r="F5451" s="5" t="str">
        <f>HYPERLINK("http://www.facebook.com/pizzstopgiuseppepodda/","www.facebook.com/pizzstopgiuseppepodda/")</f>
        <v>www.facebook.com/pizzstopgiuseppepodda/</v>
      </c>
    </row>
    <row r="5452" spans="1:6" ht="29.55" customHeight="1" x14ac:dyDescent="0.25">
      <c r="A5452" s="1" t="s">
        <v>22805</v>
      </c>
      <c r="B5452" s="7" t="s">
        <v>22806</v>
      </c>
      <c r="C5452" s="7" t="s">
        <v>22787</v>
      </c>
      <c r="D5452" s="7" t="s">
        <v>22807</v>
      </c>
      <c r="E5452" s="7" t="s">
        <v>22808</v>
      </c>
      <c r="F5452" s="7" t="str">
        <f>HYPERLINK("http://www.consulenti-associati.net/","www.consulenti-associati.net")</f>
        <v>www.consulenti-associati.net</v>
      </c>
    </row>
    <row r="5453" spans="1:6" ht="29.55" customHeight="1" x14ac:dyDescent="0.25">
      <c r="A5453" s="1" t="s">
        <v>22810</v>
      </c>
      <c r="B5453" s="7" t="s">
        <v>22811</v>
      </c>
      <c r="C5453" s="7" t="s">
        <v>22809</v>
      </c>
      <c r="D5453" s="7" t="s">
        <v>22812</v>
      </c>
      <c r="E5453" s="7" t="s">
        <v>22785</v>
      </c>
      <c r="F5453" s="7" t="str">
        <f>HYPERLINK("http://www.progettocoas.it/","www.progettocoas.it")</f>
        <v>www.progettocoas.it</v>
      </c>
    </row>
    <row r="5454" spans="1:6" ht="43.05" customHeight="1" x14ac:dyDescent="0.25">
      <c r="A5454" s="1" t="s">
        <v>22813</v>
      </c>
      <c r="B5454" s="7" t="s">
        <v>22814</v>
      </c>
      <c r="C5454" s="7" t="s">
        <v>22787</v>
      </c>
      <c r="D5454" s="7" t="s">
        <v>22815</v>
      </c>
      <c r="E5454" s="7" t="s">
        <v>22785</v>
      </c>
      <c r="F5454" s="7" t="str">
        <f>HYPERLINK("http://cavalieredelgarda.it/","cavalieredelgarda.it")</f>
        <v>cavalieredelgarda.it</v>
      </c>
    </row>
    <row r="5455" spans="1:6" ht="29.55" customHeight="1" x14ac:dyDescent="0.25">
      <c r="A5455" s="6" t="s">
        <v>22821</v>
      </c>
      <c r="B5455" s="5" t="s">
        <v>22822</v>
      </c>
      <c r="C5455" s="5" t="s">
        <v>22818</v>
      </c>
      <c r="D5455" s="5" t="s">
        <v>22820</v>
      </c>
      <c r="E5455" s="5" t="s">
        <v>22817</v>
      </c>
      <c r="F5455" s="5" t="str">
        <f>HYPERLINK("http://www.pietratorcia.it/","www.pietratorcia.it")</f>
        <v>www.pietratorcia.it</v>
      </c>
    </row>
    <row r="5456" spans="1:6" ht="68.099999999999994" customHeight="1" x14ac:dyDescent="0.25">
      <c r="A5456" s="1" t="s">
        <v>22823</v>
      </c>
      <c r="B5456" s="7" t="s">
        <v>22824</v>
      </c>
      <c r="C5456" s="7" t="s">
        <v>22819</v>
      </c>
      <c r="D5456" s="7" t="s">
        <v>22825</v>
      </c>
      <c r="E5456" s="7" t="s">
        <v>22826</v>
      </c>
      <c r="F5456" s="7" t="str">
        <f>HYPERLINK("http://www.isolabiologica.com/","www.isolabiologica.com")</f>
        <v>www.isolabiologica.com</v>
      </c>
    </row>
    <row r="5457" spans="1:6" ht="29.55" customHeight="1" x14ac:dyDescent="0.25">
      <c r="A5457" s="1" t="s">
        <v>22828</v>
      </c>
      <c r="B5457" s="7" t="s">
        <v>22829</v>
      </c>
      <c r="C5457" s="7" t="s">
        <v>22816</v>
      </c>
      <c r="D5457" s="7" t="s">
        <v>22830</v>
      </c>
      <c r="E5457" s="7" t="s">
        <v>22827</v>
      </c>
      <c r="F5457" s="7" t="str">
        <f>HYPERLINK("http://agricoopelba.it/","agricoopelba.it")</f>
        <v>agricoopelba.it</v>
      </c>
    </row>
    <row r="5458" spans="1:6" ht="29.55" customHeight="1" x14ac:dyDescent="0.25">
      <c r="A5458" s="1" t="s">
        <v>22831</v>
      </c>
      <c r="B5458" s="7" t="s">
        <v>22832</v>
      </c>
      <c r="C5458" s="7" t="s">
        <v>22833</v>
      </c>
      <c r="D5458" s="7" t="s">
        <v>22834</v>
      </c>
      <c r="E5458" s="7" t="s">
        <v>22835</v>
      </c>
      <c r="F5458" s="7" t="str">
        <f>HYPERLINK("http://www.maiscorvino.it/","www.maiscorvino.it")</f>
        <v>www.maiscorvino.it</v>
      </c>
    </row>
    <row r="5459" spans="1:6" ht="29.55" customHeight="1" x14ac:dyDescent="0.25">
      <c r="A5459" s="6" t="s">
        <v>22836</v>
      </c>
      <c r="B5459" s="5" t="s">
        <v>22837</v>
      </c>
      <c r="C5459" s="5" t="s">
        <v>22838</v>
      </c>
      <c r="D5459" s="5" t="s">
        <v>22839</v>
      </c>
      <c r="E5459" s="5" t="s">
        <v>22840</v>
      </c>
      <c r="F5459" s="5" t="str">
        <f>HYPERLINK("http://casaletancia.com/","casaletancia.com")</f>
        <v>casaletancia.com</v>
      </c>
    </row>
    <row r="5460" spans="1:6" ht="29.55" customHeight="1" x14ac:dyDescent="0.25">
      <c r="A5460" s="1" t="s">
        <v>22843</v>
      </c>
      <c r="B5460" s="7" t="s">
        <v>22844</v>
      </c>
      <c r="C5460" s="7" t="s">
        <v>22833</v>
      </c>
      <c r="D5460" s="7" t="s">
        <v>22845</v>
      </c>
      <c r="E5460" s="7" t="s">
        <v>22846</v>
      </c>
      <c r="F5460" s="7" t="str">
        <f>HYPERLINK("http://www.masterplantgroup.com/","www.masterplantgroup.com")</f>
        <v>www.masterplantgroup.com</v>
      </c>
    </row>
    <row r="5461" spans="1:6" ht="43.05" customHeight="1" x14ac:dyDescent="0.25">
      <c r="A5461" s="6" t="s">
        <v>22847</v>
      </c>
      <c r="B5461" s="5" t="s">
        <v>22848</v>
      </c>
      <c r="C5461" s="5" t="s">
        <v>22841</v>
      </c>
      <c r="D5461" s="5" t="s">
        <v>22849</v>
      </c>
      <c r="E5461" s="5" t="s">
        <v>22840</v>
      </c>
      <c r="F5461" s="5" t="str">
        <f>HYPERLINK("http://casalecentocorvi.it/","casalecentocorvi.it")</f>
        <v>casalecentocorvi.it</v>
      </c>
    </row>
    <row r="5462" spans="1:6" ht="29.55" customHeight="1" x14ac:dyDescent="0.25">
      <c r="A5462" s="6" t="s">
        <v>22851</v>
      </c>
      <c r="B5462" s="5" t="s">
        <v>22852</v>
      </c>
      <c r="C5462" s="5" t="s">
        <v>22850</v>
      </c>
      <c r="D5462" s="5" t="s">
        <v>22853</v>
      </c>
      <c r="E5462" s="5" t="s">
        <v>22854</v>
      </c>
      <c r="F5462" s="5" t="str">
        <f>HYPERLINK("http://hanamiagricola.it/","hanamiagricola.it")</f>
        <v>hanamiagricola.it</v>
      </c>
    </row>
    <row r="5463" spans="1:6" ht="43.05" customHeight="1" x14ac:dyDescent="0.25">
      <c r="A5463" s="6" t="s">
        <v>22856</v>
      </c>
      <c r="B5463" s="5" t="s">
        <v>22857</v>
      </c>
      <c r="C5463" s="5" t="s">
        <v>22841</v>
      </c>
      <c r="D5463" s="5" t="s">
        <v>22858</v>
      </c>
      <c r="E5463" s="5" t="s">
        <v>22859</v>
      </c>
      <c r="F5463" s="5" t="str">
        <f>HYPERLINK("http://www.vignetivalleroncati.it/","www.vignetivalleroncati.it")</f>
        <v>www.vignetivalleroncati.it</v>
      </c>
    </row>
    <row r="5464" spans="1:6" ht="29.55" customHeight="1" x14ac:dyDescent="0.25">
      <c r="A5464" s="1" t="s">
        <v>22860</v>
      </c>
      <c r="B5464" s="7" t="s">
        <v>22861</v>
      </c>
      <c r="C5464" s="7" t="s">
        <v>22842</v>
      </c>
      <c r="D5464" s="7" t="s">
        <v>22855</v>
      </c>
      <c r="E5464" s="7" t="s">
        <v>22854</v>
      </c>
      <c r="F5464" s="7" t="str">
        <f>HYPERLINK("http://www.coopterredelsole.it/","www.coopterredelsole.it")</f>
        <v>www.coopterredelsole.it</v>
      </c>
    </row>
    <row r="5465" spans="1:6" ht="29.55" customHeight="1" x14ac:dyDescent="0.25">
      <c r="A5465" s="6" t="s">
        <v>22863</v>
      </c>
      <c r="B5465" s="5" t="s">
        <v>22864</v>
      </c>
      <c r="C5465" s="5" t="s">
        <v>22865</v>
      </c>
      <c r="D5465" s="5" t="s">
        <v>22866</v>
      </c>
      <c r="E5465" s="5" t="s">
        <v>22867</v>
      </c>
      <c r="F5465" s="5" t="str">
        <f>HYPERLINK("http://www.caponieddu.it/","www.caponieddu.it")</f>
        <v>www.caponieddu.it</v>
      </c>
    </row>
    <row r="5466" spans="1:6" ht="29.55" customHeight="1" x14ac:dyDescent="0.25">
      <c r="A5466" s="1" t="s">
        <v>22870</v>
      </c>
      <c r="B5466" s="7" t="s">
        <v>22871</v>
      </c>
      <c r="C5466" s="7" t="s">
        <v>22865</v>
      </c>
      <c r="D5466" s="7" t="s">
        <v>22872</v>
      </c>
      <c r="E5466" s="7" t="s">
        <v>22873</v>
      </c>
      <c r="F5466" s="7" t="str">
        <f>HYPERLINK("http://terredibaccio.com/","terredibaccio.com")</f>
        <v>terredibaccio.com</v>
      </c>
    </row>
    <row r="5467" spans="1:6" ht="29.55" customHeight="1" x14ac:dyDescent="0.25">
      <c r="A5467" s="1" t="s">
        <v>22874</v>
      </c>
      <c r="B5467" s="7" t="s">
        <v>22875</v>
      </c>
      <c r="C5467" s="7" t="s">
        <v>22865</v>
      </c>
      <c r="D5467" s="7" t="s">
        <v>22876</v>
      </c>
      <c r="E5467" s="7" t="s">
        <v>22873</v>
      </c>
      <c r="F5467" s="7" t="str">
        <f>HYPERLINK("http://www.nuovaagricoltura2013.com/","www.nuovaagricoltura2013.com")</f>
        <v>www.nuovaagricoltura2013.com</v>
      </c>
    </row>
    <row r="5468" spans="1:6" ht="29.55" customHeight="1" x14ac:dyDescent="0.25">
      <c r="A5468" s="1" t="s">
        <v>22878</v>
      </c>
      <c r="B5468" s="7" t="s">
        <v>22879</v>
      </c>
      <c r="C5468" s="7" t="s">
        <v>22880</v>
      </c>
      <c r="D5468" s="7" t="s">
        <v>22881</v>
      </c>
      <c r="E5468" s="7" t="s">
        <v>22877</v>
      </c>
      <c r="F5468" s="7" t="str">
        <f>HYPERLINK("http://www.ortopontino.com/","www.ortopontino.com")</f>
        <v>www.ortopontino.com</v>
      </c>
    </row>
    <row r="5469" spans="1:6" ht="29.55" customHeight="1" x14ac:dyDescent="0.25">
      <c r="A5469" s="6" t="s">
        <v>22882</v>
      </c>
      <c r="B5469" s="5" t="s">
        <v>22883</v>
      </c>
      <c r="C5469" s="5" t="s">
        <v>22865</v>
      </c>
      <c r="D5469" s="5" t="s">
        <v>22884</v>
      </c>
      <c r="E5469" s="5" t="s">
        <v>22885</v>
      </c>
      <c r="F5469" s="5" t="str">
        <f>HYPERLINK("http://www.poderimorini.com/","www.poderimorini.com")</f>
        <v>www.poderimorini.com</v>
      </c>
    </row>
    <row r="5470" spans="1:6" ht="29.55" customHeight="1" x14ac:dyDescent="0.25">
      <c r="A5470" s="1" t="s">
        <v>22886</v>
      </c>
      <c r="B5470" s="7" t="s">
        <v>22887</v>
      </c>
      <c r="C5470" s="7" t="s">
        <v>22862</v>
      </c>
      <c r="D5470" s="7" t="s">
        <v>22868</v>
      </c>
      <c r="E5470" s="7" t="s">
        <v>22869</v>
      </c>
      <c r="F5470" s="7" t="str">
        <f>HYPERLINK("http://www.ortodec.it/","www.ortodec.it")</f>
        <v>www.ortodec.it</v>
      </c>
    </row>
    <row r="5471" spans="1:6" ht="43.05" customHeight="1" x14ac:dyDescent="0.25">
      <c r="A5471" s="6" t="s">
        <v>22889</v>
      </c>
      <c r="B5471" s="5" t="s">
        <v>22890</v>
      </c>
      <c r="C5471" s="5" t="s">
        <v>22888</v>
      </c>
      <c r="D5471" s="5" t="s">
        <v>22891</v>
      </c>
      <c r="E5471" s="5" t="s">
        <v>22892</v>
      </c>
      <c r="F5471" s="5" t="str">
        <f>HYPERLINK("http://www.agriturismolascalera.com/","www.agriturismolascalera.com")</f>
        <v>www.agriturismolascalera.com</v>
      </c>
    </row>
    <row r="5472" spans="1:6" ht="29.55" customHeight="1" x14ac:dyDescent="0.25">
      <c r="A5472" s="1" t="s">
        <v>22893</v>
      </c>
      <c r="B5472" s="7" t="s">
        <v>22894</v>
      </c>
      <c r="C5472" s="7" t="s">
        <v>22895</v>
      </c>
      <c r="D5472" s="7" t="s">
        <v>22896</v>
      </c>
      <c r="E5472" s="7" t="s">
        <v>22897</v>
      </c>
      <c r="F5472" s="7" t="str">
        <f>HYPERLINK("http://www.cortesecoop.it/","www.cortesecoop.it")</f>
        <v>www.cortesecoop.it</v>
      </c>
    </row>
    <row r="5473" spans="1:6" ht="29.55" customHeight="1" x14ac:dyDescent="0.25">
      <c r="A5473" s="1" t="s">
        <v>22899</v>
      </c>
      <c r="B5473" s="7" t="s">
        <v>22900</v>
      </c>
      <c r="C5473" s="7" t="s">
        <v>22901</v>
      </c>
      <c r="D5473" s="7" t="s">
        <v>22902</v>
      </c>
      <c r="E5473" s="7" t="s">
        <v>22898</v>
      </c>
      <c r="F5473" s="7" t="str">
        <f>HYPERLINK("http://www.ditarantovini.it/","www.ditarantovini.it")</f>
        <v>www.ditarantovini.it</v>
      </c>
    </row>
    <row r="5474" spans="1:6" ht="29.55" customHeight="1" x14ac:dyDescent="0.25">
      <c r="A5474" s="6" t="s">
        <v>22903</v>
      </c>
      <c r="B5474" s="5" t="s">
        <v>22904</v>
      </c>
      <c r="C5474" s="5" t="s">
        <v>22905</v>
      </c>
      <c r="D5474" s="5" t="s">
        <v>22906</v>
      </c>
      <c r="E5474" s="5" t="s">
        <v>22907</v>
      </c>
      <c r="F5474" s="5" t="str">
        <f>HYPERLINK("http://www.arundo.it/","www.arundo.it")</f>
        <v>www.arundo.it</v>
      </c>
    </row>
    <row r="5475" spans="1:6" ht="43.05" customHeight="1" x14ac:dyDescent="0.25">
      <c r="A5475" s="6" t="s">
        <v>22908</v>
      </c>
      <c r="B5475" s="5" t="s">
        <v>22909</v>
      </c>
      <c r="C5475" s="5" t="s">
        <v>22910</v>
      </c>
      <c r="D5475" s="5" t="s">
        <v>22911</v>
      </c>
      <c r="E5475" s="5" t="s">
        <v>22912</v>
      </c>
      <c r="F5475" s="5" t="str">
        <f>HYPERLINK("http://www.agrolabtech.it/","www.agrolabtech.it")</f>
        <v>www.agrolabtech.it</v>
      </c>
    </row>
    <row r="5476" spans="1:6" ht="29.55" customHeight="1" x14ac:dyDescent="0.25">
      <c r="A5476" s="6" t="s">
        <v>22914</v>
      </c>
      <c r="B5476" s="5" t="s">
        <v>22915</v>
      </c>
      <c r="C5476" s="5" t="s">
        <v>22916</v>
      </c>
      <c r="D5476" s="5" t="s">
        <v>22917</v>
      </c>
      <c r="E5476" s="5" t="s">
        <v>22918</v>
      </c>
      <c r="F5476" s="5" t="str">
        <f>HYPERLINK("http://www.lapetrosa.it/","www.lapetrosa.it")</f>
        <v>www.lapetrosa.it</v>
      </c>
    </row>
    <row r="5477" spans="1:6" ht="43.05" customHeight="1" x14ac:dyDescent="0.25">
      <c r="A5477" s="6" t="s">
        <v>22919</v>
      </c>
      <c r="B5477" s="5" t="s">
        <v>22920</v>
      </c>
      <c r="C5477" s="5" t="s">
        <v>22921</v>
      </c>
      <c r="D5477" s="5" t="s">
        <v>22913</v>
      </c>
      <c r="E5477" s="5" t="s">
        <v>22897</v>
      </c>
      <c r="F5477" s="5" t="str">
        <f>HYPERLINK("http://agriturismolasalvia.it/","agriturismolasalvia.it")</f>
        <v>agriturismolasalvia.it</v>
      </c>
    </row>
    <row r="5478" spans="1:6" ht="29.55" customHeight="1" x14ac:dyDescent="0.25">
      <c r="A5478" s="1" t="s">
        <v>22922</v>
      </c>
      <c r="B5478" s="7" t="s">
        <v>22923</v>
      </c>
      <c r="C5478" s="7" t="s">
        <v>22924</v>
      </c>
      <c r="D5478" s="7" t="s">
        <v>22925</v>
      </c>
      <c r="E5478" s="7" t="s">
        <v>22926</v>
      </c>
      <c r="F5478" s="7" t="str">
        <f>HYPERLINK("http://www.copros.it/","www.copros.it")</f>
        <v>www.copros.it</v>
      </c>
    </row>
    <row r="5479" spans="1:6" ht="29.55" customHeight="1" x14ac:dyDescent="0.25">
      <c r="A5479" s="6" t="s">
        <v>22932</v>
      </c>
      <c r="B5479" s="5" t="s">
        <v>22933</v>
      </c>
      <c r="C5479" s="5" t="s">
        <v>22934</v>
      </c>
      <c r="D5479" s="5" t="s">
        <v>22935</v>
      </c>
      <c r="E5479" s="5" t="s">
        <v>22936</v>
      </c>
      <c r="F5479" s="5" t="str">
        <f>HYPERLINK("http://www.stroppianaspa.it/cooperativa-alpi","www.stroppianaspa.it/cooperativa-alpi")</f>
        <v>www.stroppianaspa.it/cooperativa-alpi</v>
      </c>
    </row>
    <row r="5480" spans="1:6" ht="29.55" customHeight="1" x14ac:dyDescent="0.25">
      <c r="A5480" s="1" t="s">
        <v>22937</v>
      </c>
      <c r="B5480" s="7" t="s">
        <v>22938</v>
      </c>
      <c r="C5480" s="7" t="s">
        <v>22939</v>
      </c>
      <c r="D5480" s="7" t="s">
        <v>22927</v>
      </c>
      <c r="E5480" s="7" t="s">
        <v>22928</v>
      </c>
      <c r="F5480" s="7" t="str">
        <f>HYPERLINK("http://www.folliediciacco.com/","www.folliediciacco.com")</f>
        <v>www.folliediciacco.com</v>
      </c>
    </row>
    <row r="5481" spans="1:6" ht="55.65" customHeight="1" x14ac:dyDescent="0.25">
      <c r="A5481" s="6" t="s">
        <v>22940</v>
      </c>
      <c r="B5481" s="5" t="s">
        <v>22941</v>
      </c>
      <c r="C5481" s="5" t="s">
        <v>22942</v>
      </c>
      <c r="D5481" s="5" t="s">
        <v>22943</v>
      </c>
      <c r="E5481" s="5" t="s">
        <v>22944</v>
      </c>
      <c r="F5481" s="5" t="str">
        <f>HYPERLINK("http://aronia-naturalis.it/","aronia-naturalis.it")</f>
        <v>aronia-naturalis.it</v>
      </c>
    </row>
    <row r="5482" spans="1:6" ht="43.05" customHeight="1" x14ac:dyDescent="0.25">
      <c r="A5482" s="1" t="s">
        <v>22945</v>
      </c>
      <c r="B5482" s="7" t="s">
        <v>22946</v>
      </c>
      <c r="C5482" s="7" t="s">
        <v>22947</v>
      </c>
      <c r="D5482" s="7" t="s">
        <v>22929</v>
      </c>
      <c r="E5482" s="7" t="s">
        <v>22930</v>
      </c>
      <c r="F5482" s="7" t="str">
        <f>HYPERLINK("http://promozione.cilentoediano.it/","promozione.cilentoediano.it")</f>
        <v>promozione.cilentoediano.it</v>
      </c>
    </row>
    <row r="5483" spans="1:6" ht="29.55" customHeight="1" x14ac:dyDescent="0.25">
      <c r="A5483" s="1" t="s">
        <v>22950</v>
      </c>
      <c r="B5483" s="7" t="s">
        <v>22951</v>
      </c>
      <c r="C5483" s="7" t="s">
        <v>22952</v>
      </c>
      <c r="D5483" s="7" t="s">
        <v>22925</v>
      </c>
      <c r="E5483" s="7" t="s">
        <v>22926</v>
      </c>
      <c r="F5483" s="7" t="str">
        <f>HYPERLINK("http://sicilianoranges.bio/","sicilianoranges.bio")</f>
        <v>sicilianoranges.bio</v>
      </c>
    </row>
    <row r="5484" spans="1:6" ht="29.55" customHeight="1" x14ac:dyDescent="0.25">
      <c r="A5484" s="6" t="s">
        <v>22953</v>
      </c>
      <c r="B5484" s="5" t="s">
        <v>22954</v>
      </c>
      <c r="C5484" s="5" t="s">
        <v>22931</v>
      </c>
      <c r="D5484" s="5" t="s">
        <v>22955</v>
      </c>
      <c r="E5484" s="5" t="s">
        <v>22926</v>
      </c>
      <c r="F5484" s="5" t="str">
        <f>HYPERLINK("http://www.meridionaleagricola.com/","www.meridionaleagricola.com")</f>
        <v>www.meridionaleagricola.com</v>
      </c>
    </row>
    <row r="5485" spans="1:6" ht="55.65" customHeight="1" x14ac:dyDescent="0.25">
      <c r="A5485" s="1" t="s">
        <v>22956</v>
      </c>
      <c r="B5485" s="7" t="s">
        <v>22957</v>
      </c>
      <c r="C5485" s="7" t="s">
        <v>22958</v>
      </c>
      <c r="D5485" s="7" t="s">
        <v>22935</v>
      </c>
      <c r="E5485" s="7" t="s">
        <v>22936</v>
      </c>
      <c r="F5485" s="7" t="str">
        <f>HYPERLINK("http://www.lateresina.it/","www.lateresina.it")</f>
        <v>www.lateresina.it</v>
      </c>
    </row>
    <row r="5486" spans="1:6" ht="16.95" customHeight="1" x14ac:dyDescent="0.25">
      <c r="A5486" s="6" t="s">
        <v>22959</v>
      </c>
      <c r="B5486" s="5" t="s">
        <v>22960</v>
      </c>
      <c r="C5486" s="5" t="s">
        <v>22961</v>
      </c>
      <c r="D5486" s="5" t="s">
        <v>22962</v>
      </c>
      <c r="E5486" s="5" t="s">
        <v>22949</v>
      </c>
      <c r="F5486" s="5" t="str">
        <f>HYPERLINK("http://www.scuderiaandycapp.com/","www.scuderiaandycapp.com")</f>
        <v>www.scuderiaandycapp.com</v>
      </c>
    </row>
    <row r="5487" spans="1:6" ht="29.55" customHeight="1" x14ac:dyDescent="0.25">
      <c r="A5487" s="6" t="s">
        <v>22963</v>
      </c>
      <c r="B5487" s="5" t="s">
        <v>22964</v>
      </c>
      <c r="C5487" s="5" t="s">
        <v>22924</v>
      </c>
      <c r="D5487" s="5" t="s">
        <v>22965</v>
      </c>
      <c r="E5487" s="5" t="s">
        <v>22948</v>
      </c>
      <c r="F5487" s="5" t="str">
        <f>HYPERLINK("http://www.ilbriganteristorante.it/","www.ilbriganteristorante.it")</f>
        <v>www.ilbriganteristorante.it</v>
      </c>
    </row>
    <row r="5488" spans="1:6" ht="29.55" customHeight="1" x14ac:dyDescent="0.25">
      <c r="A5488" s="1" t="s">
        <v>22966</v>
      </c>
      <c r="B5488" s="7" t="s">
        <v>22967</v>
      </c>
      <c r="C5488" s="7" t="s">
        <v>22968</v>
      </c>
      <c r="D5488" s="7" t="s">
        <v>22969</v>
      </c>
      <c r="E5488" s="7" t="s">
        <v>22970</v>
      </c>
      <c r="F5488" s="7" t="str">
        <f>HYPERLINK("http://www.testaferrata.it/","www.testaferrata.it")</f>
        <v>www.testaferrata.it</v>
      </c>
    </row>
    <row r="5489" spans="1:6" ht="16.95" customHeight="1" x14ac:dyDescent="0.25">
      <c r="A5489" s="6" t="s">
        <v>22971</v>
      </c>
      <c r="B5489" s="5" t="s">
        <v>22972</v>
      </c>
      <c r="C5489" s="5" t="s">
        <v>22973</v>
      </c>
      <c r="D5489" s="5" t="s">
        <v>22974</v>
      </c>
      <c r="E5489" s="5" t="s">
        <v>22975</v>
      </c>
      <c r="F5489" s="5" t="str">
        <f>HYPERLINK("http://oliomerlato.com/","oliomerlato.com")</f>
        <v>oliomerlato.com</v>
      </c>
    </row>
    <row r="5490" spans="1:6" ht="29.55" customHeight="1" x14ac:dyDescent="0.25">
      <c r="A5490" s="1" t="s">
        <v>22979</v>
      </c>
      <c r="B5490" s="7" t="s">
        <v>22980</v>
      </c>
      <c r="C5490" s="7" t="s">
        <v>22981</v>
      </c>
      <c r="D5490" s="7" t="s">
        <v>22982</v>
      </c>
      <c r="E5490" s="7" t="s">
        <v>22983</v>
      </c>
      <c r="F5490" s="7" t="str">
        <f>HYPERLINK("http://www.poggiofoco.com/","www.poggiofoco.com")</f>
        <v>www.poggiofoco.com</v>
      </c>
    </row>
    <row r="5491" spans="1:6" ht="29.55" customHeight="1" x14ac:dyDescent="0.25">
      <c r="A5491" s="1" t="s">
        <v>22984</v>
      </c>
      <c r="B5491" s="7" t="s">
        <v>22985</v>
      </c>
      <c r="C5491" s="7" t="s">
        <v>22986</v>
      </c>
      <c r="D5491" s="7" t="s">
        <v>22987</v>
      </c>
      <c r="E5491" s="7" t="s">
        <v>22988</v>
      </c>
      <c r="F5491" s="7" t="str">
        <f>HYPERLINK("http://www.lacucchetta.it/","www.lacucchetta.it")</f>
        <v>www.lacucchetta.it</v>
      </c>
    </row>
    <row r="5492" spans="1:6" ht="43.05" customHeight="1" x14ac:dyDescent="0.25">
      <c r="A5492" s="6" t="s">
        <v>22993</v>
      </c>
      <c r="B5492" s="5" t="s">
        <v>22994</v>
      </c>
      <c r="C5492" s="5" t="s">
        <v>22995</v>
      </c>
      <c r="D5492" s="5" t="s">
        <v>22989</v>
      </c>
      <c r="E5492" s="5" t="s">
        <v>22990</v>
      </c>
      <c r="F5492" s="5" t="str">
        <f>HYPERLINK("http://www.sipuofare.eu/","www.sipuofare.eu")</f>
        <v>www.sipuofare.eu</v>
      </c>
    </row>
    <row r="5493" spans="1:6" ht="16.95" customHeight="1" x14ac:dyDescent="0.25">
      <c r="A5493" s="1" t="s">
        <v>22996</v>
      </c>
      <c r="B5493" s="7" t="s">
        <v>22997</v>
      </c>
      <c r="C5493" s="7" t="s">
        <v>22998</v>
      </c>
      <c r="D5493" s="7" t="s">
        <v>22999</v>
      </c>
      <c r="E5493" s="7" t="s">
        <v>22999</v>
      </c>
      <c r="F5493" s="7" t="str">
        <f>HYPERLINK("http://www.pranumuttedu.com/","www.pranumuttedu.com")</f>
        <v>www.pranumuttedu.com</v>
      </c>
    </row>
    <row r="5494" spans="1:6" ht="29.55" customHeight="1" x14ac:dyDescent="0.25">
      <c r="A5494" s="1" t="s">
        <v>23000</v>
      </c>
      <c r="B5494" s="7" t="s">
        <v>23001</v>
      </c>
      <c r="C5494" s="7" t="s">
        <v>23002</v>
      </c>
      <c r="D5494" s="7" t="s">
        <v>22977</v>
      </c>
      <c r="E5494" s="7" t="s">
        <v>22978</v>
      </c>
      <c r="F5494" s="7" t="str">
        <f>HYPERLINK("http://www.masserialelamie.it/","www.masserialelamie.it")</f>
        <v>www.masserialelamie.it</v>
      </c>
    </row>
    <row r="5495" spans="1:6" ht="29.55" customHeight="1" x14ac:dyDescent="0.25">
      <c r="A5495" s="6" t="s">
        <v>23003</v>
      </c>
      <c r="B5495" s="5" t="s">
        <v>23004</v>
      </c>
      <c r="C5495" s="5" t="s">
        <v>23005</v>
      </c>
      <c r="D5495" s="5" t="s">
        <v>22982</v>
      </c>
      <c r="E5495" s="5" t="s">
        <v>22983</v>
      </c>
      <c r="F5495" s="5" t="str">
        <f>HYPERLINK("http://www.casecordovani.it/","www.casecordovani.it")</f>
        <v>www.casecordovani.it</v>
      </c>
    </row>
    <row r="5496" spans="1:6" ht="43.05" customHeight="1" x14ac:dyDescent="0.25">
      <c r="A5496" s="6" t="s">
        <v>23006</v>
      </c>
      <c r="B5496" s="5" t="s">
        <v>23007</v>
      </c>
      <c r="C5496" s="5" t="s">
        <v>22976</v>
      </c>
      <c r="D5496" s="5" t="s">
        <v>22991</v>
      </c>
      <c r="E5496" s="5" t="s">
        <v>22992</v>
      </c>
      <c r="F5496" s="5" t="str">
        <f>HYPERLINK("http://www.locaristorante.it/","www.locaristorante.it")</f>
        <v>www.locaristorante.it</v>
      </c>
    </row>
    <row r="5497" spans="1:6" ht="29.55" customHeight="1" x14ac:dyDescent="0.25">
      <c r="A5497" s="6" t="s">
        <v>23008</v>
      </c>
      <c r="B5497" s="5" t="s">
        <v>23009</v>
      </c>
      <c r="C5497" s="5" t="s">
        <v>22981</v>
      </c>
      <c r="D5497" s="5" t="s">
        <v>23010</v>
      </c>
      <c r="E5497" s="5" t="s">
        <v>22983</v>
      </c>
      <c r="F5497" s="5" t="str">
        <f>HYPERLINK("http://www.agriturismobellavista.it/","www.agriturismobellavista.it")</f>
        <v>www.agriturismobellavista.it</v>
      </c>
    </row>
    <row r="5498" spans="1:6" ht="29.55" customHeight="1" x14ac:dyDescent="0.25">
      <c r="A5498" s="1" t="s">
        <v>23015</v>
      </c>
      <c r="B5498" s="7" t="s">
        <v>23016</v>
      </c>
      <c r="C5498" s="7" t="s">
        <v>23012</v>
      </c>
      <c r="D5498" s="7" t="s">
        <v>23017</v>
      </c>
      <c r="E5498" s="7" t="s">
        <v>23018</v>
      </c>
      <c r="F5498" s="7" t="str">
        <f>HYPERLINK("http://www.italianblackgold.com/","www.italianblackgold.com")</f>
        <v>www.italianblackgold.com</v>
      </c>
    </row>
    <row r="5499" spans="1:6" ht="55.65" customHeight="1" x14ac:dyDescent="0.25">
      <c r="A5499" s="6" t="s">
        <v>23019</v>
      </c>
      <c r="B5499" s="5" t="s">
        <v>23020</v>
      </c>
      <c r="C5499" s="5" t="s">
        <v>23013</v>
      </c>
      <c r="D5499" s="5" t="s">
        <v>23021</v>
      </c>
      <c r="E5499" s="5" t="s">
        <v>23022</v>
      </c>
      <c r="F5499" s="5" t="str">
        <f>HYPERLINK("http://www.tusciawelcome.it/it/news","www.tusciawelcome.it/it/news")</f>
        <v>www.tusciawelcome.it/it/news</v>
      </c>
    </row>
    <row r="5500" spans="1:6" ht="55.65" customHeight="1" x14ac:dyDescent="0.25">
      <c r="A5500" s="1" t="s">
        <v>23023</v>
      </c>
      <c r="B5500" s="7" t="s">
        <v>23024</v>
      </c>
      <c r="C5500" s="7" t="s">
        <v>23025</v>
      </c>
      <c r="D5500" s="7" t="s">
        <v>23026</v>
      </c>
      <c r="E5500" s="7" t="s">
        <v>23027</v>
      </c>
      <c r="F5500" s="7" t="str">
        <f>HYPERLINK("http://www.cadigianni.it/","www.cadigianni.it")</f>
        <v>www.cadigianni.it</v>
      </c>
    </row>
    <row r="5501" spans="1:6" ht="16.95" customHeight="1" x14ac:dyDescent="0.25">
      <c r="A5501" s="6" t="s">
        <v>23028</v>
      </c>
      <c r="B5501" s="5" t="s">
        <v>23029</v>
      </c>
      <c r="C5501" s="5" t="s">
        <v>23014</v>
      </c>
      <c r="D5501" s="5" t="s">
        <v>23030</v>
      </c>
      <c r="E5501" s="5" t="s">
        <v>23011</v>
      </c>
      <c r="F5501" s="5" t="str">
        <f>HYPERLINK("http://www.facebook.com/aziendaagricoladonghiagiancarlo","www.facebook.com/aziendaagricoladonghiagiancarlo")</f>
        <v>www.facebook.com/aziendaagricoladonghiagiancarlo</v>
      </c>
    </row>
    <row r="5502" spans="1:6" ht="43.05" customHeight="1" x14ac:dyDescent="0.25">
      <c r="A5502" s="1" t="s">
        <v>23031</v>
      </c>
      <c r="B5502" s="7" t="s">
        <v>23032</v>
      </c>
      <c r="C5502" s="7" t="s">
        <v>23033</v>
      </c>
      <c r="D5502" s="7" t="s">
        <v>23034</v>
      </c>
      <c r="E5502" s="7" t="s">
        <v>23035</v>
      </c>
      <c r="F5502" s="7" t="str">
        <f>HYPERLINK("http://www.tenutadelvarco.com/","www.tenutadelvarco.com")</f>
        <v>www.tenutadelvarco.com</v>
      </c>
    </row>
    <row r="5503" spans="1:6" ht="29.55" customHeight="1" x14ac:dyDescent="0.25">
      <c r="A5503" s="1" t="s">
        <v>23037</v>
      </c>
      <c r="B5503" s="7" t="s">
        <v>23038</v>
      </c>
      <c r="C5503" s="7" t="s">
        <v>23033</v>
      </c>
      <c r="D5503" s="7" t="s">
        <v>23039</v>
      </c>
      <c r="E5503" s="7" t="s">
        <v>23035</v>
      </c>
      <c r="F5503" s="7" t="str">
        <f>HYPERLINK("http://agricolatorricostanzi.it/","agricolatorricostanzi.it")</f>
        <v>agricolatorricostanzi.it</v>
      </c>
    </row>
    <row r="5504" spans="1:6" ht="55.65" customHeight="1" x14ac:dyDescent="0.25">
      <c r="A5504" s="6" t="s">
        <v>23040</v>
      </c>
      <c r="B5504" s="5" t="s">
        <v>23041</v>
      </c>
      <c r="C5504" s="5" t="s">
        <v>23036</v>
      </c>
      <c r="D5504" s="5" t="s">
        <v>23034</v>
      </c>
      <c r="E5504" s="5" t="s">
        <v>23035</v>
      </c>
      <c r="F5504" s="5" t="str">
        <f>HYPERLINK("http://www.agribolla.com/","www.agribolla.com")</f>
        <v>www.agribolla.com</v>
      </c>
    </row>
    <row r="5505" spans="1:6" ht="55.65" customHeight="1" x14ac:dyDescent="0.25">
      <c r="A5505" s="6" t="s">
        <v>23042</v>
      </c>
      <c r="B5505" s="5" t="s">
        <v>23043</v>
      </c>
      <c r="C5505" s="5" t="s">
        <v>23044</v>
      </c>
      <c r="D5505" s="5" t="s">
        <v>23045</v>
      </c>
      <c r="E5505" s="5" t="s">
        <v>23046</v>
      </c>
      <c r="F5505" s="5" t="str">
        <f>HYPERLINK("http://www.agrimarketfc.it/","www.agrimarketfc.it")</f>
        <v>www.agrimarketfc.it</v>
      </c>
    </row>
    <row r="5506" spans="1:6" ht="29.55" customHeight="1" x14ac:dyDescent="0.25">
      <c r="A5506" s="1" t="s">
        <v>23047</v>
      </c>
      <c r="B5506" s="7" t="s">
        <v>23048</v>
      </c>
      <c r="C5506" s="7" t="s">
        <v>23049</v>
      </c>
      <c r="D5506" s="7" t="s">
        <v>23050</v>
      </c>
      <c r="E5506" s="7" t="s">
        <v>23051</v>
      </c>
      <c r="F5506" s="7" t="str">
        <f>HYPERLINK("http://www.stazionediposta.biz/","www.stazionediposta.biz")</f>
        <v>www.stazionediposta.biz</v>
      </c>
    </row>
    <row r="5507" spans="1:6" ht="16.95" customHeight="1" x14ac:dyDescent="0.25">
      <c r="A5507" s="1" t="s">
        <v>23052</v>
      </c>
      <c r="B5507" s="7" t="s">
        <v>23053</v>
      </c>
      <c r="C5507" s="7" t="s">
        <v>23054</v>
      </c>
      <c r="D5507" s="7" t="s">
        <v>23055</v>
      </c>
      <c r="E5507" s="7" t="s">
        <v>23056</v>
      </c>
      <c r="F5507" s="7" t="str">
        <f>HYPERLINK("http://www.sottotetto-bb.it/","www.sottotetto-bb.it")</f>
        <v>www.sottotetto-bb.it</v>
      </c>
    </row>
    <row r="5508" spans="1:6" ht="43.05" customHeight="1" x14ac:dyDescent="0.25">
      <c r="A5508" s="6" t="s">
        <v>23057</v>
      </c>
      <c r="B5508" s="5" t="s">
        <v>23058</v>
      </c>
      <c r="C5508" s="5" t="s">
        <v>23059</v>
      </c>
      <c r="D5508" s="5" t="s">
        <v>23060</v>
      </c>
      <c r="E5508" s="5" t="s">
        <v>23061</v>
      </c>
      <c r="F5508" s="5" t="str">
        <f>HYPERLINK("http://cooperativalavoroenonsolo.it/","cooperativalavoroenonsolo.it")</f>
        <v>cooperativalavoroenonsolo.it</v>
      </c>
    </row>
    <row r="5509" spans="1:6" ht="29.55" customHeight="1" x14ac:dyDescent="0.25">
      <c r="A5509" s="6" t="s">
        <v>23062</v>
      </c>
      <c r="B5509" s="5" t="s">
        <v>23063</v>
      </c>
      <c r="C5509" s="5" t="s">
        <v>23064</v>
      </c>
      <c r="D5509" s="5" t="s">
        <v>23065</v>
      </c>
      <c r="E5509" s="5" t="s">
        <v>23066</v>
      </c>
      <c r="F5509" s="5" t="str">
        <f>HYPERLINK("http://www.tenutecerfeda.it/","www.tenutecerfeda.it")</f>
        <v>www.tenutecerfeda.it</v>
      </c>
    </row>
    <row r="5510" spans="1:6" ht="29.55" customHeight="1" x14ac:dyDescent="0.25">
      <c r="A5510" s="1" t="s">
        <v>23068</v>
      </c>
      <c r="B5510" s="7" t="s">
        <v>23069</v>
      </c>
      <c r="C5510" s="7" t="s">
        <v>23070</v>
      </c>
      <c r="D5510" s="7" t="s">
        <v>23071</v>
      </c>
      <c r="E5510" s="7" t="s">
        <v>23072</v>
      </c>
      <c r="F5510" s="7" t="str">
        <f>HYPERLINK("http://www.facebook.com/osteriadelborgogarlenda","http://www.facebook.com/osteriadelborgogarlenda")</f>
        <v>http://www.facebook.com/osteriadelborgogarlenda</v>
      </c>
    </row>
    <row r="5511" spans="1:6" ht="29.55" customHeight="1" x14ac:dyDescent="0.25">
      <c r="A5511" s="1" t="s">
        <v>23073</v>
      </c>
      <c r="B5511" s="7" t="s">
        <v>23074</v>
      </c>
      <c r="C5511" s="7" t="s">
        <v>23075</v>
      </c>
      <c r="D5511" s="7" t="s">
        <v>23076</v>
      </c>
      <c r="E5511" s="7" t="s">
        <v>23067</v>
      </c>
      <c r="F5511" s="7" t="str">
        <f>HYPERLINK("http://www.caserporo.com/","www.caserporo.com")</f>
        <v>www.caserporo.com</v>
      </c>
    </row>
    <row r="5512" spans="1:6" ht="29.55" customHeight="1" x14ac:dyDescent="0.25">
      <c r="A5512" s="6" t="s">
        <v>23077</v>
      </c>
      <c r="B5512" s="5" t="s">
        <v>23078</v>
      </c>
      <c r="C5512" s="5" t="s">
        <v>23059</v>
      </c>
      <c r="D5512" s="5" t="s">
        <v>23079</v>
      </c>
      <c r="E5512" s="5" t="s">
        <v>23061</v>
      </c>
      <c r="F5512" s="5" t="str">
        <f>HYPERLINK("http://www.metabirrificioilmangione.it/","www.metabirrificioilmangione.it")</f>
        <v>www.metabirrificioilmangione.it</v>
      </c>
    </row>
    <row r="5513" spans="1:6" ht="16.95" customHeight="1" x14ac:dyDescent="0.25">
      <c r="A5513" s="6" t="s">
        <v>23080</v>
      </c>
      <c r="B5513" s="5" t="s">
        <v>23081</v>
      </c>
      <c r="C5513" s="5" t="s">
        <v>23082</v>
      </c>
      <c r="D5513" s="5" t="s">
        <v>23083</v>
      </c>
      <c r="E5513" s="5" t="s">
        <v>23084</v>
      </c>
      <c r="F5513" s="5" t="str">
        <f>HYPERLINK("http://santillivivai.it/","santillivivai.it")</f>
        <v>santillivivai.it</v>
      </c>
    </row>
    <row r="5514" spans="1:6" ht="29.55" customHeight="1" x14ac:dyDescent="0.25">
      <c r="A5514" s="1" t="s">
        <v>23085</v>
      </c>
      <c r="B5514" s="7" t="s">
        <v>23086</v>
      </c>
      <c r="C5514" s="7" t="s">
        <v>23087</v>
      </c>
      <c r="D5514" s="7" t="s">
        <v>23088</v>
      </c>
      <c r="E5514" s="7" t="s">
        <v>23089</v>
      </c>
      <c r="F5514" s="7" t="str">
        <f>HYPERLINK("http://www.roncsoreli.com/","www.roncsoreli.com")</f>
        <v>www.roncsoreli.com</v>
      </c>
    </row>
    <row r="5515" spans="1:6" ht="29.55" customHeight="1" x14ac:dyDescent="0.25">
      <c r="A5515" s="1" t="s">
        <v>23090</v>
      </c>
      <c r="B5515" s="7" t="s">
        <v>23091</v>
      </c>
      <c r="C5515" s="7" t="s">
        <v>23092</v>
      </c>
      <c r="D5515" s="7" t="s">
        <v>23093</v>
      </c>
      <c r="E5515" s="7" t="s">
        <v>23094</v>
      </c>
      <c r="F5515" s="7" t="str">
        <f>HYPERLINK("http://www.donnaoleria.it/","www.donnaoleria.it")</f>
        <v>www.donnaoleria.it</v>
      </c>
    </row>
    <row r="5516" spans="1:6" ht="16.95" customHeight="1" x14ac:dyDescent="0.25">
      <c r="A5516" s="6" t="s">
        <v>23097</v>
      </c>
      <c r="B5516" s="5" t="s">
        <v>23098</v>
      </c>
      <c r="C5516" s="5" t="s">
        <v>23099</v>
      </c>
      <c r="D5516" s="5" t="s">
        <v>23100</v>
      </c>
      <c r="E5516" s="5" t="s">
        <v>23101</v>
      </c>
      <c r="F5516" s="5" t="str">
        <f>HYPERLINK("http://www.pisanigroup.it/","www.pisanigroup.it")</f>
        <v>www.pisanigroup.it</v>
      </c>
    </row>
    <row r="5517" spans="1:6" ht="29.55" customHeight="1" x14ac:dyDescent="0.25">
      <c r="A5517" s="1" t="s">
        <v>23102</v>
      </c>
      <c r="B5517" s="7" t="s">
        <v>23103</v>
      </c>
      <c r="C5517" s="7" t="s">
        <v>23087</v>
      </c>
      <c r="D5517" s="7" t="s">
        <v>23104</v>
      </c>
      <c r="E5517" s="7" t="s">
        <v>23105</v>
      </c>
      <c r="F5517" s="7" t="str">
        <f>HYPERLINK("http://www.tenutaoderisio.it/","www.tenutaoderisio.it")</f>
        <v>www.tenutaoderisio.it</v>
      </c>
    </row>
    <row r="5518" spans="1:6" ht="43.05" customHeight="1" x14ac:dyDescent="0.25">
      <c r="A5518" s="1" t="s">
        <v>23106</v>
      </c>
      <c r="B5518" s="7" t="s">
        <v>23107</v>
      </c>
      <c r="C5518" s="7" t="s">
        <v>23096</v>
      </c>
      <c r="D5518" s="7" t="s">
        <v>23108</v>
      </c>
      <c r="E5518" s="7" t="s">
        <v>23109</v>
      </c>
      <c r="F5518" s="7" t="str">
        <f>HYPERLINK("http://agriturismomargherita.net/","agriturismomargherita.net")</f>
        <v>agriturismomargherita.net</v>
      </c>
    </row>
    <row r="5519" spans="1:6" ht="43.05" customHeight="1" x14ac:dyDescent="0.25">
      <c r="A5519" s="1" t="s">
        <v>23110</v>
      </c>
      <c r="B5519" s="7" t="s">
        <v>23111</v>
      </c>
      <c r="C5519" s="7" t="s">
        <v>23112</v>
      </c>
      <c r="D5519" s="7" t="s">
        <v>23113</v>
      </c>
      <c r="E5519" s="7" t="s">
        <v>23114</v>
      </c>
      <c r="F5519" s="7" t="str">
        <f>HYPERLINK("http://www.sulicantzu.com/","www.sulicantzu.com")</f>
        <v>www.sulicantzu.com</v>
      </c>
    </row>
    <row r="5520" spans="1:6" ht="43.05" customHeight="1" x14ac:dyDescent="0.25">
      <c r="A5520" s="6" t="s">
        <v>23115</v>
      </c>
      <c r="B5520" s="5" t="s">
        <v>23116</v>
      </c>
      <c r="C5520" s="5" t="s">
        <v>23087</v>
      </c>
      <c r="D5520" s="5" t="s">
        <v>23117</v>
      </c>
      <c r="E5520" s="5" t="s">
        <v>23095</v>
      </c>
      <c r="F5520" s="5" t="str">
        <f>HYPERLINK("http://www.agriturismopietrafitta.com/","www.agriturismopietrafitta.com")</f>
        <v>www.agriturismopietrafitta.com</v>
      </c>
    </row>
    <row r="5521" spans="1:6" ht="55.65" customHeight="1" x14ac:dyDescent="0.25">
      <c r="A5521" s="1" t="s">
        <v>23118</v>
      </c>
      <c r="B5521" s="7" t="s">
        <v>23119</v>
      </c>
      <c r="C5521" s="7" t="s">
        <v>23120</v>
      </c>
      <c r="D5521" s="7" t="s">
        <v>23121</v>
      </c>
      <c r="E5521" s="7" t="s">
        <v>23094</v>
      </c>
      <c r="F5521" s="7" t="str">
        <f>HYPERLINK("http://www.lapica.org/","www.lapica.org")</f>
        <v>www.lapica.org</v>
      </c>
    </row>
    <row r="5522" spans="1:6" ht="43.05" customHeight="1" x14ac:dyDescent="0.25">
      <c r="A5522" s="1" t="s">
        <v>23125</v>
      </c>
      <c r="B5522" s="7" t="s">
        <v>23126</v>
      </c>
      <c r="C5522" s="7" t="s">
        <v>23127</v>
      </c>
      <c r="D5522" s="7" t="s">
        <v>23128</v>
      </c>
      <c r="E5522" s="7" t="s">
        <v>23129</v>
      </c>
      <c r="F5522" s="7" t="str">
        <f>HYPERLINK("http://www.agriturismoacasanostra.it/","www.agriturismoacasanostra.it")</f>
        <v>www.agriturismoacasanostra.it</v>
      </c>
    </row>
    <row r="5523" spans="1:6" ht="29.55" customHeight="1" x14ac:dyDescent="0.25">
      <c r="A5523" s="1" t="s">
        <v>23130</v>
      </c>
      <c r="B5523" s="7" t="s">
        <v>23131</v>
      </c>
      <c r="C5523" s="7" t="s">
        <v>23132</v>
      </c>
      <c r="D5523" s="7" t="s">
        <v>23133</v>
      </c>
      <c r="E5523" s="7" t="s">
        <v>23134</v>
      </c>
      <c r="F5523" s="7" t="str">
        <f>HYPERLINK("http://www.cascinadolomiti.it/","www.cascinadolomiti.it")</f>
        <v>www.cascinadolomiti.it</v>
      </c>
    </row>
    <row r="5524" spans="1:6" ht="29.55" customHeight="1" x14ac:dyDescent="0.25">
      <c r="A5524" s="6" t="s">
        <v>23137</v>
      </c>
      <c r="B5524" s="5" t="s">
        <v>23138</v>
      </c>
      <c r="C5524" s="5" t="s">
        <v>23135</v>
      </c>
      <c r="D5524" s="5" t="s">
        <v>23139</v>
      </c>
      <c r="E5524" s="5" t="s">
        <v>23136</v>
      </c>
      <c r="F5524" s="5" t="str">
        <f>HYPERLINK("http://www.biorima.it/","www.biorima.it")</f>
        <v>www.biorima.it</v>
      </c>
    </row>
    <row r="5525" spans="1:6" ht="29.55" customHeight="1" x14ac:dyDescent="0.25">
      <c r="A5525" s="6" t="s">
        <v>23140</v>
      </c>
      <c r="B5525" s="5" t="s">
        <v>23141</v>
      </c>
      <c r="C5525" s="5" t="s">
        <v>23122</v>
      </c>
      <c r="D5525" s="5" t="s">
        <v>23123</v>
      </c>
      <c r="E5525" s="5" t="s">
        <v>23124</v>
      </c>
      <c r="F5525" s="5" t="str">
        <f>HYPERLINK("http://www.piantecubeda.it/","www.piantecubeda.it")</f>
        <v>www.piantecubeda.it</v>
      </c>
    </row>
    <row r="5526" spans="1:6" ht="29.55" customHeight="1" x14ac:dyDescent="0.25">
      <c r="A5526" s="1" t="s">
        <v>23142</v>
      </c>
      <c r="B5526" s="7" t="s">
        <v>23143</v>
      </c>
      <c r="C5526" s="7" t="s">
        <v>23144</v>
      </c>
      <c r="D5526" s="7" t="s">
        <v>23145</v>
      </c>
      <c r="E5526" s="7" t="s">
        <v>23146</v>
      </c>
      <c r="F5526" s="7" t="str">
        <f>HYPERLINK("http://www.cascinalanga.it/","www.cascinalanga.it")</f>
        <v>www.cascinalanga.it</v>
      </c>
    </row>
    <row r="5527" spans="1:6" ht="29.55" customHeight="1" x14ac:dyDescent="0.25">
      <c r="A5527" s="1" t="s">
        <v>23147</v>
      </c>
      <c r="B5527" s="7" t="s">
        <v>23148</v>
      </c>
      <c r="C5527" s="7" t="s">
        <v>23149</v>
      </c>
      <c r="D5527" s="7" t="s">
        <v>23150</v>
      </c>
      <c r="E5527" s="7" t="s">
        <v>23151</v>
      </c>
      <c r="F5527" s="7" t="str">
        <f>HYPERLINK("http://www.vinisantafrancesca.it/","www.vinisantafrancesca.it")</f>
        <v>www.vinisantafrancesca.it</v>
      </c>
    </row>
    <row r="5528" spans="1:6" ht="29.55" customHeight="1" x14ac:dyDescent="0.25">
      <c r="A5528" s="1" t="s">
        <v>23153</v>
      </c>
      <c r="B5528" s="7" t="s">
        <v>23154</v>
      </c>
      <c r="C5528" s="7" t="s">
        <v>23155</v>
      </c>
      <c r="D5528" s="7" t="s">
        <v>23156</v>
      </c>
      <c r="E5528" s="7" t="s">
        <v>23152</v>
      </c>
      <c r="F5528" s="7" t="str">
        <f>HYPERLINK("http://ribernavel.com/","ribernavel.com")</f>
        <v>ribernavel.com</v>
      </c>
    </row>
    <row r="5529" spans="1:6" ht="29.55" customHeight="1" x14ac:dyDescent="0.25">
      <c r="A5529" s="6" t="s">
        <v>23157</v>
      </c>
      <c r="B5529" s="5" t="s">
        <v>23158</v>
      </c>
      <c r="C5529" s="5" t="s">
        <v>23149</v>
      </c>
      <c r="D5529" s="5" t="s">
        <v>23159</v>
      </c>
      <c r="E5529" s="5" t="s">
        <v>23160</v>
      </c>
      <c r="F5529" s="5" t="str">
        <f>HYPERLINK("http://www.silattari.com/","www.silattari.com")</f>
        <v>www.silattari.com</v>
      </c>
    </row>
    <row r="5530" spans="1:6" ht="29.55" customHeight="1" x14ac:dyDescent="0.25">
      <c r="A5530" s="6" t="s">
        <v>23163</v>
      </c>
      <c r="B5530" s="5" t="s">
        <v>23164</v>
      </c>
      <c r="C5530" s="5" t="s">
        <v>23165</v>
      </c>
      <c r="D5530" s="5" t="s">
        <v>23161</v>
      </c>
      <c r="E5530" s="5" t="s">
        <v>23162</v>
      </c>
      <c r="F5530" s="5" t="str">
        <f>HYPERLINK("http://www.frescodisila.it/","www.frescodisila.it")</f>
        <v>www.frescodisila.it</v>
      </c>
    </row>
    <row r="5531" spans="1:6" ht="29.55" customHeight="1" x14ac:dyDescent="0.25">
      <c r="A5531" s="6" t="s">
        <v>23166</v>
      </c>
      <c r="B5531" s="5" t="s">
        <v>23167</v>
      </c>
      <c r="C5531" s="5" t="s">
        <v>23168</v>
      </c>
      <c r="D5531" s="5" t="s">
        <v>23169</v>
      </c>
      <c r="E5531" s="5" t="s">
        <v>23151</v>
      </c>
      <c r="F5531" s="5" t="str">
        <f>HYPERLINK("http://luciaiannotta.com/","luciaiannotta.com")</f>
        <v>luciaiannotta.com</v>
      </c>
    </row>
    <row r="5532" spans="1:6" ht="29.55" customHeight="1" x14ac:dyDescent="0.25">
      <c r="A5532" s="6" t="s">
        <v>23170</v>
      </c>
      <c r="B5532" s="5" t="s">
        <v>23171</v>
      </c>
      <c r="C5532" s="5" t="s">
        <v>23172</v>
      </c>
      <c r="D5532" s="5" t="s">
        <v>23173</v>
      </c>
      <c r="E5532" s="5" t="s">
        <v>23174</v>
      </c>
      <c r="F5532" s="5" t="str">
        <f>HYPERLINK("http://www.gourmetselection.it/","www.gourmetselection.it")</f>
        <v>www.gourmetselection.it</v>
      </c>
    </row>
    <row r="5533" spans="1:6" ht="29.55" customHeight="1" x14ac:dyDescent="0.25">
      <c r="A5533" s="1" t="s">
        <v>23178</v>
      </c>
      <c r="B5533" s="7" t="s">
        <v>23179</v>
      </c>
      <c r="C5533" s="7" t="s">
        <v>23177</v>
      </c>
      <c r="D5533" s="7" t="s">
        <v>23180</v>
      </c>
      <c r="E5533" s="7" t="s">
        <v>23181</v>
      </c>
      <c r="F5533" s="7" t="str">
        <f>HYPERLINK("http://www.leife.it/","www.leife.it")</f>
        <v>www.leife.it</v>
      </c>
    </row>
    <row r="5534" spans="1:6" ht="43.05" customHeight="1" x14ac:dyDescent="0.25">
      <c r="A5534" s="6" t="s">
        <v>23182</v>
      </c>
      <c r="B5534" s="5" t="s">
        <v>23183</v>
      </c>
      <c r="C5534" s="5" t="s">
        <v>23172</v>
      </c>
      <c r="D5534" s="5" t="s">
        <v>23175</v>
      </c>
      <c r="E5534" s="5" t="s">
        <v>23176</v>
      </c>
      <c r="F5534" s="5" t="str">
        <f>HYPERLINK("http://www.oleificiocooptorchiarolo.it/","www.oleificiocooptorchiarolo.it")</f>
        <v>www.oleificiocooptorchiarolo.it</v>
      </c>
    </row>
    <row r="5535" spans="1:6" ht="29.55" customHeight="1" x14ac:dyDescent="0.25">
      <c r="A5535" s="1" t="s">
        <v>23186</v>
      </c>
      <c r="B5535" s="7" t="s">
        <v>23187</v>
      </c>
      <c r="C5535" s="7" t="s">
        <v>23188</v>
      </c>
      <c r="D5535" s="7" t="s">
        <v>23184</v>
      </c>
      <c r="E5535" s="7" t="s">
        <v>23185</v>
      </c>
      <c r="F5535" s="7" t="str">
        <f>HYPERLINK("http://www.levignedelladuchessa.com/","www.levignedelladuchessa.com")</f>
        <v>www.levignedelladuchessa.com</v>
      </c>
    </row>
    <row r="5536" spans="1:6" ht="29.55" customHeight="1" x14ac:dyDescent="0.25">
      <c r="A5536" s="6" t="s">
        <v>23190</v>
      </c>
      <c r="B5536" s="5" t="s">
        <v>23191</v>
      </c>
      <c r="C5536" s="5" t="s">
        <v>23189</v>
      </c>
      <c r="D5536" s="5" t="s">
        <v>23192</v>
      </c>
      <c r="E5536" s="5" t="s">
        <v>23193</v>
      </c>
      <c r="F5536" s="5" t="str">
        <f>HYPERLINK("http://www.ilverdedelsalento.com/","www.ilverdedelsalento.com")</f>
        <v>www.ilverdedelsalento.com</v>
      </c>
    </row>
    <row r="5537" spans="1:6" ht="16.95" customHeight="1" x14ac:dyDescent="0.25">
      <c r="A5537" s="6" t="s">
        <v>23195</v>
      </c>
      <c r="B5537" s="5" t="s">
        <v>23196</v>
      </c>
      <c r="C5537" s="5" t="s">
        <v>23197</v>
      </c>
      <c r="D5537" s="5" t="s">
        <v>23198</v>
      </c>
      <c r="E5537" s="5" t="s">
        <v>23194</v>
      </c>
      <c r="F5537" s="5" t="str">
        <f>HYPERLINK("http://www.facebook.com/jumpingarcagnago/","www.facebook.com/jumpingarcagnago/")</f>
        <v>www.facebook.com/jumpingarcagnago/</v>
      </c>
    </row>
    <row r="5538" spans="1:6" ht="29.55" customHeight="1" x14ac:dyDescent="0.25">
      <c r="A5538" s="6" t="s">
        <v>23199</v>
      </c>
      <c r="B5538" s="5" t="s">
        <v>23200</v>
      </c>
      <c r="C5538" s="5" t="s">
        <v>23201</v>
      </c>
      <c r="D5538" s="5" t="s">
        <v>23202</v>
      </c>
      <c r="E5538" s="5" t="s">
        <v>23194</v>
      </c>
      <c r="F5538" s="5" t="str">
        <f>HYPERLINK("http://www.oroverde-srl.it/","www.oroverde-srl.it")</f>
        <v>www.oroverde-srl.it</v>
      </c>
    </row>
    <row r="5539" spans="1:6" ht="43.05" customHeight="1" x14ac:dyDescent="0.25">
      <c r="A5539" s="1" t="s">
        <v>23203</v>
      </c>
      <c r="B5539" s="7" t="s">
        <v>23204</v>
      </c>
      <c r="C5539" s="7" t="s">
        <v>23205</v>
      </c>
      <c r="D5539" s="7" t="s">
        <v>23206</v>
      </c>
      <c r="E5539" s="7" t="s">
        <v>23207</v>
      </c>
      <c r="F5539" s="7" t="str">
        <f>HYPERLINK("http://www.scuderialeonardo.it/","www.scuderialeonardo.it")</f>
        <v>www.scuderialeonardo.it</v>
      </c>
    </row>
    <row r="5540" spans="1:6" ht="43.05" customHeight="1" x14ac:dyDescent="0.25">
      <c r="A5540" s="6" t="s">
        <v>23210</v>
      </c>
      <c r="B5540" s="5" t="s">
        <v>23211</v>
      </c>
      <c r="C5540" s="5" t="s">
        <v>23212</v>
      </c>
      <c r="D5540" s="5" t="s">
        <v>23213</v>
      </c>
      <c r="E5540" s="5" t="s">
        <v>23209</v>
      </c>
      <c r="F5540" s="5" t="str">
        <f>HYPERLINK("http://agricola-spartivento-srl-in-forma-abbreviata-aspa--02712830922.quantofattura.com/","agricola-spartivento-srl-in-forma-abbreviata-aspa--02712830922.quantofattura.com")</f>
        <v>agricola-spartivento-srl-in-forma-abbreviata-aspa--02712830922.quantofattura.com</v>
      </c>
    </row>
    <row r="5541" spans="1:6" ht="29.55" customHeight="1" x14ac:dyDescent="0.25">
      <c r="A5541" s="6" t="s">
        <v>23214</v>
      </c>
      <c r="B5541" s="5" t="s">
        <v>23215</v>
      </c>
      <c r="C5541" s="5" t="s">
        <v>23205</v>
      </c>
      <c r="D5541" s="5" t="s">
        <v>23216</v>
      </c>
      <c r="E5541" s="5" t="s">
        <v>23217</v>
      </c>
      <c r="F5541" s="5" t="str">
        <f>HYPERLINK("http://www.lanuovasbarra.it/","www.lanuovasbarra.it")</f>
        <v>www.lanuovasbarra.it</v>
      </c>
    </row>
    <row r="5542" spans="1:6" ht="29.55" customHeight="1" x14ac:dyDescent="0.25">
      <c r="A5542" s="1" t="s">
        <v>23220</v>
      </c>
      <c r="B5542" s="7" t="s">
        <v>23221</v>
      </c>
      <c r="C5542" s="7" t="s">
        <v>23219</v>
      </c>
      <c r="D5542" s="7" t="s">
        <v>23218</v>
      </c>
      <c r="E5542" s="7" t="s">
        <v>23208</v>
      </c>
      <c r="F5542" s="7" t="str">
        <f>HYPERLINK("http://www.poderilafenice.it/","www.poderilafenice.it")</f>
        <v>www.poderilafenice.it</v>
      </c>
    </row>
    <row r="5543" spans="1:6" ht="29.55" customHeight="1" x14ac:dyDescent="0.25">
      <c r="A5543" s="1" t="s">
        <v>23222</v>
      </c>
      <c r="B5543" s="7" t="s">
        <v>23223</v>
      </c>
      <c r="C5543" s="7" t="s">
        <v>23224</v>
      </c>
      <c r="D5543" s="7" t="s">
        <v>23225</v>
      </c>
      <c r="E5543" s="7" t="s">
        <v>23226</v>
      </c>
      <c r="F5543" s="7" t="str">
        <f>HYPERLINK("http://www.montesantantonio.it/","www.montesantantonio.it")</f>
        <v>www.montesantantonio.it</v>
      </c>
    </row>
    <row r="5544" spans="1:6" ht="29.55" customHeight="1" x14ac:dyDescent="0.25">
      <c r="A5544" s="6" t="s">
        <v>23231</v>
      </c>
      <c r="B5544" s="5" t="s">
        <v>23232</v>
      </c>
      <c r="C5544" s="5" t="s">
        <v>23233</v>
      </c>
      <c r="D5544" s="5" t="s">
        <v>23234</v>
      </c>
      <c r="E5544" s="5" t="s">
        <v>23228</v>
      </c>
      <c r="F5544" s="5" t="str">
        <f>HYPERLINK("http://www.agreste.it/","www.agreste.it")</f>
        <v>www.agreste.it</v>
      </c>
    </row>
    <row r="5545" spans="1:6" ht="29.55" customHeight="1" x14ac:dyDescent="0.25">
      <c r="A5545" s="6" t="s">
        <v>23235</v>
      </c>
      <c r="B5545" s="5" t="s">
        <v>23236</v>
      </c>
      <c r="C5545" s="5" t="s">
        <v>23237</v>
      </c>
      <c r="D5545" s="5" t="s">
        <v>23238</v>
      </c>
      <c r="E5545" s="5" t="s">
        <v>23229</v>
      </c>
      <c r="F5545" s="5" t="str">
        <f>HYPERLINK("http://www.aster.cc/","www.aster.cc")</f>
        <v>www.aster.cc</v>
      </c>
    </row>
    <row r="5546" spans="1:6" ht="55.65" customHeight="1" x14ac:dyDescent="0.25">
      <c r="A5546" s="1" t="s">
        <v>23239</v>
      </c>
      <c r="B5546" s="7" t="s">
        <v>23240</v>
      </c>
      <c r="C5546" s="7" t="s">
        <v>23227</v>
      </c>
      <c r="D5546" s="7" t="s">
        <v>23241</v>
      </c>
      <c r="E5546" s="7" t="s">
        <v>23242</v>
      </c>
      <c r="F5546" s="7" t="str">
        <f>HYPERLINK("http://www.arbiola.it/","www.arbiola.it")</f>
        <v>www.arbiola.it</v>
      </c>
    </row>
    <row r="5547" spans="1:6" ht="29.55" customHeight="1" x14ac:dyDescent="0.25">
      <c r="A5547" s="6" t="s">
        <v>23243</v>
      </c>
      <c r="B5547" s="5" t="s">
        <v>23244</v>
      </c>
      <c r="C5547" s="5" t="s">
        <v>23237</v>
      </c>
      <c r="D5547" s="5" t="s">
        <v>23245</v>
      </c>
      <c r="E5547" s="5" t="s">
        <v>23230</v>
      </c>
      <c r="F5547" s="5" t="str">
        <f>HYPERLINK("http://www.verdelido.it/","www.verdelido.it")</f>
        <v>www.verdelido.it</v>
      </c>
    </row>
    <row r="5548" spans="1:6" ht="29.55" customHeight="1" x14ac:dyDescent="0.25">
      <c r="A5548" s="1" t="s">
        <v>23246</v>
      </c>
      <c r="B5548" s="7" t="s">
        <v>23247</v>
      </c>
      <c r="C5548" s="7" t="s">
        <v>23248</v>
      </c>
      <c r="D5548" s="7" t="s">
        <v>23249</v>
      </c>
      <c r="E5548" s="7" t="s">
        <v>23250</v>
      </c>
      <c r="F5548" s="7" t="str">
        <f>HYPERLINK("http://offerte.giuncola.it/","offerte.giuncola.it")</f>
        <v>offerte.giuncola.it</v>
      </c>
    </row>
    <row r="5549" spans="1:6" ht="55.65" customHeight="1" x14ac:dyDescent="0.25">
      <c r="A5549" s="1" t="s">
        <v>23254</v>
      </c>
      <c r="B5549" s="7" t="s">
        <v>23255</v>
      </c>
      <c r="C5549" s="7" t="s">
        <v>23256</v>
      </c>
      <c r="D5549" s="7" t="s">
        <v>23257</v>
      </c>
      <c r="E5549" s="7" t="s">
        <v>23258</v>
      </c>
      <c r="F5549" s="7" t="str">
        <f>HYPERLINK("http://www.rioceronda.it/","www.rioceronda.it")</f>
        <v>www.rioceronda.it</v>
      </c>
    </row>
    <row r="5550" spans="1:6" ht="43.05" customHeight="1" x14ac:dyDescent="0.25">
      <c r="A5550" s="1" t="s">
        <v>23259</v>
      </c>
      <c r="B5550" s="7" t="s">
        <v>23260</v>
      </c>
      <c r="C5550" s="7" t="s">
        <v>23261</v>
      </c>
      <c r="D5550" s="7" t="s">
        <v>23262</v>
      </c>
      <c r="E5550" s="7" t="s">
        <v>23263</v>
      </c>
      <c r="F5550" s="7" t="str">
        <f>HYPERLINK("http://www.cobragor.org/","www.cobragor.org")</f>
        <v>www.cobragor.org</v>
      </c>
    </row>
    <row r="5551" spans="1:6" ht="29.55" customHeight="1" x14ac:dyDescent="0.25">
      <c r="A5551" s="6" t="s">
        <v>23264</v>
      </c>
      <c r="B5551" s="5" t="s">
        <v>23265</v>
      </c>
      <c r="C5551" s="5" t="s">
        <v>23253</v>
      </c>
      <c r="D5551" s="5" t="s">
        <v>23266</v>
      </c>
      <c r="E5551" s="5" t="s">
        <v>23251</v>
      </c>
      <c r="F5551" s="5" t="str">
        <f>HYPERLINK("http://www.tenutadelcastello.it/","www.tenutadelcastello.it")</f>
        <v>www.tenutadelcastello.it</v>
      </c>
    </row>
    <row r="5552" spans="1:6" ht="16.95" customHeight="1" x14ac:dyDescent="0.25">
      <c r="A5552" s="1" t="s">
        <v>23267</v>
      </c>
      <c r="B5552" s="7" t="s">
        <v>23268</v>
      </c>
      <c r="C5552" s="7" t="s">
        <v>23252</v>
      </c>
      <c r="D5552" s="7" t="s">
        <v>23262</v>
      </c>
      <c r="E5552" s="7" t="s">
        <v>23263</v>
      </c>
      <c r="F5552" s="7" t="str">
        <f>HYPERLINK("http://www.canaparoma.eu/","www.canaparoma.eu")</f>
        <v>www.canaparoma.eu</v>
      </c>
    </row>
    <row r="5553" spans="1:6" ht="29.55" customHeight="1" x14ac:dyDescent="0.25">
      <c r="A5553" s="1" t="s">
        <v>23269</v>
      </c>
      <c r="B5553" s="7" t="s">
        <v>23270</v>
      </c>
      <c r="C5553" s="7" t="s">
        <v>23253</v>
      </c>
      <c r="D5553" s="7" t="s">
        <v>23271</v>
      </c>
      <c r="E5553" s="7" t="s">
        <v>23272</v>
      </c>
      <c r="F5553" s="7" t="str">
        <f>HYPERLINK("http://tenutedelborgo.it/","tenutedelborgo.it")</f>
        <v>tenutedelborgo.it</v>
      </c>
    </row>
    <row r="5554" spans="1:6" ht="29.55" customHeight="1" x14ac:dyDescent="0.25">
      <c r="A5554" s="6" t="s">
        <v>23275</v>
      </c>
      <c r="B5554" s="5" t="s">
        <v>23276</v>
      </c>
      <c r="C5554" s="5" t="s">
        <v>23274</v>
      </c>
      <c r="D5554" s="5" t="s">
        <v>23277</v>
      </c>
      <c r="E5554" s="5" t="s">
        <v>23278</v>
      </c>
      <c r="F5554" s="5" t="str">
        <f>HYPERLINK("http://www.associazione1429.com/azienda-agricola-colue/","www.associazione1429.com/azienda-agricola-colue/")</f>
        <v>www.associazione1429.com/azienda-agricola-colue/</v>
      </c>
    </row>
    <row r="5555" spans="1:6" ht="29.55" customHeight="1" x14ac:dyDescent="0.25">
      <c r="A5555" s="6" t="s">
        <v>23280</v>
      </c>
      <c r="B5555" s="5" t="s">
        <v>23281</v>
      </c>
      <c r="C5555" s="5" t="s">
        <v>23274</v>
      </c>
      <c r="D5555" s="5" t="s">
        <v>23282</v>
      </c>
      <c r="E5555" s="5" t="s">
        <v>23279</v>
      </c>
      <c r="F5555" s="5" t="str">
        <f>HYPERLINK("http://www.pancrazi.it/","www.pancrazi.it")</f>
        <v>www.pancrazi.it</v>
      </c>
    </row>
    <row r="5556" spans="1:6" ht="29.55" customHeight="1" x14ac:dyDescent="0.25">
      <c r="A5556" s="6" t="s">
        <v>23284</v>
      </c>
      <c r="B5556" s="5" t="s">
        <v>23285</v>
      </c>
      <c r="C5556" s="5" t="s">
        <v>23286</v>
      </c>
      <c r="D5556" s="5" t="s">
        <v>23283</v>
      </c>
      <c r="E5556" s="5" t="s">
        <v>23273</v>
      </c>
      <c r="F5556" s="5" t="str">
        <f>HYPERLINK("http://lafortezza-vivai-srl-00428080725.quantofattura.com/","lafortezza-vivai-srl-00428080725.quantofattura.com")</f>
        <v>lafortezza-vivai-srl-00428080725.quantofattura.com</v>
      </c>
    </row>
    <row r="5557" spans="1:6" ht="29.55" customHeight="1" x14ac:dyDescent="0.25">
      <c r="A5557" s="1" t="s">
        <v>23288</v>
      </c>
      <c r="B5557" s="7" t="s">
        <v>23289</v>
      </c>
      <c r="C5557" s="7" t="s">
        <v>23290</v>
      </c>
      <c r="D5557" s="7" t="s">
        <v>23291</v>
      </c>
      <c r="E5557" s="7" t="s">
        <v>23292</v>
      </c>
      <c r="F5557" s="7" t="str">
        <f>HYPERLINK("http://boscogrande.it/","boscogrande.it")</f>
        <v>boscogrande.it</v>
      </c>
    </row>
    <row r="5558" spans="1:6" ht="29.55" customHeight="1" x14ac:dyDescent="0.25">
      <c r="A5558" s="6" t="s">
        <v>23293</v>
      </c>
      <c r="B5558" s="5" t="s">
        <v>23294</v>
      </c>
      <c r="C5558" s="5" t="s">
        <v>23295</v>
      </c>
      <c r="D5558" s="5" t="s">
        <v>23296</v>
      </c>
      <c r="E5558" s="5" t="s">
        <v>23297</v>
      </c>
      <c r="F5558" s="5" t="str">
        <f>HYPERLINK("http://www.agriturismoilmolino.it/","www.agriturismoilmolino.it")</f>
        <v>www.agriturismoilmolino.it</v>
      </c>
    </row>
    <row r="5559" spans="1:6" ht="29.55" customHeight="1" x14ac:dyDescent="0.25">
      <c r="A5559" s="1" t="s">
        <v>23298</v>
      </c>
      <c r="B5559" s="7" t="s">
        <v>23299</v>
      </c>
      <c r="C5559" s="7" t="s">
        <v>23300</v>
      </c>
      <c r="D5559" s="7" t="s">
        <v>23301</v>
      </c>
      <c r="E5559" s="7" t="s">
        <v>23302</v>
      </c>
      <c r="F5559" s="7" t="str">
        <f>HYPERLINK("http://www.agriturismoparcoverde.it/","www.agriturismoparcoverde.it")</f>
        <v>www.agriturismoparcoverde.it</v>
      </c>
    </row>
    <row r="5560" spans="1:6" ht="29.55" customHeight="1" x14ac:dyDescent="0.25">
      <c r="A5560" s="6" t="s">
        <v>23303</v>
      </c>
      <c r="B5560" s="5" t="s">
        <v>23304</v>
      </c>
      <c r="C5560" s="5" t="s">
        <v>23305</v>
      </c>
      <c r="D5560" s="5" t="s">
        <v>23306</v>
      </c>
      <c r="E5560" s="5" t="s">
        <v>23287</v>
      </c>
      <c r="F5560" s="5" t="str">
        <f>HYPERLINK("http://lascapigliata.it/","lascapigliata.it")</f>
        <v>lascapigliata.it</v>
      </c>
    </row>
    <row r="5561" spans="1:6" ht="29.55" customHeight="1" x14ac:dyDescent="0.25">
      <c r="A5561" s="1" t="s">
        <v>23308</v>
      </c>
      <c r="B5561" s="7" t="s">
        <v>23309</v>
      </c>
      <c r="C5561" s="7" t="s">
        <v>23310</v>
      </c>
      <c r="D5561" s="7" t="s">
        <v>23311</v>
      </c>
      <c r="E5561" s="7" t="s">
        <v>23312</v>
      </c>
      <c r="F5561" s="7" t="str">
        <f>HYPERLINK("http://www.agricasabianca.it/","www.agricasabianca.it")</f>
        <v>www.agricasabianca.it</v>
      </c>
    </row>
    <row r="5562" spans="1:6" ht="43.05" customHeight="1" x14ac:dyDescent="0.25">
      <c r="A5562" s="6" t="s">
        <v>23315</v>
      </c>
      <c r="B5562" s="5" t="s">
        <v>23316</v>
      </c>
      <c r="C5562" s="5" t="s">
        <v>23317</v>
      </c>
      <c r="D5562" s="5" t="s">
        <v>23318</v>
      </c>
      <c r="E5562" s="5" t="s">
        <v>23319</v>
      </c>
      <c r="F5562" s="5" t="str">
        <f>HYPERLINK("http://www.assocanapashop.it/","www.assocanapashop.it")</f>
        <v>www.assocanapashop.it</v>
      </c>
    </row>
    <row r="5563" spans="1:6" ht="16.95" customHeight="1" x14ac:dyDescent="0.25">
      <c r="A5563" s="1" t="s">
        <v>23320</v>
      </c>
      <c r="B5563" s="7" t="s">
        <v>23321</v>
      </c>
      <c r="C5563" s="7" t="s">
        <v>23322</v>
      </c>
      <c r="D5563" s="7" t="s">
        <v>23323</v>
      </c>
      <c r="E5563" s="7" t="s">
        <v>23313</v>
      </c>
      <c r="F5563" s="7" t="str">
        <f>HYPERLINK("http://www.terramiasrl.com/","www.terramiasrl.com")</f>
        <v>www.terramiasrl.com</v>
      </c>
    </row>
    <row r="5564" spans="1:6" ht="29.55" customHeight="1" x14ac:dyDescent="0.25">
      <c r="A5564" s="6" t="s">
        <v>23324</v>
      </c>
      <c r="B5564" s="5" t="s">
        <v>23325</v>
      </c>
      <c r="C5564" s="5" t="s">
        <v>23307</v>
      </c>
      <c r="D5564" s="5" t="s">
        <v>23326</v>
      </c>
      <c r="E5564" s="5" t="s">
        <v>23327</v>
      </c>
      <c r="F5564" s="5" t="str">
        <f>HYPERLINK("http://www.agriturismoeldosson.it/","www.agriturismoeldosson.it")</f>
        <v>www.agriturismoeldosson.it</v>
      </c>
    </row>
    <row r="5565" spans="1:6" ht="43.05" customHeight="1" x14ac:dyDescent="0.25">
      <c r="A5565" s="1" t="s">
        <v>23328</v>
      </c>
      <c r="B5565" s="7" t="s">
        <v>23329</v>
      </c>
      <c r="C5565" s="7" t="s">
        <v>23330</v>
      </c>
      <c r="D5565" s="7" t="s">
        <v>23331</v>
      </c>
      <c r="E5565" s="7" t="s">
        <v>23332</v>
      </c>
      <c r="F5565" s="7" t="str">
        <f>HYPERLINK("http://salumidonzelli.it/","salumidonzelli.it")</f>
        <v>salumidonzelli.it</v>
      </c>
    </row>
    <row r="5566" spans="1:6" ht="29.55" customHeight="1" x14ac:dyDescent="0.25">
      <c r="A5566" s="1" t="s">
        <v>23333</v>
      </c>
      <c r="B5566" s="7" t="s">
        <v>23334</v>
      </c>
      <c r="C5566" s="7" t="s">
        <v>23335</v>
      </c>
      <c r="D5566" s="7" t="s">
        <v>23336</v>
      </c>
      <c r="E5566" s="7" t="s">
        <v>23314</v>
      </c>
      <c r="F5566" s="7" t="str">
        <f>HYPERLINK("http://www.villapodernovo.it/","www.villapodernovo.it")</f>
        <v>www.villapodernovo.it</v>
      </c>
    </row>
    <row r="5567" spans="1:6" ht="55.65" customHeight="1" x14ac:dyDescent="0.25">
      <c r="A5567" s="1" t="s">
        <v>23338</v>
      </c>
      <c r="B5567" s="7" t="s">
        <v>23339</v>
      </c>
      <c r="C5567" s="7" t="s">
        <v>23340</v>
      </c>
      <c r="D5567" s="7" t="s">
        <v>23341</v>
      </c>
      <c r="E5567" s="7" t="s">
        <v>23342</v>
      </c>
      <c r="F5567" s="7" t="str">
        <f>HYPERLINK("http://www.agriturismolasorgente.it/","www.agriturismolasorgente.it")</f>
        <v>www.agriturismolasorgente.it</v>
      </c>
    </row>
    <row r="5568" spans="1:6" ht="55.65" customHeight="1" x14ac:dyDescent="0.25">
      <c r="A5568" s="6" t="s">
        <v>23344</v>
      </c>
      <c r="B5568" s="5" t="s">
        <v>23345</v>
      </c>
      <c r="C5568" s="5" t="s">
        <v>23346</v>
      </c>
      <c r="D5568" s="5" t="s">
        <v>23347</v>
      </c>
      <c r="E5568" s="5" t="s">
        <v>23337</v>
      </c>
      <c r="F5568" s="5" t="str">
        <f>HYPERLINK("http://mosticchio-srls-agricola-societa-a-responsabilita--04899760757.quantofattura.com/","mosticchio-srls-agricola-societa-a-responsabilita--04899760757.quantofattura.com")</f>
        <v>mosticchio-srls-agricola-societa-a-responsabilita--04899760757.quantofattura.com</v>
      </c>
    </row>
    <row r="5569" spans="1:6" ht="43.05" customHeight="1" x14ac:dyDescent="0.25">
      <c r="A5569" s="6" t="s">
        <v>23348</v>
      </c>
      <c r="B5569" s="5" t="s">
        <v>23349</v>
      </c>
      <c r="C5569" s="5" t="s">
        <v>23350</v>
      </c>
      <c r="D5569" s="5" t="s">
        <v>23351</v>
      </c>
      <c r="E5569" s="5" t="s">
        <v>23351</v>
      </c>
      <c r="F5569" s="5" t="str">
        <f>HYPERLINK("http://cantinalilliu.com/","cantinalilliu.com")</f>
        <v>cantinalilliu.com</v>
      </c>
    </row>
    <row r="5570" spans="1:6" ht="29.55" customHeight="1" x14ac:dyDescent="0.25">
      <c r="A5570" s="6" t="s">
        <v>23353</v>
      </c>
      <c r="B5570" s="5" t="s">
        <v>23354</v>
      </c>
      <c r="C5570" s="5" t="s">
        <v>23355</v>
      </c>
      <c r="D5570" s="5" t="s">
        <v>23356</v>
      </c>
      <c r="E5570" s="5" t="s">
        <v>23357</v>
      </c>
      <c r="F5570" s="5" t="str">
        <f>HYPERLINK("http://www.agritecsrl.com/","www.agritecsrl.com")</f>
        <v>www.agritecsrl.com</v>
      </c>
    </row>
    <row r="5571" spans="1:6" ht="43.05" customHeight="1" x14ac:dyDescent="0.25">
      <c r="A5571" s="1" t="s">
        <v>23358</v>
      </c>
      <c r="B5571" s="7" t="s">
        <v>23359</v>
      </c>
      <c r="C5571" s="7" t="s">
        <v>23352</v>
      </c>
      <c r="D5571" s="7" t="s">
        <v>23360</v>
      </c>
      <c r="E5571" s="7" t="s">
        <v>23357</v>
      </c>
      <c r="F5571" s="7" t="str">
        <f>HYPERLINK("http://www.latorreantica.eu/","www.latorreantica.eu")</f>
        <v>www.latorreantica.eu</v>
      </c>
    </row>
    <row r="5572" spans="1:6" ht="29.55" customHeight="1" x14ac:dyDescent="0.25">
      <c r="A5572" s="6" t="s">
        <v>23361</v>
      </c>
      <c r="B5572" s="5" t="s">
        <v>23362</v>
      </c>
      <c r="C5572" s="5" t="s">
        <v>23350</v>
      </c>
      <c r="D5572" s="5" t="s">
        <v>23363</v>
      </c>
      <c r="E5572" s="5" t="s">
        <v>23343</v>
      </c>
      <c r="F5572" s="5" t="str">
        <f>HYPERLINK("http://www.tenutecasoli.it/","www.tenutecasoli.it")</f>
        <v>www.tenutecasoli.it</v>
      </c>
    </row>
    <row r="5573" spans="1:6" ht="29.55" customHeight="1" x14ac:dyDescent="0.25">
      <c r="A5573" s="6" t="s">
        <v>23365</v>
      </c>
      <c r="B5573" s="5" t="s">
        <v>23366</v>
      </c>
      <c r="C5573" s="5" t="s">
        <v>23367</v>
      </c>
      <c r="D5573" s="5" t="s">
        <v>23368</v>
      </c>
      <c r="E5573" s="5" t="s">
        <v>23364</v>
      </c>
      <c r="F5573" s="5" t="str">
        <f>HYPERLINK("http://www.cupitur.it/","www.cupitur.it")</f>
        <v>www.cupitur.it</v>
      </c>
    </row>
    <row r="5574" spans="1:6" ht="29.55" customHeight="1" x14ac:dyDescent="0.25">
      <c r="A5574" s="1" t="s">
        <v>23371</v>
      </c>
      <c r="B5574" s="7" t="s">
        <v>23372</v>
      </c>
      <c r="C5574" s="7" t="s">
        <v>23373</v>
      </c>
      <c r="D5574" s="7" t="s">
        <v>23374</v>
      </c>
      <c r="E5574" s="7" t="s">
        <v>23364</v>
      </c>
      <c r="F5574" s="7" t="str">
        <f>HYPERLINK("http://www.verdeagricolo.it/","www.verdeagricolo.it")</f>
        <v>www.verdeagricolo.it</v>
      </c>
    </row>
    <row r="5575" spans="1:6" ht="55.65" customHeight="1" x14ac:dyDescent="0.25">
      <c r="A5575" s="1" t="s">
        <v>23378</v>
      </c>
      <c r="B5575" s="7" t="s">
        <v>23379</v>
      </c>
      <c r="C5575" s="7" t="s">
        <v>23367</v>
      </c>
      <c r="D5575" s="7" t="s">
        <v>23380</v>
      </c>
      <c r="E5575" s="7" t="s">
        <v>23369</v>
      </c>
      <c r="F5575" s="7" t="str">
        <f>HYPERLINK("http://www.poderemontese.net/","www.poderemontese.net")</f>
        <v>www.poderemontese.net</v>
      </c>
    </row>
    <row r="5576" spans="1:6" ht="94.2" customHeight="1" x14ac:dyDescent="0.25">
      <c r="A5576" s="6" t="s">
        <v>23382</v>
      </c>
      <c r="B5576" s="5" t="s">
        <v>23383</v>
      </c>
      <c r="C5576" s="5" t="s">
        <v>23367</v>
      </c>
      <c r="D5576" s="5" t="s">
        <v>23384</v>
      </c>
      <c r="E5576" s="5" t="s">
        <v>23385</v>
      </c>
      <c r="F5576" s="5" t="str">
        <f>HYPERLINK("http://www.vinimigliosi.it/","www.vinimigliosi.it")</f>
        <v>www.vinimigliosi.it</v>
      </c>
    </row>
    <row r="5577" spans="1:6" ht="43.05" customHeight="1" x14ac:dyDescent="0.25">
      <c r="A5577" s="6" t="s">
        <v>23386</v>
      </c>
      <c r="B5577" s="5" t="s">
        <v>23387</v>
      </c>
      <c r="C5577" s="5" t="s">
        <v>23370</v>
      </c>
      <c r="D5577" s="5" t="s">
        <v>23388</v>
      </c>
      <c r="E5577" s="5" t="s">
        <v>23375</v>
      </c>
      <c r="F5577" s="5" t="str">
        <f>HYPERLINK("http://www.lattesannio.it/","www.lattesannio.it")</f>
        <v>www.lattesannio.it</v>
      </c>
    </row>
    <row r="5578" spans="1:6" ht="29.55" customHeight="1" x14ac:dyDescent="0.25">
      <c r="A5578" s="6" t="s">
        <v>23389</v>
      </c>
      <c r="B5578" s="5" t="s">
        <v>23390</v>
      </c>
      <c r="C5578" s="5" t="s">
        <v>23377</v>
      </c>
      <c r="D5578" s="5" t="s">
        <v>23381</v>
      </c>
      <c r="E5578" s="5" t="s">
        <v>23376</v>
      </c>
      <c r="F5578" s="5" t="str">
        <f>HYPERLINK("http://saf-societa-agricola-falciglia-srl-01554070712.quantofattura.com/","saf-societa-agricola-falciglia-srl-01554070712.quantofattura.com")</f>
        <v>saf-societa-agricola-falciglia-srl-01554070712.quantofattura.com</v>
      </c>
    </row>
    <row r="5579" spans="1:6" ht="16.95" customHeight="1" x14ac:dyDescent="0.25">
      <c r="A5579" s="1" t="s">
        <v>23393</v>
      </c>
      <c r="B5579" s="7" t="s">
        <v>23394</v>
      </c>
      <c r="C5579" s="7" t="s">
        <v>23395</v>
      </c>
      <c r="D5579" s="7" t="s">
        <v>23391</v>
      </c>
      <c r="E5579" s="7" t="s">
        <v>23392</v>
      </c>
      <c r="F5579" s="7" t="str">
        <f>HYPERLINK("http://www.piamartaresort.com/","www.piamartaresort.com")</f>
        <v>www.piamartaresort.com</v>
      </c>
    </row>
    <row r="5580" spans="1:6" ht="29.55" customHeight="1" x14ac:dyDescent="0.25">
      <c r="A5580" s="1" t="s">
        <v>23397</v>
      </c>
      <c r="B5580" s="7" t="s">
        <v>23398</v>
      </c>
      <c r="C5580" s="7" t="s">
        <v>23399</v>
      </c>
      <c r="D5580" s="7" t="s">
        <v>23400</v>
      </c>
      <c r="E5580" s="7" t="s">
        <v>23396</v>
      </c>
      <c r="F5580" s="7" t="str">
        <f>HYPERLINK("http://www.sigsrl.it/","www.sigsrl.it")</f>
        <v>www.sigsrl.it</v>
      </c>
    </row>
    <row r="5581" spans="1:6" ht="29.55" customHeight="1" x14ac:dyDescent="0.25">
      <c r="A5581" s="1" t="s">
        <v>23403</v>
      </c>
      <c r="B5581" s="7" t="s">
        <v>23404</v>
      </c>
      <c r="C5581" s="7" t="s">
        <v>23405</v>
      </c>
      <c r="D5581" s="7" t="s">
        <v>23406</v>
      </c>
      <c r="E5581" s="7" t="s">
        <v>23396</v>
      </c>
      <c r="F5581" s="7" t="str">
        <f>HYPERLINK("http://www.tenutarocanuova.com/","www.tenutarocanuova.com")</f>
        <v>www.tenutarocanuova.com</v>
      </c>
    </row>
    <row r="5582" spans="1:6" ht="43.05" customHeight="1" x14ac:dyDescent="0.25">
      <c r="A5582" s="1" t="s">
        <v>23407</v>
      </c>
      <c r="B5582" s="7" t="s">
        <v>23408</v>
      </c>
      <c r="C5582" s="7" t="s">
        <v>23395</v>
      </c>
      <c r="D5582" s="7" t="s">
        <v>23402</v>
      </c>
      <c r="E5582" s="7" t="s">
        <v>23396</v>
      </c>
      <c r="F5582" s="7" t="str">
        <f>HYPERLINK("http://www.laprovinciadifoggia.it/aziende/ristorazione-e-sale-ricevimento","www.laprovinciadifoggia.it/aziende/ristorazione-e-sale-ricevimento")</f>
        <v>www.laprovinciadifoggia.it/aziende/ristorazione-e-sale-ricevimento</v>
      </c>
    </row>
    <row r="5583" spans="1:6" ht="43.05" customHeight="1" x14ac:dyDescent="0.25">
      <c r="A5583" s="1" t="s">
        <v>23409</v>
      </c>
      <c r="B5583" s="7" t="s">
        <v>23410</v>
      </c>
      <c r="C5583" s="7" t="s">
        <v>23401</v>
      </c>
      <c r="D5583" s="7" t="s">
        <v>23411</v>
      </c>
      <c r="E5583" s="7" t="s">
        <v>23412</v>
      </c>
      <c r="F5583" s="7" t="str">
        <f>HYPERLINK("http://www.cooperativasanzeno.it/","www.cooperativasanzeno.it")</f>
        <v>www.cooperativasanzeno.it</v>
      </c>
    </row>
    <row r="5584" spans="1:6" ht="16.95" customHeight="1" x14ac:dyDescent="0.25">
      <c r="A5584" s="6" t="s">
        <v>23413</v>
      </c>
      <c r="B5584" s="5" t="s">
        <v>23414</v>
      </c>
      <c r="C5584" s="5" t="s">
        <v>23405</v>
      </c>
      <c r="D5584" s="5" t="s">
        <v>23400</v>
      </c>
      <c r="E5584" s="5" t="s">
        <v>23396</v>
      </c>
      <c r="F5584" s="5" t="str">
        <f>HYPERLINK("http://www.sicmisrl.com/","http://www.sicmisrl.com")</f>
        <v>http://www.sicmisrl.com</v>
      </c>
    </row>
    <row r="5585" spans="1:6" ht="29.55" customHeight="1" x14ac:dyDescent="0.25">
      <c r="A5585" s="1" t="s">
        <v>23415</v>
      </c>
      <c r="B5585" s="7" t="s">
        <v>23416</v>
      </c>
      <c r="C5585" s="7" t="s">
        <v>23417</v>
      </c>
      <c r="D5585" s="7" t="s">
        <v>23418</v>
      </c>
      <c r="E5585" s="7" t="s">
        <v>23419</v>
      </c>
      <c r="F5585" s="7" t="str">
        <f>HYPERLINK("http://tenutalequerce.eu/","tenutalequerce.eu")</f>
        <v>tenutalequerce.eu</v>
      </c>
    </row>
    <row r="5586" spans="1:6" ht="29.55" customHeight="1" x14ac:dyDescent="0.25">
      <c r="A5586" s="1" t="s">
        <v>23421</v>
      </c>
      <c r="B5586" s="7" t="s">
        <v>23422</v>
      </c>
      <c r="C5586" s="7" t="s">
        <v>23420</v>
      </c>
      <c r="D5586" s="7" t="s">
        <v>23423</v>
      </c>
      <c r="E5586" s="7" t="s">
        <v>23424</v>
      </c>
      <c r="F5586" s="7" t="str">
        <f>HYPERLINK("http://www.relaislafornace.it/","www.relaislafornace.it")</f>
        <v>www.relaislafornace.it</v>
      </c>
    </row>
    <row r="5587" spans="1:6" ht="29.55" customHeight="1" x14ac:dyDescent="0.25">
      <c r="A5587" s="6" t="s">
        <v>23426</v>
      </c>
      <c r="B5587" s="5" t="s">
        <v>23427</v>
      </c>
      <c r="C5587" s="5" t="s">
        <v>23417</v>
      </c>
      <c r="D5587" s="5" t="s">
        <v>23428</v>
      </c>
      <c r="E5587" s="5" t="s">
        <v>23429</v>
      </c>
      <c r="F5587" s="5" t="str">
        <f>HYPERLINK("http://cantinacivran.it/","cantinacivran.it")</f>
        <v>cantinacivran.it</v>
      </c>
    </row>
    <row r="5588" spans="1:6" ht="29.55" customHeight="1" x14ac:dyDescent="0.25">
      <c r="A5588" s="6" t="s">
        <v>23431</v>
      </c>
      <c r="B5588" s="5" t="s">
        <v>23432</v>
      </c>
      <c r="C5588" s="5" t="s">
        <v>23433</v>
      </c>
      <c r="D5588" s="5" t="s">
        <v>23423</v>
      </c>
      <c r="E5588" s="5" t="s">
        <v>23424</v>
      </c>
      <c r="F5588" s="5" t="str">
        <f>HYPERLINK("http://aeroponicaperrotta.it/","aeroponicaperrotta.it")</f>
        <v>aeroponicaperrotta.it</v>
      </c>
    </row>
    <row r="5589" spans="1:6" ht="55.65" customHeight="1" x14ac:dyDescent="0.25">
      <c r="A5589" s="1" t="s">
        <v>23434</v>
      </c>
      <c r="B5589" s="7" t="s">
        <v>23435</v>
      </c>
      <c r="C5589" s="7" t="s">
        <v>23430</v>
      </c>
      <c r="D5589" s="7" t="s">
        <v>23436</v>
      </c>
      <c r="E5589" s="7" t="s">
        <v>23424</v>
      </c>
      <c r="F5589" s="7" t="str">
        <f>HYPERLINK("http://www.apooat.it/","www.apooat.it")</f>
        <v>www.apooat.it</v>
      </c>
    </row>
    <row r="5590" spans="1:6" ht="29.55" customHeight="1" x14ac:dyDescent="0.25">
      <c r="A5590" s="1" t="s">
        <v>23437</v>
      </c>
      <c r="B5590" s="7" t="s">
        <v>23438</v>
      </c>
      <c r="C5590" s="7" t="s">
        <v>23417</v>
      </c>
      <c r="D5590" s="7" t="s">
        <v>23439</v>
      </c>
      <c r="E5590" s="7" t="s">
        <v>23425</v>
      </c>
      <c r="F5590" s="7" t="str">
        <f>HYPERLINK("http://brugherata.com/","brugherata.com")</f>
        <v>brugherata.com</v>
      </c>
    </row>
    <row r="5591" spans="1:6" ht="29.55" customHeight="1" x14ac:dyDescent="0.25">
      <c r="A5591" s="1" t="s">
        <v>23443</v>
      </c>
      <c r="B5591" s="7" t="s">
        <v>23444</v>
      </c>
      <c r="C5591" s="7" t="s">
        <v>23445</v>
      </c>
      <c r="D5591" s="7" t="s">
        <v>23442</v>
      </c>
      <c r="E5591" s="7" t="s">
        <v>23440</v>
      </c>
      <c r="F5591" s="7" t="str">
        <f>HYPERLINK("http://shop.consorziokore.it/","shop.consorziokore.it")</f>
        <v>shop.consorziokore.it</v>
      </c>
    </row>
    <row r="5592" spans="1:6" ht="55.65" customHeight="1" x14ac:dyDescent="0.25">
      <c r="A5592" s="1" t="s">
        <v>23446</v>
      </c>
      <c r="B5592" s="7" t="s">
        <v>23447</v>
      </c>
      <c r="C5592" s="7" t="s">
        <v>23441</v>
      </c>
      <c r="D5592" s="7" t="s">
        <v>23442</v>
      </c>
      <c r="E5592" s="7" t="s">
        <v>23440</v>
      </c>
      <c r="F5592" s="7" t="str">
        <f>HYPERLINK("http://www.vinientella.com/","http://www.vinientella.com")</f>
        <v>http://www.vinientella.com</v>
      </c>
    </row>
    <row r="5593" spans="1:6" ht="29.55" customHeight="1" x14ac:dyDescent="0.25">
      <c r="A5593" s="1" t="s">
        <v>23451</v>
      </c>
      <c r="B5593" s="7" t="s">
        <v>23452</v>
      </c>
      <c r="C5593" s="7" t="s">
        <v>23453</v>
      </c>
      <c r="D5593" s="7" t="s">
        <v>23454</v>
      </c>
      <c r="E5593" s="7" t="s">
        <v>23455</v>
      </c>
      <c r="F5593" s="7" t="str">
        <f>HYPERLINK("http://www.aziendagricolasanvalentino.com/","www.aziendagricolasanvalentino.com")</f>
        <v>www.aziendagricolasanvalentino.com</v>
      </c>
    </row>
    <row r="5594" spans="1:6" ht="29.55" customHeight="1" x14ac:dyDescent="0.25">
      <c r="A5594" s="1" t="s">
        <v>23456</v>
      </c>
      <c r="B5594" s="7" t="s">
        <v>23457</v>
      </c>
      <c r="C5594" s="7" t="s">
        <v>23458</v>
      </c>
      <c r="D5594" s="7" t="s">
        <v>23459</v>
      </c>
      <c r="E5594" s="7" t="s">
        <v>23449</v>
      </c>
      <c r="F5594" s="7" t="str">
        <f>HYPERLINK("http://albarossa.beatnikmotion.com/","albarossa.beatnikmotion.com")</f>
        <v>albarossa.beatnikmotion.com</v>
      </c>
    </row>
    <row r="5595" spans="1:6" ht="16.95" customHeight="1" x14ac:dyDescent="0.25">
      <c r="A5595" s="6" t="s">
        <v>23460</v>
      </c>
      <c r="B5595" s="5" t="s">
        <v>23461</v>
      </c>
      <c r="C5595" s="5" t="s">
        <v>23462</v>
      </c>
      <c r="D5595" s="5" t="s">
        <v>23463</v>
      </c>
      <c r="E5595" s="5" t="s">
        <v>23464</v>
      </c>
      <c r="F5595" s="5" t="str">
        <f>HYPERLINK("http://www.clinicaveterinarialidovet.it/","www.clinicaveterinarialidovet.it")</f>
        <v>www.clinicaveterinarialidovet.it</v>
      </c>
    </row>
    <row r="5596" spans="1:6" ht="16.95" customHeight="1" x14ac:dyDescent="0.25">
      <c r="A5596" s="1" t="s">
        <v>23465</v>
      </c>
      <c r="B5596" s="7" t="s">
        <v>23466</v>
      </c>
      <c r="C5596" s="7" t="s">
        <v>23448</v>
      </c>
      <c r="D5596" s="7" t="s">
        <v>23467</v>
      </c>
      <c r="E5596" s="7" t="s">
        <v>23468</v>
      </c>
      <c r="F5596" s="7" t="str">
        <f>HYPERLINK("http://www.cooperativailsole.it/","www.cooperativailsole.it")</f>
        <v>www.cooperativailsole.it</v>
      </c>
    </row>
    <row r="5597" spans="1:6" ht="16.95" customHeight="1" x14ac:dyDescent="0.25">
      <c r="A5597" s="1" t="s">
        <v>23470</v>
      </c>
      <c r="B5597" s="7" t="s">
        <v>23471</v>
      </c>
      <c r="C5597" s="7" t="s">
        <v>23472</v>
      </c>
      <c r="D5597" s="7" t="s">
        <v>23473</v>
      </c>
      <c r="E5597" s="7" t="s">
        <v>23450</v>
      </c>
      <c r="F5597" s="7" t="str">
        <f>HYPERLINK("http://www.bioinagro.it/","www.bioinagro.it")</f>
        <v>www.bioinagro.it</v>
      </c>
    </row>
    <row r="5598" spans="1:6" ht="43.05" customHeight="1" x14ac:dyDescent="0.25">
      <c r="A5598" s="1" t="s">
        <v>23474</v>
      </c>
      <c r="B5598" s="7" t="s">
        <v>23475</v>
      </c>
      <c r="C5598" s="7" t="s">
        <v>23469</v>
      </c>
      <c r="D5598" s="7" t="s">
        <v>23476</v>
      </c>
      <c r="E5598" s="7" t="s">
        <v>23464</v>
      </c>
      <c r="F5598" s="7" t="str">
        <f>HYPERLINK("http://www.rinascitacoop78.it/","www.rinascitacoop78.it")</f>
        <v>www.rinascitacoop78.it</v>
      </c>
    </row>
    <row r="5599" spans="1:6" ht="55.65" customHeight="1" x14ac:dyDescent="0.25">
      <c r="A5599" s="6" t="s">
        <v>23482</v>
      </c>
      <c r="B5599" s="5" t="s">
        <v>23483</v>
      </c>
      <c r="C5599" s="5" t="s">
        <v>23484</v>
      </c>
      <c r="D5599" s="5" t="s">
        <v>23485</v>
      </c>
      <c r="E5599" s="5" t="s">
        <v>23486</v>
      </c>
      <c r="F5599" s="5" t="str">
        <f>HYPERLINK("http://www.laleccetella.it/","www.laleccetella.it")</f>
        <v>www.laleccetella.it</v>
      </c>
    </row>
    <row r="5600" spans="1:6" ht="29.55" customHeight="1" x14ac:dyDescent="0.25">
      <c r="A5600" s="1" t="s">
        <v>23487</v>
      </c>
      <c r="B5600" s="7" t="s">
        <v>23488</v>
      </c>
      <c r="C5600" s="7" t="s">
        <v>23489</v>
      </c>
      <c r="D5600" s="7" t="s">
        <v>23480</v>
      </c>
      <c r="E5600" s="7" t="s">
        <v>23477</v>
      </c>
      <c r="F5600" s="7" t="str">
        <f>HYPERLINK("http://casabalata.it/","casabalata.it")</f>
        <v>casabalata.it</v>
      </c>
    </row>
    <row r="5601" spans="1:6" ht="29.55" customHeight="1" x14ac:dyDescent="0.25">
      <c r="A5601" s="6" t="s">
        <v>23492</v>
      </c>
      <c r="B5601" s="5" t="s">
        <v>23493</v>
      </c>
      <c r="C5601" s="5" t="s">
        <v>23479</v>
      </c>
      <c r="D5601" s="5" t="s">
        <v>23494</v>
      </c>
      <c r="E5601" s="5" t="s">
        <v>23486</v>
      </c>
      <c r="F5601" s="5" t="str">
        <f>HYPERLINK("http://www.bocelli1831.com/","www.bocelli1831.com")</f>
        <v>www.bocelli1831.com</v>
      </c>
    </row>
    <row r="5602" spans="1:6" ht="29.55" customHeight="1" x14ac:dyDescent="0.25">
      <c r="A5602" s="6" t="s">
        <v>23495</v>
      </c>
      <c r="B5602" s="5" t="s">
        <v>23496</v>
      </c>
      <c r="C5602" s="5" t="s">
        <v>23481</v>
      </c>
      <c r="D5602" s="5" t="s">
        <v>23497</v>
      </c>
      <c r="E5602" s="5" t="s">
        <v>23478</v>
      </c>
      <c r="F5602" s="5" t="str">
        <f>HYPERLINK("http://www.tenutaspennagalli.it/","www.tenutaspennagalli.it")</f>
        <v>www.tenutaspennagalli.it</v>
      </c>
    </row>
    <row r="5603" spans="1:6" ht="29.55" customHeight="1" x14ac:dyDescent="0.25">
      <c r="A5603" s="1" t="s">
        <v>23498</v>
      </c>
      <c r="B5603" s="7" t="s">
        <v>23499</v>
      </c>
      <c r="C5603" s="7" t="s">
        <v>23484</v>
      </c>
      <c r="D5603" s="7" t="s">
        <v>23490</v>
      </c>
      <c r="E5603" s="7" t="s">
        <v>23491</v>
      </c>
      <c r="F5603" s="7" t="str">
        <f>HYPERLINK("http://www.cantinadeidda.it/","www.cantinadeidda.it")</f>
        <v>www.cantinadeidda.it</v>
      </c>
    </row>
    <row r="5604" spans="1:6" ht="29.55" customHeight="1" x14ac:dyDescent="0.25">
      <c r="A5604" s="1" t="s">
        <v>23501</v>
      </c>
      <c r="B5604" s="7" t="s">
        <v>23502</v>
      </c>
      <c r="C5604" s="7" t="s">
        <v>23503</v>
      </c>
      <c r="D5604" s="7" t="s">
        <v>23504</v>
      </c>
      <c r="E5604" s="7" t="s">
        <v>23505</v>
      </c>
      <c r="F5604" s="7" t="str">
        <f>HYPERLINK("http://www.apibrescia.it/","www.apibrescia.it")</f>
        <v>www.apibrescia.it</v>
      </c>
    </row>
    <row r="5605" spans="1:6" ht="29.55" customHeight="1" x14ac:dyDescent="0.25">
      <c r="A5605" s="6" t="s">
        <v>23508</v>
      </c>
      <c r="B5605" s="5" t="s">
        <v>23509</v>
      </c>
      <c r="C5605" s="5" t="s">
        <v>23510</v>
      </c>
      <c r="D5605" s="5" t="s">
        <v>23511</v>
      </c>
      <c r="E5605" s="5" t="s">
        <v>23512</v>
      </c>
      <c r="F5605" s="5" t="str">
        <f>HYPERLINK("http://www.bagliodellefate.com/","www.bagliodellefate.com")</f>
        <v>www.bagliodellefate.com</v>
      </c>
    </row>
    <row r="5606" spans="1:6" ht="29.55" customHeight="1" x14ac:dyDescent="0.25">
      <c r="A5606" s="1" t="s">
        <v>23515</v>
      </c>
      <c r="B5606" s="7" t="s">
        <v>23516</v>
      </c>
      <c r="C5606" s="7" t="s">
        <v>23500</v>
      </c>
      <c r="D5606" s="7" t="s">
        <v>23517</v>
      </c>
      <c r="E5606" s="7" t="s">
        <v>23505</v>
      </c>
      <c r="F5606" s="7" t="str">
        <f>HYPERLINK("http://www.villaottolenghiwedekind.com/","www.villaottolenghiwedekind.com")</f>
        <v>www.villaottolenghiwedekind.com</v>
      </c>
    </row>
    <row r="5607" spans="1:6" ht="43.05" customHeight="1" x14ac:dyDescent="0.25">
      <c r="A5607" s="1" t="s">
        <v>23518</v>
      </c>
      <c r="B5607" s="7" t="s">
        <v>23519</v>
      </c>
      <c r="C5607" s="7" t="s">
        <v>23506</v>
      </c>
      <c r="D5607" s="7" t="s">
        <v>23513</v>
      </c>
      <c r="E5607" s="7" t="s">
        <v>23514</v>
      </c>
      <c r="F5607" s="7" t="str">
        <f>HYPERLINK("http://www.lazioimpianti.com/","www.lazioimpianti.com")</f>
        <v>www.lazioimpianti.com</v>
      </c>
    </row>
    <row r="5608" spans="1:6" ht="29.55" customHeight="1" x14ac:dyDescent="0.25">
      <c r="A5608" s="6" t="s">
        <v>23520</v>
      </c>
      <c r="B5608" s="5" t="s">
        <v>23521</v>
      </c>
      <c r="C5608" s="5" t="s">
        <v>23522</v>
      </c>
      <c r="D5608" s="5" t="s">
        <v>23523</v>
      </c>
      <c r="E5608" s="5" t="s">
        <v>23507</v>
      </c>
      <c r="F5608" s="5" t="str">
        <f>HYPERLINK("http://www.agricolture.it/","www.agricolture.it")</f>
        <v>www.agricolture.it</v>
      </c>
    </row>
    <row r="5609" spans="1:6" ht="29.55" customHeight="1" x14ac:dyDescent="0.25">
      <c r="A5609" s="1" t="s">
        <v>23527</v>
      </c>
      <c r="B5609" s="7" t="s">
        <v>23528</v>
      </c>
      <c r="C5609" s="7" t="s">
        <v>23529</v>
      </c>
      <c r="D5609" s="7" t="s">
        <v>23530</v>
      </c>
      <c r="E5609" s="7" t="s">
        <v>23531</v>
      </c>
      <c r="F5609" s="7" t="str">
        <f>HYPERLINK("http://www.vivaiedengardenlicata.it/","www.vivaiedengardenlicata.it")</f>
        <v>www.vivaiedengardenlicata.it</v>
      </c>
    </row>
    <row r="5610" spans="1:6" ht="55.65" customHeight="1" x14ac:dyDescent="0.25">
      <c r="A5610" s="6" t="s">
        <v>23532</v>
      </c>
      <c r="B5610" s="5" t="s">
        <v>23533</v>
      </c>
      <c r="C5610" s="5" t="s">
        <v>23534</v>
      </c>
      <c r="D5610" s="5" t="s">
        <v>23535</v>
      </c>
      <c r="E5610" s="5" t="s">
        <v>23524</v>
      </c>
      <c r="F5610" s="5" t="str">
        <f>HYPERLINK("http://www.laforestella.it/","www.laforestella.it")</f>
        <v>www.laforestella.it</v>
      </c>
    </row>
    <row r="5611" spans="1:6" ht="29.55" customHeight="1" x14ac:dyDescent="0.25">
      <c r="A5611" s="6" t="s">
        <v>23538</v>
      </c>
      <c r="B5611" s="5" t="s">
        <v>23539</v>
      </c>
      <c r="C5611" s="5" t="s">
        <v>23525</v>
      </c>
      <c r="D5611" s="5" t="s">
        <v>23537</v>
      </c>
      <c r="E5611" s="5" t="s">
        <v>23531</v>
      </c>
      <c r="F5611" s="5" t="str">
        <f>HYPERLINK("http://cantinedinessuno.it/","cantinedinessuno.it")</f>
        <v>cantinedinessuno.it</v>
      </c>
    </row>
    <row r="5612" spans="1:6" ht="29.55" customHeight="1" x14ac:dyDescent="0.25">
      <c r="A5612" s="1" t="s">
        <v>23540</v>
      </c>
      <c r="B5612" s="7" t="s">
        <v>23541</v>
      </c>
      <c r="C5612" s="7" t="s">
        <v>23542</v>
      </c>
      <c r="D5612" s="7" t="s">
        <v>23536</v>
      </c>
      <c r="E5612" s="7" t="s">
        <v>23526</v>
      </c>
      <c r="F5612" s="7" t="str">
        <f>HYPERLINK("http://www.terraroma.it/","www.terraroma.it")</f>
        <v>www.terraroma.it</v>
      </c>
    </row>
    <row r="5613" spans="1:6" ht="29.55" customHeight="1" x14ac:dyDescent="0.25">
      <c r="A5613" s="1" t="s">
        <v>23546</v>
      </c>
      <c r="B5613" s="7" t="s">
        <v>23547</v>
      </c>
      <c r="C5613" s="7" t="s">
        <v>23548</v>
      </c>
      <c r="D5613" s="7" t="s">
        <v>23544</v>
      </c>
      <c r="E5613" s="7" t="s">
        <v>23543</v>
      </c>
      <c r="F5613" s="7" t="str">
        <f>HYPERLINK("http://www.autocarrozzeriacartisano.it/","www.autocarrozzeriacartisano.it")</f>
        <v>www.autocarrozzeriacartisano.it</v>
      </c>
    </row>
    <row r="5614" spans="1:6" ht="16.95" customHeight="1" x14ac:dyDescent="0.25">
      <c r="A5614" s="6" t="s">
        <v>23551</v>
      </c>
      <c r="B5614" s="5" t="s">
        <v>23552</v>
      </c>
      <c r="C5614" s="5" t="s">
        <v>23553</v>
      </c>
      <c r="D5614" s="5" t="s">
        <v>23554</v>
      </c>
      <c r="E5614" s="5" t="s">
        <v>23550</v>
      </c>
      <c r="F5614" s="5" t="str">
        <f>HYPERLINK("http://www.oleificiogiambra.it/","www.oleificiogiambra.it")</f>
        <v>www.oleificiogiambra.it</v>
      </c>
    </row>
    <row r="5615" spans="1:6" ht="16.95" customHeight="1" x14ac:dyDescent="0.25">
      <c r="A5615" s="1" t="s">
        <v>23559</v>
      </c>
      <c r="B5615" s="7" t="s">
        <v>23560</v>
      </c>
      <c r="C5615" s="7" t="s">
        <v>23561</v>
      </c>
      <c r="D5615" s="7" t="s">
        <v>23562</v>
      </c>
      <c r="E5615" s="7" t="s">
        <v>23550</v>
      </c>
      <c r="F5615" s="7" t="str">
        <f>HYPERLINK("http://www.vivaiobelverde.com/","www.vivaiobelverde.com")</f>
        <v>www.vivaiobelverde.com</v>
      </c>
    </row>
    <row r="5616" spans="1:6" ht="43.05" customHeight="1" x14ac:dyDescent="0.25">
      <c r="A5616" s="1" t="s">
        <v>23564</v>
      </c>
      <c r="B5616" s="7" t="s">
        <v>23565</v>
      </c>
      <c r="C5616" s="7" t="s">
        <v>23558</v>
      </c>
      <c r="D5616" s="7" t="s">
        <v>23566</v>
      </c>
      <c r="E5616" s="7" t="s">
        <v>23557</v>
      </c>
      <c r="F5616" s="7" t="str">
        <f>HYPERLINK("http://www.agricolasanfrancesco.it/","www.agricolasanfrancesco.it")</f>
        <v>www.agricolasanfrancesco.it</v>
      </c>
    </row>
    <row r="5617" spans="1:6" ht="29.55" customHeight="1" x14ac:dyDescent="0.25">
      <c r="A5617" s="1" t="s">
        <v>23568</v>
      </c>
      <c r="B5617" s="7" t="s">
        <v>23569</v>
      </c>
      <c r="C5617" s="7" t="s">
        <v>23555</v>
      </c>
      <c r="D5617" s="7" t="s">
        <v>23549</v>
      </c>
      <c r="E5617" s="7" t="s">
        <v>23550</v>
      </c>
      <c r="F5617" s="7" t="str">
        <f>HYPERLINK("http://www.misita.it/","www.misita.it")</f>
        <v>www.misita.it</v>
      </c>
    </row>
    <row r="5618" spans="1:6" ht="43.05" customHeight="1" x14ac:dyDescent="0.25">
      <c r="A5618" s="1" t="s">
        <v>23570</v>
      </c>
      <c r="B5618" s="7" t="s">
        <v>23571</v>
      </c>
      <c r="C5618" s="7" t="s">
        <v>23548</v>
      </c>
      <c r="D5618" s="7" t="s">
        <v>23562</v>
      </c>
      <c r="E5618" s="7" t="s">
        <v>23550</v>
      </c>
      <c r="F5618" s="7" t="str">
        <f>HYPERLINK("http://www.agrumhe.it/","www.agrumhe.it")</f>
        <v>www.agrumhe.it</v>
      </c>
    </row>
    <row r="5619" spans="1:6" ht="29.55" customHeight="1" x14ac:dyDescent="0.25">
      <c r="A5619" s="1" t="s">
        <v>23572</v>
      </c>
      <c r="B5619" s="7" t="s">
        <v>23573</v>
      </c>
      <c r="C5619" s="7" t="s">
        <v>23545</v>
      </c>
      <c r="D5619" s="7" t="s">
        <v>23556</v>
      </c>
      <c r="E5619" s="7" t="s">
        <v>23557</v>
      </c>
      <c r="F5619" s="7" t="str">
        <f>HYPERLINK("http://www.lamoraia.it/","www.lamoraia.it")</f>
        <v>www.lamoraia.it</v>
      </c>
    </row>
    <row r="5620" spans="1:6" ht="29.55" customHeight="1" x14ac:dyDescent="0.25">
      <c r="A5620" s="6" t="s">
        <v>23574</v>
      </c>
      <c r="B5620" s="5" t="s">
        <v>23575</v>
      </c>
      <c r="C5620" s="5" t="s">
        <v>23563</v>
      </c>
      <c r="D5620" s="5" t="s">
        <v>23576</v>
      </c>
      <c r="E5620" s="5" t="s">
        <v>23567</v>
      </c>
      <c r="F5620" s="5" t="str">
        <f>HYPERLINK("http://www.tenutavaldorso.it/","www.tenutavaldorso.it")</f>
        <v>www.tenutavaldorso.it</v>
      </c>
    </row>
    <row r="5621" spans="1:6" ht="29.55" customHeight="1" x14ac:dyDescent="0.25">
      <c r="A5621" s="1" t="s">
        <v>23583</v>
      </c>
      <c r="B5621" s="7" t="s">
        <v>23584</v>
      </c>
      <c r="C5621" s="7" t="s">
        <v>23580</v>
      </c>
      <c r="D5621" s="7" t="s">
        <v>23585</v>
      </c>
      <c r="E5621" s="7" t="s">
        <v>23586</v>
      </c>
      <c r="F5621" s="7" t="str">
        <f>HYPERLINK("http://www.officinaagricola.com/","www.officinaagricola.com")</f>
        <v>www.officinaagricola.com</v>
      </c>
    </row>
    <row r="5622" spans="1:6" ht="29.55" customHeight="1" x14ac:dyDescent="0.25">
      <c r="A5622" s="6" t="s">
        <v>23587</v>
      </c>
      <c r="B5622" s="5" t="s">
        <v>23588</v>
      </c>
      <c r="C5622" s="5" t="s">
        <v>23577</v>
      </c>
      <c r="D5622" s="5" t="s">
        <v>23589</v>
      </c>
      <c r="E5622" s="5" t="s">
        <v>23579</v>
      </c>
      <c r="F5622" s="5" t="str">
        <f>HYPERLINK("http://agriturismo-cetine-vecchie.vederelitalia.top/","agriturismo-cetine-vecchie.vederelitalia.top")</f>
        <v>agriturismo-cetine-vecchie.vederelitalia.top</v>
      </c>
    </row>
    <row r="5623" spans="1:6" ht="29.55" customHeight="1" x14ac:dyDescent="0.25">
      <c r="A5623" s="1" t="s">
        <v>23590</v>
      </c>
      <c r="B5623" s="7" t="s">
        <v>23591</v>
      </c>
      <c r="C5623" s="7" t="s">
        <v>23580</v>
      </c>
      <c r="D5623" s="7" t="s">
        <v>23581</v>
      </c>
      <c r="E5623" s="7" t="s">
        <v>23582</v>
      </c>
      <c r="F5623" s="7" t="str">
        <f>HYPERLINK("http://coopamrita.it/","coopamrita.it")</f>
        <v>coopamrita.it</v>
      </c>
    </row>
    <row r="5624" spans="1:6" ht="29.55" customHeight="1" x14ac:dyDescent="0.25">
      <c r="A5624" s="1" t="s">
        <v>23592</v>
      </c>
      <c r="B5624" s="7" t="s">
        <v>23593</v>
      </c>
      <c r="C5624" s="7" t="s">
        <v>23578</v>
      </c>
      <c r="D5624" s="7" t="s">
        <v>23594</v>
      </c>
      <c r="E5624" s="7" t="s">
        <v>23586</v>
      </c>
      <c r="F5624" s="7" t="str">
        <f>HYPERLINK("http://www.donnalivia.it/","www.donnalivia.it")</f>
        <v>www.donnalivia.it</v>
      </c>
    </row>
    <row r="5625" spans="1:6" ht="16.95" customHeight="1" x14ac:dyDescent="0.25">
      <c r="A5625" s="1" t="s">
        <v>23601</v>
      </c>
      <c r="B5625" s="7" t="s">
        <v>23602</v>
      </c>
      <c r="C5625" s="7" t="s">
        <v>23599</v>
      </c>
      <c r="D5625" s="7" t="s">
        <v>23603</v>
      </c>
      <c r="E5625" s="7" t="s">
        <v>23600</v>
      </c>
      <c r="F5625" s="7" t="str">
        <f>HYPERLINK("http://www.tecnicaimpiantisrl.com/","www.tecnicaimpiantisrl.com")</f>
        <v>www.tecnicaimpiantisrl.com</v>
      </c>
    </row>
    <row r="5626" spans="1:6" ht="29.55" customHeight="1" x14ac:dyDescent="0.25">
      <c r="A5626" s="1" t="s">
        <v>23604</v>
      </c>
      <c r="B5626" s="7" t="s">
        <v>23605</v>
      </c>
      <c r="C5626" s="7" t="s">
        <v>23596</v>
      </c>
      <c r="D5626" s="7" t="s">
        <v>23606</v>
      </c>
      <c r="E5626" s="7" t="s">
        <v>23597</v>
      </c>
      <c r="F5626" s="7" t="str">
        <f>HYPERLINK("http://www.societaagricolanebroszootecnica.it/","www.societaagricolanebroszootecnica.it")</f>
        <v>www.societaagricolanebroszootecnica.it</v>
      </c>
    </row>
    <row r="5627" spans="1:6" ht="29.55" customHeight="1" x14ac:dyDescent="0.25">
      <c r="A5627" s="6" t="s">
        <v>23607</v>
      </c>
      <c r="B5627" s="5" t="s">
        <v>23608</v>
      </c>
      <c r="C5627" s="5" t="s">
        <v>23598</v>
      </c>
      <c r="D5627" s="5" t="s">
        <v>23595</v>
      </c>
      <c r="E5627" s="5" t="s">
        <v>23595</v>
      </c>
      <c r="F5627" s="5" t="str">
        <f>HYPERLINK("http://www.eurocapan.com/","www.eurocapan.com")</f>
        <v>www.eurocapan.com</v>
      </c>
    </row>
    <row r="5628" spans="1:6" ht="43.05" customHeight="1" x14ac:dyDescent="0.25">
      <c r="A5628" s="6" t="s">
        <v>23610</v>
      </c>
      <c r="B5628" s="5" t="s">
        <v>23611</v>
      </c>
      <c r="C5628" s="5" t="s">
        <v>23612</v>
      </c>
      <c r="D5628" s="5" t="s">
        <v>23613</v>
      </c>
      <c r="E5628" s="5" t="s">
        <v>23614</v>
      </c>
      <c r="F5628" s="5" t="str">
        <f>HYPERLINK("http://www.caliscana.it/","www.caliscana.it")</f>
        <v>www.caliscana.it</v>
      </c>
    </row>
    <row r="5629" spans="1:6" ht="29.55" customHeight="1" x14ac:dyDescent="0.25">
      <c r="A5629" s="1" t="s">
        <v>23615</v>
      </c>
      <c r="B5629" s="7" t="s">
        <v>23616</v>
      </c>
      <c r="C5629" s="7" t="s">
        <v>23617</v>
      </c>
      <c r="D5629" s="7" t="s">
        <v>23618</v>
      </c>
      <c r="E5629" s="7" t="s">
        <v>23614</v>
      </c>
      <c r="F5629" s="7" t="str">
        <f>HYPERLINK("http://www.agriturismobagnacci.it/","www.agriturismobagnacci.it")</f>
        <v>www.agriturismobagnacci.it</v>
      </c>
    </row>
    <row r="5630" spans="1:6" ht="55.65" customHeight="1" x14ac:dyDescent="0.25">
      <c r="A5630" s="6" t="s">
        <v>23619</v>
      </c>
      <c r="B5630" s="5" t="s">
        <v>23620</v>
      </c>
      <c r="C5630" s="5" t="s">
        <v>23621</v>
      </c>
      <c r="D5630" s="5" t="s">
        <v>23622</v>
      </c>
      <c r="E5630" s="5" t="s">
        <v>23623</v>
      </c>
      <c r="F5630" s="5" t="str">
        <f>HYPERLINK("http://www.apobasilicata.it/","www.apobasilicata.it")</f>
        <v>www.apobasilicata.it</v>
      </c>
    </row>
    <row r="5631" spans="1:6" ht="29.55" customHeight="1" x14ac:dyDescent="0.25">
      <c r="A5631" s="1" t="s">
        <v>23624</v>
      </c>
      <c r="B5631" s="7" t="s">
        <v>23625</v>
      </c>
      <c r="C5631" s="7" t="s">
        <v>23612</v>
      </c>
      <c r="D5631" s="7" t="s">
        <v>23626</v>
      </c>
      <c r="E5631" s="7" t="s">
        <v>23609</v>
      </c>
      <c r="F5631" s="7" t="str">
        <f>HYPERLINK("http://www.agricoladellarneo.it/","www.agricoladellarneo.it")</f>
        <v>www.agricoladellarneo.it</v>
      </c>
    </row>
    <row r="5632" spans="1:6" ht="55.65" customHeight="1" x14ac:dyDescent="0.25">
      <c r="A5632" s="1" t="s">
        <v>23631</v>
      </c>
      <c r="B5632" s="7" t="s">
        <v>23632</v>
      </c>
      <c r="C5632" s="7" t="s">
        <v>23628</v>
      </c>
      <c r="D5632" s="7" t="s">
        <v>23633</v>
      </c>
      <c r="E5632" s="7" t="s">
        <v>23634</v>
      </c>
      <c r="F5632" s="7" t="str">
        <f>HYPERLINK("http://www.maremmalta.com/","www.maremmalta.com")</f>
        <v>www.maremmalta.com</v>
      </c>
    </row>
    <row r="5633" spans="1:6" ht="29.55" customHeight="1" x14ac:dyDescent="0.25">
      <c r="A5633" s="1" t="s">
        <v>23635</v>
      </c>
      <c r="B5633" s="7" t="s">
        <v>23636</v>
      </c>
      <c r="C5633" s="7" t="s">
        <v>23637</v>
      </c>
      <c r="D5633" s="7" t="s">
        <v>23638</v>
      </c>
      <c r="E5633" s="7" t="s">
        <v>23630</v>
      </c>
      <c r="F5633" s="7" t="str">
        <f>HYPERLINK("http://collevicario.com/","collevicario.com")</f>
        <v>collevicario.com</v>
      </c>
    </row>
    <row r="5634" spans="1:6" ht="29.55" customHeight="1" x14ac:dyDescent="0.25">
      <c r="A5634" s="1" t="s">
        <v>23640</v>
      </c>
      <c r="B5634" s="7" t="s">
        <v>23641</v>
      </c>
      <c r="C5634" s="7" t="s">
        <v>23628</v>
      </c>
      <c r="D5634" s="7" t="s">
        <v>23642</v>
      </c>
      <c r="E5634" s="7" t="s">
        <v>23643</v>
      </c>
      <c r="F5634" s="7" t="str">
        <f>HYPERLINK("http://sertura.it/","sertura.it")</f>
        <v>sertura.it</v>
      </c>
    </row>
    <row r="5635" spans="1:6" ht="29.55" customHeight="1" x14ac:dyDescent="0.25">
      <c r="A5635" s="1" t="s">
        <v>23644</v>
      </c>
      <c r="B5635" s="7" t="s">
        <v>23645</v>
      </c>
      <c r="C5635" s="7" t="s">
        <v>23639</v>
      </c>
      <c r="D5635" s="7" t="s">
        <v>23646</v>
      </c>
      <c r="E5635" s="7" t="s">
        <v>23643</v>
      </c>
      <c r="F5635" s="7" t="str">
        <f>HYPERLINK("http://www.lequercefarmhouse.it/","www.lequercefarmhouse.it")</f>
        <v>www.lequercefarmhouse.it</v>
      </c>
    </row>
    <row r="5636" spans="1:6" ht="16.95" customHeight="1" x14ac:dyDescent="0.25">
      <c r="A5636" s="6" t="s">
        <v>23647</v>
      </c>
      <c r="B5636" s="5" t="s">
        <v>23648</v>
      </c>
      <c r="C5636" s="5" t="s">
        <v>23627</v>
      </c>
      <c r="D5636" s="5" t="s">
        <v>23629</v>
      </c>
      <c r="E5636" s="5" t="s">
        <v>23630</v>
      </c>
      <c r="F5636" s="5" t="str">
        <f>HYPERLINK("http://www.casadeigiovani.it/","www.casadeigiovani.it")</f>
        <v>www.casadeigiovani.it</v>
      </c>
    </row>
    <row r="5637" spans="1:6" ht="68.099999999999994" customHeight="1" x14ac:dyDescent="0.25">
      <c r="A5637" s="6" t="s">
        <v>23649</v>
      </c>
      <c r="B5637" s="5" t="s">
        <v>23650</v>
      </c>
      <c r="C5637" s="5" t="s">
        <v>23651</v>
      </c>
      <c r="D5637" s="5" t="s">
        <v>23652</v>
      </c>
      <c r="E5637" s="5" t="s">
        <v>23653</v>
      </c>
      <c r="F5637" s="5" t="str">
        <f>HYPERLINK("http://www.liberarmonia.com/","www.liberarmonia.com")</f>
        <v>www.liberarmonia.com</v>
      </c>
    </row>
    <row r="5638" spans="1:6" ht="29.55" customHeight="1" x14ac:dyDescent="0.25">
      <c r="A5638" s="1" t="s">
        <v>23654</v>
      </c>
      <c r="B5638" s="7" t="s">
        <v>23655</v>
      </c>
      <c r="C5638" s="7" t="s">
        <v>23656</v>
      </c>
      <c r="D5638" s="7" t="s">
        <v>23657</v>
      </c>
      <c r="E5638" s="7" t="s">
        <v>23653</v>
      </c>
      <c r="F5638" s="7" t="str">
        <f>HYPERLINK("http://www.agrisicula.com/","www.agrisicula.com")</f>
        <v>www.agrisicula.com</v>
      </c>
    </row>
    <row r="5639" spans="1:6" ht="16.95" customHeight="1" x14ac:dyDescent="0.25">
      <c r="A5639" s="1" t="s">
        <v>23658</v>
      </c>
      <c r="B5639" s="7" t="s">
        <v>23659</v>
      </c>
      <c r="C5639" s="7" t="s">
        <v>23660</v>
      </c>
      <c r="D5639" s="7" t="s">
        <v>23661</v>
      </c>
      <c r="E5639" s="7" t="s">
        <v>23662</v>
      </c>
      <c r="F5639" s="7" t="str">
        <f>HYPERLINK("http://www.lantellino.it/","www.lantellino.it")</f>
        <v>www.lantellino.it</v>
      </c>
    </row>
    <row r="5640" spans="1:6" ht="43.05" customHeight="1" x14ac:dyDescent="0.25">
      <c r="A5640" s="1" t="s">
        <v>23663</v>
      </c>
      <c r="B5640" s="7" t="s">
        <v>23664</v>
      </c>
      <c r="C5640" s="7" t="s">
        <v>23665</v>
      </c>
      <c r="D5640" s="7" t="s">
        <v>23666</v>
      </c>
      <c r="E5640" s="7" t="s">
        <v>23667</v>
      </c>
      <c r="F5640" s="7" t="str">
        <f>HYPERLINK("http://www.piandangelo.it/","www.piandangelo.it")</f>
        <v>www.piandangelo.it</v>
      </c>
    </row>
    <row r="5641" spans="1:6" ht="29.55" customHeight="1" x14ac:dyDescent="0.25">
      <c r="A5641" s="6" t="s">
        <v>23670</v>
      </c>
      <c r="B5641" s="5" t="s">
        <v>23671</v>
      </c>
      <c r="C5641" s="5" t="s">
        <v>23672</v>
      </c>
      <c r="D5641" s="5" t="s">
        <v>23668</v>
      </c>
      <c r="E5641" s="5" t="s">
        <v>23669</v>
      </c>
      <c r="F5641" s="5" t="str">
        <f>HYPERLINK("http://www.vivigardenvivaio.it/","www.vivigardenvivaio.it")</f>
        <v>www.vivigardenvivaio.it</v>
      </c>
    </row>
    <row r="5642" spans="1:6" ht="29.55" customHeight="1" x14ac:dyDescent="0.25">
      <c r="A5642" s="1" t="s">
        <v>23673</v>
      </c>
      <c r="B5642" s="7" t="s">
        <v>23674</v>
      </c>
      <c r="C5642" s="7" t="s">
        <v>23675</v>
      </c>
      <c r="D5642" s="7" t="s">
        <v>23676</v>
      </c>
      <c r="E5642" s="7" t="s">
        <v>23677</v>
      </c>
      <c r="F5642" s="7" t="str">
        <f>HYPERLINK("http://agriturismopoggiolo.com/","agriturismopoggiolo.com")</f>
        <v>agriturismopoggiolo.com</v>
      </c>
    </row>
    <row r="5643" spans="1:6" ht="29.55" customHeight="1" x14ac:dyDescent="0.25">
      <c r="A5643" s="1" t="s">
        <v>23679</v>
      </c>
      <c r="B5643" s="7" t="s">
        <v>23680</v>
      </c>
      <c r="C5643" s="7" t="s">
        <v>23681</v>
      </c>
      <c r="D5643" s="7" t="s">
        <v>23682</v>
      </c>
      <c r="E5643" s="7" t="s">
        <v>23683</v>
      </c>
      <c r="F5643" s="7" t="str">
        <f>HYPERLINK("http://www.fontandinoce.it/","www.fontandinoce.it")</f>
        <v>www.fontandinoce.it</v>
      </c>
    </row>
    <row r="5644" spans="1:6" ht="43.05" customHeight="1" x14ac:dyDescent="0.25">
      <c r="A5644" s="6" t="s">
        <v>23685</v>
      </c>
      <c r="B5644" s="5" t="s">
        <v>23686</v>
      </c>
      <c r="C5644" s="5" t="s">
        <v>23678</v>
      </c>
      <c r="D5644" s="5" t="s">
        <v>23687</v>
      </c>
      <c r="E5644" s="5" t="s">
        <v>23684</v>
      </c>
      <c r="F5644" s="5" t="str">
        <f>HYPERLINK("http://instagram.com/vesuve.lounge.bar","instagram.com/vesuve.lounge.bar")</f>
        <v>instagram.com/vesuve.lounge.bar</v>
      </c>
    </row>
    <row r="5645" spans="1:6" ht="29.55" customHeight="1" x14ac:dyDescent="0.25">
      <c r="A5645" s="1" t="s">
        <v>23688</v>
      </c>
      <c r="B5645" s="7" t="s">
        <v>23689</v>
      </c>
      <c r="C5645" s="7" t="s">
        <v>23690</v>
      </c>
      <c r="D5645" s="7" t="s">
        <v>23691</v>
      </c>
      <c r="E5645" s="7" t="s">
        <v>23692</v>
      </c>
      <c r="F5645" s="7" t="str">
        <f>HYPERLINK("http://www.bonsai-do.it/","www.bonsai-do.it")</f>
        <v>www.bonsai-do.it</v>
      </c>
    </row>
    <row r="5646" spans="1:6" ht="29.55" customHeight="1" x14ac:dyDescent="0.25">
      <c r="A5646" s="6" t="s">
        <v>23693</v>
      </c>
      <c r="B5646" s="5" t="s">
        <v>23694</v>
      </c>
      <c r="C5646" s="5" t="s">
        <v>23695</v>
      </c>
      <c r="D5646" s="5" t="s">
        <v>23696</v>
      </c>
      <c r="E5646" s="5" t="s">
        <v>23697</v>
      </c>
      <c r="F5646" s="5" t="str">
        <f>HYPERLINK("http://www.valledelleferle.it/","www.valledelleferle.it")</f>
        <v>www.valledelleferle.it</v>
      </c>
    </row>
    <row r="5647" spans="1:6" ht="43.05" customHeight="1" x14ac:dyDescent="0.25">
      <c r="A5647" s="1" t="s">
        <v>23701</v>
      </c>
      <c r="B5647" s="7" t="s">
        <v>23702</v>
      </c>
      <c r="C5647" s="7" t="s">
        <v>23700</v>
      </c>
      <c r="D5647" s="7" t="s">
        <v>23703</v>
      </c>
      <c r="E5647" s="7" t="s">
        <v>23704</v>
      </c>
      <c r="F5647" s="7" t="str">
        <f>HYPERLINK("http://www.facebook.com/pages/s-maurizio-az-agricola/371744519630490?sk=timeline","www.facebook.com/pages/s-maurizio-az-agricola/371744519630490?sk=timeline")</f>
        <v>www.facebook.com/pages/s-maurizio-az-agricola/371744519630490?sk=timeline</v>
      </c>
    </row>
    <row r="5648" spans="1:6" ht="43.05" customHeight="1" x14ac:dyDescent="0.25">
      <c r="A5648" s="1" t="s">
        <v>23706</v>
      </c>
      <c r="B5648" s="7" t="s">
        <v>23707</v>
      </c>
      <c r="C5648" s="7" t="s">
        <v>23699</v>
      </c>
      <c r="D5648" s="7" t="s">
        <v>23705</v>
      </c>
      <c r="E5648" s="7" t="s">
        <v>23698</v>
      </c>
      <c r="F5648" s="7" t="str">
        <f>HYPERLINK("http://www.borgosangiacomo.com/","www.borgosangiacomo.com")</f>
        <v>www.borgosangiacomo.com</v>
      </c>
    </row>
    <row r="5649" spans="1:6" ht="29.55" customHeight="1" x14ac:dyDescent="0.25">
      <c r="A5649" s="6" t="s">
        <v>23708</v>
      </c>
      <c r="B5649" s="5" t="s">
        <v>23709</v>
      </c>
      <c r="C5649" s="5" t="s">
        <v>23710</v>
      </c>
      <c r="D5649" s="5" t="s">
        <v>23696</v>
      </c>
      <c r="E5649" s="5" t="s">
        <v>23697</v>
      </c>
      <c r="F5649" s="5" t="str">
        <f>HYPERLINK("http://www.facebook.com/lafenice2017coop/?ref=bookmarks","www.facebook.com/lafenice2017coop/?ref=bookmarks")</f>
        <v>www.facebook.com/lafenice2017coop/?ref=bookmarks</v>
      </c>
    </row>
    <row r="5650" spans="1:6" ht="43.05" customHeight="1" x14ac:dyDescent="0.25">
      <c r="A5650" s="6" t="s">
        <v>23713</v>
      </c>
      <c r="B5650" s="5" t="s">
        <v>23714</v>
      </c>
      <c r="C5650" s="5" t="s">
        <v>23715</v>
      </c>
      <c r="D5650" s="5" t="s">
        <v>23716</v>
      </c>
      <c r="E5650" s="5" t="s">
        <v>23712</v>
      </c>
      <c r="F5650" s="5" t="str">
        <f>HYPERLINK("http://www.vivaiobottone.it/","www.vivaiobottone.it")</f>
        <v>www.vivaiobottone.it</v>
      </c>
    </row>
    <row r="5651" spans="1:6" ht="81.75" customHeight="1" x14ac:dyDescent="0.25">
      <c r="A5651" s="1" t="s">
        <v>23717</v>
      </c>
      <c r="B5651" s="7" t="s">
        <v>23718</v>
      </c>
      <c r="C5651" s="7" t="s">
        <v>23719</v>
      </c>
      <c r="D5651" s="7" t="s">
        <v>23720</v>
      </c>
      <c r="E5651" s="7" t="s">
        <v>23721</v>
      </c>
      <c r="F5651" s="7" t="str">
        <f>HYPERLINK("http://www.cooplaudatosii.it/","www.cooplaudatosii.it")</f>
        <v>www.cooplaudatosii.it</v>
      </c>
    </row>
    <row r="5652" spans="1:6" ht="29.55" customHeight="1" x14ac:dyDescent="0.25">
      <c r="A5652" s="1" t="s">
        <v>23722</v>
      </c>
      <c r="B5652" s="7" t="s">
        <v>23723</v>
      </c>
      <c r="C5652" s="7" t="s">
        <v>23724</v>
      </c>
      <c r="D5652" s="7" t="s">
        <v>23725</v>
      </c>
      <c r="E5652" s="7" t="s">
        <v>23726</v>
      </c>
      <c r="F5652" s="7" t="str">
        <f>HYPERLINK("http://www.facebook.com/progettoverdepuntovendita/","www.facebook.com/progettoverdepuntovendita/")</f>
        <v>www.facebook.com/progettoverdepuntovendita/</v>
      </c>
    </row>
    <row r="5653" spans="1:6" ht="29.55" customHeight="1" x14ac:dyDescent="0.25">
      <c r="A5653" s="1" t="s">
        <v>23729</v>
      </c>
      <c r="B5653" s="7" t="s">
        <v>23730</v>
      </c>
      <c r="C5653" s="7" t="s">
        <v>23728</v>
      </c>
      <c r="D5653" s="7" t="s">
        <v>23731</v>
      </c>
      <c r="E5653" s="7" t="s">
        <v>23711</v>
      </c>
      <c r="F5653" s="7" t="str">
        <f>HYPERLINK("http://www.nebrodinero.it/","www.nebrodinero.it")</f>
        <v>www.nebrodinero.it</v>
      </c>
    </row>
    <row r="5654" spans="1:6" ht="43.05" customHeight="1" x14ac:dyDescent="0.25">
      <c r="A5654" s="1" t="s">
        <v>23732</v>
      </c>
      <c r="B5654" s="7" t="s">
        <v>23733</v>
      </c>
      <c r="C5654" s="7" t="s">
        <v>23728</v>
      </c>
      <c r="D5654" s="7" t="s">
        <v>23727</v>
      </c>
      <c r="E5654" s="7" t="s">
        <v>23726</v>
      </c>
      <c r="F5654" s="7" t="str">
        <f>HYPERLINK("http://www.cosaev.it/","www.cosaev.it")</f>
        <v>www.cosaev.it</v>
      </c>
    </row>
    <row r="5655" spans="1:6" ht="29.55" customHeight="1" x14ac:dyDescent="0.25">
      <c r="A5655" s="6" t="s">
        <v>23734</v>
      </c>
      <c r="B5655" s="5" t="s">
        <v>23735</v>
      </c>
      <c r="C5655" s="5" t="s">
        <v>23736</v>
      </c>
      <c r="D5655" s="5" t="s">
        <v>23737</v>
      </c>
      <c r="E5655" s="5" t="s">
        <v>23738</v>
      </c>
      <c r="F5655" s="5" t="str">
        <f>HYPERLINK("http://www.scuderiagroane.com/","www.scuderiagroane.com")</f>
        <v>www.scuderiagroane.com</v>
      </c>
    </row>
    <row r="5656" spans="1:6" ht="16.95" customHeight="1" x14ac:dyDescent="0.25">
      <c r="A5656" s="1" t="s">
        <v>23739</v>
      </c>
      <c r="B5656" s="7" t="s">
        <v>23740</v>
      </c>
      <c r="C5656" s="7" t="s">
        <v>23741</v>
      </c>
      <c r="D5656" s="7" t="s">
        <v>23742</v>
      </c>
      <c r="E5656" s="7" t="s">
        <v>23743</v>
      </c>
      <c r="F5656" s="7" t="str">
        <f>HYPERLINK("http://www.suinicolavalli.it/","www.suinicolavalli.it")</f>
        <v>www.suinicolavalli.it</v>
      </c>
    </row>
    <row r="5657" spans="1:6" ht="43.05" customHeight="1" x14ac:dyDescent="0.25">
      <c r="A5657" s="1" t="s">
        <v>23746</v>
      </c>
      <c r="B5657" s="7" t="s">
        <v>23747</v>
      </c>
      <c r="C5657" s="7" t="s">
        <v>23748</v>
      </c>
      <c r="D5657" s="7" t="s">
        <v>23749</v>
      </c>
      <c r="E5657" s="7" t="s">
        <v>23750</v>
      </c>
      <c r="F5657" s="7" t="str">
        <f>HYPERLINK("http://www.geoserra.com/","www.geoserra.com")</f>
        <v>www.geoserra.com</v>
      </c>
    </row>
    <row r="5658" spans="1:6" ht="29.55" customHeight="1" x14ac:dyDescent="0.25">
      <c r="A5658" s="6" t="s">
        <v>23752</v>
      </c>
      <c r="B5658" s="5" t="s">
        <v>23753</v>
      </c>
      <c r="C5658" s="5" t="s">
        <v>23744</v>
      </c>
      <c r="D5658" s="5" t="s">
        <v>23754</v>
      </c>
      <c r="E5658" s="5" t="s">
        <v>23745</v>
      </c>
      <c r="F5658" s="5" t="str">
        <f>HYPERLINK("http://www.villazottopera.it/","www.villazottopera.it")</f>
        <v>www.villazottopera.it</v>
      </c>
    </row>
    <row r="5659" spans="1:6" ht="29.55" customHeight="1" x14ac:dyDescent="0.25">
      <c r="A5659" s="1" t="s">
        <v>23755</v>
      </c>
      <c r="B5659" s="7" t="s">
        <v>23756</v>
      </c>
      <c r="C5659" s="7" t="s">
        <v>23751</v>
      </c>
      <c r="D5659" s="7" t="s">
        <v>23757</v>
      </c>
      <c r="E5659" s="7" t="s">
        <v>23750</v>
      </c>
      <c r="F5659" s="7" t="str">
        <f>HYPERLINK("http://www.vinitaagricola.it/","www.vinitaagricola.it")</f>
        <v>www.vinitaagricola.it</v>
      </c>
    </row>
    <row r="5660" spans="1:6" ht="29.55" customHeight="1" x14ac:dyDescent="0.25">
      <c r="A5660" s="1" t="s">
        <v>23759</v>
      </c>
      <c r="B5660" s="7" t="s">
        <v>23760</v>
      </c>
      <c r="C5660" s="7" t="s">
        <v>23761</v>
      </c>
      <c r="D5660" s="7" t="s">
        <v>23762</v>
      </c>
      <c r="E5660" s="7" t="s">
        <v>23763</v>
      </c>
      <c r="F5660" s="7" t="str">
        <f>HYPERLINK("http://www.fattoriacanova.it/","www.fattoriacanova.it")</f>
        <v>www.fattoriacanova.it</v>
      </c>
    </row>
    <row r="5661" spans="1:6" ht="29.55" customHeight="1" x14ac:dyDescent="0.25">
      <c r="A5661" s="6" t="s">
        <v>23764</v>
      </c>
      <c r="B5661" s="5" t="s">
        <v>23765</v>
      </c>
      <c r="C5661" s="5" t="s">
        <v>23761</v>
      </c>
      <c r="D5661" s="5" t="s">
        <v>23766</v>
      </c>
      <c r="E5661" s="5" t="s">
        <v>23758</v>
      </c>
      <c r="F5661" s="5" t="str">
        <f>HYPERLINK("http://www.ingrossoprodottibiologici.messina.it/","www.ingrossoprodottibiologici.messina.it")</f>
        <v>www.ingrossoprodottibiologici.messina.it</v>
      </c>
    </row>
    <row r="5662" spans="1:6" ht="16.95" customHeight="1" x14ac:dyDescent="0.25">
      <c r="A5662" s="1" t="s">
        <v>23767</v>
      </c>
      <c r="B5662" s="7" t="s">
        <v>23768</v>
      </c>
      <c r="C5662" s="7" t="s">
        <v>23769</v>
      </c>
      <c r="D5662" s="7" t="s">
        <v>23766</v>
      </c>
      <c r="E5662" s="7" t="s">
        <v>23758</v>
      </c>
      <c r="F5662" s="7" t="str">
        <f>HYPERLINK("http://www.fc3italy.it/","www.fc3italy.it")</f>
        <v>www.fc3italy.it</v>
      </c>
    </row>
    <row r="5663" spans="1:6" ht="29.55" customHeight="1" x14ac:dyDescent="0.25">
      <c r="A5663" s="6" t="s">
        <v>23770</v>
      </c>
      <c r="B5663" s="5" t="s">
        <v>23771</v>
      </c>
      <c r="C5663" s="5" t="s">
        <v>23772</v>
      </c>
      <c r="D5663" s="5" t="s">
        <v>23773</v>
      </c>
      <c r="E5663" s="5" t="s">
        <v>23774</v>
      </c>
      <c r="F5663" s="5" t="str">
        <f>HYPERLINK("http://m.facebook.com/treviae/?locale2=it_it","m.facebook.com/treviae/?locale2=it_it")</f>
        <v>m.facebook.com/treviae/?locale2=it_it</v>
      </c>
    </row>
    <row r="5664" spans="1:6" ht="43.05" customHeight="1" x14ac:dyDescent="0.25">
      <c r="A5664" s="6" t="s">
        <v>23776</v>
      </c>
      <c r="B5664" s="5" t="s">
        <v>23777</v>
      </c>
      <c r="C5664" s="5" t="s">
        <v>23775</v>
      </c>
      <c r="D5664" s="5" t="s">
        <v>23778</v>
      </c>
      <c r="E5664" s="5" t="s">
        <v>23779</v>
      </c>
      <c r="F5664" s="5" t="str">
        <f>HYPERLINK("http://www.formaggidascenzo.it/","www.formaggidascenzo.it")</f>
        <v>www.formaggidascenzo.it</v>
      </c>
    </row>
    <row r="5665" spans="1:6" ht="29.55" customHeight="1" x14ac:dyDescent="0.25">
      <c r="A5665" s="6" t="s">
        <v>23780</v>
      </c>
      <c r="B5665" s="5" t="s">
        <v>23781</v>
      </c>
      <c r="C5665" s="5" t="s">
        <v>23782</v>
      </c>
      <c r="D5665" s="5" t="s">
        <v>23783</v>
      </c>
      <c r="E5665" s="5" t="s">
        <v>23784</v>
      </c>
      <c r="F5665" s="5" t="str">
        <f>HYPERLINK("http://detersivinaturali.net/","detersivinaturali.net")</f>
        <v>detersivinaturali.net</v>
      </c>
    </row>
    <row r="5666" spans="1:6" ht="29.55" customHeight="1" x14ac:dyDescent="0.25">
      <c r="A5666" s="6" t="s">
        <v>23786</v>
      </c>
      <c r="B5666" s="5" t="s">
        <v>23787</v>
      </c>
      <c r="C5666" s="5" t="s">
        <v>23788</v>
      </c>
      <c r="D5666" s="5" t="s">
        <v>23789</v>
      </c>
      <c r="E5666" s="5" t="s">
        <v>23790</v>
      </c>
      <c r="F5666" s="5" t="str">
        <f>HYPERLINK("http://www.rifugiocastelnovodisotto.it/","www.rifugiocastelnovodisotto.it")</f>
        <v>www.rifugiocastelnovodisotto.it</v>
      </c>
    </row>
    <row r="5667" spans="1:6" ht="29.55" customHeight="1" x14ac:dyDescent="0.25">
      <c r="A5667" s="1" t="s">
        <v>23791</v>
      </c>
      <c r="B5667" s="7" t="s">
        <v>23792</v>
      </c>
      <c r="C5667" s="7" t="s">
        <v>23785</v>
      </c>
      <c r="D5667" s="7" t="s">
        <v>23793</v>
      </c>
      <c r="E5667" s="7" t="s">
        <v>23794</v>
      </c>
      <c r="F5667" s="7" t="str">
        <f>HYPERLINK("http://www.facebook.com/agriturismo-ai-colonos-101757958208697","www.facebook.com/agriturismo-ai-colonos-101757958208697")</f>
        <v>www.facebook.com/agriturismo-ai-colonos-101757958208697</v>
      </c>
    </row>
    <row r="5668" spans="1:6" ht="43.05" customHeight="1" x14ac:dyDescent="0.25">
      <c r="A5668" s="6" t="s">
        <v>23795</v>
      </c>
      <c r="B5668" s="5" t="s">
        <v>23796</v>
      </c>
      <c r="C5668" s="5" t="s">
        <v>23797</v>
      </c>
      <c r="D5668" s="5" t="s">
        <v>23798</v>
      </c>
      <c r="E5668" s="5" t="s">
        <v>23799</v>
      </c>
      <c r="F5668" s="5" t="str">
        <f>HYPERLINK("http://www.florastasanremo.com/","www.florastasanremo.com")</f>
        <v>www.florastasanremo.com</v>
      </c>
    </row>
    <row r="5669" spans="1:6" ht="43.05" customHeight="1" x14ac:dyDescent="0.25">
      <c r="A5669" s="1" t="s">
        <v>23805</v>
      </c>
      <c r="B5669" s="7" t="s">
        <v>23806</v>
      </c>
      <c r="C5669" s="7" t="s">
        <v>23800</v>
      </c>
      <c r="D5669" s="7" t="s">
        <v>23807</v>
      </c>
      <c r="E5669" s="7" t="s">
        <v>23801</v>
      </c>
      <c r="F5669" s="7" t="str">
        <f>HYPERLINK("http://biosolequocoop.com/","biosolequocoop.com")</f>
        <v>biosolequocoop.com</v>
      </c>
    </row>
    <row r="5670" spans="1:6" ht="43.05" customHeight="1" x14ac:dyDescent="0.25">
      <c r="A5670" s="1" t="s">
        <v>23808</v>
      </c>
      <c r="B5670" s="7" t="s">
        <v>23809</v>
      </c>
      <c r="C5670" s="7" t="s">
        <v>23802</v>
      </c>
      <c r="D5670" s="7" t="s">
        <v>23810</v>
      </c>
      <c r="E5670" s="7" t="s">
        <v>23804</v>
      </c>
      <c r="F5670" s="7" t="str">
        <f>HYPERLINK("http://www.vinicea.it/","www.vinicea.it")</f>
        <v>www.vinicea.it</v>
      </c>
    </row>
    <row r="5671" spans="1:6" ht="29.55" customHeight="1" x14ac:dyDescent="0.25">
      <c r="A5671" s="6" t="s">
        <v>23811</v>
      </c>
      <c r="B5671" s="5" t="s">
        <v>23812</v>
      </c>
      <c r="C5671" s="5" t="s">
        <v>23802</v>
      </c>
      <c r="D5671" s="5" t="s">
        <v>23813</v>
      </c>
      <c r="E5671" s="5" t="s">
        <v>23803</v>
      </c>
      <c r="F5671" s="5" t="str">
        <f>HYPERLINK("http://www.altavia.im.it/","www.altavia.im.it")</f>
        <v>www.altavia.im.it</v>
      </c>
    </row>
    <row r="5672" spans="1:6" ht="43.05" customHeight="1" x14ac:dyDescent="0.25">
      <c r="A5672" s="6" t="s">
        <v>23818</v>
      </c>
      <c r="B5672" s="5" t="s">
        <v>23819</v>
      </c>
      <c r="C5672" s="5" t="s">
        <v>23820</v>
      </c>
      <c r="D5672" s="5" t="s">
        <v>23814</v>
      </c>
      <c r="E5672" s="5" t="s">
        <v>23815</v>
      </c>
      <c r="F5672" s="5" t="str">
        <f>HYPERLINK("http://www.viaggioverde.it/","www.viaggioverde.it")</f>
        <v>www.viaggioverde.it</v>
      </c>
    </row>
    <row r="5673" spans="1:6" ht="29.55" customHeight="1" x14ac:dyDescent="0.25">
      <c r="A5673" s="6" t="s">
        <v>23821</v>
      </c>
      <c r="B5673" s="5" t="s">
        <v>23822</v>
      </c>
      <c r="C5673" s="5" t="s">
        <v>23823</v>
      </c>
      <c r="D5673" s="5" t="s">
        <v>23824</v>
      </c>
      <c r="E5673" s="5" t="s">
        <v>23817</v>
      </c>
      <c r="F5673" s="5" t="str">
        <f>HYPERLINK("http://agricolamigliorettishop.it/","agricolamigliorettishop.it")</f>
        <v>agricolamigliorettishop.it</v>
      </c>
    </row>
    <row r="5674" spans="1:6" ht="68.099999999999994" customHeight="1" x14ac:dyDescent="0.25">
      <c r="A5674" s="6" t="s">
        <v>23825</v>
      </c>
      <c r="B5674" s="5" t="s">
        <v>23826</v>
      </c>
      <c r="C5674" s="5" t="s">
        <v>23827</v>
      </c>
      <c r="D5674" s="5" t="s">
        <v>23814</v>
      </c>
      <c r="E5674" s="5" t="s">
        <v>23815</v>
      </c>
      <c r="F5674" s="5" t="str">
        <f>HYPERLINK("http://www.lavalletta.eu/","www.lavalletta.eu")</f>
        <v>www.lavalletta.eu</v>
      </c>
    </row>
    <row r="5675" spans="1:6" ht="29.55" customHeight="1" x14ac:dyDescent="0.25">
      <c r="A5675" s="1" t="s">
        <v>23828</v>
      </c>
      <c r="B5675" s="7" t="s">
        <v>23829</v>
      </c>
      <c r="C5675" s="7" t="s">
        <v>23816</v>
      </c>
      <c r="D5675" s="7" t="s">
        <v>23814</v>
      </c>
      <c r="E5675" s="7" t="s">
        <v>23815</v>
      </c>
      <c r="F5675" s="7" t="str">
        <f>HYPERLINK("http://www.engelvoelkers.com/roma","www.engelvoelkers.com/roma")</f>
        <v>www.engelvoelkers.com/roma</v>
      </c>
    </row>
    <row r="5676" spans="1:6" ht="43.05" customHeight="1" x14ac:dyDescent="0.25">
      <c r="A5676" s="1" t="s">
        <v>23830</v>
      </c>
      <c r="B5676" s="7" t="s">
        <v>23831</v>
      </c>
      <c r="C5676" s="7" t="s">
        <v>23832</v>
      </c>
      <c r="D5676" s="7" t="s">
        <v>23833</v>
      </c>
      <c r="E5676" s="7" t="s">
        <v>23834</v>
      </c>
      <c r="F5676" s="7" t="str">
        <f>HYPERLINK("http://valdicastro.it/","valdicastro.it")</f>
        <v>valdicastro.it</v>
      </c>
    </row>
    <row r="5677" spans="1:6" ht="29.55" customHeight="1" x14ac:dyDescent="0.25">
      <c r="A5677" s="1" t="s">
        <v>23836</v>
      </c>
      <c r="B5677" s="7" t="s">
        <v>23837</v>
      </c>
      <c r="C5677" s="7" t="s">
        <v>23838</v>
      </c>
      <c r="D5677" s="7" t="s">
        <v>23839</v>
      </c>
      <c r="E5677" s="7" t="s">
        <v>23840</v>
      </c>
      <c r="F5677" s="7" t="str">
        <f>HYPERLINK("http://laletizia.it/","laletizia.it")</f>
        <v>laletizia.it</v>
      </c>
    </row>
    <row r="5678" spans="1:6" ht="43.05" customHeight="1" x14ac:dyDescent="0.25">
      <c r="A5678" s="1" t="s">
        <v>23843</v>
      </c>
      <c r="B5678" s="7" t="s">
        <v>23844</v>
      </c>
      <c r="C5678" s="7" t="s">
        <v>23845</v>
      </c>
      <c r="D5678" s="7" t="s">
        <v>23846</v>
      </c>
      <c r="E5678" s="7" t="s">
        <v>23847</v>
      </c>
      <c r="F5678" s="7" t="str">
        <f>HYPERLINK("http://www.podereaivalloni.wine/","www.podereaivalloni.wine")</f>
        <v>www.podereaivalloni.wine</v>
      </c>
    </row>
    <row r="5679" spans="1:6" ht="55.65" customHeight="1" x14ac:dyDescent="0.25">
      <c r="A5679" s="6" t="s">
        <v>23850</v>
      </c>
      <c r="B5679" s="5" t="s">
        <v>23851</v>
      </c>
      <c r="C5679" s="5" t="s">
        <v>23848</v>
      </c>
      <c r="D5679" s="5" t="s">
        <v>23849</v>
      </c>
      <c r="E5679" s="5" t="s">
        <v>23841</v>
      </c>
      <c r="F5679" s="5" t="str">
        <f>HYPERLINK("http://cpol.it/","cpol.it")</f>
        <v>cpol.it</v>
      </c>
    </row>
    <row r="5680" spans="1:6" ht="29.55" customHeight="1" x14ac:dyDescent="0.25">
      <c r="A5680" s="1" t="s">
        <v>23853</v>
      </c>
      <c r="B5680" s="7" t="s">
        <v>23854</v>
      </c>
      <c r="C5680" s="7" t="s">
        <v>23855</v>
      </c>
      <c r="D5680" s="7" t="s">
        <v>23852</v>
      </c>
      <c r="E5680" s="7" t="s">
        <v>23835</v>
      </c>
      <c r="F5680" s="7" t="str">
        <f>HYPERLINK("http://agripugliese-soc-agricola.business.site/","agripugliese-soc-agricola.business.site/")</f>
        <v>agripugliese-soc-agricola.business.site/</v>
      </c>
    </row>
    <row r="5681" spans="1:6" ht="29.55" customHeight="1" x14ac:dyDescent="0.25">
      <c r="A5681" s="1" t="s">
        <v>23856</v>
      </c>
      <c r="B5681" s="7" t="s">
        <v>23857</v>
      </c>
      <c r="C5681" s="7" t="s">
        <v>23845</v>
      </c>
      <c r="D5681" s="7" t="s">
        <v>23858</v>
      </c>
      <c r="E5681" s="7" t="s">
        <v>23859</v>
      </c>
      <c r="F5681" s="7" t="str">
        <f>HYPERLINK("http://www.terredifiume.com/","www.terredifiume.com")</f>
        <v>www.terredifiume.com</v>
      </c>
    </row>
    <row r="5682" spans="1:6" ht="43.05" customHeight="1" x14ac:dyDescent="0.25">
      <c r="A5682" s="6" t="s">
        <v>23861</v>
      </c>
      <c r="B5682" s="5" t="s">
        <v>23862</v>
      </c>
      <c r="C5682" s="5" t="s">
        <v>23863</v>
      </c>
      <c r="D5682" s="5" t="s">
        <v>23852</v>
      </c>
      <c r="E5682" s="5" t="s">
        <v>23835</v>
      </c>
      <c r="F5682" s="5" t="str">
        <f>HYPERLINK("http://www.agricolaisolverde.it/","www.agricolaisolverde.it")</f>
        <v>www.agricolaisolverde.it</v>
      </c>
    </row>
    <row r="5683" spans="1:6" ht="29.55" customHeight="1" x14ac:dyDescent="0.25">
      <c r="A5683" s="1" t="s">
        <v>23864</v>
      </c>
      <c r="B5683" s="7" t="s">
        <v>23865</v>
      </c>
      <c r="C5683" s="7" t="s">
        <v>23845</v>
      </c>
      <c r="D5683" s="7" t="s">
        <v>23860</v>
      </c>
      <c r="E5683" s="7" t="s">
        <v>23842</v>
      </c>
      <c r="F5683" s="7" t="str">
        <f>HYPERLINK("http://www.masseriachianetta.com/","www.masseriachianetta.com")</f>
        <v>www.masseriachianetta.com</v>
      </c>
    </row>
    <row r="5684" spans="1:6" ht="29.55" customHeight="1" x14ac:dyDescent="0.25">
      <c r="A5684" s="6" t="s">
        <v>23867</v>
      </c>
      <c r="B5684" s="5" t="s">
        <v>23868</v>
      </c>
      <c r="C5684" s="5" t="s">
        <v>23869</v>
      </c>
      <c r="D5684" s="5" t="s">
        <v>23870</v>
      </c>
      <c r="E5684" s="5" t="s">
        <v>23871</v>
      </c>
      <c r="F5684" s="5" t="str">
        <f>HYPERLINK("http://www.camposilio.it/","www.camposilio.it")</f>
        <v>www.camposilio.it</v>
      </c>
    </row>
    <row r="5685" spans="1:6" ht="16.95" customHeight="1" x14ac:dyDescent="0.25">
      <c r="A5685" s="1" t="s">
        <v>23872</v>
      </c>
      <c r="B5685" s="7" t="s">
        <v>23873</v>
      </c>
      <c r="C5685" s="7" t="s">
        <v>23874</v>
      </c>
      <c r="D5685" s="7" t="s">
        <v>23875</v>
      </c>
      <c r="E5685" s="7" t="s">
        <v>23876</v>
      </c>
      <c r="F5685" s="7" t="str">
        <f>HYPERLINK("http://www.geoponica.it/","www.geoponica.it")</f>
        <v>www.geoponica.it</v>
      </c>
    </row>
    <row r="5686" spans="1:6" ht="29.55" customHeight="1" x14ac:dyDescent="0.25">
      <c r="A5686" s="1" t="s">
        <v>23878</v>
      </c>
      <c r="B5686" s="7" t="s">
        <v>23879</v>
      </c>
      <c r="C5686" s="7" t="s">
        <v>23880</v>
      </c>
      <c r="D5686" s="7" t="s">
        <v>23881</v>
      </c>
      <c r="E5686" s="7" t="s">
        <v>23871</v>
      </c>
      <c r="F5686" s="7" t="str">
        <f>HYPERLINK("http://eshop.oliodolivaillecceto.it/","eshop.oliodolivaillecceto.it")</f>
        <v>eshop.oliodolivaillecceto.it</v>
      </c>
    </row>
    <row r="5687" spans="1:6" ht="43.05" customHeight="1" x14ac:dyDescent="0.25">
      <c r="A5687" s="6" t="s">
        <v>23883</v>
      </c>
      <c r="B5687" s="5" t="s">
        <v>23884</v>
      </c>
      <c r="C5687" s="5" t="s">
        <v>23877</v>
      </c>
      <c r="D5687" s="5" t="s">
        <v>23885</v>
      </c>
      <c r="E5687" s="5" t="s">
        <v>23882</v>
      </c>
      <c r="F5687" s="5" t="str">
        <f>HYPERLINK("http://www.canicarao.com/","www.canicarao.com")</f>
        <v>www.canicarao.com</v>
      </c>
    </row>
    <row r="5688" spans="1:6" ht="43.05" customHeight="1" x14ac:dyDescent="0.25">
      <c r="A5688" s="6" t="s">
        <v>23887</v>
      </c>
      <c r="B5688" s="5" t="s">
        <v>23888</v>
      </c>
      <c r="C5688" s="5" t="s">
        <v>23889</v>
      </c>
      <c r="D5688" s="5" t="s">
        <v>23890</v>
      </c>
      <c r="E5688" s="5" t="s">
        <v>23866</v>
      </c>
      <c r="F5688" s="5" t="str">
        <f>HYPERLINK("http://www.facebook.com/pages/category/fruit---vegetable-store/produttori-agricoli-italiani-155774204808823/","www.facebook.com/pages/category/fruit---vegetable-store/produttori-agricoli-italiani-155774204808823/")</f>
        <v>www.facebook.com/pages/category/fruit---vegetable-store/produttori-agricoli-italiani-155774204808823/</v>
      </c>
    </row>
    <row r="5689" spans="1:6" ht="29.55" customHeight="1" x14ac:dyDescent="0.25">
      <c r="A5689" s="1" t="s">
        <v>23891</v>
      </c>
      <c r="B5689" s="7" t="s">
        <v>23892</v>
      </c>
      <c r="C5689" s="7" t="s">
        <v>23880</v>
      </c>
      <c r="D5689" s="7" t="s">
        <v>23886</v>
      </c>
      <c r="E5689" s="7" t="s">
        <v>23866</v>
      </c>
      <c r="F5689" s="7" t="str">
        <f>HYPERLINK("http://www.oliopoggioreale.com/","www.oliopoggioreale.com")</f>
        <v>www.oliopoggioreale.com</v>
      </c>
    </row>
    <row r="5690" spans="1:6" ht="29.55" customHeight="1" x14ac:dyDescent="0.25">
      <c r="A5690" s="1" t="s">
        <v>23894</v>
      </c>
      <c r="B5690" s="7" t="s">
        <v>23895</v>
      </c>
      <c r="C5690" s="7" t="s">
        <v>23896</v>
      </c>
      <c r="D5690" s="7" t="s">
        <v>23881</v>
      </c>
      <c r="E5690" s="7" t="s">
        <v>23871</v>
      </c>
      <c r="F5690" s="7" t="str">
        <f>HYPERLINK("http://www.allevamentorenaccino.it/","www.allevamentorenaccino.it")</f>
        <v>www.allevamentorenaccino.it</v>
      </c>
    </row>
    <row r="5691" spans="1:6" ht="43.05" customHeight="1" x14ac:dyDescent="0.25">
      <c r="A5691" s="6" t="s">
        <v>23897</v>
      </c>
      <c r="B5691" s="5" t="s">
        <v>23898</v>
      </c>
      <c r="C5691" s="5" t="s">
        <v>23899</v>
      </c>
      <c r="D5691" s="5" t="s">
        <v>23893</v>
      </c>
      <c r="E5691" s="5" t="s">
        <v>23882</v>
      </c>
      <c r="F5691" s="5" t="str">
        <f>HYPERLINK("http://www.ottimocitrus.it/","www.ottimocitrus.it")</f>
        <v>www.ottimocitrus.it</v>
      </c>
    </row>
    <row r="5692" spans="1:6" ht="55.65" customHeight="1" x14ac:dyDescent="0.25">
      <c r="A5692" s="1" t="s">
        <v>23900</v>
      </c>
      <c r="B5692" s="7" t="s">
        <v>23901</v>
      </c>
      <c r="C5692" s="7" t="s">
        <v>23877</v>
      </c>
      <c r="D5692" s="7" t="s">
        <v>23902</v>
      </c>
      <c r="E5692" s="7" t="s">
        <v>23871</v>
      </c>
      <c r="F5692" s="7" t="str">
        <f>HYPERLINK("http://www.viniapuani.com/","www.viniapuani.com")</f>
        <v>www.viniapuani.com</v>
      </c>
    </row>
    <row r="5693" spans="1:6" ht="16.95" customHeight="1" x14ac:dyDescent="0.25">
      <c r="A5693" s="1" t="s">
        <v>23904</v>
      </c>
      <c r="B5693" s="7" t="s">
        <v>23905</v>
      </c>
      <c r="C5693" s="7" t="s">
        <v>23906</v>
      </c>
      <c r="D5693" s="7" t="s">
        <v>23907</v>
      </c>
      <c r="E5693" s="7" t="s">
        <v>23908</v>
      </c>
      <c r="F5693" s="7" t="str">
        <f>HYPERLINK("http://www.cooploscoiattolo.it/","www.cooploscoiattolo.it")</f>
        <v>www.cooploscoiattolo.it</v>
      </c>
    </row>
    <row r="5694" spans="1:6" ht="16.95" customHeight="1" x14ac:dyDescent="0.25">
      <c r="A5694" s="1" t="s">
        <v>23910</v>
      </c>
      <c r="B5694" s="7" t="s">
        <v>23911</v>
      </c>
      <c r="C5694" s="7" t="s">
        <v>23912</v>
      </c>
      <c r="D5694" s="7" t="s">
        <v>23913</v>
      </c>
      <c r="E5694" s="7" t="s">
        <v>23909</v>
      </c>
      <c r="F5694" s="7" t="str">
        <f>HYPERLINK("http://shop.malenavini.it/","shop.malenavini.it")</f>
        <v>shop.malenavini.it</v>
      </c>
    </row>
    <row r="5695" spans="1:6" ht="16.95" customHeight="1" x14ac:dyDescent="0.25">
      <c r="A5695" s="1" t="s">
        <v>23914</v>
      </c>
      <c r="B5695" s="7" t="s">
        <v>23915</v>
      </c>
      <c r="C5695" s="7" t="s">
        <v>23903</v>
      </c>
      <c r="D5695" s="7" t="s">
        <v>23916</v>
      </c>
      <c r="E5695" s="7" t="s">
        <v>23908</v>
      </c>
      <c r="F5695" s="7" t="str">
        <f>HYPERLINK("http://www.agriservicepollutri.it/","www.agriservicepollutri.it")</f>
        <v>www.agriservicepollutri.it</v>
      </c>
    </row>
    <row r="5696" spans="1:6" ht="43.05" customHeight="1" x14ac:dyDescent="0.25">
      <c r="A5696" s="6" t="s">
        <v>23918</v>
      </c>
      <c r="B5696" s="5" t="s">
        <v>23919</v>
      </c>
      <c r="C5696" s="5" t="s">
        <v>23920</v>
      </c>
      <c r="D5696" s="5" t="s">
        <v>23921</v>
      </c>
      <c r="E5696" s="5" t="s">
        <v>23922</v>
      </c>
      <c r="F5696" s="5" t="str">
        <f>HYPERLINK("http://www.fratellimagagnini.com/","www.fratellimagagnini.com")</f>
        <v>www.fratellimagagnini.com</v>
      </c>
    </row>
    <row r="5697" spans="1:6" ht="29.55" customHeight="1" x14ac:dyDescent="0.25">
      <c r="A5697" s="1" t="s">
        <v>23925</v>
      </c>
      <c r="B5697" s="7" t="s">
        <v>23926</v>
      </c>
      <c r="C5697" s="7" t="s">
        <v>23923</v>
      </c>
      <c r="D5697" s="7" t="s">
        <v>23927</v>
      </c>
      <c r="E5697" s="7" t="s">
        <v>23924</v>
      </c>
      <c r="F5697" s="7" t="str">
        <f>HYPERLINK("http://www.tenutaquartosantacroce.it/","www.tenutaquartosantacroce.it")</f>
        <v>www.tenutaquartosantacroce.it</v>
      </c>
    </row>
    <row r="5698" spans="1:6" ht="55.65" customHeight="1" x14ac:dyDescent="0.25">
      <c r="A5698" s="6" t="s">
        <v>23928</v>
      </c>
      <c r="B5698" s="5" t="s">
        <v>23929</v>
      </c>
      <c r="C5698" s="5" t="s">
        <v>23930</v>
      </c>
      <c r="D5698" s="5" t="s">
        <v>23927</v>
      </c>
      <c r="E5698" s="5" t="s">
        <v>23924</v>
      </c>
      <c r="F5698" s="5" t="str">
        <f>HYPERLINK("http://www.coopcarneiterzi.it/","www.coopcarneiterzi.it")</f>
        <v>www.coopcarneiterzi.it</v>
      </c>
    </row>
    <row r="5699" spans="1:6" ht="29.55" customHeight="1" x14ac:dyDescent="0.25">
      <c r="A5699" s="6" t="s">
        <v>23931</v>
      </c>
      <c r="B5699" s="5" t="s">
        <v>23932</v>
      </c>
      <c r="C5699" s="5" t="s">
        <v>23917</v>
      </c>
      <c r="D5699" s="5" t="s">
        <v>23933</v>
      </c>
      <c r="E5699" s="5" t="s">
        <v>23934</v>
      </c>
      <c r="F5699" s="5" t="str">
        <f>HYPERLINK("http://www.yeguadafelcino.it/","www.yeguadafelcino.it")</f>
        <v>www.yeguadafelcino.it</v>
      </c>
    </row>
    <row r="5700" spans="1:6" ht="29.55" customHeight="1" x14ac:dyDescent="0.25">
      <c r="A5700" s="1" t="s">
        <v>23935</v>
      </c>
      <c r="B5700" s="7" t="s">
        <v>23936</v>
      </c>
      <c r="C5700" s="7" t="s">
        <v>23937</v>
      </c>
      <c r="D5700" s="7" t="s">
        <v>23938</v>
      </c>
      <c r="E5700" s="7" t="s">
        <v>23924</v>
      </c>
      <c r="F5700" s="7" t="str">
        <f>HYPERLINK("http://www.bambutigre.it/","www.bambutigre.it")</f>
        <v>www.bambutigre.it</v>
      </c>
    </row>
    <row r="5701" spans="1:6" ht="29.55" customHeight="1" x14ac:dyDescent="0.25">
      <c r="A5701" s="6" t="s">
        <v>23940</v>
      </c>
      <c r="B5701" s="5" t="s">
        <v>23941</v>
      </c>
      <c r="C5701" s="5" t="s">
        <v>23942</v>
      </c>
      <c r="D5701" s="5" t="s">
        <v>23943</v>
      </c>
      <c r="E5701" s="5" t="s">
        <v>23939</v>
      </c>
      <c r="F5701" s="5" t="str">
        <f>HYPERLINK("http://www.amicidelrubino.it/","www.amicidelrubino.it")</f>
        <v>www.amicidelrubino.it</v>
      </c>
    </row>
    <row r="5702" spans="1:6" ht="16.95" customHeight="1" x14ac:dyDescent="0.25">
      <c r="A5702" s="6" t="s">
        <v>23944</v>
      </c>
      <c r="B5702" s="5" t="s">
        <v>23945</v>
      </c>
      <c r="C5702" s="5" t="s">
        <v>23946</v>
      </c>
      <c r="D5702" s="5" t="s">
        <v>23947</v>
      </c>
      <c r="E5702" s="5" t="s">
        <v>23948</v>
      </c>
      <c r="F5702" s="5" t="str">
        <f>HYPERLINK("http://cooplavigna.blogspot.com/","cooplavigna.blogspot.com")</f>
        <v>cooplavigna.blogspot.com</v>
      </c>
    </row>
    <row r="5703" spans="1:6" ht="43.05" customHeight="1" x14ac:dyDescent="0.25">
      <c r="A5703" s="6" t="s">
        <v>23949</v>
      </c>
      <c r="B5703" s="5" t="s">
        <v>23950</v>
      </c>
      <c r="C5703" s="5" t="s">
        <v>23951</v>
      </c>
      <c r="D5703" s="5" t="s">
        <v>23952</v>
      </c>
      <c r="E5703" s="5" t="s">
        <v>23953</v>
      </c>
      <c r="F5703" s="5" t="str">
        <f>HYPERLINK("http://campaniashopping.it/attivita/agri-golia-s-r-l-s-azienda-agricola-circello-bn/","campaniashopping.it/attivita/agri-golia-s-r-l-s-azienda-agricola-circello-bn/")</f>
        <v>campaniashopping.it/attivita/agri-golia-s-r-l-s-azienda-agricola-circello-bn/</v>
      </c>
    </row>
    <row r="5704" spans="1:6" ht="29.55" customHeight="1" x14ac:dyDescent="0.25">
      <c r="A5704" s="6" t="s">
        <v>23956</v>
      </c>
      <c r="B5704" s="5" t="s">
        <v>23957</v>
      </c>
      <c r="C5704" s="5" t="s">
        <v>23958</v>
      </c>
      <c r="D5704" s="5" t="s">
        <v>23959</v>
      </c>
      <c r="E5704" s="5" t="s">
        <v>23960</v>
      </c>
      <c r="F5704" s="5" t="str">
        <f>HYPERLINK("http://www.ippoform.it/","www.ippoform.it")</f>
        <v>www.ippoform.it</v>
      </c>
    </row>
    <row r="5705" spans="1:6" ht="29.55" customHeight="1" x14ac:dyDescent="0.25">
      <c r="A5705" s="6" t="s">
        <v>23964</v>
      </c>
      <c r="B5705" s="5" t="s">
        <v>23965</v>
      </c>
      <c r="C5705" s="5" t="s">
        <v>23962</v>
      </c>
      <c r="D5705" s="5" t="s">
        <v>23954</v>
      </c>
      <c r="E5705" s="5" t="s">
        <v>23955</v>
      </c>
      <c r="F5705" s="5" t="str">
        <f>HYPERLINK("http://artetekewines.it/","artetekewines.it")</f>
        <v>artetekewines.it</v>
      </c>
    </row>
    <row r="5706" spans="1:6" ht="29.55" customHeight="1" x14ac:dyDescent="0.25">
      <c r="A5706" s="6" t="s">
        <v>23966</v>
      </c>
      <c r="B5706" s="5" t="s">
        <v>23967</v>
      </c>
      <c r="C5706" s="5" t="s">
        <v>23968</v>
      </c>
      <c r="D5706" s="5" t="s">
        <v>23963</v>
      </c>
      <c r="E5706" s="5" t="s">
        <v>23961</v>
      </c>
      <c r="F5706" s="5" t="str">
        <f>HYPERLINK("http://www.agriturismovasari.it/","www.agriturismovasari.it")</f>
        <v>www.agriturismovasari.it</v>
      </c>
    </row>
    <row r="5707" spans="1:6" ht="29.55" customHeight="1" x14ac:dyDescent="0.25">
      <c r="A5707" s="1" t="s">
        <v>23969</v>
      </c>
      <c r="B5707" s="7" t="s">
        <v>23970</v>
      </c>
      <c r="C5707" s="7" t="s">
        <v>23971</v>
      </c>
      <c r="D5707" s="7" t="s">
        <v>23972</v>
      </c>
      <c r="E5707" s="7" t="s">
        <v>23973</v>
      </c>
      <c r="F5707" s="7" t="str">
        <f>HYPERLINK("http://www.aziendabenincasa.com/","www.aziendabenincasa.com")</f>
        <v>www.aziendabenincasa.com</v>
      </c>
    </row>
    <row r="5708" spans="1:6" ht="29.55" customHeight="1" x14ac:dyDescent="0.25">
      <c r="A5708" s="6" t="s">
        <v>23978</v>
      </c>
      <c r="B5708" s="5" t="s">
        <v>23979</v>
      </c>
      <c r="C5708" s="5" t="s">
        <v>23980</v>
      </c>
      <c r="D5708" s="5" t="s">
        <v>23975</v>
      </c>
      <c r="E5708" s="5" t="s">
        <v>23976</v>
      </c>
      <c r="F5708" s="5" t="str">
        <f>HYPERLINK("http://www.baronessadelbelice.it/","www.baronessadelbelice.it")</f>
        <v>www.baronessadelbelice.it</v>
      </c>
    </row>
    <row r="5709" spans="1:6" ht="68.099999999999994" customHeight="1" x14ac:dyDescent="0.25">
      <c r="A5709" s="6" t="s">
        <v>23981</v>
      </c>
      <c r="B5709" s="5" t="s">
        <v>23982</v>
      </c>
      <c r="C5709" s="5" t="s">
        <v>23977</v>
      </c>
      <c r="D5709" s="5" t="s">
        <v>23983</v>
      </c>
      <c r="E5709" s="5" t="s">
        <v>23984</v>
      </c>
      <c r="F5709" s="5" t="str">
        <f>HYPERLINK("http://www.ideaterra.it/","www.ideaterra.it")</f>
        <v>www.ideaterra.it</v>
      </c>
    </row>
    <row r="5710" spans="1:6" ht="43.05" customHeight="1" x14ac:dyDescent="0.25">
      <c r="A5710" s="6" t="s">
        <v>23985</v>
      </c>
      <c r="B5710" s="5" t="s">
        <v>23986</v>
      </c>
      <c r="C5710" s="5" t="s">
        <v>23974</v>
      </c>
      <c r="D5710" s="5" t="s">
        <v>23987</v>
      </c>
      <c r="E5710" s="5" t="s">
        <v>23976</v>
      </c>
      <c r="F5710" s="5" t="str">
        <f>HYPERLINK("http://www.dmfruit.eu/","www.dmfruit.eu")</f>
        <v>www.dmfruit.eu</v>
      </c>
    </row>
    <row r="5711" spans="1:6" ht="29.55" customHeight="1" x14ac:dyDescent="0.25">
      <c r="A5711" s="6" t="s">
        <v>23988</v>
      </c>
      <c r="B5711" s="5" t="s">
        <v>23989</v>
      </c>
      <c r="C5711" s="5" t="s">
        <v>23971</v>
      </c>
      <c r="D5711" s="5" t="s">
        <v>23990</v>
      </c>
      <c r="E5711" s="5" t="s">
        <v>23991</v>
      </c>
      <c r="F5711" s="5" t="str">
        <f>HYPERLINK("http://agriamo.com/","agriamo.com")</f>
        <v>agriamo.com</v>
      </c>
    </row>
    <row r="5712" spans="1:6" ht="55.65" customHeight="1" x14ac:dyDescent="0.25">
      <c r="A5712" s="6" t="s">
        <v>23995</v>
      </c>
      <c r="B5712" s="5" t="s">
        <v>23996</v>
      </c>
      <c r="C5712" s="5" t="s">
        <v>23997</v>
      </c>
      <c r="D5712" s="5" t="s">
        <v>23992</v>
      </c>
      <c r="E5712" s="5" t="s">
        <v>23993</v>
      </c>
      <c r="F5712" s="5" t="str">
        <f>HYPERLINK("http://puglia.coldiretti.it/","puglia.coldiretti.it")</f>
        <v>puglia.coldiretti.it</v>
      </c>
    </row>
    <row r="5713" spans="1:6" ht="29.55" customHeight="1" x14ac:dyDescent="0.25">
      <c r="A5713" s="6" t="s">
        <v>23998</v>
      </c>
      <c r="B5713" s="5" t="s">
        <v>23999</v>
      </c>
      <c r="C5713" s="5" t="s">
        <v>23994</v>
      </c>
      <c r="D5713" s="5" t="s">
        <v>24000</v>
      </c>
      <c r="E5713" s="5" t="s">
        <v>23993</v>
      </c>
      <c r="F5713" s="5" t="str">
        <f>HYPERLINK("http://giardinodeigelsi.it/","giardinodeigelsi.it")</f>
        <v>giardinodeigelsi.it</v>
      </c>
    </row>
    <row r="5714" spans="1:6" ht="29.55" customHeight="1" x14ac:dyDescent="0.25">
      <c r="A5714" s="6" t="s">
        <v>24001</v>
      </c>
      <c r="B5714" s="5" t="s">
        <v>24002</v>
      </c>
      <c r="C5714" s="5" t="s">
        <v>24003</v>
      </c>
      <c r="D5714" s="5" t="s">
        <v>24004</v>
      </c>
      <c r="E5714" s="5" t="s">
        <v>24005</v>
      </c>
      <c r="F5714" s="5" t="str">
        <f>HYPERLINK("http://emmevi-srl-02688310412.quantofattura.com/","emmevi-srl-02688310412.quantofattura.com")</f>
        <v>emmevi-srl-02688310412.quantofattura.com</v>
      </c>
    </row>
    <row r="5715" spans="1:6" ht="29.55" customHeight="1" x14ac:dyDescent="0.25">
      <c r="A5715" s="1" t="s">
        <v>24006</v>
      </c>
      <c r="B5715" s="7" t="s">
        <v>24007</v>
      </c>
      <c r="C5715" s="7" t="s">
        <v>23994</v>
      </c>
      <c r="D5715" s="7" t="s">
        <v>24008</v>
      </c>
      <c r="E5715" s="7" t="s">
        <v>24009</v>
      </c>
      <c r="F5715" s="7" t="str">
        <f>HYPERLINK("http://www.labasentana.com/","www.labasentana.com")</f>
        <v>www.labasentana.com</v>
      </c>
    </row>
    <row r="5716" spans="1:6" ht="29.55" customHeight="1" x14ac:dyDescent="0.25">
      <c r="A5716" s="1" t="s">
        <v>24010</v>
      </c>
      <c r="B5716" s="7" t="s">
        <v>24011</v>
      </c>
      <c r="C5716" s="7" t="s">
        <v>24012</v>
      </c>
      <c r="D5716" s="7" t="s">
        <v>24013</v>
      </c>
      <c r="E5716" s="7" t="s">
        <v>23993</v>
      </c>
      <c r="F5716" s="7" t="str">
        <f>HYPERLINK("http://www.vivaicaponio.it/","www.vivaicaponio.it")</f>
        <v>www.vivaicaponio.it</v>
      </c>
    </row>
    <row r="5717" spans="1:6" ht="29.55" customHeight="1" x14ac:dyDescent="0.25">
      <c r="A5717" s="6" t="s">
        <v>24014</v>
      </c>
      <c r="B5717" s="5" t="s">
        <v>24015</v>
      </c>
      <c r="C5717" s="5" t="s">
        <v>24016</v>
      </c>
      <c r="D5717" s="5" t="s">
        <v>24017</v>
      </c>
      <c r="E5717" s="5" t="s">
        <v>24017</v>
      </c>
      <c r="F5717" s="5" t="str">
        <f>HYPERLINK("http://www.golfcourmayeur.it/","www.golfcourmayeur.it")</f>
        <v>www.golfcourmayeur.it</v>
      </c>
    </row>
    <row r="5718" spans="1:6" ht="29.55" customHeight="1" x14ac:dyDescent="0.25">
      <c r="A5718" s="1" t="s">
        <v>24018</v>
      </c>
      <c r="B5718" s="7" t="s">
        <v>24019</v>
      </c>
      <c r="C5718" s="7" t="s">
        <v>24020</v>
      </c>
      <c r="D5718" s="7" t="s">
        <v>24021</v>
      </c>
      <c r="E5718" s="7" t="s">
        <v>24022</v>
      </c>
      <c r="F5718" s="7" t="str">
        <f>HYPERLINK("http://oasiserramarina.it/","oasiserramarina.it")</f>
        <v>oasiserramarina.it</v>
      </c>
    </row>
    <row r="5719" spans="1:6" ht="29.55" customHeight="1" x14ac:dyDescent="0.25">
      <c r="A5719" s="6" t="s">
        <v>24027</v>
      </c>
      <c r="B5719" s="5" t="s">
        <v>24028</v>
      </c>
      <c r="C5719" s="5" t="s">
        <v>24024</v>
      </c>
      <c r="D5719" s="5" t="s">
        <v>24029</v>
      </c>
      <c r="E5719" s="5" t="s">
        <v>24030</v>
      </c>
      <c r="F5719" s="5" t="str">
        <f>HYPERLINK("http://www.tenutailcorvo.it/","www.tenutailcorvo.it")</f>
        <v>www.tenutailcorvo.it</v>
      </c>
    </row>
    <row r="5720" spans="1:6" ht="29.55" customHeight="1" x14ac:dyDescent="0.25">
      <c r="A5720" s="1" t="s">
        <v>24031</v>
      </c>
      <c r="B5720" s="7" t="s">
        <v>24032</v>
      </c>
      <c r="C5720" s="7" t="s">
        <v>24020</v>
      </c>
      <c r="D5720" s="7" t="s">
        <v>24033</v>
      </c>
      <c r="E5720" s="7" t="s">
        <v>24034</v>
      </c>
      <c r="F5720" s="7" t="str">
        <f>HYPERLINK("http://nardo.donafidas.it/","nardo.donafidas.it")</f>
        <v>nardo.donafidas.it</v>
      </c>
    </row>
    <row r="5721" spans="1:6" ht="29.55" customHeight="1" x14ac:dyDescent="0.25">
      <c r="A5721" s="6" t="s">
        <v>24035</v>
      </c>
      <c r="B5721" s="5" t="s">
        <v>24036</v>
      </c>
      <c r="C5721" s="5" t="s">
        <v>24037</v>
      </c>
      <c r="D5721" s="5" t="s">
        <v>24038</v>
      </c>
      <c r="E5721" s="5" t="s">
        <v>24039</v>
      </c>
      <c r="F5721" s="5" t="str">
        <f>HYPERLINK("http://www.agriturismolamanonera.it/","www.agriturismolamanonera.it")</f>
        <v>www.agriturismolamanonera.it</v>
      </c>
    </row>
    <row r="5722" spans="1:6" ht="16.95" customHeight="1" x14ac:dyDescent="0.25">
      <c r="A5722" s="6" t="s">
        <v>24040</v>
      </c>
      <c r="B5722" s="5" t="s">
        <v>24041</v>
      </c>
      <c r="C5722" s="5" t="s">
        <v>24042</v>
      </c>
      <c r="D5722" s="5" t="s">
        <v>24043</v>
      </c>
      <c r="E5722" s="5" t="s">
        <v>24023</v>
      </c>
      <c r="F5722" s="5" t="str">
        <f>HYPERLINK("http://oliomerlino.com/","oliomerlino.com")</f>
        <v>oliomerlino.com</v>
      </c>
    </row>
    <row r="5723" spans="1:6" ht="55.65" customHeight="1" x14ac:dyDescent="0.25">
      <c r="A5723" s="1" t="s">
        <v>24044</v>
      </c>
      <c r="B5723" s="7" t="s">
        <v>24045</v>
      </c>
      <c r="C5723" s="7" t="s">
        <v>24046</v>
      </c>
      <c r="D5723" s="7" t="s">
        <v>24043</v>
      </c>
      <c r="E5723" s="7" t="s">
        <v>24023</v>
      </c>
      <c r="F5723" s="7" t="str">
        <f>HYPERLINK("http://www.aipos.eu/","www.aipos.eu")</f>
        <v>www.aipos.eu</v>
      </c>
    </row>
    <row r="5724" spans="1:6" ht="43.05" customHeight="1" x14ac:dyDescent="0.25">
      <c r="A5724" s="6" t="s">
        <v>24047</v>
      </c>
      <c r="B5724" s="5" t="s">
        <v>24048</v>
      </c>
      <c r="C5724" s="5" t="s">
        <v>24049</v>
      </c>
      <c r="D5724" s="5" t="s">
        <v>24025</v>
      </c>
      <c r="E5724" s="5" t="s">
        <v>24026</v>
      </c>
      <c r="F5724" s="5" t="str">
        <f>HYPERLINK("http://la-florovivaistica.business.site/","la-florovivaistica.business.site/")</f>
        <v>la-florovivaistica.business.site/</v>
      </c>
    </row>
    <row r="5725" spans="1:6" ht="29.55" customHeight="1" x14ac:dyDescent="0.25">
      <c r="A5725" s="6" t="s">
        <v>24050</v>
      </c>
      <c r="B5725" s="5" t="s">
        <v>24051</v>
      </c>
      <c r="C5725" s="5" t="s">
        <v>24049</v>
      </c>
      <c r="D5725" s="5" t="s">
        <v>24052</v>
      </c>
      <c r="E5725" s="5" t="s">
        <v>24023</v>
      </c>
      <c r="F5725" s="5" t="str">
        <f>HYPERLINK("http://percorsobotanico.it/","percorsobotanico.it")</f>
        <v>percorsobotanico.it</v>
      </c>
    </row>
    <row r="5726" spans="1:6" ht="16.95" customHeight="1" x14ac:dyDescent="0.25">
      <c r="A5726" s="6" t="s">
        <v>24053</v>
      </c>
      <c r="B5726" s="5" t="s">
        <v>24054</v>
      </c>
      <c r="C5726" s="5" t="s">
        <v>24055</v>
      </c>
      <c r="D5726" s="5" t="s">
        <v>24056</v>
      </c>
      <c r="E5726" s="5" t="s">
        <v>24039</v>
      </c>
      <c r="F5726" s="5" t="str">
        <f>HYPERLINK("http://www.delponte.com/","www.delponte.com")</f>
        <v>www.delponte.com</v>
      </c>
    </row>
    <row r="5727" spans="1:6" ht="29.55" customHeight="1" x14ac:dyDescent="0.25">
      <c r="A5727" s="6" t="s">
        <v>24058</v>
      </c>
      <c r="B5727" s="5" t="s">
        <v>24059</v>
      </c>
      <c r="C5727" s="5" t="s">
        <v>24060</v>
      </c>
      <c r="D5727" s="5" t="s">
        <v>24061</v>
      </c>
      <c r="E5727" s="5" t="s">
        <v>24062</v>
      </c>
      <c r="F5727" s="5" t="str">
        <f>HYPERLINK("http://www.malaserena.it/","www.malaserena.it")</f>
        <v>www.malaserena.it</v>
      </c>
    </row>
    <row r="5728" spans="1:6" ht="29.55" customHeight="1" x14ac:dyDescent="0.25">
      <c r="A5728" s="1" t="s">
        <v>24063</v>
      </c>
      <c r="B5728" s="7" t="s">
        <v>24064</v>
      </c>
      <c r="C5728" s="7" t="s">
        <v>24057</v>
      </c>
      <c r="D5728" s="7" t="s">
        <v>24065</v>
      </c>
      <c r="E5728" s="7" t="s">
        <v>24066</v>
      </c>
      <c r="F5728" s="7" t="str">
        <f>HYPERLINK("http://www.lacantinadipresciano.it/","www.lacantinadipresciano.it")</f>
        <v>www.lacantinadipresciano.it</v>
      </c>
    </row>
    <row r="5729" spans="1:6" ht="16.95" customHeight="1" x14ac:dyDescent="0.25">
      <c r="A5729" s="6" t="s">
        <v>24068</v>
      </c>
      <c r="B5729" s="5" t="s">
        <v>24069</v>
      </c>
      <c r="C5729" s="5" t="s">
        <v>24067</v>
      </c>
      <c r="D5729" s="5" t="s">
        <v>24070</v>
      </c>
      <c r="E5729" s="5" t="s">
        <v>24071</v>
      </c>
      <c r="F5729" s="5" t="str">
        <f>HYPERLINK("http://www.joyhorsecenter.it/","www.joyhorsecenter.it")</f>
        <v>www.joyhorsecenter.it</v>
      </c>
    </row>
    <row r="5730" spans="1:6" ht="16.95" customHeight="1" x14ac:dyDescent="0.25">
      <c r="A5730" s="1" t="s">
        <v>24078</v>
      </c>
      <c r="B5730" s="7" t="s">
        <v>24079</v>
      </c>
      <c r="C5730" s="7" t="s">
        <v>24080</v>
      </c>
      <c r="D5730" s="7" t="s">
        <v>24073</v>
      </c>
      <c r="E5730" s="7" t="s">
        <v>24074</v>
      </c>
      <c r="F5730" s="7" t="str">
        <f>HYPERLINK("http://www.feudodellaselva.it/","www.feudodellaselva.it")</f>
        <v>www.feudodellaselva.it</v>
      </c>
    </row>
    <row r="5731" spans="1:6" ht="29.55" customHeight="1" x14ac:dyDescent="0.25">
      <c r="A5731" s="6" t="s">
        <v>24083</v>
      </c>
      <c r="B5731" s="5" t="s">
        <v>24084</v>
      </c>
      <c r="C5731" s="5" t="s">
        <v>24076</v>
      </c>
      <c r="D5731" s="5" t="s">
        <v>24082</v>
      </c>
      <c r="E5731" s="5" t="s">
        <v>24075</v>
      </c>
      <c r="F5731" s="5" t="str">
        <f>HYPERLINK("http://www.cantinestrapellum.com/","www.cantinestrapellum.com")</f>
        <v>www.cantinestrapellum.com</v>
      </c>
    </row>
    <row r="5732" spans="1:6" ht="29.55" customHeight="1" x14ac:dyDescent="0.25">
      <c r="A5732" s="1" t="s">
        <v>24085</v>
      </c>
      <c r="B5732" s="7" t="s">
        <v>24086</v>
      </c>
      <c r="C5732" s="7" t="s">
        <v>24072</v>
      </c>
      <c r="D5732" s="7" t="s">
        <v>24081</v>
      </c>
      <c r="E5732" s="7" t="s">
        <v>24077</v>
      </c>
      <c r="F5732" s="7" t="str">
        <f>HYPERLINK("http://www.agricolagemma.com/","www.agricolagemma.com")</f>
        <v>www.agricolagemma.com</v>
      </c>
    </row>
    <row r="5733" spans="1:6" ht="29.55" customHeight="1" x14ac:dyDescent="0.25">
      <c r="A5733" s="6" t="s">
        <v>24088</v>
      </c>
      <c r="B5733" s="5" t="s">
        <v>24089</v>
      </c>
      <c r="C5733" s="5" t="s">
        <v>24090</v>
      </c>
      <c r="D5733" s="5" t="s">
        <v>24091</v>
      </c>
      <c r="E5733" s="5" t="s">
        <v>24091</v>
      </c>
      <c r="F5733" s="5" t="str">
        <f>HYPERLINK("http://www.formaggiosardo.it/","www.formaggiosardo.it")</f>
        <v>www.formaggiosardo.it</v>
      </c>
    </row>
    <row r="5734" spans="1:6" ht="29.55" customHeight="1" x14ac:dyDescent="0.25">
      <c r="A5734" s="6" t="s">
        <v>24092</v>
      </c>
      <c r="B5734" s="5" t="s">
        <v>24093</v>
      </c>
      <c r="C5734" s="5" t="s">
        <v>24094</v>
      </c>
      <c r="D5734" s="5" t="s">
        <v>24095</v>
      </c>
      <c r="E5734" s="5" t="s">
        <v>24096</v>
      </c>
      <c r="F5734" s="5" t="str">
        <f>HYPERLINK("http://www.fontanellamagicarabians.it/","www.fontanellamagicarabians.it")</f>
        <v>www.fontanellamagicarabians.it</v>
      </c>
    </row>
    <row r="5735" spans="1:6" ht="29.55" customHeight="1" x14ac:dyDescent="0.25">
      <c r="A5735" s="1" t="s">
        <v>24097</v>
      </c>
      <c r="B5735" s="7" t="s">
        <v>24098</v>
      </c>
      <c r="C5735" s="7" t="s">
        <v>24099</v>
      </c>
      <c r="D5735" s="7" t="s">
        <v>24100</v>
      </c>
      <c r="E5735" s="7" t="s">
        <v>24087</v>
      </c>
      <c r="F5735" s="7" t="str">
        <f>HYPERLINK("http://ilsognoverde.it/","ilsognoverde.it")</f>
        <v>ilsognoverde.it</v>
      </c>
    </row>
    <row r="5736" spans="1:6" ht="43.05" customHeight="1" x14ac:dyDescent="0.25">
      <c r="A5736" s="1" t="s">
        <v>24105</v>
      </c>
      <c r="B5736" s="2"/>
      <c r="C5736" s="7" t="s">
        <v>24104</v>
      </c>
      <c r="D5736" s="7" t="s">
        <v>24106</v>
      </c>
      <c r="E5736" s="7" t="s">
        <v>24103</v>
      </c>
      <c r="F5736" s="7" t="str">
        <f>HYPERLINK("http://www.vinieolidisicilia.it/","www.vinieolidisicilia.it")</f>
        <v>www.vinieolidisicilia.it</v>
      </c>
    </row>
    <row r="5737" spans="1:6" ht="29.55" customHeight="1" x14ac:dyDescent="0.25">
      <c r="A5737" s="1" t="s">
        <v>24107</v>
      </c>
      <c r="B5737" s="7" t="s">
        <v>24108</v>
      </c>
      <c r="C5737" s="7" t="s">
        <v>24109</v>
      </c>
      <c r="D5737" s="7" t="s">
        <v>24110</v>
      </c>
      <c r="E5737" s="7" t="s">
        <v>24111</v>
      </c>
      <c r="F5737" s="7" t="str">
        <f>HYPERLINK("http://www.podereserraglio.it/","www.podereserraglio.it")</f>
        <v>www.podereserraglio.it</v>
      </c>
    </row>
    <row r="5738" spans="1:6" ht="29.55" customHeight="1" x14ac:dyDescent="0.25">
      <c r="A5738" s="1" t="s">
        <v>24112</v>
      </c>
      <c r="B5738" s="7" t="s">
        <v>24113</v>
      </c>
      <c r="C5738" s="7" t="s">
        <v>24102</v>
      </c>
      <c r="D5738" s="7" t="s">
        <v>24114</v>
      </c>
      <c r="E5738" s="7" t="s">
        <v>24115</v>
      </c>
      <c r="F5738" s="7" t="str">
        <f>HYPERLINK("http://www.lafattoriadinonnofiore.it/","www.lafattoriadinonnofiore.it")</f>
        <v>www.lafattoriadinonnofiore.it</v>
      </c>
    </row>
    <row r="5739" spans="1:6" ht="29.55" customHeight="1" x14ac:dyDescent="0.25">
      <c r="A5739" s="1" t="s">
        <v>24116</v>
      </c>
      <c r="B5739" s="7" t="s">
        <v>24117</v>
      </c>
      <c r="C5739" s="7" t="s">
        <v>24101</v>
      </c>
      <c r="D5739" s="7" t="s">
        <v>24118</v>
      </c>
      <c r="E5739" s="7" t="s">
        <v>24115</v>
      </c>
      <c r="F5739" s="7" t="str">
        <f>HYPERLINK("http://www.valledelturano.com/","www.valledelturano.com")</f>
        <v>www.valledelturano.com</v>
      </c>
    </row>
    <row r="5740" spans="1:6" ht="29.55" customHeight="1" x14ac:dyDescent="0.25">
      <c r="A5740" s="1" t="s">
        <v>24120</v>
      </c>
      <c r="B5740" s="7" t="s">
        <v>24121</v>
      </c>
      <c r="C5740" s="7" t="s">
        <v>24122</v>
      </c>
      <c r="D5740" s="7" t="s">
        <v>24123</v>
      </c>
      <c r="E5740" s="7" t="s">
        <v>24119</v>
      </c>
      <c r="F5740" s="7" t="str">
        <f>HYPERLINK("http://www.siciliaromi.it/","www.siciliaromi.it")</f>
        <v>www.siciliaromi.it</v>
      </c>
    </row>
    <row r="5741" spans="1:6" ht="43.05" customHeight="1" x14ac:dyDescent="0.25">
      <c r="A5741" s="6" t="s">
        <v>24124</v>
      </c>
      <c r="B5741" s="5" t="s">
        <v>24125</v>
      </c>
      <c r="C5741" s="5" t="s">
        <v>24126</v>
      </c>
      <c r="D5741" s="5" t="s">
        <v>24127</v>
      </c>
      <c r="E5741" s="5" t="s">
        <v>24128</v>
      </c>
      <c r="F5741" s="5" t="str">
        <f>HYPERLINK("http://m.facebook.com/cooperativa-agricola-cirasulo-931142040277519/","m.facebook.com/cooperativa-agricola-cirasulo-931142040277519/")</f>
        <v>m.facebook.com/cooperativa-agricola-cirasulo-931142040277519/</v>
      </c>
    </row>
    <row r="5742" spans="1:6" ht="68.099999999999994" customHeight="1" x14ac:dyDescent="0.25">
      <c r="A5742" s="1" t="s">
        <v>24130</v>
      </c>
      <c r="B5742" s="7" t="s">
        <v>24131</v>
      </c>
      <c r="C5742" s="7" t="s">
        <v>24132</v>
      </c>
      <c r="D5742" s="7" t="s">
        <v>24133</v>
      </c>
      <c r="E5742" s="7" t="s">
        <v>24129</v>
      </c>
      <c r="F5742" s="7" t="str">
        <f>HYPERLINK("http://www.castellanselmo.it/","www.castellanselmo.it")</f>
        <v>www.castellanselmo.it</v>
      </c>
    </row>
    <row r="5743" spans="1:6" ht="55.65" customHeight="1" x14ac:dyDescent="0.25">
      <c r="A5743" s="1" t="s">
        <v>24135</v>
      </c>
      <c r="B5743" s="7" t="s">
        <v>24136</v>
      </c>
      <c r="C5743" s="7" t="s">
        <v>24137</v>
      </c>
      <c r="D5743" s="7" t="s">
        <v>24138</v>
      </c>
      <c r="E5743" s="7" t="s">
        <v>24139</v>
      </c>
      <c r="F5743" s="7" t="str">
        <f>HYPERLINK("http://www.ischerchisvinonaturale.it/","www.ischerchisvinonaturale.it")</f>
        <v>www.ischerchisvinonaturale.it</v>
      </c>
    </row>
    <row r="5744" spans="1:6" ht="29.55" customHeight="1" x14ac:dyDescent="0.25">
      <c r="A5744" s="6" t="s">
        <v>24141</v>
      </c>
      <c r="B5744" s="5" t="s">
        <v>24142</v>
      </c>
      <c r="C5744" s="5" t="s">
        <v>24137</v>
      </c>
      <c r="D5744" s="5" t="s">
        <v>24143</v>
      </c>
      <c r="E5744" s="5" t="s">
        <v>24140</v>
      </c>
      <c r="F5744" s="5" t="str">
        <f>HYPERLINK("http://www.tenutamontero.it/","www.tenutamontero.it")</f>
        <v>www.tenutamontero.it</v>
      </c>
    </row>
    <row r="5745" spans="1:6" ht="29.55" customHeight="1" x14ac:dyDescent="0.25">
      <c r="A5745" s="1" t="s">
        <v>24145</v>
      </c>
      <c r="B5745" s="7" t="s">
        <v>24146</v>
      </c>
      <c r="C5745" s="7" t="s">
        <v>24134</v>
      </c>
      <c r="D5745" s="7" t="s">
        <v>24147</v>
      </c>
      <c r="E5745" s="7" t="s">
        <v>24144</v>
      </c>
      <c r="F5745" s="7" t="str">
        <f>HYPERLINK("http://lucaniadamangiare.com/","lucaniadamangiare.com")</f>
        <v>lucaniadamangiare.com</v>
      </c>
    </row>
    <row r="5746" spans="1:6" ht="43.05" customHeight="1" x14ac:dyDescent="0.25">
      <c r="A5746" s="1" t="s">
        <v>24151</v>
      </c>
      <c r="B5746" s="7" t="s">
        <v>24152</v>
      </c>
      <c r="C5746" s="7" t="s">
        <v>24153</v>
      </c>
      <c r="D5746" s="7" t="s">
        <v>24148</v>
      </c>
      <c r="E5746" s="7" t="s">
        <v>24149</v>
      </c>
      <c r="F5746" s="7" t="str">
        <f>HYPERLINK("http://micort-societa-a-responsabilita-limitata-semplific-04204650719.quantofattura.com/","micort-societa-a-responsabilita-limitata-semplific-04204650719.quantofattura.com")</f>
        <v>micort-societa-a-responsabilita-limitata-semplific-04204650719.quantofattura.com</v>
      </c>
    </row>
    <row r="5747" spans="1:6" ht="43.05" customHeight="1" x14ac:dyDescent="0.25">
      <c r="A5747" s="6" t="s">
        <v>24155</v>
      </c>
      <c r="B5747" s="5" t="s">
        <v>24156</v>
      </c>
      <c r="C5747" s="5" t="s">
        <v>24150</v>
      </c>
      <c r="D5747" s="5" t="s">
        <v>24157</v>
      </c>
      <c r="E5747" s="5" t="s">
        <v>24154</v>
      </c>
      <c r="F5747" s="5" t="str">
        <f>HYPERLINK("http://www.lasiba.it/","www.lasiba.it")</f>
        <v>www.lasiba.it</v>
      </c>
    </row>
    <row r="5748" spans="1:6" ht="16.95" customHeight="1" x14ac:dyDescent="0.25">
      <c r="A5748" s="1" t="s">
        <v>24158</v>
      </c>
      <c r="B5748" s="7" t="s">
        <v>24159</v>
      </c>
      <c r="C5748" s="7" t="s">
        <v>24160</v>
      </c>
      <c r="D5748" s="7" t="s">
        <v>24161</v>
      </c>
      <c r="E5748" s="7" t="s">
        <v>24162</v>
      </c>
      <c r="F5748" s="7" t="str">
        <f>HYPERLINK("http://www.naturalbioservice.com/","www.naturalbioservice.com")</f>
        <v>www.naturalbioservice.com</v>
      </c>
    </row>
    <row r="5749" spans="1:6" ht="29.55" customHeight="1" x14ac:dyDescent="0.25">
      <c r="A5749" s="6" t="s">
        <v>24165</v>
      </c>
      <c r="B5749" s="5" t="s">
        <v>24166</v>
      </c>
      <c r="C5749" s="5" t="s">
        <v>24167</v>
      </c>
      <c r="D5749" s="5" t="s">
        <v>24168</v>
      </c>
      <c r="E5749" s="5" t="s">
        <v>24169</v>
      </c>
      <c r="F5749" s="5" t="str">
        <f>HYPERLINK("http://www.fattoriailpino.com/","www.fattoriailpino.com")</f>
        <v>www.fattoriailpino.com</v>
      </c>
    </row>
    <row r="5750" spans="1:6" ht="29.55" customHeight="1" x14ac:dyDescent="0.25">
      <c r="A5750" s="1" t="s">
        <v>24174</v>
      </c>
      <c r="B5750" s="7" t="s">
        <v>24175</v>
      </c>
      <c r="C5750" s="7" t="s">
        <v>24176</v>
      </c>
      <c r="D5750" s="7" t="s">
        <v>24177</v>
      </c>
      <c r="E5750" s="7" t="s">
        <v>24178</v>
      </c>
      <c r="F5750" s="7" t="str">
        <f>HYPERLINK("http://morattina.it/","morattina.it")</f>
        <v>morattina.it</v>
      </c>
    </row>
    <row r="5751" spans="1:6" ht="29.55" customHeight="1" x14ac:dyDescent="0.25">
      <c r="A5751" s="1" t="s">
        <v>24179</v>
      </c>
      <c r="B5751" s="7" t="s">
        <v>24180</v>
      </c>
      <c r="C5751" s="7" t="s">
        <v>24172</v>
      </c>
      <c r="D5751" s="7" t="s">
        <v>24181</v>
      </c>
      <c r="E5751" s="7" t="s">
        <v>24163</v>
      </c>
      <c r="F5751" s="7" t="str">
        <f>HYPERLINK("http://www.terrazzedeicech.it/","www.terrazzedeicech.it")</f>
        <v>www.terrazzedeicech.it</v>
      </c>
    </row>
    <row r="5752" spans="1:6" ht="29.55" customHeight="1" x14ac:dyDescent="0.25">
      <c r="A5752" s="1" t="s">
        <v>24182</v>
      </c>
      <c r="B5752" s="7" t="s">
        <v>24183</v>
      </c>
      <c r="C5752" s="7" t="s">
        <v>24164</v>
      </c>
      <c r="D5752" s="7" t="s">
        <v>24184</v>
      </c>
      <c r="E5752" s="7" t="s">
        <v>24169</v>
      </c>
      <c r="F5752" s="7" t="str">
        <f>HYPERLINK("http://www.scerba.it/","www.scerba.it")</f>
        <v>www.scerba.it</v>
      </c>
    </row>
    <row r="5753" spans="1:6" ht="29.55" customHeight="1" x14ac:dyDescent="0.25">
      <c r="A5753" s="1" t="s">
        <v>24185</v>
      </c>
      <c r="B5753" s="7" t="s">
        <v>24186</v>
      </c>
      <c r="C5753" s="7" t="s">
        <v>24187</v>
      </c>
      <c r="D5753" s="7" t="s">
        <v>24170</v>
      </c>
      <c r="E5753" s="7" t="s">
        <v>24171</v>
      </c>
      <c r="F5753" s="7" t="str">
        <f>HYPERLINK("http://www.primitiv.it/","www.primitiv.it")</f>
        <v>www.primitiv.it</v>
      </c>
    </row>
    <row r="5754" spans="1:6" ht="29.55" customHeight="1" x14ac:dyDescent="0.25">
      <c r="A5754" s="1" t="s">
        <v>24188</v>
      </c>
      <c r="B5754" s="7" t="s">
        <v>24189</v>
      </c>
      <c r="C5754" s="7" t="s">
        <v>24173</v>
      </c>
      <c r="D5754" s="7" t="s">
        <v>24190</v>
      </c>
      <c r="E5754" s="7" t="s">
        <v>24191</v>
      </c>
      <c r="F5754" s="7" t="str">
        <f>HYPERLINK("http://www.miralaghi.com/","www.miralaghi.com")</f>
        <v>www.miralaghi.com</v>
      </c>
    </row>
    <row r="5755" spans="1:6" ht="29.55" customHeight="1" x14ac:dyDescent="0.25">
      <c r="A5755" s="1" t="s">
        <v>24198</v>
      </c>
      <c r="B5755" s="7" t="s">
        <v>24199</v>
      </c>
      <c r="C5755" s="7" t="s">
        <v>24193</v>
      </c>
      <c r="D5755" s="7" t="s">
        <v>24200</v>
      </c>
      <c r="E5755" s="7" t="s">
        <v>24192</v>
      </c>
      <c r="F5755" s="7" t="str">
        <f>HYPERLINK("http://aproagrumi.it/","aproagrumi.it")</f>
        <v>aproagrumi.it</v>
      </c>
    </row>
    <row r="5756" spans="1:6" ht="29.55" customHeight="1" x14ac:dyDescent="0.25">
      <c r="A5756" s="6" t="s">
        <v>24204</v>
      </c>
      <c r="B5756" s="5" t="s">
        <v>24205</v>
      </c>
      <c r="C5756" s="5" t="s">
        <v>24202</v>
      </c>
      <c r="D5756" s="5" t="s">
        <v>24197</v>
      </c>
      <c r="E5756" s="5" t="s">
        <v>24196</v>
      </c>
      <c r="F5756" s="5" t="str">
        <f>HYPERLINK("http://www.viniampelon.it/","www.viniampelon.it")</f>
        <v>www.viniampelon.it</v>
      </c>
    </row>
    <row r="5757" spans="1:6" ht="29.55" customHeight="1" x14ac:dyDescent="0.25">
      <c r="A5757" s="1" t="s">
        <v>24206</v>
      </c>
      <c r="B5757" s="7" t="s">
        <v>24207</v>
      </c>
      <c r="C5757" s="7" t="s">
        <v>24208</v>
      </c>
      <c r="D5757" s="7" t="s">
        <v>24194</v>
      </c>
      <c r="E5757" s="7" t="s">
        <v>24195</v>
      </c>
      <c r="F5757" s="7" t="str">
        <f>HYPERLINK("http://butterfly-house.bedsandhotels.com/","butterfly-house.bedsandhotels.com")</f>
        <v>butterfly-house.bedsandhotels.com</v>
      </c>
    </row>
    <row r="5758" spans="1:6" ht="43.05" customHeight="1" x14ac:dyDescent="0.25">
      <c r="A5758" s="6" t="s">
        <v>24209</v>
      </c>
      <c r="B5758" s="5" t="s">
        <v>24210</v>
      </c>
      <c r="C5758" s="5" t="s">
        <v>24211</v>
      </c>
      <c r="D5758" s="5" t="s">
        <v>24212</v>
      </c>
      <c r="E5758" s="5" t="s">
        <v>24201</v>
      </c>
      <c r="F5758" s="5" t="str">
        <f>HYPERLINK("http://www.lamagnolia.biz/","www.lamagnolia.biz")</f>
        <v>www.lamagnolia.biz</v>
      </c>
    </row>
    <row r="5759" spans="1:6" ht="29.55" customHeight="1" x14ac:dyDescent="0.25">
      <c r="A5759" s="6" t="s">
        <v>24213</v>
      </c>
      <c r="B5759" s="5" t="s">
        <v>24214</v>
      </c>
      <c r="C5759" s="5" t="s">
        <v>24208</v>
      </c>
      <c r="D5759" s="5" t="s">
        <v>24215</v>
      </c>
      <c r="E5759" s="5" t="s">
        <v>24216</v>
      </c>
      <c r="F5759" s="5" t="str">
        <f>HYPERLINK("http://www.cascinadegliulivi.it/","www.cascinadegliulivi.it")</f>
        <v>www.cascinadegliulivi.it</v>
      </c>
    </row>
    <row r="5760" spans="1:6" ht="43.05" customHeight="1" x14ac:dyDescent="0.25">
      <c r="A5760" s="1" t="s">
        <v>24217</v>
      </c>
      <c r="B5760" s="7" t="s">
        <v>24218</v>
      </c>
      <c r="C5760" s="7" t="s">
        <v>24203</v>
      </c>
      <c r="D5760" s="7" t="s">
        <v>24194</v>
      </c>
      <c r="E5760" s="7" t="s">
        <v>24195</v>
      </c>
      <c r="F5760" s="7" t="str">
        <f>HYPERLINK("http://www.grecoskennel.it/","www.grecoskennel.it")</f>
        <v>www.grecoskennel.it</v>
      </c>
    </row>
    <row r="5761" spans="1:6" ht="55.65" customHeight="1" x14ac:dyDescent="0.25">
      <c r="A5761" s="6" t="s">
        <v>24225</v>
      </c>
      <c r="B5761" s="5" t="s">
        <v>24226</v>
      </c>
      <c r="C5761" s="5" t="s">
        <v>24222</v>
      </c>
      <c r="D5761" s="5" t="s">
        <v>24227</v>
      </c>
      <c r="E5761" s="5" t="s">
        <v>24223</v>
      </c>
      <c r="F5761" s="5" t="str">
        <f>HYPERLINK("http://www.forestavini.it/","www.forestavini.it")</f>
        <v>www.forestavini.it</v>
      </c>
    </row>
    <row r="5762" spans="1:6" ht="29.55" customHeight="1" x14ac:dyDescent="0.25">
      <c r="A5762" s="1" t="s">
        <v>24228</v>
      </c>
      <c r="B5762" s="7" t="s">
        <v>24229</v>
      </c>
      <c r="C5762" s="7" t="s">
        <v>24221</v>
      </c>
      <c r="D5762" s="7" t="s">
        <v>24230</v>
      </c>
      <c r="E5762" s="7" t="s">
        <v>24231</v>
      </c>
      <c r="F5762" s="7" t="str">
        <f>HYPERLINK("http://www.valleazzurra.com/","www.valleazzurra.com")</f>
        <v>www.valleazzurra.com</v>
      </c>
    </row>
    <row r="5763" spans="1:6" ht="43.05" customHeight="1" x14ac:dyDescent="0.25">
      <c r="A5763" s="1" t="s">
        <v>24232</v>
      </c>
      <c r="B5763" s="7" t="s">
        <v>24233</v>
      </c>
      <c r="C5763" s="7" t="s">
        <v>24219</v>
      </c>
      <c r="D5763" s="7" t="s">
        <v>24234</v>
      </c>
      <c r="E5763" s="7" t="s">
        <v>24235</v>
      </c>
      <c r="F5763" s="7" t="str">
        <f>HYPERLINK("http://www.lazioimpianti.com/","www.lazioimpianti.com")</f>
        <v>www.lazioimpianti.com</v>
      </c>
    </row>
    <row r="5764" spans="1:6" ht="29.55" customHeight="1" x14ac:dyDescent="0.25">
      <c r="A5764" s="6" t="s">
        <v>24236</v>
      </c>
      <c r="B5764" s="5" t="s">
        <v>24237</v>
      </c>
      <c r="C5764" s="5" t="s">
        <v>24222</v>
      </c>
      <c r="D5764" s="5" t="s">
        <v>24238</v>
      </c>
      <c r="E5764" s="5" t="s">
        <v>24239</v>
      </c>
      <c r="F5764" s="5" t="str">
        <f>HYPERLINK("http://agriturismolavalletta.com/","agriturismolavalletta.com")</f>
        <v>agriturismolavalletta.com</v>
      </c>
    </row>
    <row r="5765" spans="1:6" ht="29.55" customHeight="1" x14ac:dyDescent="0.25">
      <c r="A5765" s="6" t="s">
        <v>24241</v>
      </c>
      <c r="B5765" s="5" t="s">
        <v>24242</v>
      </c>
      <c r="C5765" s="5" t="s">
        <v>24224</v>
      </c>
      <c r="D5765" s="5" t="s">
        <v>24240</v>
      </c>
      <c r="E5765" s="5" t="s">
        <v>24220</v>
      </c>
      <c r="F5765" s="5" t="str">
        <f>HYPERLINK("http://www.lafattoriadipriscilla.it/","www.lafattoriadipriscilla.it")</f>
        <v>www.lafattoriadipriscilla.it</v>
      </c>
    </row>
    <row r="5766" spans="1:6" ht="29.55" customHeight="1" x14ac:dyDescent="0.25">
      <c r="A5766" s="6" t="s">
        <v>24243</v>
      </c>
      <c r="B5766" s="5" t="s">
        <v>24244</v>
      </c>
      <c r="C5766" s="5" t="s">
        <v>24245</v>
      </c>
      <c r="D5766" s="5" t="s">
        <v>24246</v>
      </c>
      <c r="E5766" s="5" t="s">
        <v>24231</v>
      </c>
      <c r="F5766" s="5" t="str">
        <f>HYPERLINK("http://www.agriturismolaboscaglia.com/","www.agriturismolaboscaglia.com")</f>
        <v>www.agriturismolaboscaglia.com</v>
      </c>
    </row>
    <row r="5767" spans="1:6" ht="29.55" customHeight="1" x14ac:dyDescent="0.25">
      <c r="A5767" s="1" t="s">
        <v>24247</v>
      </c>
      <c r="B5767" s="7" t="s">
        <v>24248</v>
      </c>
      <c r="C5767" s="7" t="s">
        <v>24219</v>
      </c>
      <c r="D5767" s="7" t="s">
        <v>24249</v>
      </c>
      <c r="E5767" s="7" t="s">
        <v>24223</v>
      </c>
      <c r="F5767" s="7" t="str">
        <f>HYPERLINK("http://www.alentoservizi.it/","www.alentoservizi.it")</f>
        <v>www.alentoservizi.it</v>
      </c>
    </row>
    <row r="5768" spans="1:6" ht="55.65" customHeight="1" x14ac:dyDescent="0.25">
      <c r="A5768" s="6" t="s">
        <v>24253</v>
      </c>
      <c r="B5768" s="5" t="s">
        <v>24254</v>
      </c>
      <c r="C5768" s="5" t="s">
        <v>24251</v>
      </c>
      <c r="D5768" s="5" t="s">
        <v>24255</v>
      </c>
      <c r="E5768" s="5" t="s">
        <v>24256</v>
      </c>
      <c r="F5768" s="5" t="str">
        <f>HYPERLINK("http://www.facebook.com/pages/chiesa-di-santa-maria-dellorto-castellammare-di-stabia/686939488015364","www.facebook.com/pages/chiesa-di-santa-maria-dellorto-castellammare-di-stabia/686939488015364")</f>
        <v>www.facebook.com/pages/chiesa-di-santa-maria-dellorto-castellammare-di-stabia/686939488015364</v>
      </c>
    </row>
    <row r="5769" spans="1:6" ht="29.55" customHeight="1" x14ac:dyDescent="0.25">
      <c r="A5769" s="1" t="s">
        <v>24257</v>
      </c>
      <c r="B5769" s="7" t="s">
        <v>24258</v>
      </c>
      <c r="C5769" s="7" t="s">
        <v>24259</v>
      </c>
      <c r="D5769" s="7" t="s">
        <v>24260</v>
      </c>
      <c r="E5769" s="7" t="s">
        <v>24250</v>
      </c>
      <c r="F5769" s="7" t="str">
        <f>HYPERLINK("http://www.allacedrara.it/","www.allacedrara.it")</f>
        <v>www.allacedrara.it</v>
      </c>
    </row>
    <row r="5770" spans="1:6" ht="43.05" customHeight="1" x14ac:dyDescent="0.25">
      <c r="A5770" s="1" t="s">
        <v>24261</v>
      </c>
      <c r="B5770" s="7" t="s">
        <v>24262</v>
      </c>
      <c r="C5770" s="7" t="s">
        <v>24263</v>
      </c>
      <c r="D5770" s="7" t="s">
        <v>24264</v>
      </c>
      <c r="E5770" s="7" t="s">
        <v>24252</v>
      </c>
      <c r="F5770" s="7" t="str">
        <f>HYPERLINK("http://www.aziendacandida.it/","www.aziendacandida.it")</f>
        <v>www.aziendacandida.it</v>
      </c>
    </row>
    <row r="5771" spans="1:6" ht="43.05" customHeight="1" x14ac:dyDescent="0.25">
      <c r="A5771" s="1" t="s">
        <v>24265</v>
      </c>
      <c r="B5771" s="7" t="s">
        <v>24266</v>
      </c>
      <c r="C5771" s="7" t="s">
        <v>24259</v>
      </c>
      <c r="D5771" s="7" t="s">
        <v>24267</v>
      </c>
      <c r="E5771" s="7" t="s">
        <v>24268</v>
      </c>
      <c r="F5771" s="7" t="str">
        <f>HYPERLINK("http://lecanapaie.it/","lecanapaie.it")</f>
        <v>lecanapaie.it</v>
      </c>
    </row>
    <row r="5772" spans="1:6" ht="29.55" customHeight="1" x14ac:dyDescent="0.25">
      <c r="A5772" s="1" t="s">
        <v>24269</v>
      </c>
      <c r="B5772" s="7" t="s">
        <v>24270</v>
      </c>
      <c r="C5772" s="7" t="s">
        <v>24271</v>
      </c>
      <c r="D5772" s="7" t="s">
        <v>24272</v>
      </c>
      <c r="E5772" s="7" t="s">
        <v>24273</v>
      </c>
      <c r="F5772" s="7" t="str">
        <f>HYPERLINK("http://www.igergoni.it/","www.igergoni.it")</f>
        <v>www.igergoni.it</v>
      </c>
    </row>
    <row r="5773" spans="1:6" ht="43.05" customHeight="1" x14ac:dyDescent="0.25">
      <c r="A5773" s="1" t="s">
        <v>24276</v>
      </c>
      <c r="B5773" s="7" t="s">
        <v>24277</v>
      </c>
      <c r="C5773" s="7" t="s">
        <v>24278</v>
      </c>
      <c r="D5773" s="7" t="s">
        <v>24279</v>
      </c>
      <c r="E5773" s="7" t="s">
        <v>24280</v>
      </c>
      <c r="F5773" s="7" t="str">
        <f>HYPERLINK("http://www.regus.com/it-it/italy/milan/piazzale-biancamano-8-396","www.regus.com/it-it/italy/milan/piazzale-biancamano-8-396")</f>
        <v>www.regus.com/it-it/italy/milan/piazzale-biancamano-8-396</v>
      </c>
    </row>
    <row r="5774" spans="1:6" ht="29.55" customHeight="1" x14ac:dyDescent="0.25">
      <c r="A5774" s="6" t="s">
        <v>24281</v>
      </c>
      <c r="B5774" s="5" t="s">
        <v>24282</v>
      </c>
      <c r="C5774" s="5" t="s">
        <v>24283</v>
      </c>
      <c r="D5774" s="5" t="s">
        <v>24284</v>
      </c>
      <c r="E5774" s="5" t="s">
        <v>24285</v>
      </c>
      <c r="F5774" s="5" t="str">
        <f>HYPERLINK("http://casellino.com/","casellino.com")</f>
        <v>casellino.com</v>
      </c>
    </row>
    <row r="5775" spans="1:6" ht="29.55" customHeight="1" x14ac:dyDescent="0.25">
      <c r="A5775" s="1" t="s">
        <v>24286</v>
      </c>
      <c r="B5775" s="7" t="s">
        <v>24287</v>
      </c>
      <c r="C5775" s="7" t="s">
        <v>24288</v>
      </c>
      <c r="D5775" s="7" t="s">
        <v>24289</v>
      </c>
      <c r="E5775" s="7" t="s">
        <v>24290</v>
      </c>
      <c r="F5775" s="7" t="str">
        <f>HYPERLINK("http://www.alicantistore.com/","www.alicantistore.com")</f>
        <v>www.alicantistore.com</v>
      </c>
    </row>
    <row r="5776" spans="1:6" ht="43.05" customHeight="1" x14ac:dyDescent="0.25">
      <c r="A5776" s="6" t="s">
        <v>24291</v>
      </c>
      <c r="B5776" s="5" t="s">
        <v>24292</v>
      </c>
      <c r="C5776" s="5" t="s">
        <v>24283</v>
      </c>
      <c r="D5776" s="5" t="s">
        <v>24293</v>
      </c>
      <c r="E5776" s="5" t="s">
        <v>24294</v>
      </c>
      <c r="F5776" s="5" t="str">
        <f>HYPERLINK("http://www.lequercediannibale.it/acquista-online/","www.lequercediannibale.it/acquista-online/")</f>
        <v>www.lequercediannibale.it/acquista-online/</v>
      </c>
    </row>
    <row r="5777" spans="1:6" ht="29.55" customHeight="1" x14ac:dyDescent="0.25">
      <c r="A5777" s="1" t="s">
        <v>24295</v>
      </c>
      <c r="B5777" s="7" t="s">
        <v>24296</v>
      </c>
      <c r="C5777" s="7" t="s">
        <v>24283</v>
      </c>
      <c r="D5777" s="7" t="s">
        <v>24297</v>
      </c>
      <c r="E5777" s="7" t="s">
        <v>24275</v>
      </c>
      <c r="F5777" s="7" t="str">
        <f>HYPERLINK("http://www.agricolaforte.it/","www.agricolaforte.it")</f>
        <v>www.agricolaforte.it</v>
      </c>
    </row>
    <row r="5778" spans="1:6" ht="29.55" customHeight="1" x14ac:dyDescent="0.25">
      <c r="A5778" s="6" t="s">
        <v>24298</v>
      </c>
      <c r="B5778" s="5" t="s">
        <v>24299</v>
      </c>
      <c r="C5778" s="5" t="s">
        <v>24274</v>
      </c>
      <c r="D5778" s="5" t="s">
        <v>24300</v>
      </c>
      <c r="E5778" s="5" t="s">
        <v>24273</v>
      </c>
      <c r="F5778" s="5" t="str">
        <f>HYPERLINK("http://www.facebook.com/gmgreeniron/","www.facebook.com/gmgreeniron/")</f>
        <v>www.facebook.com/gmgreeniron/</v>
      </c>
    </row>
    <row r="5779" spans="1:6" ht="29.55" customHeight="1" x14ac:dyDescent="0.25">
      <c r="A5779" s="6" t="s">
        <v>24302</v>
      </c>
      <c r="B5779" s="5" t="s">
        <v>24303</v>
      </c>
      <c r="C5779" s="5" t="s">
        <v>24304</v>
      </c>
      <c r="D5779" s="5" t="s">
        <v>24305</v>
      </c>
      <c r="E5779" s="5" t="s">
        <v>24301</v>
      </c>
      <c r="F5779" s="5" t="str">
        <f>HYPERLINK("http://www.agri-zoo.com/","www.agri-zoo.com")</f>
        <v>www.agri-zoo.com</v>
      </c>
    </row>
    <row r="5780" spans="1:6" ht="29.55" customHeight="1" x14ac:dyDescent="0.25">
      <c r="A5780" s="1" t="s">
        <v>24307</v>
      </c>
      <c r="B5780" s="7" t="s">
        <v>24308</v>
      </c>
      <c r="C5780" s="7" t="s">
        <v>24306</v>
      </c>
      <c r="D5780" s="7" t="s">
        <v>24309</v>
      </c>
      <c r="E5780" s="7" t="s">
        <v>24310</v>
      </c>
      <c r="F5780" s="7" t="str">
        <f>HYPERLINK("http://shop.collemagnone.com/","shop.collemagnone.com")</f>
        <v>shop.collemagnone.com</v>
      </c>
    </row>
    <row r="5781" spans="1:6" ht="29.55" customHeight="1" x14ac:dyDescent="0.25">
      <c r="A5781" s="1" t="s">
        <v>24315</v>
      </c>
      <c r="B5781" s="7" t="s">
        <v>24316</v>
      </c>
      <c r="C5781" s="7" t="s">
        <v>24317</v>
      </c>
      <c r="D5781" s="7" t="s">
        <v>24311</v>
      </c>
      <c r="E5781" s="7" t="s">
        <v>24312</v>
      </c>
      <c r="F5781" s="7" t="str">
        <f>HYPERLINK("http://oasicooperativa.com/","oasicooperativa.com")</f>
        <v>oasicooperativa.com</v>
      </c>
    </row>
    <row r="5782" spans="1:6" ht="29.55" customHeight="1" x14ac:dyDescent="0.25">
      <c r="A5782" s="6" t="s">
        <v>24319</v>
      </c>
      <c r="B5782" s="5" t="s">
        <v>24320</v>
      </c>
      <c r="C5782" s="5" t="s">
        <v>24321</v>
      </c>
      <c r="D5782" s="5" t="s">
        <v>24313</v>
      </c>
      <c r="E5782" s="5" t="s">
        <v>24312</v>
      </c>
      <c r="F5782" s="5" t="str">
        <f>HYPERLINK("http://www.casalipari.com/","www.casalipari.com")</f>
        <v>www.casalipari.com</v>
      </c>
    </row>
    <row r="5783" spans="1:6" ht="29.55" customHeight="1" x14ac:dyDescent="0.25">
      <c r="A5783" s="1" t="s">
        <v>24322</v>
      </c>
      <c r="B5783" s="7" t="s">
        <v>24323</v>
      </c>
      <c r="C5783" s="7" t="s">
        <v>24318</v>
      </c>
      <c r="D5783" s="7" t="s">
        <v>24314</v>
      </c>
      <c r="E5783" s="7" t="s">
        <v>24312</v>
      </c>
      <c r="F5783" s="7" t="str">
        <f>HYPERLINK("http://societa-agricola-olivinitaly-srl-03892660717.quantofattura.com/","societa-agricola-olivinitaly-srl-03892660717.quantofattura.com")</f>
        <v>societa-agricola-olivinitaly-srl-03892660717.quantofattura.com</v>
      </c>
    </row>
    <row r="5784" spans="1:6" ht="16.95" customHeight="1" x14ac:dyDescent="0.25">
      <c r="A5784" s="1" t="s">
        <v>24329</v>
      </c>
      <c r="B5784" s="7" t="s">
        <v>24330</v>
      </c>
      <c r="C5784" s="7" t="s">
        <v>24331</v>
      </c>
      <c r="D5784" s="7" t="s">
        <v>24332</v>
      </c>
      <c r="E5784" s="7" t="s">
        <v>24333</v>
      </c>
      <c r="F5784" s="7" t="str">
        <f>HYPERLINK("http://costedelfaena.com/","costedelfaena.com")</f>
        <v>costedelfaena.com</v>
      </c>
    </row>
    <row r="5785" spans="1:6" ht="29.55" customHeight="1" x14ac:dyDescent="0.25">
      <c r="A5785" s="6" t="s">
        <v>24334</v>
      </c>
      <c r="B5785" s="5" t="s">
        <v>24335</v>
      </c>
      <c r="C5785" s="5" t="s">
        <v>24324</v>
      </c>
      <c r="D5785" s="5" t="s">
        <v>24336</v>
      </c>
      <c r="E5785" s="5" t="s">
        <v>24325</v>
      </c>
      <c r="F5785" s="5" t="str">
        <f>HYPERLINK("http://www.lagodellesettefontane.it/","www.lagodellesettefontane.it")</f>
        <v>www.lagodellesettefontane.it</v>
      </c>
    </row>
    <row r="5786" spans="1:6" ht="29.55" customHeight="1" x14ac:dyDescent="0.25">
      <c r="A5786" s="1" t="s">
        <v>24337</v>
      </c>
      <c r="B5786" s="7" t="s">
        <v>24338</v>
      </c>
      <c r="C5786" s="7" t="s">
        <v>24339</v>
      </c>
      <c r="D5786" s="7" t="s">
        <v>24340</v>
      </c>
      <c r="E5786" s="7" t="s">
        <v>24341</v>
      </c>
      <c r="F5786" s="7" t="str">
        <f>HYPERLINK("http://www.boccafolle.com/","www.boccafolle.com")</f>
        <v>www.boccafolle.com</v>
      </c>
    </row>
    <row r="5787" spans="1:6" ht="29.55" customHeight="1" x14ac:dyDescent="0.25">
      <c r="A5787" s="1" t="s">
        <v>24343</v>
      </c>
      <c r="B5787" s="7" t="s">
        <v>24344</v>
      </c>
      <c r="C5787" s="7" t="s">
        <v>24342</v>
      </c>
      <c r="D5787" s="7" t="s">
        <v>24345</v>
      </c>
      <c r="E5787" s="7" t="s">
        <v>24346</v>
      </c>
      <c r="F5787" s="7" t="str">
        <f>HYPERLINK("http://pietroisnardi.it/","pietroisnardi.it")</f>
        <v>pietroisnardi.it</v>
      </c>
    </row>
    <row r="5788" spans="1:6" ht="43.05" customHeight="1" x14ac:dyDescent="0.25">
      <c r="A5788" s="6" t="s">
        <v>24347</v>
      </c>
      <c r="B5788" s="5" t="s">
        <v>24348</v>
      </c>
      <c r="C5788" s="5" t="s">
        <v>24324</v>
      </c>
      <c r="D5788" s="5" t="s">
        <v>24349</v>
      </c>
      <c r="E5788" s="5" t="s">
        <v>24328</v>
      </c>
      <c r="F5788" s="5" t="str">
        <f>HYPERLINK("http://www.damadellago.com/","www.damadellago.com")</f>
        <v>www.damadellago.com</v>
      </c>
    </row>
    <row r="5789" spans="1:6" ht="29.55" customHeight="1" x14ac:dyDescent="0.25">
      <c r="A5789" s="1" t="s">
        <v>24350</v>
      </c>
      <c r="B5789" s="7" t="s">
        <v>24351</v>
      </c>
      <c r="C5789" s="7" t="s">
        <v>24339</v>
      </c>
      <c r="D5789" s="7" t="s">
        <v>24326</v>
      </c>
      <c r="E5789" s="7" t="s">
        <v>24327</v>
      </c>
      <c r="F5789" s="7" t="str">
        <f>HYPERLINK("http://www.cantinasorres.com/","www.cantinasorres.com")</f>
        <v>www.cantinasorres.com</v>
      </c>
    </row>
    <row r="5790" spans="1:6" ht="43.05" customHeight="1" x14ac:dyDescent="0.25">
      <c r="A5790" s="6" t="s">
        <v>24352</v>
      </c>
      <c r="B5790" s="5" t="s">
        <v>24353</v>
      </c>
      <c r="C5790" s="5" t="s">
        <v>24354</v>
      </c>
      <c r="D5790" s="5" t="s">
        <v>24355</v>
      </c>
      <c r="E5790" s="5" t="s">
        <v>24356</v>
      </c>
      <c r="F5790" s="5" t="str">
        <f>HYPERLINK("http://www.vivaicampani.it/","www.vivaicampani.it")</f>
        <v>www.vivaicampani.it</v>
      </c>
    </row>
    <row r="5791" spans="1:6" ht="16.95" customHeight="1" x14ac:dyDescent="0.25">
      <c r="A5791" s="1" t="s">
        <v>24357</v>
      </c>
      <c r="B5791" s="7" t="s">
        <v>24358</v>
      </c>
      <c r="C5791" s="7" t="s">
        <v>24359</v>
      </c>
      <c r="D5791" s="7" t="s">
        <v>24360</v>
      </c>
      <c r="E5791" s="7" t="s">
        <v>24361</v>
      </c>
      <c r="F5791" s="7" t="str">
        <f>HYPERLINK("http://www.ecolutionsrl.it/","www.ecolutionsrl.it")</f>
        <v>www.ecolutionsrl.it</v>
      </c>
    </row>
    <row r="5792" spans="1:6" ht="16.95" customHeight="1" x14ac:dyDescent="0.25">
      <c r="A5792" s="1" t="s">
        <v>24362</v>
      </c>
      <c r="B5792" s="7" t="s">
        <v>24363</v>
      </c>
      <c r="C5792" s="7" t="s">
        <v>24364</v>
      </c>
      <c r="D5792" s="7" t="s">
        <v>24360</v>
      </c>
      <c r="E5792" s="7" t="s">
        <v>24361</v>
      </c>
      <c r="F5792" s="7" t="str">
        <f>HYPERLINK("http://ilcetrangolo.it/","ilcetrangolo.it")</f>
        <v>ilcetrangolo.it</v>
      </c>
    </row>
    <row r="5793" spans="1:6" ht="43.05" customHeight="1" x14ac:dyDescent="0.25">
      <c r="A5793" s="1" t="s">
        <v>24365</v>
      </c>
      <c r="B5793" s="7" t="s">
        <v>24366</v>
      </c>
      <c r="C5793" s="7" t="s">
        <v>24367</v>
      </c>
      <c r="D5793" s="7" t="s">
        <v>24368</v>
      </c>
      <c r="E5793" s="7" t="s">
        <v>24369</v>
      </c>
      <c r="F5793" s="7" t="str">
        <f>HYPERLINK("http://www.wiesl.it/","www.wiesl.it")</f>
        <v>www.wiesl.it</v>
      </c>
    </row>
    <row r="5794" spans="1:6" ht="29.55" customHeight="1" x14ac:dyDescent="0.25">
      <c r="A5794" s="6" t="s">
        <v>24373</v>
      </c>
      <c r="B5794" s="5" t="s">
        <v>24374</v>
      </c>
      <c r="C5794" s="5" t="s">
        <v>24375</v>
      </c>
      <c r="D5794" s="5" t="s">
        <v>24376</v>
      </c>
      <c r="E5794" s="5" t="s">
        <v>24377</v>
      </c>
      <c r="F5794" s="5" t="str">
        <f>HYPERLINK("http://www.monferratoresort.com/","www.monferratoresort.com")</f>
        <v>www.monferratoresort.com</v>
      </c>
    </row>
    <row r="5795" spans="1:6" ht="16.95" customHeight="1" x14ac:dyDescent="0.25">
      <c r="A5795" s="6" t="s">
        <v>24378</v>
      </c>
      <c r="B5795" s="5" t="s">
        <v>24379</v>
      </c>
      <c r="C5795" s="5" t="s">
        <v>24370</v>
      </c>
      <c r="D5795" s="5" t="s">
        <v>24380</v>
      </c>
      <c r="E5795" s="5" t="s">
        <v>24381</v>
      </c>
      <c r="F5795" s="5" t="str">
        <f>HYPERLINK("http://www.eurhoreca.it/","www.eurhoreca.it")</f>
        <v>www.eurhoreca.it</v>
      </c>
    </row>
    <row r="5796" spans="1:6" ht="29.55" customHeight="1" x14ac:dyDescent="0.25">
      <c r="A5796" s="1" t="s">
        <v>24382</v>
      </c>
      <c r="B5796" s="7" t="s">
        <v>24383</v>
      </c>
      <c r="C5796" s="7" t="s">
        <v>24384</v>
      </c>
      <c r="D5796" s="7" t="s">
        <v>24385</v>
      </c>
      <c r="E5796" s="7" t="s">
        <v>24386</v>
      </c>
      <c r="F5796" s="7" t="str">
        <f>HYPERLINK("http://www.cantinematrone.it/","www.cantinematrone.it")</f>
        <v>www.cantinematrone.it</v>
      </c>
    </row>
    <row r="5797" spans="1:6" ht="16.95" customHeight="1" x14ac:dyDescent="0.25">
      <c r="A5797" s="6" t="s">
        <v>24387</v>
      </c>
      <c r="B5797" s="5" t="s">
        <v>24388</v>
      </c>
      <c r="C5797" s="5" t="s">
        <v>24389</v>
      </c>
      <c r="D5797" s="5" t="s">
        <v>24372</v>
      </c>
      <c r="E5797" s="5" t="s">
        <v>24371</v>
      </c>
      <c r="F5797" s="5" t="str">
        <f>HYPERLINK("http://www.asilat.it/","www.asilat.it")</f>
        <v>www.asilat.it</v>
      </c>
    </row>
    <row r="5798" spans="1:6" ht="16.95" customHeight="1" x14ac:dyDescent="0.25">
      <c r="A5798" s="1" t="s">
        <v>24390</v>
      </c>
      <c r="B5798" s="7" t="s">
        <v>24391</v>
      </c>
      <c r="C5798" s="7" t="s">
        <v>24370</v>
      </c>
      <c r="D5798" s="7" t="s">
        <v>24392</v>
      </c>
      <c r="E5798" s="7" t="s">
        <v>24371</v>
      </c>
      <c r="F5798" s="7" t="str">
        <f>HYPERLINK("http://www.agriturismocasesgaraglino.com/","www.agriturismocasesgaraglino.com")</f>
        <v>www.agriturismocasesgaraglino.com</v>
      </c>
    </row>
    <row r="5799" spans="1:6" ht="43.05" customHeight="1" x14ac:dyDescent="0.25">
      <c r="A5799" s="6" t="s">
        <v>24393</v>
      </c>
      <c r="B5799" s="5" t="s">
        <v>24394</v>
      </c>
      <c r="C5799" s="5" t="s">
        <v>24395</v>
      </c>
      <c r="D5799" s="5" t="s">
        <v>24396</v>
      </c>
      <c r="E5799" s="5" t="s">
        <v>24397</v>
      </c>
      <c r="F5799" s="5" t="str">
        <f>HYPERLINK("http://vitivinicoladagostino.it/","vitivinicoladagostino.it")</f>
        <v>vitivinicoladagostino.it</v>
      </c>
    </row>
    <row r="5800" spans="1:6" ht="29.55" customHeight="1" x14ac:dyDescent="0.25">
      <c r="A5800" s="1" t="s">
        <v>24398</v>
      </c>
      <c r="B5800" s="7" t="s">
        <v>24399</v>
      </c>
      <c r="C5800" s="7" t="s">
        <v>24395</v>
      </c>
      <c r="D5800" s="7" t="s">
        <v>24400</v>
      </c>
      <c r="E5800" s="7" t="s">
        <v>24401</v>
      </c>
      <c r="F5800" s="7" t="str">
        <f>HYPERLINK("http://www.detdellitecnotrans.it/","www.detdellitecnotrans.it")</f>
        <v>www.detdellitecnotrans.it</v>
      </c>
    </row>
    <row r="5801" spans="1:6" ht="43.05" customHeight="1" x14ac:dyDescent="0.25">
      <c r="A5801" s="6" t="s">
        <v>24406</v>
      </c>
      <c r="B5801" s="5" t="s">
        <v>24407</v>
      </c>
      <c r="C5801" s="5" t="s">
        <v>24405</v>
      </c>
      <c r="D5801" s="5" t="s">
        <v>24408</v>
      </c>
      <c r="E5801" s="5" t="s">
        <v>24403</v>
      </c>
      <c r="F5801" s="5" t="str">
        <f>HYPERLINK("http://www.besa.org.uk/","www.besa.org.uk")</f>
        <v>www.besa.org.uk</v>
      </c>
    </row>
    <row r="5802" spans="1:6" ht="43.05" customHeight="1" x14ac:dyDescent="0.25">
      <c r="A5802" s="6" t="s">
        <v>24409</v>
      </c>
      <c r="B5802" s="5" t="s">
        <v>24410</v>
      </c>
      <c r="C5802" s="5" t="s">
        <v>24402</v>
      </c>
      <c r="D5802" s="5" t="s">
        <v>24411</v>
      </c>
      <c r="E5802" s="5" t="s">
        <v>24404</v>
      </c>
      <c r="F5802" s="5" t="str">
        <f>HYPERLINK("http://www.morgiacooperativa.it/","www.morgiacooperativa.it")</f>
        <v>www.morgiacooperativa.it</v>
      </c>
    </row>
    <row r="5803" spans="1:6" ht="55.65" customHeight="1" x14ac:dyDescent="0.25">
      <c r="A5803" s="6" t="s">
        <v>24413</v>
      </c>
      <c r="B5803" s="5" t="s">
        <v>24414</v>
      </c>
      <c r="C5803" s="5" t="s">
        <v>24415</v>
      </c>
      <c r="D5803" s="5" t="s">
        <v>24416</v>
      </c>
      <c r="E5803" s="5" t="s">
        <v>24412</v>
      </c>
      <c r="F5803" s="5" t="str">
        <f>HYPERLINK("http://manifatturasanrossorelivorno.da.delivery/","manifatturasanrossorelivorno.da.delivery")</f>
        <v>manifatturasanrossorelivorno.da.delivery</v>
      </c>
    </row>
    <row r="5804" spans="1:6" ht="43.05" customHeight="1" x14ac:dyDescent="0.25">
      <c r="A5804" s="6" t="s">
        <v>24419</v>
      </c>
      <c r="B5804" s="5" t="s">
        <v>24420</v>
      </c>
      <c r="C5804" s="5" t="s">
        <v>24421</v>
      </c>
      <c r="D5804" s="5" t="s">
        <v>24422</v>
      </c>
      <c r="E5804" s="5" t="s">
        <v>24418</v>
      </c>
      <c r="F5804" s="5" t="str">
        <f>HYPERLINK("http://www.grenne.com/","www.grenne.com")</f>
        <v>www.grenne.com</v>
      </c>
    </row>
    <row r="5805" spans="1:6" ht="29.55" customHeight="1" x14ac:dyDescent="0.25">
      <c r="A5805" s="6" t="s">
        <v>24425</v>
      </c>
      <c r="B5805" s="5" t="s">
        <v>24426</v>
      </c>
      <c r="C5805" s="5" t="s">
        <v>24424</v>
      </c>
      <c r="D5805" s="5" t="s">
        <v>24427</v>
      </c>
      <c r="E5805" s="5" t="s">
        <v>24423</v>
      </c>
      <c r="F5805" s="5" t="str">
        <f>HYPERLINK("http://www.belrisguardo.it/","www.belrisguardo.it")</f>
        <v>www.belrisguardo.it</v>
      </c>
    </row>
    <row r="5806" spans="1:6" ht="29.55" customHeight="1" x14ac:dyDescent="0.25">
      <c r="A5806" s="1" t="s">
        <v>24428</v>
      </c>
      <c r="B5806" s="7" t="s">
        <v>24429</v>
      </c>
      <c r="C5806" s="7" t="s">
        <v>24430</v>
      </c>
      <c r="D5806" s="7" t="s">
        <v>24431</v>
      </c>
      <c r="E5806" s="7" t="s">
        <v>24417</v>
      </c>
      <c r="F5806" s="7" t="str">
        <f>HYPERLINK("http://www.lapievina.it/","www.lapievina.it")</f>
        <v>www.lapievina.it</v>
      </c>
    </row>
    <row r="5807" spans="1:6" ht="29.55" customHeight="1" x14ac:dyDescent="0.25">
      <c r="A5807" s="6" t="s">
        <v>24432</v>
      </c>
      <c r="B5807" s="5" t="s">
        <v>24433</v>
      </c>
      <c r="C5807" s="5" t="s">
        <v>24430</v>
      </c>
      <c r="D5807" s="5" t="s">
        <v>24434</v>
      </c>
      <c r="E5807" s="5" t="s">
        <v>24435</v>
      </c>
      <c r="F5807" s="5" t="str">
        <f>HYPERLINK("http://m.facebook.com/birreboero/","m.facebook.com/birreboero/")</f>
        <v>m.facebook.com/birreboero/</v>
      </c>
    </row>
    <row r="5808" spans="1:6" ht="16.95" customHeight="1" x14ac:dyDescent="0.25">
      <c r="A5808" s="6" t="s">
        <v>24438</v>
      </c>
      <c r="B5808" s="5" t="s">
        <v>24439</v>
      </c>
      <c r="C5808" s="5" t="s">
        <v>24440</v>
      </c>
      <c r="D5808" s="5" t="s">
        <v>24441</v>
      </c>
      <c r="E5808" s="5" t="s">
        <v>24442</v>
      </c>
      <c r="F5808" s="5" t="str">
        <f>HYPERLINK("http://0.0.0.9/","011")</f>
        <v>011</v>
      </c>
    </row>
    <row r="5809" spans="1:6" ht="43.05" customHeight="1" x14ac:dyDescent="0.25">
      <c r="A5809" s="1" t="s">
        <v>24443</v>
      </c>
      <c r="B5809" s="7" t="s">
        <v>24444</v>
      </c>
      <c r="C5809" s="7" t="s">
        <v>24445</v>
      </c>
      <c r="D5809" s="7" t="s">
        <v>24436</v>
      </c>
      <c r="E5809" s="7" t="s">
        <v>24437</v>
      </c>
      <c r="F5809" s="7" t="str">
        <f>HYPERLINK("http://vogliecilentane.it/","vogliecilentane.it")</f>
        <v>vogliecilentane.it</v>
      </c>
    </row>
    <row r="5810" spans="1:6" ht="29.55" customHeight="1" x14ac:dyDescent="0.25">
      <c r="A5810" s="1" t="s">
        <v>24446</v>
      </c>
      <c r="B5810" s="7" t="s">
        <v>24447</v>
      </c>
      <c r="C5810" s="7" t="s">
        <v>24448</v>
      </c>
      <c r="D5810" s="7" t="s">
        <v>24449</v>
      </c>
      <c r="E5810" s="7" t="s">
        <v>24450</v>
      </c>
      <c r="F5810" s="7" t="str">
        <f>HYPERLINK("http://www.cantinarubattorno.it/","www.cantinarubattorno.it")</f>
        <v>www.cantinarubattorno.it</v>
      </c>
    </row>
    <row r="5811" spans="1:6" ht="16.95" customHeight="1" x14ac:dyDescent="0.25">
      <c r="A5811" s="6" t="s">
        <v>24451</v>
      </c>
      <c r="B5811" s="5" t="s">
        <v>24452</v>
      </c>
      <c r="C5811" s="5" t="s">
        <v>24448</v>
      </c>
      <c r="D5811" s="5" t="s">
        <v>24449</v>
      </c>
      <c r="E5811" s="5" t="s">
        <v>24450</v>
      </c>
      <c r="F5811" s="5" t="str">
        <f>HYPERLINK("http://www.villaagnolaccio.com/","www.villaagnolaccio.com")</f>
        <v>www.villaagnolaccio.com</v>
      </c>
    </row>
    <row r="5812" spans="1:6" ht="29.55" customHeight="1" x14ac:dyDescent="0.25">
      <c r="A5812" s="1" t="s">
        <v>24454</v>
      </c>
      <c r="B5812" s="7" t="s">
        <v>24455</v>
      </c>
      <c r="C5812" s="7" t="s">
        <v>24456</v>
      </c>
      <c r="D5812" s="7" t="s">
        <v>24457</v>
      </c>
      <c r="E5812" s="7" t="s">
        <v>24458</v>
      </c>
      <c r="F5812" s="7" t="str">
        <f>HYPERLINK("http://www.aitohelix.com/","www.aitohelix.com")</f>
        <v>www.aitohelix.com</v>
      </c>
    </row>
    <row r="5813" spans="1:6" ht="43.05" customHeight="1" x14ac:dyDescent="0.25">
      <c r="A5813" s="1" t="s">
        <v>24459</v>
      </c>
      <c r="B5813" s="7" t="s">
        <v>24460</v>
      </c>
      <c r="C5813" s="7" t="s">
        <v>24453</v>
      </c>
      <c r="D5813" s="7" t="s">
        <v>24461</v>
      </c>
      <c r="E5813" s="7" t="s">
        <v>24462</v>
      </c>
      <c r="F5813" s="7" t="str">
        <f>HYPERLINK("http://www.consorziocastelmagnodop.it/","www.consorziocastelmagnodop.it")</f>
        <v>www.consorziocastelmagnodop.it</v>
      </c>
    </row>
    <row r="5814" spans="1:6" ht="29.55" customHeight="1" x14ac:dyDescent="0.25">
      <c r="A5814" s="6" t="s">
        <v>24471</v>
      </c>
      <c r="B5814" s="5" t="s">
        <v>24472</v>
      </c>
      <c r="C5814" s="5" t="s">
        <v>24473</v>
      </c>
      <c r="D5814" s="5" t="s">
        <v>24474</v>
      </c>
      <c r="E5814" s="5" t="s">
        <v>24475</v>
      </c>
      <c r="F5814" s="5" t="str">
        <f>HYPERLINK("http://www.ciaconlus.org/","www.ciaconlus.org")</f>
        <v>www.ciaconlus.org</v>
      </c>
    </row>
    <row r="5815" spans="1:6" ht="16.95" customHeight="1" x14ac:dyDescent="0.25">
      <c r="A5815" s="1" t="s">
        <v>24476</v>
      </c>
      <c r="B5815" s="7" t="s">
        <v>24477</v>
      </c>
      <c r="C5815" s="7" t="s">
        <v>24466</v>
      </c>
      <c r="D5815" s="7" t="s">
        <v>24469</v>
      </c>
      <c r="E5815" s="7" t="s">
        <v>24470</v>
      </c>
      <c r="F5815" s="7" t="str">
        <f>HYPERLINK("http://www.fattoriaramerino.it/","www.fattoriaramerino.it")</f>
        <v>www.fattoriaramerino.it</v>
      </c>
    </row>
    <row r="5816" spans="1:6" ht="16.95" customHeight="1" x14ac:dyDescent="0.25">
      <c r="A5816" s="1" t="s">
        <v>24478</v>
      </c>
      <c r="B5816" s="7" t="s">
        <v>24479</v>
      </c>
      <c r="C5816" s="7" t="s">
        <v>24466</v>
      </c>
      <c r="D5816" s="7" t="s">
        <v>24463</v>
      </c>
      <c r="E5816" s="7" t="s">
        <v>24464</v>
      </c>
      <c r="F5816" s="7" t="str">
        <f>HYPERLINK("http://laboratoriobiochimica.it/","laboratoriobiochimica.it")</f>
        <v>laboratoriobiochimica.it</v>
      </c>
    </row>
    <row r="5817" spans="1:6" ht="29.55" customHeight="1" x14ac:dyDescent="0.25">
      <c r="A5817" s="6" t="s">
        <v>24480</v>
      </c>
      <c r="B5817" s="5" t="s">
        <v>24481</v>
      </c>
      <c r="C5817" s="5" t="s">
        <v>24468</v>
      </c>
      <c r="D5817" s="5" t="s">
        <v>24467</v>
      </c>
      <c r="E5817" s="5" t="s">
        <v>24465</v>
      </c>
      <c r="F5817" s="5" t="str">
        <f>HYPERLINK("http://www.laserviziagricoli.it/","www.laserviziagricoli.it")</f>
        <v>www.laserviziagricoli.it</v>
      </c>
    </row>
    <row r="5818" spans="1:6" ht="29.55" customHeight="1" x14ac:dyDescent="0.25">
      <c r="A5818" s="6" t="s">
        <v>24482</v>
      </c>
      <c r="B5818" s="5" t="s">
        <v>24483</v>
      </c>
      <c r="C5818" s="5" t="s">
        <v>24484</v>
      </c>
      <c r="D5818" s="5" t="s">
        <v>24485</v>
      </c>
      <c r="E5818" s="5" t="s">
        <v>24486</v>
      </c>
      <c r="F5818" s="5" t="str">
        <f>HYPERLINK("http://www.bergamotto.live/","www.bergamotto.live")</f>
        <v>www.bergamotto.live</v>
      </c>
    </row>
    <row r="5819" spans="1:6" ht="55.65" customHeight="1" x14ac:dyDescent="0.25">
      <c r="A5819" s="6" t="s">
        <v>24488</v>
      </c>
      <c r="B5819" s="5" t="s">
        <v>24489</v>
      </c>
      <c r="C5819" s="5" t="s">
        <v>24490</v>
      </c>
      <c r="D5819" s="5" t="s">
        <v>24491</v>
      </c>
      <c r="E5819" s="5" t="s">
        <v>24487</v>
      </c>
      <c r="F5819" s="5" t="str">
        <f>HYPERLINK("http://www.assaprol.it/","www.assaprol.it")</f>
        <v>www.assaprol.it</v>
      </c>
    </row>
    <row r="5820" spans="1:6" ht="43.05" customHeight="1" x14ac:dyDescent="0.25">
      <c r="A5820" s="1" t="s">
        <v>24492</v>
      </c>
      <c r="B5820" s="7" t="s">
        <v>24493</v>
      </c>
      <c r="C5820" s="7" t="s">
        <v>24494</v>
      </c>
      <c r="D5820" s="7" t="s">
        <v>24495</v>
      </c>
      <c r="E5820" s="7" t="s">
        <v>24496</v>
      </c>
      <c r="F5820" s="7" t="str">
        <f>HYPERLINK("http://www.canapadelsud.com/","www.canapadelsud.com")</f>
        <v>www.canapadelsud.com</v>
      </c>
    </row>
    <row r="5821" spans="1:6" ht="29.55" customHeight="1" x14ac:dyDescent="0.25">
      <c r="A5821" s="6" t="s">
        <v>24498</v>
      </c>
      <c r="B5821" s="5" t="s">
        <v>24499</v>
      </c>
      <c r="C5821" s="5" t="s">
        <v>24500</v>
      </c>
      <c r="D5821" s="5" t="s">
        <v>24501</v>
      </c>
      <c r="E5821" s="5" t="s">
        <v>24502</v>
      </c>
      <c r="F5821" s="5" t="str">
        <f>HYPERLINK("http://www.bioareas.bio/","www.bioareas.bio")</f>
        <v>www.bioareas.bio</v>
      </c>
    </row>
    <row r="5822" spans="1:6" ht="43.05" customHeight="1" x14ac:dyDescent="0.25">
      <c r="A5822" s="1" t="s">
        <v>24503</v>
      </c>
      <c r="B5822" s="7" t="s">
        <v>24504</v>
      </c>
      <c r="C5822" s="7" t="s">
        <v>24505</v>
      </c>
      <c r="D5822" s="7" t="s">
        <v>24506</v>
      </c>
      <c r="E5822" s="7" t="s">
        <v>24497</v>
      </c>
      <c r="F5822" s="7" t="str">
        <f>HYPERLINK("http://ortocooperativa-e-servizi-societa-cooper-04945190751.quantofattura.com/","ortocooperativa-e-servizi-societa-cooper-04945190751.quantofattura.com")</f>
        <v>ortocooperativa-e-servizi-societa-cooper-04945190751.quantofattura.com</v>
      </c>
    </row>
    <row r="5823" spans="1:6" ht="29.55" customHeight="1" x14ac:dyDescent="0.25">
      <c r="A5823" s="1" t="s">
        <v>24507</v>
      </c>
      <c r="B5823" s="7" t="s">
        <v>24508</v>
      </c>
      <c r="C5823" s="7" t="s">
        <v>24509</v>
      </c>
      <c r="D5823" s="7" t="s">
        <v>24510</v>
      </c>
      <c r="E5823" s="7" t="s">
        <v>24511</v>
      </c>
      <c r="F5823" s="7" t="str">
        <f>HYPERLINK("http://www.gruppo-bsa.it/","www.gruppo-bsa.it")</f>
        <v>www.gruppo-bsa.it</v>
      </c>
    </row>
    <row r="5824" spans="1:6" ht="29.55" customHeight="1" x14ac:dyDescent="0.25">
      <c r="A5824" s="6" t="s">
        <v>24516</v>
      </c>
      <c r="B5824" s="5" t="s">
        <v>24517</v>
      </c>
      <c r="C5824" s="5" t="s">
        <v>24518</v>
      </c>
      <c r="D5824" s="5" t="s">
        <v>24514</v>
      </c>
      <c r="E5824" s="5" t="s">
        <v>24512</v>
      </c>
      <c r="F5824" s="5" t="str">
        <f>HYPERLINK("http://www.etnasapori.it/","www.etnasapori.it")</f>
        <v>www.etnasapori.it</v>
      </c>
    </row>
    <row r="5825" spans="1:6" ht="68.099999999999994" customHeight="1" x14ac:dyDescent="0.25">
      <c r="A5825" s="1" t="s">
        <v>24519</v>
      </c>
      <c r="B5825" s="7" t="s">
        <v>24520</v>
      </c>
      <c r="C5825" s="7" t="s">
        <v>24513</v>
      </c>
      <c r="D5825" s="7" t="s">
        <v>24521</v>
      </c>
      <c r="E5825" s="7" t="s">
        <v>24522</v>
      </c>
      <c r="F5825" s="7" t="str">
        <f>HYPERLINK("http://www.setteventi.com/","www.setteventi.com")</f>
        <v>www.setteventi.com</v>
      </c>
    </row>
    <row r="5826" spans="1:6" ht="29.55" customHeight="1" x14ac:dyDescent="0.25">
      <c r="A5826" s="6" t="s">
        <v>24523</v>
      </c>
      <c r="B5826" s="5" t="s">
        <v>24524</v>
      </c>
      <c r="C5826" s="5" t="s">
        <v>24525</v>
      </c>
      <c r="D5826" s="5" t="s">
        <v>24526</v>
      </c>
      <c r="E5826" s="5" t="s">
        <v>24512</v>
      </c>
      <c r="F5826" s="5" t="str">
        <f>HYPERLINK("http://www.continobilenatura.it/","www.continobilenatura.it")</f>
        <v>www.continobilenatura.it</v>
      </c>
    </row>
    <row r="5827" spans="1:6" ht="43.05" customHeight="1" x14ac:dyDescent="0.25">
      <c r="A5827" s="1" t="s">
        <v>24527</v>
      </c>
      <c r="B5827" s="7" t="s">
        <v>24528</v>
      </c>
      <c r="C5827" s="7" t="s">
        <v>24529</v>
      </c>
      <c r="D5827" s="7" t="s">
        <v>24526</v>
      </c>
      <c r="E5827" s="7" t="s">
        <v>24512</v>
      </c>
      <c r="F5827" s="7" t="str">
        <f>HYPERLINK("http://www.ideaverdegardencenter.it/","www.ideaverdegardencenter.it")</f>
        <v>www.ideaverdegardencenter.it</v>
      </c>
    </row>
    <row r="5828" spans="1:6" ht="16.95" customHeight="1" x14ac:dyDescent="0.25">
      <c r="A5828" s="1" t="s">
        <v>24530</v>
      </c>
      <c r="B5828" s="7" t="s">
        <v>24531</v>
      </c>
      <c r="C5828" s="7" t="s">
        <v>24532</v>
      </c>
      <c r="D5828" s="7" t="s">
        <v>24533</v>
      </c>
      <c r="E5828" s="7" t="s">
        <v>24515</v>
      </c>
      <c r="F5828" s="7" t="str">
        <f>HYPERLINK("http://www.agraia.it/","www.agraia.it")</f>
        <v>www.agraia.it</v>
      </c>
    </row>
    <row r="5829" spans="1:6" ht="43.05" customHeight="1" x14ac:dyDescent="0.25">
      <c r="A5829" s="6" t="s">
        <v>24538</v>
      </c>
      <c r="B5829" s="5" t="s">
        <v>24539</v>
      </c>
      <c r="C5829" s="5" t="s">
        <v>24534</v>
      </c>
      <c r="D5829" s="5" t="s">
        <v>24537</v>
      </c>
      <c r="E5829" s="5" t="s">
        <v>24536</v>
      </c>
      <c r="F5829" s="5" t="str">
        <f>HYPERLINK("http://www.vigneinvaldinoto.com/","www.vigneinvaldinoto.com")</f>
        <v>www.vigneinvaldinoto.com</v>
      </c>
    </row>
    <row r="5830" spans="1:6" ht="29.55" customHeight="1" x14ac:dyDescent="0.25">
      <c r="A5830" s="1" t="s">
        <v>24540</v>
      </c>
      <c r="B5830" s="7" t="s">
        <v>24541</v>
      </c>
      <c r="C5830" s="7" t="s">
        <v>24542</v>
      </c>
      <c r="D5830" s="7" t="s">
        <v>24543</v>
      </c>
      <c r="E5830" s="7" t="s">
        <v>24535</v>
      </c>
      <c r="F5830" s="7" t="str">
        <f>HYPERLINK("http://www.agriarti.com/","www.agriarti.com")</f>
        <v>www.agriarti.com</v>
      </c>
    </row>
    <row r="5831" spans="1:6" ht="16.95" customHeight="1" x14ac:dyDescent="0.25">
      <c r="A5831" s="6" t="s">
        <v>24547</v>
      </c>
      <c r="B5831" s="5" t="s">
        <v>24548</v>
      </c>
      <c r="C5831" s="5" t="s">
        <v>24546</v>
      </c>
      <c r="D5831" s="5" t="s">
        <v>24549</v>
      </c>
      <c r="E5831" s="5" t="s">
        <v>24550</v>
      </c>
      <c r="F5831" s="5" t="str">
        <f>HYPERLINK("http://www.fratelligiansante.it/","www.fratelligiansante.it")</f>
        <v>www.fratelligiansante.it</v>
      </c>
    </row>
    <row r="5832" spans="1:6" ht="16.95" customHeight="1" x14ac:dyDescent="0.25">
      <c r="A5832" s="6" t="s">
        <v>24553</v>
      </c>
      <c r="B5832" s="5" t="s">
        <v>24554</v>
      </c>
      <c r="C5832" s="5" t="s">
        <v>24555</v>
      </c>
      <c r="D5832" s="5" t="s">
        <v>24556</v>
      </c>
      <c r="E5832" s="5" t="s">
        <v>24545</v>
      </c>
      <c r="F5832" s="5" t="str">
        <f>HYPERLINK("http://www.greenfields-farm.it/","www.greenfields-farm.it")</f>
        <v>www.greenfields-farm.it</v>
      </c>
    </row>
    <row r="5833" spans="1:6" ht="29.55" customHeight="1" x14ac:dyDescent="0.25">
      <c r="A5833" s="1" t="s">
        <v>24557</v>
      </c>
      <c r="B5833" s="7" t="s">
        <v>24558</v>
      </c>
      <c r="C5833" s="7" t="s">
        <v>24544</v>
      </c>
      <c r="D5833" s="7" t="s">
        <v>24551</v>
      </c>
      <c r="E5833" s="7" t="s">
        <v>24552</v>
      </c>
      <c r="F5833" s="7" t="str">
        <f>HYPERLINK("http://centrodilavoro.net/","centrodilavoro.net")</f>
        <v>centrodilavoro.net</v>
      </c>
    </row>
    <row r="5834" spans="1:6" ht="43.05" customHeight="1" x14ac:dyDescent="0.25">
      <c r="A5834" s="6" t="s">
        <v>24563</v>
      </c>
      <c r="B5834" s="5" t="s">
        <v>24564</v>
      </c>
      <c r="C5834" s="5" t="s">
        <v>24565</v>
      </c>
      <c r="D5834" s="5" t="s">
        <v>24566</v>
      </c>
      <c r="E5834" s="5" t="s">
        <v>24562</v>
      </c>
      <c r="F5834" s="5" t="str">
        <f>HYPERLINK("http://www.guidoffendi.com/","www.guidoffendi.com")</f>
        <v>www.guidoffendi.com</v>
      </c>
    </row>
    <row r="5835" spans="1:6" ht="43.05" customHeight="1" x14ac:dyDescent="0.25">
      <c r="A5835" s="1" t="s">
        <v>24568</v>
      </c>
      <c r="B5835" s="7" t="s">
        <v>24569</v>
      </c>
      <c r="C5835" s="7" t="s">
        <v>24570</v>
      </c>
      <c r="D5835" s="7" t="s">
        <v>24571</v>
      </c>
      <c r="E5835" s="7" t="s">
        <v>24572</v>
      </c>
      <c r="F5835" s="7" t="str">
        <f>HYPERLINK("http://www.pezzolacorte.com/","www.pezzolacorte.com")</f>
        <v>www.pezzolacorte.com</v>
      </c>
    </row>
    <row r="5836" spans="1:6" ht="29.55" customHeight="1" x14ac:dyDescent="0.25">
      <c r="A5836" s="6" t="s">
        <v>24573</v>
      </c>
      <c r="B5836" s="5" t="s">
        <v>24574</v>
      </c>
      <c r="C5836" s="5" t="s">
        <v>24559</v>
      </c>
      <c r="D5836" s="5" t="s">
        <v>24575</v>
      </c>
      <c r="E5836" s="5" t="s">
        <v>24576</v>
      </c>
      <c r="F5836" s="5" t="str">
        <f>HYPERLINK("http://www.studio-manica.it/","www.studio-manica.it")</f>
        <v>www.studio-manica.it</v>
      </c>
    </row>
    <row r="5837" spans="1:6" ht="43.05" customHeight="1" x14ac:dyDescent="0.25">
      <c r="A5837" s="6" t="s">
        <v>24577</v>
      </c>
      <c r="B5837" s="5" t="s">
        <v>24578</v>
      </c>
      <c r="C5837" s="5" t="s">
        <v>24579</v>
      </c>
      <c r="D5837" s="5" t="s">
        <v>24560</v>
      </c>
      <c r="E5837" s="5" t="s">
        <v>24561</v>
      </c>
      <c r="F5837" s="5" t="str">
        <f>HYPERLINK("http://terredelsicomoro.it/","terredelsicomoro.it")</f>
        <v>terredelsicomoro.it</v>
      </c>
    </row>
    <row r="5838" spans="1:6" ht="29.55" customHeight="1" x14ac:dyDescent="0.25">
      <c r="A5838" s="1" t="s">
        <v>24580</v>
      </c>
      <c r="B5838" s="7" t="s">
        <v>24581</v>
      </c>
      <c r="C5838" s="7" t="s">
        <v>24567</v>
      </c>
      <c r="D5838" s="7" t="s">
        <v>24575</v>
      </c>
      <c r="E5838" s="7" t="s">
        <v>24576</v>
      </c>
      <c r="F5838" s="7" t="str">
        <f>HYPERLINK("http://www.vaccarolio.it/","www.vaccarolio.it")</f>
        <v>www.vaccarolio.it</v>
      </c>
    </row>
    <row r="5839" spans="1:6" ht="43.05" customHeight="1" x14ac:dyDescent="0.25">
      <c r="A5839" s="1" t="s">
        <v>24582</v>
      </c>
      <c r="B5839" s="7" t="s">
        <v>24583</v>
      </c>
      <c r="C5839" s="7" t="s">
        <v>24559</v>
      </c>
      <c r="D5839" s="7" t="s">
        <v>24584</v>
      </c>
      <c r="E5839" s="7" t="s">
        <v>24585</v>
      </c>
      <c r="F5839" s="7" t="str">
        <f>HYPERLINK("http://uliveto.naturavicina.it/","uliveto.naturavicina.it")</f>
        <v>uliveto.naturavicina.it</v>
      </c>
    </row>
    <row r="5840" spans="1:6" ht="43.05" customHeight="1" x14ac:dyDescent="0.25">
      <c r="A5840" s="6" t="s">
        <v>24589</v>
      </c>
      <c r="B5840" s="5" t="s">
        <v>24590</v>
      </c>
      <c r="C5840" s="5" t="s">
        <v>24591</v>
      </c>
      <c r="D5840" s="5" t="s">
        <v>24587</v>
      </c>
      <c r="E5840" s="5" t="s">
        <v>24588</v>
      </c>
      <c r="F5840" s="5" t="str">
        <f>HYPERLINK("http://en.tenutaigelsi.com/","en.tenutaigelsi.com")</f>
        <v>en.tenutaigelsi.com</v>
      </c>
    </row>
    <row r="5841" spans="1:6" ht="29.55" customHeight="1" x14ac:dyDescent="0.25">
      <c r="A5841" s="1" t="s">
        <v>24592</v>
      </c>
      <c r="B5841" s="7" t="s">
        <v>24593</v>
      </c>
      <c r="C5841" s="7" t="s">
        <v>24586</v>
      </c>
      <c r="D5841" s="7" t="s">
        <v>24594</v>
      </c>
      <c r="E5841" s="7" t="s">
        <v>24595</v>
      </c>
      <c r="F5841" s="7" t="str">
        <f>HYPERLINK("http://countryhouseandromeda.it/","countryhouseandromeda.it")</f>
        <v>countryhouseandromeda.it</v>
      </c>
    </row>
    <row r="5842" spans="1:6" ht="29.55" customHeight="1" x14ac:dyDescent="0.25">
      <c r="A5842" s="1" t="s">
        <v>24597</v>
      </c>
      <c r="B5842" s="7" t="s">
        <v>24598</v>
      </c>
      <c r="C5842" s="7" t="s">
        <v>24586</v>
      </c>
      <c r="D5842" s="7" t="s">
        <v>24599</v>
      </c>
      <c r="E5842" s="7" t="s">
        <v>24596</v>
      </c>
      <c r="F5842" s="7" t="str">
        <f>HYPERLINK("http://www.ferienaufdembauernhof.emiliaromagna.it/","www.ferienaufdembauernhof.emiliaromagna.it")</f>
        <v>www.ferienaufdembauernhof.emiliaromagna.it</v>
      </c>
    </row>
    <row r="5843" spans="1:6" ht="29.55" customHeight="1" x14ac:dyDescent="0.25">
      <c r="A5843" s="1" t="s">
        <v>24605</v>
      </c>
      <c r="B5843" s="7" t="s">
        <v>24606</v>
      </c>
      <c r="C5843" s="7" t="s">
        <v>24607</v>
      </c>
      <c r="D5843" s="7" t="s">
        <v>24608</v>
      </c>
      <c r="E5843" s="7" t="s">
        <v>24600</v>
      </c>
      <c r="F5843" s="7" t="str">
        <f>HYPERLINK("http://www.ilperoselvatico.it/","www.ilperoselvatico.it")</f>
        <v>www.ilperoselvatico.it</v>
      </c>
    </row>
    <row r="5844" spans="1:6" ht="29.55" customHeight="1" x14ac:dyDescent="0.25">
      <c r="A5844" s="6" t="s">
        <v>24612</v>
      </c>
      <c r="B5844" s="5" t="s">
        <v>24613</v>
      </c>
      <c r="C5844" s="5" t="s">
        <v>24602</v>
      </c>
      <c r="D5844" s="5" t="s">
        <v>24614</v>
      </c>
      <c r="E5844" s="5" t="s">
        <v>24611</v>
      </c>
      <c r="F5844" s="5" t="str">
        <f>HYPERLINK("http://www.colacicchi.it/","www.colacicchi.it")</f>
        <v>www.colacicchi.it</v>
      </c>
    </row>
    <row r="5845" spans="1:6" ht="29.55" customHeight="1" x14ac:dyDescent="0.25">
      <c r="A5845" s="6" t="s">
        <v>24616</v>
      </c>
      <c r="B5845" s="5" t="s">
        <v>24617</v>
      </c>
      <c r="C5845" s="5" t="s">
        <v>24604</v>
      </c>
      <c r="D5845" s="5" t="s">
        <v>24618</v>
      </c>
      <c r="E5845" s="5" t="s">
        <v>24615</v>
      </c>
      <c r="F5845" s="5" t="str">
        <f>HYPERLINK("http://www.tenutarubinacci.eu/","www.tenutarubinacci.eu")</f>
        <v>www.tenutarubinacci.eu</v>
      </c>
    </row>
    <row r="5846" spans="1:6" ht="16.95" customHeight="1" x14ac:dyDescent="0.25">
      <c r="A5846" s="1" t="s">
        <v>24619</v>
      </c>
      <c r="B5846" s="7" t="s">
        <v>24620</v>
      </c>
      <c r="C5846" s="7" t="s">
        <v>24609</v>
      </c>
      <c r="D5846" s="7" t="s">
        <v>24610</v>
      </c>
      <c r="E5846" s="7" t="s">
        <v>24611</v>
      </c>
      <c r="F5846" s="7" t="str">
        <f>HYPERLINK("http://www.museolavinium.it/","www.museolavinium.it")</f>
        <v>www.museolavinium.it</v>
      </c>
    </row>
    <row r="5847" spans="1:6" ht="29.55" customHeight="1" x14ac:dyDescent="0.25">
      <c r="A5847" s="6" t="s">
        <v>24621</v>
      </c>
      <c r="B5847" s="5" t="s">
        <v>24622</v>
      </c>
      <c r="C5847" s="5" t="s">
        <v>24623</v>
      </c>
      <c r="D5847" s="5" t="s">
        <v>24603</v>
      </c>
      <c r="E5847" s="5" t="s">
        <v>24601</v>
      </c>
      <c r="F5847" s="5" t="str">
        <f>HYPERLINK("http://www.agricola-2000.com/","www.agricola-2000.com")</f>
        <v>www.agricola-2000.com</v>
      </c>
    </row>
    <row r="5848" spans="1:6" ht="29.55" customHeight="1" x14ac:dyDescent="0.25">
      <c r="A5848" s="6" t="s">
        <v>24626</v>
      </c>
      <c r="B5848" s="5" t="s">
        <v>24627</v>
      </c>
      <c r="C5848" s="5" t="s">
        <v>24624</v>
      </c>
      <c r="D5848" s="5" t="s">
        <v>24628</v>
      </c>
      <c r="E5848" s="5" t="s">
        <v>24625</v>
      </c>
      <c r="F5848" s="5" t="str">
        <f>HYPERLINK("http://www.poggioallameta.com/","www.poggioallameta.com")</f>
        <v>www.poggioallameta.com</v>
      </c>
    </row>
    <row r="5849" spans="1:6" ht="68.099999999999994" customHeight="1" x14ac:dyDescent="0.25">
      <c r="A5849" s="6" t="s">
        <v>24631</v>
      </c>
      <c r="B5849" s="5" t="s">
        <v>24632</v>
      </c>
      <c r="C5849" s="5" t="s">
        <v>24633</v>
      </c>
      <c r="D5849" s="5" t="s">
        <v>24634</v>
      </c>
      <c r="E5849" s="5" t="s">
        <v>24635</v>
      </c>
      <c r="F5849" s="5" t="str">
        <f>HYPERLINK("http://www.torrefornello.it/","www.torrefornello.it")</f>
        <v>www.torrefornello.it</v>
      </c>
    </row>
    <row r="5850" spans="1:6" ht="29.55" customHeight="1" x14ac:dyDescent="0.25">
      <c r="A5850" s="6" t="s">
        <v>24639</v>
      </c>
      <c r="B5850" s="5" t="s">
        <v>24640</v>
      </c>
      <c r="C5850" s="5" t="s">
        <v>24629</v>
      </c>
      <c r="D5850" s="5" t="s">
        <v>24641</v>
      </c>
      <c r="E5850" s="5" t="s">
        <v>24630</v>
      </c>
      <c r="F5850" s="5" t="str">
        <f>HYPERLINK("http://www.armodegliulivi.it/","www.armodegliulivi.it")</f>
        <v>www.armodegliulivi.it</v>
      </c>
    </row>
    <row r="5851" spans="1:6" ht="29.55" customHeight="1" x14ac:dyDescent="0.25">
      <c r="A5851" s="6" t="s">
        <v>24642</v>
      </c>
      <c r="B5851" s="5" t="s">
        <v>24643</v>
      </c>
      <c r="C5851" s="5" t="s">
        <v>24637</v>
      </c>
      <c r="D5851" s="5" t="s">
        <v>24644</v>
      </c>
      <c r="E5851" s="5" t="s">
        <v>24636</v>
      </c>
      <c r="F5851" s="5" t="str">
        <f>HYPERLINK("http://www.laprovenzale.farm/","www.laprovenzale.farm")</f>
        <v>www.laprovenzale.farm</v>
      </c>
    </row>
    <row r="5852" spans="1:6" ht="43.05" customHeight="1" x14ac:dyDescent="0.25">
      <c r="A5852" s="1" t="s">
        <v>24645</v>
      </c>
      <c r="B5852" s="7" t="s">
        <v>24646</v>
      </c>
      <c r="C5852" s="7" t="s">
        <v>24629</v>
      </c>
      <c r="D5852" s="7" t="s">
        <v>24647</v>
      </c>
      <c r="E5852" s="7" t="s">
        <v>24638</v>
      </c>
      <c r="F5852" s="7" t="str">
        <f>HYPERLINK("http://www.allegroagriturismoargiano.it/","www.allegroagriturismoargiano.it")</f>
        <v>www.allegroagriturismoargiano.it</v>
      </c>
    </row>
    <row r="5853" spans="1:6" ht="29.55" customHeight="1" x14ac:dyDescent="0.25">
      <c r="A5853" s="6" t="s">
        <v>24649</v>
      </c>
      <c r="B5853" s="5" t="s">
        <v>24650</v>
      </c>
      <c r="C5853" s="5" t="s">
        <v>24651</v>
      </c>
      <c r="D5853" s="5" t="s">
        <v>24652</v>
      </c>
      <c r="E5853" s="5" t="s">
        <v>24648</v>
      </c>
      <c r="F5853" s="5" t="str">
        <f>HYPERLINK("http://www.sarandrelais.com/","www.sarandrelais.com")</f>
        <v>www.sarandrelais.com</v>
      </c>
    </row>
    <row r="5854" spans="1:6" ht="43.05" customHeight="1" x14ac:dyDescent="0.25">
      <c r="A5854" s="6" t="s">
        <v>24654</v>
      </c>
      <c r="B5854" s="5" t="s">
        <v>24655</v>
      </c>
      <c r="C5854" s="5" t="s">
        <v>24656</v>
      </c>
      <c r="D5854" s="5" t="s">
        <v>24657</v>
      </c>
      <c r="E5854" s="5" t="s">
        <v>24653</v>
      </c>
      <c r="F5854" s="5" t="str">
        <f>HYPERLINK("http://www.coopvillasangiuseppe.it/","www.coopvillasangiuseppe.it")</f>
        <v>www.coopvillasangiuseppe.it</v>
      </c>
    </row>
    <row r="5855" spans="1:6" ht="29.55" customHeight="1" x14ac:dyDescent="0.25">
      <c r="A5855" s="6" t="s">
        <v>24658</v>
      </c>
      <c r="B5855" s="5" t="s">
        <v>24659</v>
      </c>
      <c r="C5855" s="5" t="s">
        <v>24660</v>
      </c>
      <c r="D5855" s="5" t="s">
        <v>24657</v>
      </c>
      <c r="E5855" s="5" t="s">
        <v>24653</v>
      </c>
      <c r="F5855" s="5" t="str">
        <f>HYPERLINK("http://www.biological.it/","www.biological.it")</f>
        <v>www.biological.it</v>
      </c>
    </row>
    <row r="5856" spans="1:6" ht="16.95" customHeight="1" x14ac:dyDescent="0.25">
      <c r="A5856" s="1" t="s">
        <v>24662</v>
      </c>
      <c r="B5856" s="7" t="s">
        <v>24663</v>
      </c>
      <c r="C5856" s="7" t="s">
        <v>24664</v>
      </c>
      <c r="D5856" s="7" t="s">
        <v>24665</v>
      </c>
      <c r="E5856" s="7" t="s">
        <v>24666</v>
      </c>
      <c r="F5856" s="7" t="str">
        <f>HYPERLINK("http://www.cipnuoro.it/","www.cipnuoro.it")</f>
        <v>www.cipnuoro.it</v>
      </c>
    </row>
    <row r="5857" spans="1:6" ht="16.95" customHeight="1" x14ac:dyDescent="0.25">
      <c r="A5857" s="6" t="s">
        <v>24668</v>
      </c>
      <c r="B5857" s="5" t="s">
        <v>24669</v>
      </c>
      <c r="C5857" s="5" t="s">
        <v>24670</v>
      </c>
      <c r="D5857" s="5" t="s">
        <v>24671</v>
      </c>
      <c r="E5857" s="5" t="s">
        <v>24672</v>
      </c>
      <c r="F5857" s="5" t="str">
        <f>HYPERLINK("http://www.cantinedipalma.com/","www.cantinedipalma.com")</f>
        <v>www.cantinedipalma.com</v>
      </c>
    </row>
    <row r="5858" spans="1:6" ht="29.55" customHeight="1" x14ac:dyDescent="0.25">
      <c r="A5858" s="1" t="s">
        <v>24673</v>
      </c>
      <c r="B5858" s="7" t="s">
        <v>24674</v>
      </c>
      <c r="C5858" s="7" t="s">
        <v>24661</v>
      </c>
      <c r="D5858" s="7" t="s">
        <v>24675</v>
      </c>
      <c r="E5858" s="7" t="s">
        <v>24667</v>
      </c>
      <c r="F5858" s="7" t="str">
        <f>HYPERLINK("http://www.boscopianetti.it/","www.boscopianetti.it")</f>
        <v>www.boscopianetti.it</v>
      </c>
    </row>
    <row r="5859" spans="1:6" ht="29.55" customHeight="1" x14ac:dyDescent="0.25">
      <c r="A5859" s="1" t="s">
        <v>24676</v>
      </c>
      <c r="B5859" s="7" t="s">
        <v>24677</v>
      </c>
      <c r="C5859" s="7" t="s">
        <v>24678</v>
      </c>
      <c r="D5859" s="7" t="s">
        <v>24679</v>
      </c>
      <c r="E5859" s="7" t="s">
        <v>24680</v>
      </c>
      <c r="F5859" s="7" t="str">
        <f>HYPERLINK("http://www.pianadeicastelli.it/","www.pianadeicastelli.it")</f>
        <v>www.pianadeicastelli.it</v>
      </c>
    </row>
    <row r="5860" spans="1:6" ht="29.55" customHeight="1" x14ac:dyDescent="0.25">
      <c r="A5860" s="1" t="s">
        <v>24683</v>
      </c>
      <c r="B5860" s="7" t="s">
        <v>24684</v>
      </c>
      <c r="C5860" s="7" t="s">
        <v>24685</v>
      </c>
      <c r="D5860" s="7" t="s">
        <v>24686</v>
      </c>
      <c r="E5860" s="7" t="s">
        <v>24682</v>
      </c>
      <c r="F5860" s="7" t="str">
        <f>HYPERLINK("http://www.siloeagricolturabiologica.it/","www.siloeagricolturabiologica.it")</f>
        <v>www.siloeagricolturabiologica.it</v>
      </c>
    </row>
    <row r="5861" spans="1:6" ht="16.95" customHeight="1" x14ac:dyDescent="0.25">
      <c r="A5861" s="6" t="s">
        <v>24689</v>
      </c>
      <c r="B5861" s="5" t="s">
        <v>24690</v>
      </c>
      <c r="C5861" s="5" t="s">
        <v>24681</v>
      </c>
      <c r="D5861" s="5" t="s">
        <v>24687</v>
      </c>
      <c r="E5861" s="5" t="s">
        <v>24688</v>
      </c>
      <c r="F5861" s="5" t="str">
        <f>HYPERLINK("http://www.isopakadriatica.it/","www.isopakadriatica.it")</f>
        <v>www.isopakadriatica.it</v>
      </c>
    </row>
    <row r="5862" spans="1:6" ht="29.55" customHeight="1" x14ac:dyDescent="0.25">
      <c r="A5862" s="6" t="s">
        <v>24691</v>
      </c>
      <c r="B5862" s="5" t="s">
        <v>24692</v>
      </c>
      <c r="C5862" s="5" t="s">
        <v>24678</v>
      </c>
      <c r="D5862" s="5" t="s">
        <v>24693</v>
      </c>
      <c r="E5862" s="5" t="s">
        <v>24694</v>
      </c>
      <c r="F5862" s="5" t="str">
        <f>HYPERLINK("http://xbaccosa.wordpress.com/","xbaccosa.wordpress.com")</f>
        <v>xbaccosa.wordpress.com</v>
      </c>
    </row>
    <row r="5863" spans="1:6" ht="29.55" customHeight="1" x14ac:dyDescent="0.25">
      <c r="A5863" s="6" t="s">
        <v>24695</v>
      </c>
      <c r="B5863" s="5" t="s">
        <v>24696</v>
      </c>
      <c r="C5863" s="5" t="s">
        <v>24697</v>
      </c>
      <c r="D5863" s="5" t="s">
        <v>24698</v>
      </c>
      <c r="E5863" s="5" t="s">
        <v>24699</v>
      </c>
      <c r="F5863" s="5" t="str">
        <f>HYPERLINK("http://www.casabaronevesuvio.it/","www.casabaronevesuvio.it")</f>
        <v>www.casabaronevesuvio.it</v>
      </c>
    </row>
    <row r="5864" spans="1:6" ht="29.55" customHeight="1" x14ac:dyDescent="0.25">
      <c r="A5864" s="6" t="s">
        <v>24702</v>
      </c>
      <c r="B5864" s="5" t="s">
        <v>24703</v>
      </c>
      <c r="C5864" s="5" t="s">
        <v>24704</v>
      </c>
      <c r="D5864" s="5" t="s">
        <v>24705</v>
      </c>
      <c r="E5864" s="5" t="s">
        <v>24706</v>
      </c>
      <c r="F5864" s="5" t="str">
        <f>HYPERLINK("http://www.crasicilia.it/","www.crasicilia.it")</f>
        <v>www.crasicilia.it</v>
      </c>
    </row>
    <row r="5865" spans="1:6" ht="29.55" customHeight="1" x14ac:dyDescent="0.25">
      <c r="A5865" s="1" t="s">
        <v>24707</v>
      </c>
      <c r="B5865" s="7" t="s">
        <v>24708</v>
      </c>
      <c r="C5865" s="7" t="s">
        <v>24709</v>
      </c>
      <c r="D5865" s="7" t="s">
        <v>24710</v>
      </c>
      <c r="E5865" s="7" t="s">
        <v>24711</v>
      </c>
      <c r="F5865" s="7" t="str">
        <f>HYPERLINK("http://www.agromania.it/","www.agromania.it")</f>
        <v>www.agromania.it</v>
      </c>
    </row>
    <row r="5866" spans="1:6" ht="29.55" customHeight="1" x14ac:dyDescent="0.25">
      <c r="A5866" s="6" t="s">
        <v>24712</v>
      </c>
      <c r="B5866" s="5" t="s">
        <v>24713</v>
      </c>
      <c r="C5866" s="5" t="s">
        <v>24697</v>
      </c>
      <c r="D5866" s="5" t="s">
        <v>24714</v>
      </c>
      <c r="E5866" s="5" t="s">
        <v>24715</v>
      </c>
      <c r="F5866" s="5" t="str">
        <f>HYPERLINK("http://www.olioextravergineitaliano.it/","www.olioextravergineitaliano.it")</f>
        <v>www.olioextravergineitaliano.it</v>
      </c>
    </row>
    <row r="5867" spans="1:6" ht="29.55" customHeight="1" x14ac:dyDescent="0.25">
      <c r="A5867" s="1" t="s">
        <v>24716</v>
      </c>
      <c r="B5867" s="7" t="s">
        <v>24717</v>
      </c>
      <c r="C5867" s="7" t="s">
        <v>24701</v>
      </c>
      <c r="D5867" s="7" t="s">
        <v>24710</v>
      </c>
      <c r="E5867" s="7" t="s">
        <v>24711</v>
      </c>
      <c r="F5867" s="7" t="str">
        <f>HYPERLINK("http://www.edenrico.com/","www.edenrico.com")</f>
        <v>www.edenrico.com</v>
      </c>
    </row>
    <row r="5868" spans="1:6" ht="43.05" customHeight="1" x14ac:dyDescent="0.25">
      <c r="A5868" s="6" t="s">
        <v>24718</v>
      </c>
      <c r="B5868" s="5" t="s">
        <v>24719</v>
      </c>
      <c r="C5868" s="5" t="s">
        <v>24700</v>
      </c>
      <c r="D5868" s="5" t="s">
        <v>24698</v>
      </c>
      <c r="E5868" s="5" t="s">
        <v>24699</v>
      </c>
      <c r="F5868" s="5" t="str">
        <f>HYPERLINK("http://www.aziendagricolamarioportolano.it/","www.aziendagricolamarioportolano.it")</f>
        <v>www.aziendagricolamarioportolano.it</v>
      </c>
    </row>
    <row r="5869" spans="1:6" ht="43.05" customHeight="1" x14ac:dyDescent="0.25">
      <c r="A5869" s="1" t="s">
        <v>24720</v>
      </c>
      <c r="B5869" s="7" t="s">
        <v>24721</v>
      </c>
      <c r="C5869" s="7" t="s">
        <v>24722</v>
      </c>
      <c r="D5869" s="7" t="s">
        <v>24723</v>
      </c>
      <c r="E5869" s="7" t="s">
        <v>24724</v>
      </c>
      <c r="F5869" s="7" t="str">
        <f>HYPERLINK("http://www.cooperativalecamelie.it/","www.cooperativalecamelie.it")</f>
        <v>www.cooperativalecamelie.it</v>
      </c>
    </row>
    <row r="5870" spans="1:6" ht="29.55" customHeight="1" x14ac:dyDescent="0.25">
      <c r="A5870" s="1" t="s">
        <v>24725</v>
      </c>
      <c r="B5870" s="7" t="s">
        <v>24726</v>
      </c>
      <c r="C5870" s="7" t="s">
        <v>24727</v>
      </c>
      <c r="D5870" s="7" t="s">
        <v>24728</v>
      </c>
      <c r="E5870" s="7" t="s">
        <v>24729</v>
      </c>
      <c r="F5870" s="7" t="str">
        <f>HYPERLINK("http://www.hempfarmitalia.com/","www.hempfarmitalia.com")</f>
        <v>www.hempfarmitalia.com</v>
      </c>
    </row>
    <row r="5871" spans="1:6" ht="29.55" customHeight="1" x14ac:dyDescent="0.25">
      <c r="A5871" s="6" t="s">
        <v>24730</v>
      </c>
      <c r="B5871" s="5" t="s">
        <v>24731</v>
      </c>
      <c r="C5871" s="5" t="s">
        <v>24732</v>
      </c>
      <c r="D5871" s="5" t="s">
        <v>24733</v>
      </c>
      <c r="E5871" s="5" t="s">
        <v>24734</v>
      </c>
      <c r="F5871" s="5" t="str">
        <f>HYPERLINK("http://www.acgriglieria.it/","www.acgriglieria.it")</f>
        <v>www.acgriglieria.it</v>
      </c>
    </row>
    <row r="5872" spans="1:6" ht="55.65" customHeight="1" x14ac:dyDescent="0.25">
      <c r="A5872" s="1" t="s">
        <v>24735</v>
      </c>
      <c r="B5872" s="7" t="s">
        <v>24736</v>
      </c>
      <c r="C5872" s="7" t="s">
        <v>24737</v>
      </c>
      <c r="D5872" s="7" t="s">
        <v>24738</v>
      </c>
      <c r="E5872" s="7" t="s">
        <v>24739</v>
      </c>
      <c r="F5872" s="7" t="str">
        <f>HYPERLINK("http://www.villameleto.org/","www.villameleto.org")</f>
        <v>www.villameleto.org</v>
      </c>
    </row>
    <row r="5873" spans="1:6" ht="29.55" customHeight="1" x14ac:dyDescent="0.25">
      <c r="A5873" s="6" t="s">
        <v>24746</v>
      </c>
      <c r="B5873" s="5" t="s">
        <v>24747</v>
      </c>
      <c r="C5873" s="5" t="s">
        <v>24745</v>
      </c>
      <c r="D5873" s="5" t="s">
        <v>24743</v>
      </c>
      <c r="E5873" s="5" t="s">
        <v>24744</v>
      </c>
      <c r="F5873" s="5" t="str">
        <f>HYPERLINK("http://www.alpaca.it/","www.alpaca.it")</f>
        <v>www.alpaca.it</v>
      </c>
    </row>
    <row r="5874" spans="1:6" ht="29.55" customHeight="1" x14ac:dyDescent="0.25">
      <c r="A5874" s="1" t="s">
        <v>24748</v>
      </c>
      <c r="B5874" s="7" t="s">
        <v>24749</v>
      </c>
      <c r="C5874" s="7" t="s">
        <v>24750</v>
      </c>
      <c r="D5874" s="7" t="s">
        <v>24751</v>
      </c>
      <c r="E5874" s="7" t="s">
        <v>24740</v>
      </c>
      <c r="F5874" s="7" t="str">
        <f>HYPERLINK("http://www.agrisnack.it/","www.agrisnack.it")</f>
        <v>www.agrisnack.it</v>
      </c>
    </row>
    <row r="5875" spans="1:6" ht="16.95" customHeight="1" x14ac:dyDescent="0.25">
      <c r="A5875" s="6" t="s">
        <v>24752</v>
      </c>
      <c r="B5875" s="5" t="s">
        <v>24753</v>
      </c>
      <c r="C5875" s="5" t="s">
        <v>24754</v>
      </c>
      <c r="D5875" s="5" t="s">
        <v>24743</v>
      </c>
      <c r="E5875" s="5" t="s">
        <v>24744</v>
      </c>
      <c r="F5875" s="5" t="str">
        <f>HYPERLINK("http://www.leterrediporeta.it/","www.leterrediporeta.it")</f>
        <v>www.leterrediporeta.it</v>
      </c>
    </row>
    <row r="5876" spans="1:6" ht="68.099999999999994" customHeight="1" x14ac:dyDescent="0.25">
      <c r="A5876" s="6" t="s">
        <v>24755</v>
      </c>
      <c r="B5876" s="5" t="s">
        <v>24756</v>
      </c>
      <c r="C5876" s="5" t="s">
        <v>24757</v>
      </c>
      <c r="D5876" s="5" t="s">
        <v>24741</v>
      </c>
      <c r="E5876" s="5" t="s">
        <v>24742</v>
      </c>
      <c r="F5876" s="5" t="str">
        <f>HYPERLINK("http://www.cantinedecanto.it/","www.cantinedecanto.it")</f>
        <v>www.cantinedecanto.it</v>
      </c>
    </row>
    <row r="5877" spans="1:6" ht="29.55" customHeight="1" x14ac:dyDescent="0.25">
      <c r="A5877" s="1" t="s">
        <v>24761</v>
      </c>
      <c r="B5877" s="7" t="s">
        <v>24762</v>
      </c>
      <c r="C5877" s="7" t="s">
        <v>24763</v>
      </c>
      <c r="D5877" s="7" t="s">
        <v>24759</v>
      </c>
      <c r="E5877" s="7" t="s">
        <v>24760</v>
      </c>
      <c r="F5877" s="7" t="str">
        <f>HYPERLINK("http://www.maecoarl.com/","www.maecoarl.com")</f>
        <v>www.maecoarl.com</v>
      </c>
    </row>
    <row r="5878" spans="1:6" ht="29.55" customHeight="1" x14ac:dyDescent="0.25">
      <c r="A5878" s="1" t="s">
        <v>24765</v>
      </c>
      <c r="B5878" s="7" t="s">
        <v>24766</v>
      </c>
      <c r="C5878" s="7" t="s">
        <v>24758</v>
      </c>
      <c r="D5878" s="7" t="s">
        <v>24767</v>
      </c>
      <c r="E5878" s="7" t="s">
        <v>24764</v>
      </c>
      <c r="F5878" s="7" t="str">
        <f>HYPERLINK("http://aziendabelmoro.com/","aziendabelmoro.com")</f>
        <v>aziendabelmoro.com</v>
      </c>
    </row>
    <row r="5879" spans="1:6" ht="29.55" customHeight="1" x14ac:dyDescent="0.25">
      <c r="A5879" s="1" t="s">
        <v>24775</v>
      </c>
      <c r="B5879" s="7" t="s">
        <v>24776</v>
      </c>
      <c r="C5879" s="7" t="s">
        <v>24770</v>
      </c>
      <c r="D5879" s="7" t="s">
        <v>24777</v>
      </c>
      <c r="E5879" s="7" t="s">
        <v>24774</v>
      </c>
      <c r="F5879" s="7" t="str">
        <f>HYPERLINK("http://www.affrescoaltaqualita.it/","www.affrescoaltaqualita.it")</f>
        <v>www.affrescoaltaqualita.it</v>
      </c>
    </row>
    <row r="5880" spans="1:6" ht="29.55" customHeight="1" x14ac:dyDescent="0.25">
      <c r="A5880" s="1" t="s">
        <v>24778</v>
      </c>
      <c r="B5880" s="7" t="s">
        <v>24779</v>
      </c>
      <c r="C5880" s="7" t="s">
        <v>24768</v>
      </c>
      <c r="D5880" s="7" t="s">
        <v>24780</v>
      </c>
      <c r="E5880" s="7" t="s">
        <v>24769</v>
      </c>
      <c r="F5880" s="7" t="str">
        <f>HYPERLINK("http://www.maisontonina.com/","www.maisontonina.com")</f>
        <v>www.maisontonina.com</v>
      </c>
    </row>
    <row r="5881" spans="1:6" ht="43.05" customHeight="1" x14ac:dyDescent="0.25">
      <c r="A5881" s="1" t="s">
        <v>24781</v>
      </c>
      <c r="B5881" s="7" t="s">
        <v>24782</v>
      </c>
      <c r="C5881" s="7" t="s">
        <v>24771</v>
      </c>
      <c r="D5881" s="7" t="s">
        <v>24772</v>
      </c>
      <c r="E5881" s="7" t="s">
        <v>24773</v>
      </c>
      <c r="F5881" s="7" t="str">
        <f>HYPERLINK("http://www.agriturismomaneggiomarche.it/","www.agriturismomaneggiomarche.it")</f>
        <v>www.agriturismomaneggiomarche.it</v>
      </c>
    </row>
    <row r="5882" spans="1:6" ht="29.55" customHeight="1" x14ac:dyDescent="0.25">
      <c r="A5882" s="6" t="s">
        <v>24786</v>
      </c>
      <c r="B5882" s="5" t="s">
        <v>24787</v>
      </c>
      <c r="C5882" s="5" t="s">
        <v>24788</v>
      </c>
      <c r="D5882" s="5" t="s">
        <v>24789</v>
      </c>
      <c r="E5882" s="5" t="s">
        <v>24790</v>
      </c>
      <c r="F5882" s="5" t="str">
        <f>HYPERLINK("http://www.agrofarmaweb.it/","www.agrofarmaweb.it")</f>
        <v>www.agrofarmaweb.it</v>
      </c>
    </row>
    <row r="5883" spans="1:6" ht="29.55" customHeight="1" x14ac:dyDescent="0.25">
      <c r="A5883" s="6" t="s">
        <v>24793</v>
      </c>
      <c r="B5883" s="5" t="s">
        <v>24794</v>
      </c>
      <c r="C5883" s="5" t="s">
        <v>24795</v>
      </c>
      <c r="D5883" s="5" t="s">
        <v>24796</v>
      </c>
      <c r="E5883" s="5" t="s">
        <v>24797</v>
      </c>
      <c r="F5883" s="5" t="str">
        <f>HYPERLINK("http://agricolabagnara.it/","agricolabagnara.it")</f>
        <v>agricolabagnara.it</v>
      </c>
    </row>
    <row r="5884" spans="1:6" ht="16.95" customHeight="1" x14ac:dyDescent="0.25">
      <c r="A5884" s="1" t="s">
        <v>24798</v>
      </c>
      <c r="B5884" s="7" t="s">
        <v>24799</v>
      </c>
      <c r="C5884" s="7" t="s">
        <v>24783</v>
      </c>
      <c r="D5884" s="7" t="s">
        <v>24800</v>
      </c>
      <c r="E5884" s="7" t="s">
        <v>24801</v>
      </c>
      <c r="F5884" s="7" t="str">
        <f>HYPERLINK("http://tenuta-torre-gaia.hotelpreferito.top/","tenuta-torre-gaia.hotelpreferito.top")</f>
        <v>tenuta-torre-gaia.hotelpreferito.top</v>
      </c>
    </row>
    <row r="5885" spans="1:6" ht="43.05" customHeight="1" x14ac:dyDescent="0.25">
      <c r="A5885" s="6" t="s">
        <v>24802</v>
      </c>
      <c r="B5885" s="5" t="s">
        <v>24803</v>
      </c>
      <c r="C5885" s="5" t="s">
        <v>24785</v>
      </c>
      <c r="D5885" s="5" t="s">
        <v>24791</v>
      </c>
      <c r="E5885" s="5" t="s">
        <v>24792</v>
      </c>
      <c r="F5885" s="5" t="str">
        <f>HYPERLINK("http://collinesoavi.it/","collinesoavi.it")</f>
        <v>collinesoavi.it</v>
      </c>
    </row>
    <row r="5886" spans="1:6" ht="29.55" customHeight="1" x14ac:dyDescent="0.25">
      <c r="A5886" s="1" t="s">
        <v>24804</v>
      </c>
      <c r="B5886" s="7" t="s">
        <v>24805</v>
      </c>
      <c r="C5886" s="7" t="s">
        <v>24784</v>
      </c>
      <c r="D5886" s="7" t="s">
        <v>24806</v>
      </c>
      <c r="E5886" s="7" t="s">
        <v>24807</v>
      </c>
      <c r="F5886" s="7" t="str">
        <f>HYPERLINK("http://www.pepolino.it/","www.pepolino.it")</f>
        <v>www.pepolino.it</v>
      </c>
    </row>
    <row r="5887" spans="1:6" ht="29.55" customHeight="1" x14ac:dyDescent="0.25">
      <c r="A5887" s="1" t="s">
        <v>24808</v>
      </c>
      <c r="B5887" s="7" t="s">
        <v>24809</v>
      </c>
      <c r="C5887" s="7" t="s">
        <v>24810</v>
      </c>
      <c r="D5887" s="7" t="s">
        <v>24811</v>
      </c>
      <c r="E5887" s="7" t="s">
        <v>24812</v>
      </c>
      <c r="F5887" s="7" t="str">
        <f>HYPERLINK("http://www.san-bernardino.it/","www.san-bernardino.it")</f>
        <v>www.san-bernardino.it</v>
      </c>
    </row>
    <row r="5888" spans="1:6" ht="43.05" customHeight="1" x14ac:dyDescent="0.25">
      <c r="A5888" s="6" t="s">
        <v>24816</v>
      </c>
      <c r="B5888" s="5" t="s">
        <v>24817</v>
      </c>
      <c r="C5888" s="5" t="s">
        <v>24815</v>
      </c>
      <c r="D5888" s="5" t="s">
        <v>24813</v>
      </c>
      <c r="E5888" s="5" t="s">
        <v>24814</v>
      </c>
      <c r="F5888" s="5" t="str">
        <f>HYPERLINK("http://www.gliagricoltorideltirreno.it/","www.gliagricoltorideltirreno.it")</f>
        <v>www.gliagricoltorideltirreno.it</v>
      </c>
    </row>
    <row r="5889" spans="1:6" ht="29.55" customHeight="1" x14ac:dyDescent="0.25">
      <c r="A5889" s="1" t="s">
        <v>24819</v>
      </c>
      <c r="B5889" s="7" t="s">
        <v>24820</v>
      </c>
      <c r="C5889" s="7" t="s">
        <v>24821</v>
      </c>
      <c r="D5889" s="7" t="s">
        <v>24822</v>
      </c>
      <c r="E5889" s="7" t="s">
        <v>24818</v>
      </c>
      <c r="F5889" s="7" t="str">
        <f>HYPERLINK("http://milazzoaziendaagricola.it/","milazzoaziendaagricola.it")</f>
        <v>milazzoaziendaagricola.it</v>
      </c>
    </row>
    <row r="5890" spans="1:6" ht="29.55" customHeight="1" x14ac:dyDescent="0.25">
      <c r="A5890" s="1" t="s">
        <v>24827</v>
      </c>
      <c r="B5890" s="7" t="s">
        <v>24828</v>
      </c>
      <c r="C5890" s="7" t="s">
        <v>24823</v>
      </c>
      <c r="D5890" s="7" t="s">
        <v>24824</v>
      </c>
      <c r="E5890" s="7" t="s">
        <v>24825</v>
      </c>
      <c r="F5890" s="7" t="str">
        <f>HYPERLINK("http://www.casalfinocchito.it/","www.casalfinocchito.it")</f>
        <v>www.casalfinocchito.it</v>
      </c>
    </row>
    <row r="5891" spans="1:6" ht="16.95" customHeight="1" x14ac:dyDescent="0.25">
      <c r="A5891" s="1" t="s">
        <v>24829</v>
      </c>
      <c r="B5891" s="7" t="s">
        <v>24830</v>
      </c>
      <c r="C5891" s="7" t="s">
        <v>24823</v>
      </c>
      <c r="D5891" s="7" t="s">
        <v>24831</v>
      </c>
      <c r="E5891" s="7" t="s">
        <v>24826</v>
      </c>
      <c r="F5891" s="7" t="str">
        <f>HYPERLINK("http://www.villaeldanepi.com/","www.villaeldanepi.com")</f>
        <v>www.villaeldanepi.com</v>
      </c>
    </row>
    <row r="5892" spans="1:6" ht="43.05" customHeight="1" x14ac:dyDescent="0.25">
      <c r="A5892" s="6" t="s">
        <v>24832</v>
      </c>
      <c r="B5892" s="5" t="s">
        <v>24833</v>
      </c>
      <c r="C5892" s="5" t="s">
        <v>24834</v>
      </c>
      <c r="D5892" s="5" t="s">
        <v>24822</v>
      </c>
      <c r="E5892" s="5" t="s">
        <v>24818</v>
      </c>
      <c r="F5892" s="5" t="str">
        <f>HYPERLINK("http://isolai.it/","isolai.it")</f>
        <v>isolai.it</v>
      </c>
    </row>
    <row r="5893" spans="1:6" ht="29.55" customHeight="1" x14ac:dyDescent="0.25">
      <c r="A5893" s="1" t="s">
        <v>24835</v>
      </c>
      <c r="B5893" s="7" t="s">
        <v>24836</v>
      </c>
      <c r="C5893" s="7" t="s">
        <v>24823</v>
      </c>
      <c r="D5893" s="7" t="s">
        <v>24837</v>
      </c>
      <c r="E5893" s="7" t="s">
        <v>24838</v>
      </c>
      <c r="F5893" s="7" t="str">
        <f>HYPERLINK("http://www.coop-uliveti.it/","www.coop-uliveti.it")</f>
        <v>www.coop-uliveti.it</v>
      </c>
    </row>
    <row r="5894" spans="1:6" ht="29.55" customHeight="1" x14ac:dyDescent="0.25">
      <c r="A5894" s="1" t="s">
        <v>24846</v>
      </c>
      <c r="B5894" s="7" t="s">
        <v>24847</v>
      </c>
      <c r="C5894" s="7" t="s">
        <v>24845</v>
      </c>
      <c r="D5894" s="7" t="s">
        <v>24848</v>
      </c>
      <c r="E5894" s="7" t="s">
        <v>24842</v>
      </c>
      <c r="F5894" s="7" t="str">
        <f>HYPERLINK("http://korafai-giardinaggio.business.site/","korafai-giardinaggio.business.site/")</f>
        <v>korafai-giardinaggio.business.site/</v>
      </c>
    </row>
    <row r="5895" spans="1:6" ht="29.55" customHeight="1" x14ac:dyDescent="0.25">
      <c r="A5895" s="1" t="s">
        <v>24849</v>
      </c>
      <c r="B5895" s="7" t="s">
        <v>24850</v>
      </c>
      <c r="C5895" s="7" t="s">
        <v>24844</v>
      </c>
      <c r="D5895" s="7" t="s">
        <v>24843</v>
      </c>
      <c r="E5895" s="7" t="s">
        <v>24841</v>
      </c>
      <c r="F5895" s="7" t="str">
        <f>HYPERLINK("http://www.caffetraina.it/","www.caffetraina.it")</f>
        <v>www.caffetraina.it</v>
      </c>
    </row>
    <row r="5896" spans="1:6" ht="29.55" customHeight="1" x14ac:dyDescent="0.25">
      <c r="A5896" s="1" t="s">
        <v>24851</v>
      </c>
      <c r="B5896" s="7" t="s">
        <v>24852</v>
      </c>
      <c r="C5896" s="7" t="s">
        <v>24839</v>
      </c>
      <c r="D5896" s="7" t="s">
        <v>24853</v>
      </c>
      <c r="E5896" s="7" t="s">
        <v>24840</v>
      </c>
      <c r="F5896" s="7" t="str">
        <f>HYPERLINK("http://www.agricolasabina.it/","www.agricolasabina.it")</f>
        <v>www.agricolasabina.it</v>
      </c>
    </row>
    <row r="5897" spans="1:6" ht="68.099999999999994" customHeight="1" x14ac:dyDescent="0.25">
      <c r="A5897" s="6" t="s">
        <v>24855</v>
      </c>
      <c r="B5897" s="5" t="s">
        <v>24856</v>
      </c>
      <c r="C5897" s="5" t="s">
        <v>24857</v>
      </c>
      <c r="D5897" s="5" t="s">
        <v>24858</v>
      </c>
      <c r="E5897" s="5" t="s">
        <v>24854</v>
      </c>
      <c r="F5897" s="5" t="str">
        <f>HYPERLINK("http://www.aprutinopescarese.com/","www.aprutinopescarese.com")</f>
        <v>www.aprutinopescarese.com</v>
      </c>
    </row>
    <row r="5898" spans="1:6" ht="16.95" customHeight="1" x14ac:dyDescent="0.25">
      <c r="A5898" s="1" t="s">
        <v>24863</v>
      </c>
      <c r="B5898" s="7" t="s">
        <v>24864</v>
      </c>
      <c r="C5898" s="7" t="s">
        <v>24859</v>
      </c>
      <c r="D5898" s="7" t="s">
        <v>24861</v>
      </c>
      <c r="E5898" s="7" t="s">
        <v>24860</v>
      </c>
      <c r="F5898" s="7" t="str">
        <f>HYPERLINK("http://www.materolea.it/","www.materolea.it")</f>
        <v>www.materolea.it</v>
      </c>
    </row>
    <row r="5899" spans="1:6" ht="29.55" customHeight="1" x14ac:dyDescent="0.25">
      <c r="A5899" s="6" t="s">
        <v>24865</v>
      </c>
      <c r="B5899" s="5" t="s">
        <v>24866</v>
      </c>
      <c r="C5899" s="5" t="s">
        <v>24862</v>
      </c>
      <c r="D5899" s="5" t="s">
        <v>24867</v>
      </c>
      <c r="E5899" s="5" t="s">
        <v>24868</v>
      </c>
      <c r="F5899" s="5" t="str">
        <f>HYPERLINK("http://www.poggioajano.it/","www.poggioajano.it")</f>
        <v>www.poggioajano.it</v>
      </c>
    </row>
    <row r="5900" spans="1:6" ht="29.55" customHeight="1" x14ac:dyDescent="0.25">
      <c r="A5900" s="1" t="s">
        <v>24869</v>
      </c>
      <c r="B5900" s="7" t="s">
        <v>24870</v>
      </c>
      <c r="C5900" s="7" t="s">
        <v>24871</v>
      </c>
      <c r="D5900" s="7" t="s">
        <v>24872</v>
      </c>
      <c r="E5900" s="7" t="s">
        <v>24873</v>
      </c>
      <c r="F5900" s="7" t="str">
        <f>HYPERLINK("http://www.lalunabona.it/","www.lalunabona.it")</f>
        <v>www.lalunabona.it</v>
      </c>
    </row>
    <row r="5901" spans="1:6" ht="16.95" customHeight="1" x14ac:dyDescent="0.25">
      <c r="A5901" s="1" t="s">
        <v>24877</v>
      </c>
      <c r="B5901" s="7" t="s">
        <v>24878</v>
      </c>
      <c r="C5901" s="7" t="s">
        <v>24876</v>
      </c>
      <c r="D5901" s="7" t="s">
        <v>24879</v>
      </c>
      <c r="E5901" s="7" t="s">
        <v>24880</v>
      </c>
      <c r="F5901" s="7" t="str">
        <f>HYPERLINK("http://www.ilpecoraro.it/","www.ilpecoraro.it")</f>
        <v>www.ilpecoraro.it</v>
      </c>
    </row>
    <row r="5902" spans="1:6" ht="43.05" customHeight="1" x14ac:dyDescent="0.25">
      <c r="A5902" s="6" t="s">
        <v>24882</v>
      </c>
      <c r="B5902" s="5" t="s">
        <v>24883</v>
      </c>
      <c r="C5902" s="5" t="s">
        <v>24884</v>
      </c>
      <c r="D5902" s="5" t="s">
        <v>24885</v>
      </c>
      <c r="E5902" s="5" t="s">
        <v>24881</v>
      </c>
      <c r="F5902" s="5" t="str">
        <f>HYPERLINK("http://www.cliviodegliulivi.it/","www.cliviodegliulivi.it")</f>
        <v>www.cliviodegliulivi.it</v>
      </c>
    </row>
    <row r="5903" spans="1:6" ht="29.55" customHeight="1" x14ac:dyDescent="0.25">
      <c r="A5903" s="1" t="s">
        <v>24886</v>
      </c>
      <c r="B5903" s="7" t="s">
        <v>24887</v>
      </c>
      <c r="C5903" s="7" t="s">
        <v>24876</v>
      </c>
      <c r="D5903" s="7" t="s">
        <v>24874</v>
      </c>
      <c r="E5903" s="7" t="s">
        <v>24875</v>
      </c>
      <c r="F5903" s="7" t="str">
        <f>HYPERLINK("http://www.castellodicorcolle.com/","www.castellodicorcolle.com")</f>
        <v>www.castellodicorcolle.com</v>
      </c>
    </row>
    <row r="5904" spans="1:6" ht="43.05" customHeight="1" x14ac:dyDescent="0.25">
      <c r="A5904" s="6" t="s">
        <v>24890</v>
      </c>
      <c r="B5904" s="5" t="s">
        <v>24891</v>
      </c>
      <c r="C5904" s="5" t="s">
        <v>24892</v>
      </c>
      <c r="D5904" s="5" t="s">
        <v>24893</v>
      </c>
      <c r="E5904" s="5" t="s">
        <v>24894</v>
      </c>
      <c r="F5904" s="5" t="str">
        <f>HYPERLINK("http://cantinescuderi.com/","cantinescuderi.com")</f>
        <v>cantinescuderi.com</v>
      </c>
    </row>
    <row r="5905" spans="1:6" ht="55.65" customHeight="1" x14ac:dyDescent="0.25">
      <c r="A5905" s="1" t="s">
        <v>24895</v>
      </c>
      <c r="B5905" s="7" t="s">
        <v>24896</v>
      </c>
      <c r="C5905" s="7" t="s">
        <v>24888</v>
      </c>
      <c r="D5905" s="7" t="s">
        <v>24897</v>
      </c>
      <c r="E5905" s="7" t="s">
        <v>24898</v>
      </c>
      <c r="F5905" s="7" t="str">
        <f>HYPERLINK("http://www.aziendaagricolacaadpuntirol.it/","www.aziendaagricolacaadpuntirol.it")</f>
        <v>www.aziendaagricolacaadpuntirol.it</v>
      </c>
    </row>
    <row r="5906" spans="1:6" ht="29.55" customHeight="1" x14ac:dyDescent="0.25">
      <c r="A5906" s="6" t="s">
        <v>24900</v>
      </c>
      <c r="B5906" s="5" t="s">
        <v>24901</v>
      </c>
      <c r="C5906" s="5" t="s">
        <v>24892</v>
      </c>
      <c r="D5906" s="5" t="s">
        <v>24902</v>
      </c>
      <c r="E5906" s="5" t="s">
        <v>24903</v>
      </c>
      <c r="F5906" s="5" t="str">
        <f>HYPERLINK("http://melarosasibillini.com/","melarosasibillini.com")</f>
        <v>melarosasibillini.com</v>
      </c>
    </row>
    <row r="5907" spans="1:6" ht="29.55" customHeight="1" x14ac:dyDescent="0.25">
      <c r="A5907" s="6" t="s">
        <v>24904</v>
      </c>
      <c r="B5907" s="5" t="s">
        <v>24905</v>
      </c>
      <c r="C5907" s="5" t="s">
        <v>24899</v>
      </c>
      <c r="D5907" s="5" t="s">
        <v>24906</v>
      </c>
      <c r="E5907" s="5" t="s">
        <v>24889</v>
      </c>
      <c r="F5907" s="5" t="str">
        <f>HYPERLINK("http://calabriaaoc.it/","calabriaaoc.it")</f>
        <v>calabriaaoc.it</v>
      </c>
    </row>
    <row r="5908" spans="1:6" ht="29.55" customHeight="1" x14ac:dyDescent="0.25">
      <c r="A5908" s="6" t="s">
        <v>24909</v>
      </c>
      <c r="B5908" s="5" t="s">
        <v>24910</v>
      </c>
      <c r="C5908" s="5" t="s">
        <v>24908</v>
      </c>
      <c r="D5908" s="5" t="s">
        <v>24911</v>
      </c>
      <c r="E5908" s="5" t="s">
        <v>24907</v>
      </c>
      <c r="F5908" s="5" t="str">
        <f>HYPERLINK("http://www.tenutaborgia.it/","www.tenutaborgia.it")</f>
        <v>www.tenutaborgia.it</v>
      </c>
    </row>
    <row r="5909" spans="1:6" ht="29.55" customHeight="1" x14ac:dyDescent="0.25">
      <c r="A5909" s="1" t="s">
        <v>24912</v>
      </c>
      <c r="B5909" s="7" t="s">
        <v>24913</v>
      </c>
      <c r="C5909" s="7" t="s">
        <v>24908</v>
      </c>
      <c r="D5909" s="7" t="s">
        <v>24914</v>
      </c>
      <c r="E5909" s="7" t="s">
        <v>24915</v>
      </c>
      <c r="F5909" s="7" t="str">
        <f>HYPERLINK("http://www.600grotte.it/","www.600grotte.it")</f>
        <v>www.600grotte.it</v>
      </c>
    </row>
    <row r="5910" spans="1:6" ht="43.05" customHeight="1" x14ac:dyDescent="0.25">
      <c r="A5910" s="1" t="s">
        <v>24920</v>
      </c>
      <c r="B5910" s="7" t="s">
        <v>24921</v>
      </c>
      <c r="C5910" s="7" t="s">
        <v>24919</v>
      </c>
      <c r="D5910" s="7" t="s">
        <v>24917</v>
      </c>
      <c r="E5910" s="7" t="s">
        <v>24916</v>
      </c>
      <c r="F5910" s="7" t="str">
        <f>HYPERLINK("http://www.villaggiodemetra.it/","www.villaggiodemetra.it")</f>
        <v>www.villaggiodemetra.it</v>
      </c>
    </row>
    <row r="5911" spans="1:6" ht="29.55" customHeight="1" x14ac:dyDescent="0.25">
      <c r="A5911" s="1" t="s">
        <v>24922</v>
      </c>
      <c r="B5911" s="7" t="s">
        <v>24923</v>
      </c>
      <c r="C5911" s="7" t="s">
        <v>24924</v>
      </c>
      <c r="D5911" s="7" t="s">
        <v>24918</v>
      </c>
      <c r="E5911" s="7" t="s">
        <v>24916</v>
      </c>
      <c r="F5911" s="7" t="str">
        <f>HYPERLINK("http://www.moniliadelcasale.com/","www.moniliadelcasale.com")</f>
        <v>www.moniliadelcasale.com</v>
      </c>
    </row>
    <row r="5912" spans="1:6" ht="29.55" customHeight="1" x14ac:dyDescent="0.25">
      <c r="A5912" s="1" t="s">
        <v>24925</v>
      </c>
      <c r="B5912" s="7" t="s">
        <v>24926</v>
      </c>
      <c r="C5912" s="7" t="s">
        <v>24927</v>
      </c>
      <c r="D5912" s="7" t="s">
        <v>24928</v>
      </c>
      <c r="E5912" s="7" t="s">
        <v>24929</v>
      </c>
      <c r="F5912" s="7" t="str">
        <f>HYPERLINK("http://www.tenuta-pantano.it/","www.tenuta-pantano.it")</f>
        <v>www.tenuta-pantano.it</v>
      </c>
    </row>
    <row r="5913" spans="1:6" ht="29.55" customHeight="1" x14ac:dyDescent="0.25">
      <c r="A5913" s="6" t="s">
        <v>24933</v>
      </c>
      <c r="B5913" s="5" t="s">
        <v>24934</v>
      </c>
      <c r="C5913" s="5" t="s">
        <v>24935</v>
      </c>
      <c r="D5913" s="5" t="s">
        <v>24936</v>
      </c>
      <c r="E5913" s="5" t="s">
        <v>24937</v>
      </c>
      <c r="F5913" s="5" t="str">
        <f>HYPERLINK("http://www.laroccadimontalbino.it/","www.laroccadimontalbino.it")</f>
        <v>www.laroccadimontalbino.it</v>
      </c>
    </row>
    <row r="5914" spans="1:6" ht="29.55" customHeight="1" x14ac:dyDescent="0.25">
      <c r="A5914" s="6" t="s">
        <v>24939</v>
      </c>
      <c r="B5914" s="5" t="s">
        <v>24940</v>
      </c>
      <c r="C5914" s="5" t="s">
        <v>24931</v>
      </c>
      <c r="D5914" s="5" t="s">
        <v>24932</v>
      </c>
      <c r="E5914" s="5" t="s">
        <v>24930</v>
      </c>
      <c r="F5914" s="5" t="str">
        <f>HYPERLINK("http://www.saimsrl.it/","www.saimsrl.it")</f>
        <v>www.saimsrl.it</v>
      </c>
    </row>
    <row r="5915" spans="1:6" ht="29.55" customHeight="1" x14ac:dyDescent="0.25">
      <c r="A5915" s="6" t="s">
        <v>24941</v>
      </c>
      <c r="B5915" s="5" t="s">
        <v>24942</v>
      </c>
      <c r="C5915" s="5" t="s">
        <v>24943</v>
      </c>
      <c r="D5915" s="5" t="s">
        <v>24944</v>
      </c>
      <c r="E5915" s="5" t="s">
        <v>24945</v>
      </c>
      <c r="F5915" s="5" t="str">
        <f>HYPERLINK("http://www.aloeislife.it/","www.aloeislife.it")</f>
        <v>www.aloeislife.it</v>
      </c>
    </row>
    <row r="5916" spans="1:6" ht="43.05" customHeight="1" x14ac:dyDescent="0.25">
      <c r="A5916" s="6" t="s">
        <v>24946</v>
      </c>
      <c r="B5916" s="5" t="s">
        <v>24947</v>
      </c>
      <c r="C5916" s="5" t="s">
        <v>24938</v>
      </c>
      <c r="D5916" s="5" t="s">
        <v>24948</v>
      </c>
      <c r="E5916" s="5" t="s">
        <v>24949</v>
      </c>
      <c r="F5916" s="5" t="str">
        <f>HYPERLINK("http://l-asinergia-societa-cooperativa-sociale-01439710052.quantofattura.com/","l-asinergia-societa-cooperativa-sociale-01439710052.quantofattura.com")</f>
        <v>l-asinergia-societa-cooperativa-sociale-01439710052.quantofattura.com</v>
      </c>
    </row>
    <row r="5917" spans="1:6" ht="16.95" customHeight="1" x14ac:dyDescent="0.25">
      <c r="A5917" s="6" t="s">
        <v>24954</v>
      </c>
      <c r="B5917" s="5" t="s">
        <v>24955</v>
      </c>
      <c r="C5917" s="5" t="s">
        <v>24956</v>
      </c>
      <c r="D5917" s="5" t="s">
        <v>24957</v>
      </c>
      <c r="E5917" s="5" t="s">
        <v>24951</v>
      </c>
      <c r="F5917" s="5" t="str">
        <f>HYPERLINK("http://www.facebook.it/agriturismolocustione","www.facebook.it/agriturismolocustione")</f>
        <v>www.facebook.it/agriturismolocustione</v>
      </c>
    </row>
    <row r="5918" spans="1:6" ht="29.55" customHeight="1" x14ac:dyDescent="0.25">
      <c r="A5918" s="1" t="s">
        <v>24962</v>
      </c>
      <c r="B5918" s="7" t="s">
        <v>24963</v>
      </c>
      <c r="C5918" s="7" t="s">
        <v>24958</v>
      </c>
      <c r="D5918" s="7" t="s">
        <v>24952</v>
      </c>
      <c r="E5918" s="7" t="s">
        <v>24952</v>
      </c>
      <c r="F5918" s="7" t="str">
        <f>HYPERLINK("http://www.agriturismosatella.it/","www.agriturismosatella.it")</f>
        <v>www.agriturismosatella.it</v>
      </c>
    </row>
    <row r="5919" spans="1:6" ht="29.55" customHeight="1" x14ac:dyDescent="0.25">
      <c r="A5919" s="6" t="s">
        <v>24964</v>
      </c>
      <c r="B5919" s="5" t="s">
        <v>24965</v>
      </c>
      <c r="C5919" s="5" t="s">
        <v>24961</v>
      </c>
      <c r="D5919" s="5" t="s">
        <v>24966</v>
      </c>
      <c r="E5919" s="5" t="s">
        <v>24960</v>
      </c>
      <c r="F5919" s="5" t="str">
        <f>HYPERLINK("http://www.pintoformaggi.it/","www.pintoformaggi.it")</f>
        <v>www.pintoformaggi.it</v>
      </c>
    </row>
    <row r="5920" spans="1:6" ht="29.55" customHeight="1" x14ac:dyDescent="0.25">
      <c r="A5920" s="1" t="s">
        <v>24967</v>
      </c>
      <c r="B5920" s="7" t="s">
        <v>24968</v>
      </c>
      <c r="C5920" s="7" t="s">
        <v>24969</v>
      </c>
      <c r="D5920" s="7" t="s">
        <v>24970</v>
      </c>
      <c r="E5920" s="7" t="s">
        <v>24953</v>
      </c>
      <c r="F5920" s="7" t="str">
        <f>HYPERLINK("http://www.uspiritu.it/","www.uspiritu.it")</f>
        <v>www.uspiritu.it</v>
      </c>
    </row>
    <row r="5921" spans="1:6" ht="16.95" customHeight="1" x14ac:dyDescent="0.25">
      <c r="A5921" s="6" t="s">
        <v>24971</v>
      </c>
      <c r="B5921" s="5" t="s">
        <v>24972</v>
      </c>
      <c r="C5921" s="5" t="s">
        <v>24973</v>
      </c>
      <c r="D5921" s="5" t="s">
        <v>24974</v>
      </c>
      <c r="E5921" s="5" t="s">
        <v>24960</v>
      </c>
      <c r="F5921" s="5" t="str">
        <f>HYPERLINK("http://www.miccosrl.com/","www.miccosrl.com")</f>
        <v>www.miccosrl.com</v>
      </c>
    </row>
    <row r="5922" spans="1:6" ht="16.95" customHeight="1" x14ac:dyDescent="0.25">
      <c r="A5922" s="1" t="s">
        <v>24975</v>
      </c>
      <c r="B5922" s="7" t="s">
        <v>24976</v>
      </c>
      <c r="C5922" s="7" t="s">
        <v>24977</v>
      </c>
      <c r="D5922" s="7" t="s">
        <v>24978</v>
      </c>
      <c r="E5922" s="7" t="s">
        <v>24950</v>
      </c>
      <c r="F5922" s="7" t="str">
        <f>HYPERLINK("http://www.lacimetta.it/","www.lacimetta.it")</f>
        <v>www.lacimetta.it</v>
      </c>
    </row>
    <row r="5923" spans="1:6" ht="16.95" customHeight="1" x14ac:dyDescent="0.25">
      <c r="A5923" s="6" t="s">
        <v>24979</v>
      </c>
      <c r="B5923" s="5" t="s">
        <v>24980</v>
      </c>
      <c r="C5923" s="5" t="s">
        <v>24959</v>
      </c>
      <c r="D5923" s="5" t="s">
        <v>24981</v>
      </c>
      <c r="E5923" s="5" t="s">
        <v>24982</v>
      </c>
      <c r="F5923" s="5" t="str">
        <f>HYPERLINK("http://www.lageminador.com/","www.lageminador.com")</f>
        <v>www.lageminador.com</v>
      </c>
    </row>
    <row r="5924" spans="1:6" ht="29.55" customHeight="1" x14ac:dyDescent="0.25">
      <c r="A5924" s="1" t="s">
        <v>24983</v>
      </c>
      <c r="B5924" s="7" t="s">
        <v>24984</v>
      </c>
      <c r="C5924" s="7" t="s">
        <v>24985</v>
      </c>
      <c r="D5924" s="7" t="s">
        <v>24986</v>
      </c>
      <c r="E5924" s="7" t="s">
        <v>24953</v>
      </c>
      <c r="F5924" s="7" t="str">
        <f>HYPERLINK("http://www.centrobabyadrano.it/","www.centrobabyadrano.it")</f>
        <v>www.centrobabyadrano.it</v>
      </c>
    </row>
    <row r="5925" spans="1:6" ht="43.05" customHeight="1" x14ac:dyDescent="0.25">
      <c r="A5925" s="6" t="s">
        <v>24987</v>
      </c>
      <c r="B5925" s="5" t="s">
        <v>24988</v>
      </c>
      <c r="C5925" s="5" t="s">
        <v>24989</v>
      </c>
      <c r="D5925" s="5" t="s">
        <v>24990</v>
      </c>
      <c r="E5925" s="5" t="s">
        <v>24991</v>
      </c>
      <c r="F5925" s="5" t="str">
        <f>HYPERLINK("http://www.monferratoresort.com/","www.monferratoresort.com")</f>
        <v>www.monferratoresort.com</v>
      </c>
    </row>
    <row r="5926" spans="1:6" ht="29.55" customHeight="1" x14ac:dyDescent="0.25">
      <c r="A5926" s="1" t="s">
        <v>24993</v>
      </c>
      <c r="B5926" s="7" t="s">
        <v>24994</v>
      </c>
      <c r="C5926" s="7" t="s">
        <v>24995</v>
      </c>
      <c r="D5926" s="7" t="s">
        <v>24996</v>
      </c>
      <c r="E5926" s="7" t="s">
        <v>24992</v>
      </c>
      <c r="F5926" s="7" t="str">
        <f>HYPERLINK("http://www.lecesebio.com/","www.lecesebio.com")</f>
        <v>www.lecesebio.com</v>
      </c>
    </row>
    <row r="5927" spans="1:6" ht="16.95" customHeight="1" x14ac:dyDescent="0.25">
      <c r="A5927" s="6" t="s">
        <v>24997</v>
      </c>
      <c r="B5927" s="5" t="s">
        <v>24998</v>
      </c>
      <c r="C5927" s="5" t="s">
        <v>24999</v>
      </c>
      <c r="D5927" s="5" t="s">
        <v>25000</v>
      </c>
      <c r="E5927" s="5" t="s">
        <v>25001</v>
      </c>
      <c r="F5927" s="5" t="str">
        <f>HYPERLINK("http://www.tridentepantalica.com/","www.tridentepantalica.com")</f>
        <v>www.tridentepantalica.com</v>
      </c>
    </row>
    <row r="5928" spans="1:6" ht="29.55" customHeight="1" x14ac:dyDescent="0.25">
      <c r="A5928" s="1" t="s">
        <v>25002</v>
      </c>
      <c r="B5928" s="7" t="s">
        <v>25003</v>
      </c>
      <c r="C5928" s="7" t="s">
        <v>25004</v>
      </c>
      <c r="D5928" s="7" t="s">
        <v>25005</v>
      </c>
      <c r="E5928" s="7" t="s">
        <v>25006</v>
      </c>
      <c r="F5928" s="7" t="str">
        <f>HYPERLINK("http://www.roloagricola.it/","www.roloagricola.it")</f>
        <v>www.roloagricola.it</v>
      </c>
    </row>
    <row r="5929" spans="1:6" ht="81.75" customHeight="1" x14ac:dyDescent="0.25">
      <c r="A5929" s="1" t="s">
        <v>25007</v>
      </c>
      <c r="B5929" s="7" t="s">
        <v>25008</v>
      </c>
      <c r="C5929" s="7" t="s">
        <v>25009</v>
      </c>
      <c r="D5929" s="7" t="s">
        <v>25010</v>
      </c>
      <c r="E5929" s="7" t="s">
        <v>25011</v>
      </c>
      <c r="F5929" s="7" t="str">
        <f>HYPERLINK("http://www.consorziodam.com/","www.consorziodam.com")</f>
        <v>www.consorziodam.com</v>
      </c>
    </row>
    <row r="5930" spans="1:6" ht="29.55" customHeight="1" x14ac:dyDescent="0.25">
      <c r="A5930" s="1" t="s">
        <v>25012</v>
      </c>
      <c r="B5930" s="7" t="s">
        <v>25013</v>
      </c>
      <c r="C5930" s="7" t="s">
        <v>25014</v>
      </c>
      <c r="D5930" s="7" t="s">
        <v>25015</v>
      </c>
      <c r="E5930" s="7" t="s">
        <v>25016</v>
      </c>
      <c r="F5930" s="7" t="str">
        <f>HYPERLINK("http://fratellidachino.it/","fratellidachino.it")</f>
        <v>fratellidachino.it</v>
      </c>
    </row>
    <row r="5931" spans="1:6" ht="29.55" customHeight="1" x14ac:dyDescent="0.25">
      <c r="A5931" s="6" t="s">
        <v>25018</v>
      </c>
      <c r="B5931" s="5" t="s">
        <v>25019</v>
      </c>
      <c r="C5931" s="5" t="s">
        <v>25020</v>
      </c>
      <c r="D5931" s="5" t="s">
        <v>25021</v>
      </c>
      <c r="E5931" s="5" t="s">
        <v>25022</v>
      </c>
      <c r="F5931" s="5" t="str">
        <f>HYPERLINK("http://www.scatedda.it/","www.scatedda.it")</f>
        <v>www.scatedda.it</v>
      </c>
    </row>
    <row r="5932" spans="1:6" ht="29.55" customHeight="1" x14ac:dyDescent="0.25">
      <c r="A5932" s="6" t="s">
        <v>25024</v>
      </c>
      <c r="B5932" s="5" t="s">
        <v>25025</v>
      </c>
      <c r="C5932" s="5" t="s">
        <v>25026</v>
      </c>
      <c r="D5932" s="5" t="s">
        <v>25027</v>
      </c>
      <c r="E5932" s="5" t="s">
        <v>25028</v>
      </c>
      <c r="F5932" s="5" t="str">
        <f>HYPERLINK("http://palazzodigeta.com/","palazzodigeta.com")</f>
        <v>palazzodigeta.com</v>
      </c>
    </row>
    <row r="5933" spans="1:6" ht="29.55" customHeight="1" x14ac:dyDescent="0.25">
      <c r="A5933" s="1" t="s">
        <v>25029</v>
      </c>
      <c r="B5933" s="7" t="s">
        <v>25030</v>
      </c>
      <c r="C5933" s="7" t="s">
        <v>25031</v>
      </c>
      <c r="D5933" s="7" t="s">
        <v>25032</v>
      </c>
      <c r="E5933" s="7" t="s">
        <v>25033</v>
      </c>
      <c r="F5933" s="7" t="str">
        <f>HYPERLINK("http://www.agriturismolecime.com/","www.agriturismolecime.com")</f>
        <v>www.agriturismolecime.com</v>
      </c>
    </row>
    <row r="5934" spans="1:6" ht="29.55" customHeight="1" x14ac:dyDescent="0.25">
      <c r="A5934" s="1" t="s">
        <v>25035</v>
      </c>
      <c r="B5934" s="7" t="s">
        <v>25036</v>
      </c>
      <c r="C5934" s="7" t="s">
        <v>25037</v>
      </c>
      <c r="D5934" s="7" t="s">
        <v>25038</v>
      </c>
      <c r="E5934" s="7" t="s">
        <v>25022</v>
      </c>
      <c r="F5934" s="7" t="str">
        <f>HYPERLINK("http://m.facebook.com/pelletteriamenale/","m.facebook.com/pelletteriamenale/")</f>
        <v>m.facebook.com/pelletteriamenale/</v>
      </c>
    </row>
    <row r="5935" spans="1:6" ht="29.55" customHeight="1" x14ac:dyDescent="0.25">
      <c r="A5935" s="6" t="s">
        <v>25039</v>
      </c>
      <c r="B5935" s="5" t="s">
        <v>25040</v>
      </c>
      <c r="C5935" s="5" t="s">
        <v>25034</v>
      </c>
      <c r="D5935" s="5" t="s">
        <v>25041</v>
      </c>
      <c r="E5935" s="5" t="s">
        <v>25022</v>
      </c>
      <c r="F5935" s="5" t="str">
        <f>HYPERLINK("http://www.colledeiprincipi.it/","www.colledeiprincipi.it")</f>
        <v>www.colledeiprincipi.it</v>
      </c>
    </row>
    <row r="5936" spans="1:6" ht="29.55" customHeight="1" x14ac:dyDescent="0.25">
      <c r="A5936" s="1" t="s">
        <v>25042</v>
      </c>
      <c r="B5936" s="7" t="s">
        <v>25043</v>
      </c>
      <c r="C5936" s="7" t="s">
        <v>25023</v>
      </c>
      <c r="D5936" s="7" t="s">
        <v>25044</v>
      </c>
      <c r="E5936" s="7" t="s">
        <v>25017</v>
      </c>
      <c r="F5936" s="7" t="str">
        <f>HYPERLINK("http://www.terreditusa.it/","www.terreditusa.it")</f>
        <v>www.terreditusa.it</v>
      </c>
    </row>
    <row r="5937" spans="1:6" ht="43.05" customHeight="1" x14ac:dyDescent="0.25">
      <c r="A5937" s="1" t="s">
        <v>25046</v>
      </c>
      <c r="B5937" s="7" t="s">
        <v>25047</v>
      </c>
      <c r="C5937" s="7" t="s">
        <v>25048</v>
      </c>
      <c r="D5937" s="7" t="s">
        <v>25049</v>
      </c>
      <c r="E5937" s="7" t="s">
        <v>25045</v>
      </c>
      <c r="F5937" s="7" t="str">
        <f>HYPERLINK("http://www.speciosafons.com/","www.speciosafons.com")</f>
        <v>www.speciosafons.com</v>
      </c>
    </row>
    <row r="5938" spans="1:6" ht="16.95" customHeight="1" x14ac:dyDescent="0.25">
      <c r="A5938" s="6" t="s">
        <v>25055</v>
      </c>
      <c r="B5938" s="5" t="s">
        <v>25056</v>
      </c>
      <c r="C5938" s="5" t="s">
        <v>25054</v>
      </c>
      <c r="D5938" s="5" t="s">
        <v>25057</v>
      </c>
      <c r="E5938" s="5" t="s">
        <v>25058</v>
      </c>
      <c r="F5938" s="5" t="str">
        <f>HYPERLINK("http://www.asinadalatte.it/","www.asinadalatte.it")</f>
        <v>www.asinadalatte.it</v>
      </c>
    </row>
    <row r="5939" spans="1:6" ht="16.95" customHeight="1" x14ac:dyDescent="0.25">
      <c r="A5939" s="1" t="s">
        <v>25059</v>
      </c>
      <c r="B5939" s="7" t="s">
        <v>25060</v>
      </c>
      <c r="C5939" s="7" t="s">
        <v>25051</v>
      </c>
      <c r="D5939" s="7" t="s">
        <v>25061</v>
      </c>
      <c r="E5939" s="7" t="s">
        <v>25062</v>
      </c>
      <c r="F5939" s="7" t="str">
        <f>HYPERLINK("http://www.bioagriturismovojon.com/","www.bioagriturismovojon.com")</f>
        <v>www.bioagriturismovojon.com</v>
      </c>
    </row>
    <row r="5940" spans="1:6" ht="29.55" customHeight="1" x14ac:dyDescent="0.25">
      <c r="A5940" s="6" t="s">
        <v>25063</v>
      </c>
      <c r="B5940" s="5" t="s">
        <v>25064</v>
      </c>
      <c r="C5940" s="5" t="s">
        <v>25052</v>
      </c>
      <c r="D5940" s="5" t="s">
        <v>25065</v>
      </c>
      <c r="E5940" s="5" t="s">
        <v>25053</v>
      </c>
      <c r="F5940" s="5" t="str">
        <f>HYPERLINK("http://www.agricolamascio.it/","www.agricolamascio.it")</f>
        <v>www.agricolamascio.it</v>
      </c>
    </row>
    <row r="5941" spans="1:6" ht="43.05" customHeight="1" x14ac:dyDescent="0.25">
      <c r="A5941" s="1" t="s">
        <v>25066</v>
      </c>
      <c r="B5941" s="7" t="s">
        <v>25067</v>
      </c>
      <c r="C5941" s="7" t="s">
        <v>25068</v>
      </c>
      <c r="D5941" s="7" t="s">
        <v>25069</v>
      </c>
      <c r="E5941" s="7" t="s">
        <v>25050</v>
      </c>
      <c r="F5941" s="7" t="str">
        <f>HYPERLINK("http://www.leperledelpolesine.it/","www.leperledelpolesine.it")</f>
        <v>www.leperledelpolesine.it</v>
      </c>
    </row>
    <row r="5942" spans="1:6" ht="16.95" customHeight="1" x14ac:dyDescent="0.25">
      <c r="A5942" s="1" t="s">
        <v>25073</v>
      </c>
      <c r="B5942" s="7" t="s">
        <v>25074</v>
      </c>
      <c r="C5942" s="7" t="s">
        <v>25075</v>
      </c>
      <c r="D5942" s="7" t="s">
        <v>25076</v>
      </c>
      <c r="E5942" s="7" t="s">
        <v>25070</v>
      </c>
      <c r="F5942" s="7" t="str">
        <f>HYPERLINK("http://www.ciatoscanacentro.it/","www.ciatoscanacentro.it")</f>
        <v>www.ciatoscanacentro.it</v>
      </c>
    </row>
    <row r="5943" spans="1:6" ht="29.55" customHeight="1" x14ac:dyDescent="0.25">
      <c r="A5943" s="1" t="s">
        <v>25082</v>
      </c>
      <c r="B5943" s="7" t="s">
        <v>25083</v>
      </c>
      <c r="C5943" s="7" t="s">
        <v>25071</v>
      </c>
      <c r="D5943" s="7" t="s">
        <v>25084</v>
      </c>
      <c r="E5943" s="7" t="s">
        <v>25072</v>
      </c>
      <c r="F5943" s="7" t="str">
        <f>HYPERLINK("http://www.eugeonia.it/","www.eugeonia.it")</f>
        <v>www.eugeonia.it</v>
      </c>
    </row>
    <row r="5944" spans="1:6" ht="29.55" customHeight="1" x14ac:dyDescent="0.25">
      <c r="A5944" s="1" t="s">
        <v>25085</v>
      </c>
      <c r="B5944" s="7" t="s">
        <v>25086</v>
      </c>
      <c r="C5944" s="7" t="s">
        <v>25087</v>
      </c>
      <c r="D5944" s="7" t="s">
        <v>25088</v>
      </c>
      <c r="E5944" s="7" t="s">
        <v>25089</v>
      </c>
      <c r="F5944" s="7" t="str">
        <f>HYPERLINK("http://www.zappagianlucasocietaagricola.com/","www.zappagianlucasocietaagricola.com")</f>
        <v>www.zappagianlucasocietaagricola.com</v>
      </c>
    </row>
    <row r="5945" spans="1:6" ht="29.55" customHeight="1" x14ac:dyDescent="0.25">
      <c r="A5945" s="1" t="s">
        <v>25090</v>
      </c>
      <c r="B5945" s="7" t="s">
        <v>25091</v>
      </c>
      <c r="C5945" s="7" t="s">
        <v>25087</v>
      </c>
      <c r="D5945" s="7" t="s">
        <v>25080</v>
      </c>
      <c r="E5945" s="7" t="s">
        <v>25077</v>
      </c>
      <c r="F5945" s="7" t="str">
        <f>HYPERLINK("http://www.tenutasantaritacalabria.it/","www.tenutasantaritacalabria.it")</f>
        <v>www.tenutasantaritacalabria.it</v>
      </c>
    </row>
    <row r="5946" spans="1:6" ht="29.55" customHeight="1" x14ac:dyDescent="0.25">
      <c r="A5946" s="6" t="s">
        <v>25092</v>
      </c>
      <c r="B5946" s="5" t="s">
        <v>25093</v>
      </c>
      <c r="C5946" s="5" t="s">
        <v>25081</v>
      </c>
      <c r="D5946" s="5" t="s">
        <v>25078</v>
      </c>
      <c r="E5946" s="5" t="s">
        <v>25079</v>
      </c>
      <c r="F5946" s="5" t="str">
        <f>HYPERLINK("http://www.ivignetidelletna.it/","www.ivignetidelletna.it")</f>
        <v>www.ivignetidelletna.it</v>
      </c>
    </row>
    <row r="5947" spans="1:6" ht="43.05" customHeight="1" x14ac:dyDescent="0.25">
      <c r="A5947" s="6" t="s">
        <v>25094</v>
      </c>
      <c r="B5947" s="5" t="s">
        <v>25095</v>
      </c>
      <c r="C5947" s="5" t="s">
        <v>25071</v>
      </c>
      <c r="D5947" s="5" t="s">
        <v>25084</v>
      </c>
      <c r="E5947" s="5" t="s">
        <v>25072</v>
      </c>
      <c r="F5947" s="5" t="str">
        <f>HYPERLINK("http://www.ilcorsieroeuropeo.com/","www.ilcorsieroeuropeo.com")</f>
        <v>www.ilcorsieroeuropeo.com</v>
      </c>
    </row>
    <row r="5948" spans="1:6" ht="43.05" customHeight="1" x14ac:dyDescent="0.25">
      <c r="A5948" s="1" t="s">
        <v>25096</v>
      </c>
      <c r="B5948" s="7" t="s">
        <v>25097</v>
      </c>
      <c r="C5948" s="7" t="s">
        <v>25098</v>
      </c>
      <c r="D5948" s="7" t="s">
        <v>25099</v>
      </c>
      <c r="E5948" s="7" t="s">
        <v>25100</v>
      </c>
      <c r="F5948" s="7" t="str">
        <f>HYPERLINK("http://www.agricolagiuntabosca.it/","www.agricolagiuntabosca.it")</f>
        <v>www.agricolagiuntabosca.it</v>
      </c>
    </row>
    <row r="5949" spans="1:6" ht="55.65" customHeight="1" x14ac:dyDescent="0.25">
      <c r="A5949" s="6" t="s">
        <v>25102</v>
      </c>
      <c r="B5949" s="5" t="s">
        <v>25103</v>
      </c>
      <c r="C5949" s="5" t="s">
        <v>25104</v>
      </c>
      <c r="D5949" s="5" t="s">
        <v>25105</v>
      </c>
      <c r="E5949" s="5" t="s">
        <v>25101</v>
      </c>
      <c r="F5949" s="5" t="str">
        <f>HYPERLINK("http://www.lify.it/","www.lify.it")</f>
        <v>www.lify.it</v>
      </c>
    </row>
    <row r="5950" spans="1:6" ht="29.55" customHeight="1" x14ac:dyDescent="0.25">
      <c r="A5950" s="6" t="s">
        <v>25111</v>
      </c>
      <c r="B5950" s="5" t="s">
        <v>25112</v>
      </c>
      <c r="C5950" s="5" t="s">
        <v>25113</v>
      </c>
      <c r="D5950" s="5" t="s">
        <v>25109</v>
      </c>
      <c r="E5950" s="5" t="s">
        <v>25108</v>
      </c>
      <c r="F5950" s="5" t="str">
        <f>HYPERLINK("http://www.terravivabio.it/","www.terravivabio.it")</f>
        <v>www.terravivabio.it</v>
      </c>
    </row>
    <row r="5951" spans="1:6" ht="43.05" customHeight="1" x14ac:dyDescent="0.25">
      <c r="A5951" s="1" t="s">
        <v>25114</v>
      </c>
      <c r="B5951" s="7" t="s">
        <v>25115</v>
      </c>
      <c r="C5951" s="7" t="s">
        <v>25110</v>
      </c>
      <c r="D5951" s="7" t="s">
        <v>25106</v>
      </c>
      <c r="E5951" s="7" t="s">
        <v>25107</v>
      </c>
      <c r="F5951" s="7" t="str">
        <f>HYPERLINK("http://www.golfparcodiroma.it/","www.golfparcodiroma.it")</f>
        <v>www.golfparcodiroma.it</v>
      </c>
    </row>
    <row r="5952" spans="1:6" ht="29.55" customHeight="1" x14ac:dyDescent="0.25">
      <c r="A5952" s="1" t="s">
        <v>25117</v>
      </c>
      <c r="B5952" s="7" t="s">
        <v>25118</v>
      </c>
      <c r="C5952" s="7" t="s">
        <v>25116</v>
      </c>
      <c r="D5952" s="7" t="s">
        <v>25119</v>
      </c>
      <c r="E5952" s="7" t="s">
        <v>25120</v>
      </c>
      <c r="F5952" s="7" t="str">
        <f>HYPERLINK("http://businesscenter.easyacademy.it/dove-siamo/centro-congressi-7gold/","businesscenter.easyacademy.it/dove-siamo/centro-congressi-7gold/")</f>
        <v>businesscenter.easyacademy.it/dove-siamo/centro-congressi-7gold/</v>
      </c>
    </row>
    <row r="5953" spans="1:6" ht="43.05" customHeight="1" x14ac:dyDescent="0.25">
      <c r="A5953" s="6" t="s">
        <v>25123</v>
      </c>
      <c r="B5953" s="5" t="s">
        <v>25124</v>
      </c>
      <c r="C5953" s="5" t="s">
        <v>25125</v>
      </c>
      <c r="D5953" s="5" t="s">
        <v>25126</v>
      </c>
      <c r="E5953" s="5" t="s">
        <v>25127</v>
      </c>
      <c r="F5953" s="5" t="str">
        <f>HYPERLINK("http://www.lacanaperiaitaliana.com/","www.lacanaperiaitaliana.com")</f>
        <v>www.lacanaperiaitaliana.com</v>
      </c>
    </row>
    <row r="5954" spans="1:6" ht="29.55" customHeight="1" x14ac:dyDescent="0.25">
      <c r="A5954" s="1" t="s">
        <v>25128</v>
      </c>
      <c r="B5954" s="7" t="s">
        <v>25129</v>
      </c>
      <c r="C5954" s="7" t="s">
        <v>25121</v>
      </c>
      <c r="D5954" s="7" t="s">
        <v>25130</v>
      </c>
      <c r="E5954" s="7" t="s">
        <v>25122</v>
      </c>
      <c r="F5954" s="7" t="str">
        <f>HYPERLINK("http://tenutemeoni.it/","tenutemeoni.it")</f>
        <v>tenutemeoni.it</v>
      </c>
    </row>
    <row r="5955" spans="1:6" ht="29.55" customHeight="1" x14ac:dyDescent="0.25">
      <c r="A5955" s="1" t="s">
        <v>25132</v>
      </c>
      <c r="B5955" s="7" t="s">
        <v>25133</v>
      </c>
      <c r="C5955" s="7" t="s">
        <v>25134</v>
      </c>
      <c r="D5955" s="7" t="s">
        <v>25135</v>
      </c>
      <c r="E5955" s="7" t="s">
        <v>25136</v>
      </c>
      <c r="F5955" s="7" t="str">
        <f>HYPERLINK("http://florcalabra-srls-03648700783.quantofattura.com/","florcalabra-srls-03648700783.quantofattura.com")</f>
        <v>florcalabra-srls-03648700783.quantofattura.com</v>
      </c>
    </row>
    <row r="5956" spans="1:6" ht="29.55" customHeight="1" x14ac:dyDescent="0.25">
      <c r="A5956" s="6" t="s">
        <v>25137</v>
      </c>
      <c r="B5956" s="5" t="s">
        <v>25138</v>
      </c>
      <c r="C5956" s="5" t="s">
        <v>25139</v>
      </c>
      <c r="D5956" s="5" t="s">
        <v>25140</v>
      </c>
      <c r="E5956" s="5" t="s">
        <v>25141</v>
      </c>
      <c r="F5956" s="5" t="str">
        <f>HYPERLINK("http://www.poggioadiacciano.it/","www.poggioadiacciano.it")</f>
        <v>www.poggioadiacciano.it</v>
      </c>
    </row>
    <row r="5957" spans="1:6" ht="29.55" customHeight="1" x14ac:dyDescent="0.25">
      <c r="A5957" s="1" t="s">
        <v>25142</v>
      </c>
      <c r="B5957" s="7" t="s">
        <v>25143</v>
      </c>
      <c r="C5957" s="7" t="s">
        <v>25144</v>
      </c>
      <c r="D5957" s="7" t="s">
        <v>25145</v>
      </c>
      <c r="E5957" s="7" t="s">
        <v>25131</v>
      </c>
      <c r="F5957" s="7" t="str">
        <f>HYPERLINK("http://sombrino.it/","sombrino.it")</f>
        <v>sombrino.it</v>
      </c>
    </row>
    <row r="5958" spans="1:6" ht="43.05" customHeight="1" x14ac:dyDescent="0.25">
      <c r="A5958" s="1" t="s">
        <v>25147</v>
      </c>
      <c r="B5958" s="7" t="s">
        <v>25148</v>
      </c>
      <c r="C5958" s="7" t="s">
        <v>25149</v>
      </c>
      <c r="D5958" s="7" t="s">
        <v>25150</v>
      </c>
      <c r="E5958" s="7" t="s">
        <v>25146</v>
      </c>
      <c r="F5958" s="7" t="str">
        <f>HYPERLINK("http://carositerre.it/","carositerre.it")</f>
        <v>carositerre.it</v>
      </c>
    </row>
    <row r="5959" spans="1:6" ht="29.55" customHeight="1" x14ac:dyDescent="0.25">
      <c r="A5959" s="1" t="s">
        <v>25151</v>
      </c>
      <c r="B5959" s="7" t="s">
        <v>25152</v>
      </c>
      <c r="C5959" s="7" t="s">
        <v>25144</v>
      </c>
      <c r="D5959" s="7" t="s">
        <v>25153</v>
      </c>
      <c r="E5959" s="7" t="s">
        <v>25136</v>
      </c>
      <c r="F5959" s="7" t="str">
        <f>HYPERLINK("http://www.coopaspromonte.it/","www.coopaspromonte.it")</f>
        <v>www.coopaspromonte.it</v>
      </c>
    </row>
    <row r="5960" spans="1:6" ht="55.65" customHeight="1" x14ac:dyDescent="0.25">
      <c r="A5960" s="1" t="s">
        <v>25154</v>
      </c>
      <c r="B5960" s="7" t="s">
        <v>25155</v>
      </c>
      <c r="C5960" s="7" t="s">
        <v>25156</v>
      </c>
      <c r="D5960" s="7" t="s">
        <v>25157</v>
      </c>
      <c r="E5960" s="7" t="s">
        <v>25158</v>
      </c>
      <c r="F5960" s="7" t="str">
        <f>HYPERLINK("http://www.norcia-agricoop.it/","www.norcia-agricoop.it")</f>
        <v>www.norcia-agricoop.it</v>
      </c>
    </row>
    <row r="5961" spans="1:6" ht="16.95" customHeight="1" x14ac:dyDescent="0.25">
      <c r="A5961" s="1" t="s">
        <v>25161</v>
      </c>
      <c r="B5961" s="7" t="s">
        <v>25162</v>
      </c>
      <c r="C5961" s="7" t="s">
        <v>25163</v>
      </c>
      <c r="D5961" s="7" t="s">
        <v>25164</v>
      </c>
      <c r="E5961" s="7" t="s">
        <v>25165</v>
      </c>
      <c r="F5961" s="7" t="str">
        <f>HYPERLINK("http://tenutaforesta.com/","tenutaforesta.com")</f>
        <v>tenutaforesta.com</v>
      </c>
    </row>
    <row r="5962" spans="1:6" ht="29.55" customHeight="1" x14ac:dyDescent="0.25">
      <c r="A5962" s="1" t="s">
        <v>25169</v>
      </c>
      <c r="B5962" s="7" t="s">
        <v>25170</v>
      </c>
      <c r="C5962" s="7" t="s">
        <v>25171</v>
      </c>
      <c r="D5962" s="7" t="s">
        <v>25172</v>
      </c>
      <c r="E5962" s="7" t="s">
        <v>25166</v>
      </c>
      <c r="F5962" s="7" t="str">
        <f>HYPERLINK("http://le-ko.it/","le-ko.it")</f>
        <v>le-ko.it</v>
      </c>
    </row>
    <row r="5963" spans="1:6" ht="29.55" customHeight="1" x14ac:dyDescent="0.25">
      <c r="A5963" s="6" t="s">
        <v>25173</v>
      </c>
      <c r="B5963" s="5" t="s">
        <v>25174</v>
      </c>
      <c r="C5963" s="5" t="s">
        <v>25163</v>
      </c>
      <c r="D5963" s="5" t="s">
        <v>25175</v>
      </c>
      <c r="E5963" s="5" t="s">
        <v>25176</v>
      </c>
      <c r="F5963" s="5" t="str">
        <f>HYPERLINK("http://www.tenutemallus.it/","www.tenutemallus.it")</f>
        <v>www.tenutemallus.it</v>
      </c>
    </row>
    <row r="5964" spans="1:6" ht="43.05" customHeight="1" x14ac:dyDescent="0.25">
      <c r="A5964" s="1" t="s">
        <v>25177</v>
      </c>
      <c r="B5964" s="7" t="s">
        <v>25178</v>
      </c>
      <c r="C5964" s="7" t="s">
        <v>25179</v>
      </c>
      <c r="D5964" s="7" t="s">
        <v>25159</v>
      </c>
      <c r="E5964" s="7" t="s">
        <v>25160</v>
      </c>
      <c r="F5964" s="7" t="str">
        <f>HYPERLINK("http://promozione.cilentoediano.it/","promozione.cilentoediano.it")</f>
        <v>promozione.cilentoediano.it</v>
      </c>
    </row>
    <row r="5965" spans="1:6" ht="43.05" customHeight="1" x14ac:dyDescent="0.25">
      <c r="A5965" s="6" t="s">
        <v>25180</v>
      </c>
      <c r="B5965" s="5" t="s">
        <v>25181</v>
      </c>
      <c r="C5965" s="5" t="s">
        <v>25182</v>
      </c>
      <c r="D5965" s="5" t="s">
        <v>25183</v>
      </c>
      <c r="E5965" s="5" t="s">
        <v>25168</v>
      </c>
      <c r="F5965" s="5" t="str">
        <f>HYPERLINK("http://www.zaufanah.com/","www.zaufanah.com")</f>
        <v>www.zaufanah.com</v>
      </c>
    </row>
    <row r="5966" spans="1:6" ht="43.05" customHeight="1" x14ac:dyDescent="0.25">
      <c r="A5966" s="6" t="s">
        <v>25184</v>
      </c>
      <c r="B5966" s="5" t="s">
        <v>25185</v>
      </c>
      <c r="C5966" s="5" t="s">
        <v>25167</v>
      </c>
      <c r="D5966" s="5" t="s">
        <v>25186</v>
      </c>
      <c r="E5966" s="5" t="s">
        <v>25168</v>
      </c>
      <c r="F5966" s="5" t="str">
        <f>HYPERLINK("http://www.fattoriasanpio.it/","www.fattoriasanpio.it")</f>
        <v>www.fattoriasanpio.it</v>
      </c>
    </row>
    <row r="5967" spans="1:6" ht="29.55" customHeight="1" x14ac:dyDescent="0.25">
      <c r="A5967" s="6" t="s">
        <v>25192</v>
      </c>
      <c r="B5967" s="5" t="s">
        <v>25193</v>
      </c>
      <c r="C5967" s="5" t="s">
        <v>25194</v>
      </c>
      <c r="D5967" s="5" t="s">
        <v>25195</v>
      </c>
      <c r="E5967" s="5" t="s">
        <v>25196</v>
      </c>
      <c r="F5967" s="5" t="str">
        <f>HYPERLINK("http://aronia-naturalis.it/","aronia-naturalis.it")</f>
        <v>aronia-naturalis.it</v>
      </c>
    </row>
    <row r="5968" spans="1:6" ht="29.55" customHeight="1" x14ac:dyDescent="0.25">
      <c r="A5968" s="6" t="s">
        <v>25198</v>
      </c>
      <c r="B5968" s="5" t="s">
        <v>25199</v>
      </c>
      <c r="C5968" s="5" t="s">
        <v>25200</v>
      </c>
      <c r="D5968" s="5" t="s">
        <v>25201</v>
      </c>
      <c r="E5968" s="5" t="s">
        <v>25202</v>
      </c>
      <c r="F5968" s="5" t="str">
        <f>HYPERLINK("http://www.aziendaagricolameazzini.it/","www.aziendaagricolameazzini.it")</f>
        <v>www.aziendaagricolameazzini.it</v>
      </c>
    </row>
    <row r="5969" spans="1:6" ht="29.55" customHeight="1" x14ac:dyDescent="0.25">
      <c r="A5969" s="6" t="s">
        <v>25203</v>
      </c>
      <c r="B5969" s="5" t="s">
        <v>25204</v>
      </c>
      <c r="C5969" s="5" t="s">
        <v>25189</v>
      </c>
      <c r="D5969" s="5" t="s">
        <v>25205</v>
      </c>
      <c r="E5969" s="5" t="s">
        <v>25197</v>
      </c>
      <c r="F5969" s="5" t="str">
        <f>HYPERLINK("http://agri-sabatu.migliorhotel.top/","agri-sabatu.migliorhotel.top")</f>
        <v>agri-sabatu.migliorhotel.top</v>
      </c>
    </row>
    <row r="5970" spans="1:6" ht="68.099999999999994" customHeight="1" x14ac:dyDescent="0.25">
      <c r="A5970" s="1" t="s">
        <v>25206</v>
      </c>
      <c r="B5970" s="7" t="s">
        <v>25207</v>
      </c>
      <c r="C5970" s="7" t="s">
        <v>25200</v>
      </c>
      <c r="D5970" s="7" t="s">
        <v>25208</v>
      </c>
      <c r="E5970" s="7" t="s">
        <v>25196</v>
      </c>
      <c r="F5970" s="7" t="str">
        <f>HYPERLINK("http://www.areasciencepark.it/chi-siamo/la-foresteria-dormire-in-area/","www.areasciencepark.it/chi-siamo/la-foresteria-dormire-in-area/")</f>
        <v>www.areasciencepark.it/chi-siamo/la-foresteria-dormire-in-area/</v>
      </c>
    </row>
    <row r="5971" spans="1:6" ht="29.55" customHeight="1" x14ac:dyDescent="0.25">
      <c r="A5971" s="1" t="s">
        <v>25209</v>
      </c>
      <c r="B5971" s="7" t="s">
        <v>25210</v>
      </c>
      <c r="C5971" s="7" t="s">
        <v>25211</v>
      </c>
      <c r="D5971" s="7" t="s">
        <v>25201</v>
      </c>
      <c r="E5971" s="7" t="s">
        <v>25202</v>
      </c>
      <c r="F5971" s="7" t="str">
        <f>HYPERLINK("http://www.consorziovinomontescudaiodoc.it/","www.consorziovinomontescudaiodoc.it")</f>
        <v>www.consorziovinomontescudaiodoc.it</v>
      </c>
    </row>
    <row r="5972" spans="1:6" ht="55.65" customHeight="1" x14ac:dyDescent="0.25">
      <c r="A5972" s="1" t="s">
        <v>25212</v>
      </c>
      <c r="B5972" s="7" t="s">
        <v>25213</v>
      </c>
      <c r="C5972" s="7" t="s">
        <v>25194</v>
      </c>
      <c r="D5972" s="7" t="s">
        <v>25187</v>
      </c>
      <c r="E5972" s="7" t="s">
        <v>25188</v>
      </c>
      <c r="F5972" s="7" t="str">
        <f>HYPERLINK("http://www.tenutasanrocco.com/","www.tenutasanrocco.com")</f>
        <v>www.tenutasanrocco.com</v>
      </c>
    </row>
    <row r="5973" spans="1:6" ht="29.55" customHeight="1" x14ac:dyDescent="0.25">
      <c r="A5973" s="6" t="s">
        <v>25214</v>
      </c>
      <c r="B5973" s="5" t="s">
        <v>25215</v>
      </c>
      <c r="C5973" s="5" t="s">
        <v>25216</v>
      </c>
      <c r="D5973" s="5" t="s">
        <v>25190</v>
      </c>
      <c r="E5973" s="5" t="s">
        <v>25191</v>
      </c>
      <c r="F5973" s="5" t="str">
        <f>HYPERLINK("http://lumacheederivati.it/","lumacheederivati.it")</f>
        <v>lumacheederivati.it</v>
      </c>
    </row>
    <row r="5974" spans="1:6" ht="43.05" customHeight="1" x14ac:dyDescent="0.25">
      <c r="A5974" s="1" t="s">
        <v>25217</v>
      </c>
      <c r="B5974" s="7" t="s">
        <v>25218</v>
      </c>
      <c r="C5974" s="7" t="s">
        <v>25219</v>
      </c>
      <c r="D5974" s="7" t="s">
        <v>25220</v>
      </c>
      <c r="E5974" s="7" t="s">
        <v>25221</v>
      </c>
      <c r="F5974" s="7" t="str">
        <f>HYPERLINK("http://www.icalanchi.it/","www.icalanchi.it")</f>
        <v>www.icalanchi.it</v>
      </c>
    </row>
    <row r="5975" spans="1:6" ht="29.55" customHeight="1" x14ac:dyDescent="0.25">
      <c r="A5975" s="6" t="s">
        <v>25222</v>
      </c>
      <c r="B5975" s="5" t="s">
        <v>25223</v>
      </c>
      <c r="C5975" s="5" t="s">
        <v>25224</v>
      </c>
      <c r="D5975" s="5" t="s">
        <v>25225</v>
      </c>
      <c r="E5975" s="5" t="s">
        <v>25226</v>
      </c>
      <c r="F5975" s="5" t="s">
        <v>25227</v>
      </c>
    </row>
    <row r="5976" spans="1:6" ht="29.55" customHeight="1" x14ac:dyDescent="0.25">
      <c r="A5976" s="6" t="s">
        <v>25228</v>
      </c>
      <c r="B5976" s="5" t="s">
        <v>25229</v>
      </c>
      <c r="C5976" s="5" t="s">
        <v>25230</v>
      </c>
      <c r="D5976" s="5" t="s">
        <v>25231</v>
      </c>
      <c r="E5976" s="5" t="s">
        <v>25232</v>
      </c>
      <c r="F5976" s="5" t="str">
        <f>HYPERLINK("http://www.relimarchi.it/","www.relimarchi.it")</f>
        <v>www.relimarchi.it</v>
      </c>
    </row>
    <row r="5977" spans="1:6" ht="16.95" customHeight="1" x14ac:dyDescent="0.25">
      <c r="A5977" s="6" t="s">
        <v>25235</v>
      </c>
      <c r="B5977" s="5" t="s">
        <v>25236</v>
      </c>
      <c r="C5977" s="5" t="s">
        <v>25234</v>
      </c>
      <c r="D5977" s="5" t="s">
        <v>25237</v>
      </c>
      <c r="E5977" s="5" t="s">
        <v>25238</v>
      </c>
      <c r="F5977" s="5" t="str">
        <f>HYPERLINK("http://pdmilano.eu/","pdmilano.eu")</f>
        <v>pdmilano.eu</v>
      </c>
    </row>
    <row r="5978" spans="1:6" ht="43.05" customHeight="1" x14ac:dyDescent="0.25">
      <c r="A5978" s="1" t="s">
        <v>25239</v>
      </c>
      <c r="B5978" s="7" t="s">
        <v>25240</v>
      </c>
      <c r="C5978" s="7" t="s">
        <v>25233</v>
      </c>
      <c r="D5978" s="7" t="s">
        <v>25241</v>
      </c>
      <c r="E5978" s="7" t="s">
        <v>25232</v>
      </c>
      <c r="F5978" s="7" t="str">
        <f>HYPERLINK("http://filoverde.oneminutesite.it/","filoverde.oneminutesite.it")</f>
        <v>filoverde.oneminutesite.it</v>
      </c>
    </row>
    <row r="5979" spans="1:6" ht="29.55" customHeight="1" x14ac:dyDescent="0.25">
      <c r="A5979" s="6" t="s">
        <v>25242</v>
      </c>
      <c r="B5979" s="5" t="s">
        <v>25243</v>
      </c>
      <c r="C5979" s="5" t="s">
        <v>25233</v>
      </c>
      <c r="D5979" s="5" t="s">
        <v>25244</v>
      </c>
      <c r="E5979" s="5" t="s">
        <v>25226</v>
      </c>
      <c r="F5979" s="5" t="str">
        <f>HYPERLINK("http://coop-gifra.business.site/","coop-gifra.business.site")</f>
        <v>coop-gifra.business.site</v>
      </c>
    </row>
    <row r="5980" spans="1:6" ht="29.55" customHeight="1" x14ac:dyDescent="0.25">
      <c r="A5980" s="6" t="s">
        <v>25248</v>
      </c>
      <c r="B5980" s="5" t="s">
        <v>25249</v>
      </c>
      <c r="C5980" s="5" t="s">
        <v>25250</v>
      </c>
      <c r="D5980" s="5" t="s">
        <v>25251</v>
      </c>
      <c r="E5980" s="5" t="s">
        <v>25247</v>
      </c>
      <c r="F5980" s="5" t="str">
        <f>HYPERLINK("http://www.masseriadellestagioni.it/","www.masseriadellestagioni.it")</f>
        <v>www.masseriadellestagioni.it</v>
      </c>
    </row>
    <row r="5981" spans="1:6" ht="29.55" customHeight="1" x14ac:dyDescent="0.25">
      <c r="A5981" s="1" t="s">
        <v>25252</v>
      </c>
      <c r="B5981" s="7" t="s">
        <v>25253</v>
      </c>
      <c r="C5981" s="7" t="s">
        <v>25254</v>
      </c>
      <c r="D5981" s="7" t="s">
        <v>25255</v>
      </c>
      <c r="E5981" s="7" t="s">
        <v>25256</v>
      </c>
      <c r="F5981" s="7" t="str">
        <f>HYPERLINK("http://www.verdifattorie.com/","www.verdifattorie.com")</f>
        <v>www.verdifattorie.com</v>
      </c>
    </row>
    <row r="5982" spans="1:6" ht="16.95" customHeight="1" x14ac:dyDescent="0.25">
      <c r="A5982" s="6" t="s">
        <v>25257</v>
      </c>
      <c r="B5982" s="5" t="s">
        <v>25258</v>
      </c>
      <c r="C5982" s="5" t="s">
        <v>25250</v>
      </c>
      <c r="D5982" s="5" t="s">
        <v>25245</v>
      </c>
      <c r="E5982" s="5" t="s">
        <v>25246</v>
      </c>
      <c r="F5982" s="5" t="str">
        <f>HYPERLINK("http://casalemalatesta.com/","casalemalatesta.com")</f>
        <v>casalemalatesta.com</v>
      </c>
    </row>
    <row r="5983" spans="1:6" ht="29.55" customHeight="1" x14ac:dyDescent="0.25">
      <c r="A5983" s="6" t="s">
        <v>25260</v>
      </c>
      <c r="B5983" s="5" t="s">
        <v>25261</v>
      </c>
      <c r="C5983" s="5" t="s">
        <v>25262</v>
      </c>
      <c r="D5983" s="5" t="s">
        <v>25263</v>
      </c>
      <c r="E5983" s="5" t="s">
        <v>25259</v>
      </c>
      <c r="F5983" s="5" t="str">
        <f>HYPERLINK("http://www.lefattoriedellalchimia.it/","www.lefattoriedellalchimia.it")</f>
        <v>www.lefattoriedellalchimia.it</v>
      </c>
    </row>
    <row r="5984" spans="1:6" ht="43.05" customHeight="1" x14ac:dyDescent="0.25">
      <c r="A5984" s="6" t="s">
        <v>25265</v>
      </c>
      <c r="B5984" s="5" t="s">
        <v>25266</v>
      </c>
      <c r="C5984" s="5" t="s">
        <v>25267</v>
      </c>
      <c r="D5984" s="5" t="s">
        <v>25268</v>
      </c>
      <c r="E5984" s="5" t="s">
        <v>25269</v>
      </c>
      <c r="F5984" s="5" t="str">
        <f>HYPERLINK("http://www.serafinocrisef.it/","www.serafinocrisef.it")</f>
        <v>www.serafinocrisef.it</v>
      </c>
    </row>
    <row r="5985" spans="1:6" ht="43.05" customHeight="1" x14ac:dyDescent="0.25">
      <c r="A5985" s="6" t="s">
        <v>25270</v>
      </c>
      <c r="B5985" s="5" t="s">
        <v>25271</v>
      </c>
      <c r="C5985" s="5" t="s">
        <v>25264</v>
      </c>
      <c r="D5985" s="5" t="s">
        <v>25272</v>
      </c>
      <c r="E5985" s="5" t="s">
        <v>25273</v>
      </c>
      <c r="F5985" s="5" t="str">
        <f>HYPERLINK("http://www.colliamerini.it/","www.colliamerini.it")</f>
        <v>www.colliamerini.it</v>
      </c>
    </row>
    <row r="5986" spans="1:6" ht="29.55" customHeight="1" x14ac:dyDescent="0.25">
      <c r="A5986" s="1" t="s">
        <v>25276</v>
      </c>
      <c r="B5986" s="7" t="s">
        <v>25277</v>
      </c>
      <c r="C5986" s="7" t="s">
        <v>25278</v>
      </c>
      <c r="D5986" s="7" t="s">
        <v>25279</v>
      </c>
      <c r="E5986" s="7" t="s">
        <v>25280</v>
      </c>
      <c r="F5986" s="7" t="str">
        <f>HYPERLINK("http://www.pratocesarino.it/","http://www.pratocesarino.it")</f>
        <v>http://www.pratocesarino.it</v>
      </c>
    </row>
    <row r="5987" spans="1:6" ht="29.55" customHeight="1" x14ac:dyDescent="0.25">
      <c r="A5987" s="6" t="s">
        <v>25282</v>
      </c>
      <c r="B5987" s="5" t="s">
        <v>25283</v>
      </c>
      <c r="C5987" s="5" t="s">
        <v>25284</v>
      </c>
      <c r="D5987" s="5" t="s">
        <v>25285</v>
      </c>
      <c r="E5987" s="5" t="s">
        <v>25286</v>
      </c>
      <c r="F5987" s="5" t="str">
        <f>HYPERLINK("http://podere-umbro.com.es/","podere-umbro.com.es")</f>
        <v>podere-umbro.com.es</v>
      </c>
    </row>
    <row r="5988" spans="1:6" ht="16.95" customHeight="1" x14ac:dyDescent="0.25">
      <c r="A5988" s="1" t="s">
        <v>25287</v>
      </c>
      <c r="B5988" s="7" t="s">
        <v>25288</v>
      </c>
      <c r="C5988" s="7" t="s">
        <v>25289</v>
      </c>
      <c r="D5988" s="7" t="s">
        <v>25290</v>
      </c>
      <c r="E5988" s="7" t="s">
        <v>25291</v>
      </c>
      <c r="F5988" s="7" t="str">
        <f>HYPERLINK("http://www.ecobest.it/","www.ecobest.it")</f>
        <v>www.ecobest.it</v>
      </c>
    </row>
    <row r="5989" spans="1:6" ht="29.55" customHeight="1" x14ac:dyDescent="0.25">
      <c r="A5989" s="6" t="s">
        <v>25292</v>
      </c>
      <c r="B5989" s="5" t="s">
        <v>25293</v>
      </c>
      <c r="C5989" s="5" t="s">
        <v>25294</v>
      </c>
      <c r="D5989" s="5" t="s">
        <v>25279</v>
      </c>
      <c r="E5989" s="5" t="s">
        <v>25280</v>
      </c>
      <c r="F5989" s="5" t="str">
        <f>HYPERLINK("http://agricolli.bio/","agricolli.bio")</f>
        <v>agricolli.bio</v>
      </c>
    </row>
    <row r="5990" spans="1:6" ht="29.55" customHeight="1" x14ac:dyDescent="0.25">
      <c r="A5990" s="6" t="s">
        <v>25295</v>
      </c>
      <c r="B5990" s="5" t="s">
        <v>25296</v>
      </c>
      <c r="C5990" s="5" t="s">
        <v>25284</v>
      </c>
      <c r="D5990" s="5" t="s">
        <v>25274</v>
      </c>
      <c r="E5990" s="5" t="s">
        <v>25275</v>
      </c>
      <c r="F5990" s="5" t="str">
        <f>HYPERLINK("http://www.oliodoro.net/","www.oliodoro.net")</f>
        <v>www.oliodoro.net</v>
      </c>
    </row>
    <row r="5991" spans="1:6" ht="29.55" customHeight="1" x14ac:dyDescent="0.25">
      <c r="A5991" s="1" t="s">
        <v>25298</v>
      </c>
      <c r="B5991" s="7" t="s">
        <v>25299</v>
      </c>
      <c r="C5991" s="7" t="s">
        <v>25297</v>
      </c>
      <c r="D5991" s="7" t="s">
        <v>25300</v>
      </c>
      <c r="E5991" s="7" t="s">
        <v>25301</v>
      </c>
      <c r="F5991" s="7" t="str">
        <f>HYPERLINK("http://www.ardizzina.com/","www.ardizzina.com")</f>
        <v>www.ardizzina.com</v>
      </c>
    </row>
    <row r="5992" spans="1:6" ht="68.099999999999994" customHeight="1" x14ac:dyDescent="0.25">
      <c r="A5992" s="1" t="s">
        <v>25302</v>
      </c>
      <c r="B5992" s="7" t="s">
        <v>25303</v>
      </c>
      <c r="C5992" s="7" t="s">
        <v>25304</v>
      </c>
      <c r="D5992" s="7" t="s">
        <v>25281</v>
      </c>
      <c r="E5992" s="7" t="s">
        <v>25275</v>
      </c>
      <c r="F5992" s="7" t="str">
        <f>HYPERLINK("http://www.aziendaagricolaguella.com/","www.aziendaagricolaguella.com")</f>
        <v>www.aziendaagricolaguella.com</v>
      </c>
    </row>
    <row r="5993" spans="1:6" ht="29.55" customHeight="1" x14ac:dyDescent="0.25">
      <c r="A5993" s="1" t="s">
        <v>25309</v>
      </c>
      <c r="B5993" s="7" t="s">
        <v>25310</v>
      </c>
      <c r="C5993" s="7" t="s">
        <v>25306</v>
      </c>
      <c r="D5993" s="7" t="s">
        <v>25311</v>
      </c>
      <c r="E5993" s="7" t="s">
        <v>25307</v>
      </c>
      <c r="F5993" s="7" t="str">
        <f>HYPERLINK("http://azienda-agricola-birion.business.site/","azienda-agricola-birion.business.site")</f>
        <v>azienda-agricola-birion.business.site</v>
      </c>
    </row>
    <row r="5994" spans="1:6" ht="43.05" customHeight="1" x14ac:dyDescent="0.25">
      <c r="A5994" s="1" t="s">
        <v>25312</v>
      </c>
      <c r="B5994" s="7" t="s">
        <v>25313</v>
      </c>
      <c r="C5994" s="7" t="s">
        <v>25314</v>
      </c>
      <c r="D5994" s="7" t="s">
        <v>25315</v>
      </c>
      <c r="E5994" s="7" t="s">
        <v>25308</v>
      </c>
      <c r="F5994" s="7" t="str">
        <f>HYPERLINK("http://www.terredellamagnagrecia.com/","www.terredellamagnagrecia.com")</f>
        <v>www.terredellamagnagrecia.com</v>
      </c>
    </row>
    <row r="5995" spans="1:6" ht="29.55" customHeight="1" x14ac:dyDescent="0.25">
      <c r="A5995" s="6" t="s">
        <v>25316</v>
      </c>
      <c r="B5995" s="5" t="s">
        <v>25317</v>
      </c>
      <c r="C5995" s="5" t="s">
        <v>25305</v>
      </c>
      <c r="D5995" s="5" t="s">
        <v>25318</v>
      </c>
      <c r="E5995" s="5" t="s">
        <v>25319</v>
      </c>
      <c r="F5995" s="5" t="str">
        <f>HYPERLINK("http://www.confagricoltura.it/","www.confagricoltura.it")</f>
        <v>www.confagricoltura.it</v>
      </c>
    </row>
    <row r="5996" spans="1:6" ht="29.55" customHeight="1" x14ac:dyDescent="0.25">
      <c r="A5996" s="6" t="s">
        <v>25321</v>
      </c>
      <c r="B5996" s="5" t="s">
        <v>25322</v>
      </c>
      <c r="C5996" s="5" t="s">
        <v>25323</v>
      </c>
      <c r="D5996" s="5" t="s">
        <v>25324</v>
      </c>
      <c r="E5996" s="5" t="s">
        <v>25320</v>
      </c>
      <c r="F5996" s="5" t="str">
        <f>HYPERLINK("http://www.cofircalabria.com/","www.cofircalabria.com")</f>
        <v>www.cofircalabria.com</v>
      </c>
    </row>
    <row r="5997" spans="1:6" ht="29.55" customHeight="1" x14ac:dyDescent="0.25">
      <c r="A5997" s="6" t="s">
        <v>25325</v>
      </c>
      <c r="B5997" s="5" t="s">
        <v>25326</v>
      </c>
      <c r="C5997" s="5" t="s">
        <v>25327</v>
      </c>
      <c r="D5997" s="5" t="s">
        <v>25328</v>
      </c>
      <c r="E5997" s="5" t="s">
        <v>25329</v>
      </c>
      <c r="F5997" s="5" t="str">
        <f>HYPERLINK("http://www.vignetiiucci.it/","www.vignetiiucci.it")</f>
        <v>www.vignetiiucci.it</v>
      </c>
    </row>
    <row r="5998" spans="1:6" ht="29.55" customHeight="1" x14ac:dyDescent="0.25">
      <c r="A5998" s="6" t="s">
        <v>25332</v>
      </c>
      <c r="B5998" s="5" t="s">
        <v>25333</v>
      </c>
      <c r="C5998" s="5" t="s">
        <v>25331</v>
      </c>
      <c r="D5998" s="5" t="s">
        <v>25334</v>
      </c>
      <c r="E5998" s="5" t="s">
        <v>25330</v>
      </c>
      <c r="F5998" s="5" t="str">
        <f>HYPERLINK("http://www.biomilana.it/","www.biomilana.it")</f>
        <v>www.biomilana.it</v>
      </c>
    </row>
    <row r="5999" spans="1:6" ht="16.95" customHeight="1" x14ac:dyDescent="0.25">
      <c r="A5999" s="1" t="s">
        <v>25335</v>
      </c>
      <c r="B5999" s="7" t="s">
        <v>25336</v>
      </c>
      <c r="C5999" s="7" t="s">
        <v>25327</v>
      </c>
      <c r="D5999" s="7" t="s">
        <v>25337</v>
      </c>
      <c r="E5999" s="7" t="s">
        <v>25338</v>
      </c>
      <c r="F5999" s="7" t="str">
        <f>HYPERLINK("http://www.vescine.it/it/restaurants/nuvolari","www.vescine.it/it/restaurants/nuvolari")</f>
        <v>www.vescine.it/it/restaurants/nuvolari</v>
      </c>
    </row>
    <row r="6000" spans="1:6" ht="43.05" customHeight="1" x14ac:dyDescent="0.25">
      <c r="A6000" s="6" t="s">
        <v>25344</v>
      </c>
      <c r="B6000" s="5" t="s">
        <v>25345</v>
      </c>
      <c r="C6000" s="5" t="s">
        <v>25342</v>
      </c>
      <c r="D6000" s="5" t="s">
        <v>25346</v>
      </c>
      <c r="E6000" s="5" t="s">
        <v>25347</v>
      </c>
      <c r="F6000" s="5" t="str">
        <f>HYPERLINK("http://comunitagricolavalleroveto.it/","comunitagricolavalleroveto.it")</f>
        <v>comunitagricolavalleroveto.it</v>
      </c>
    </row>
    <row r="6001" spans="1:6" ht="29.55" customHeight="1" x14ac:dyDescent="0.25">
      <c r="A6001" s="6" t="s">
        <v>25351</v>
      </c>
      <c r="B6001" s="5" t="s">
        <v>25352</v>
      </c>
      <c r="C6001" s="5" t="s">
        <v>25341</v>
      </c>
      <c r="D6001" s="5" t="s">
        <v>25353</v>
      </c>
      <c r="E6001" s="5" t="s">
        <v>25354</v>
      </c>
      <c r="F6001" s="5" t="str">
        <f>HYPERLINK("http://www.facebook.com/flli-nocella-126510540717845/","www.facebook.com/flli-nocella-126510540717845/")</f>
        <v>www.facebook.com/flli-nocella-126510540717845/</v>
      </c>
    </row>
    <row r="6002" spans="1:6" ht="29.55" customHeight="1" x14ac:dyDescent="0.25">
      <c r="A6002" s="6" t="s">
        <v>25356</v>
      </c>
      <c r="B6002" s="5" t="s">
        <v>25357</v>
      </c>
      <c r="C6002" s="5" t="s">
        <v>25358</v>
      </c>
      <c r="D6002" s="5" t="s">
        <v>25359</v>
      </c>
      <c r="E6002" s="5" t="s">
        <v>25360</v>
      </c>
      <c r="F6002" s="5" t="str">
        <f>HYPERLINK("http://www.tenuta2a.com/","www.tenuta2a.com")</f>
        <v>www.tenuta2a.com</v>
      </c>
    </row>
    <row r="6003" spans="1:6" ht="29.55" customHeight="1" x14ac:dyDescent="0.25">
      <c r="A6003" s="1" t="s">
        <v>25361</v>
      </c>
      <c r="B6003" s="7" t="s">
        <v>25362</v>
      </c>
      <c r="C6003" s="7" t="s">
        <v>25342</v>
      </c>
      <c r="D6003" s="7" t="s">
        <v>25348</v>
      </c>
      <c r="E6003" s="7" t="s">
        <v>25340</v>
      </c>
      <c r="F6003" s="7" t="str">
        <f>HYPERLINK("http://www.bagliosangregorio.it/","www.bagliosangregorio.it")</f>
        <v>www.bagliosangregorio.it</v>
      </c>
    </row>
    <row r="6004" spans="1:6" ht="68.099999999999994" customHeight="1" x14ac:dyDescent="0.25">
      <c r="A6004" s="1" t="s">
        <v>25365</v>
      </c>
      <c r="B6004" s="7" t="s">
        <v>25366</v>
      </c>
      <c r="C6004" s="7" t="s">
        <v>25339</v>
      </c>
      <c r="D6004" s="7" t="s">
        <v>25367</v>
      </c>
      <c r="E6004" s="7" t="s">
        <v>25368</v>
      </c>
      <c r="F6004" s="7" t="str">
        <f>HYPERLINK("http://www.associazione1429.com/azienda-agricola-colue/","www.associazione1429.com/azienda-agricola-colue/")</f>
        <v>www.associazione1429.com/azienda-agricola-colue/</v>
      </c>
    </row>
    <row r="6005" spans="1:6" ht="16.95" customHeight="1" x14ac:dyDescent="0.25">
      <c r="A6005" s="1" t="s">
        <v>25369</v>
      </c>
      <c r="B6005" s="7" t="s">
        <v>25370</v>
      </c>
      <c r="C6005" s="7" t="s">
        <v>25371</v>
      </c>
      <c r="D6005" s="7" t="s">
        <v>25363</v>
      </c>
      <c r="E6005" s="7" t="s">
        <v>25364</v>
      </c>
      <c r="F6005" s="7" t="str">
        <f>HYPERLINK("http://www.dettorimarket.it/","www.dettorimarket.it")</f>
        <v>www.dettorimarket.it</v>
      </c>
    </row>
    <row r="6006" spans="1:6" ht="29.55" customHeight="1" x14ac:dyDescent="0.25">
      <c r="A6006" s="6" t="s">
        <v>25372</v>
      </c>
      <c r="B6006" s="5" t="s">
        <v>25373</v>
      </c>
      <c r="C6006" s="5" t="s">
        <v>25342</v>
      </c>
      <c r="D6006" s="5" t="s">
        <v>25374</v>
      </c>
      <c r="E6006" s="5" t="s">
        <v>25355</v>
      </c>
      <c r="F6006" s="5" t="str">
        <f>HYPERLINK("http://www.naturanakupenda.net/","www.naturanakupenda.net")</f>
        <v>www.naturanakupenda.net</v>
      </c>
    </row>
    <row r="6007" spans="1:6" ht="29.55" customHeight="1" x14ac:dyDescent="0.25">
      <c r="A6007" s="1" t="s">
        <v>25375</v>
      </c>
      <c r="B6007" s="7" t="s">
        <v>25376</v>
      </c>
      <c r="C6007" s="7" t="s">
        <v>25377</v>
      </c>
      <c r="D6007" s="7" t="s">
        <v>25378</v>
      </c>
      <c r="E6007" s="7" t="s">
        <v>25379</v>
      </c>
      <c r="F6007" s="7" t="str">
        <f>HYPERLINK("http://www.cooperativagramigna.it/","www.cooperativagramigna.it")</f>
        <v>www.cooperativagramigna.it</v>
      </c>
    </row>
    <row r="6008" spans="1:6" ht="43.05" customHeight="1" x14ac:dyDescent="0.25">
      <c r="A6008" s="6" t="s">
        <v>25380</v>
      </c>
      <c r="B6008" s="5" t="s">
        <v>25381</v>
      </c>
      <c r="C6008" s="5" t="s">
        <v>25343</v>
      </c>
      <c r="D6008" s="5" t="s">
        <v>25349</v>
      </c>
      <c r="E6008" s="5" t="s">
        <v>25350</v>
      </c>
      <c r="F6008" s="5" t="str">
        <f>HYPERLINK("http://www.aziendapalombara.it/","www.aziendapalombara.it")</f>
        <v>www.aziendapalombara.it</v>
      </c>
    </row>
    <row r="6009" spans="1:6" ht="43.05" customHeight="1" x14ac:dyDescent="0.25">
      <c r="A6009" s="6" t="s">
        <v>25384</v>
      </c>
      <c r="B6009" s="5" t="s">
        <v>25385</v>
      </c>
      <c r="C6009" s="5" t="s">
        <v>25386</v>
      </c>
      <c r="D6009" s="5" t="s">
        <v>25387</v>
      </c>
      <c r="E6009" s="5" t="s">
        <v>25382</v>
      </c>
      <c r="F6009" s="5" t="str">
        <f>HYPERLINK("http://www.salutealimentare.it/","www.salutealimentare.it")</f>
        <v>www.salutealimentare.it</v>
      </c>
    </row>
    <row r="6010" spans="1:6" ht="29.55" customHeight="1" x14ac:dyDescent="0.25">
      <c r="A6010" s="1" t="s">
        <v>25388</v>
      </c>
      <c r="B6010" s="7" t="s">
        <v>25389</v>
      </c>
      <c r="C6010" s="7" t="s">
        <v>25390</v>
      </c>
      <c r="D6010" s="7" t="s">
        <v>25391</v>
      </c>
      <c r="E6010" s="7" t="s">
        <v>25383</v>
      </c>
      <c r="F6010" s="7" t="str">
        <f>HYPERLINK("http://www.pirozzigroup.it/","www.pirozzigroup.it")</f>
        <v>www.pirozzigroup.it</v>
      </c>
    </row>
    <row r="6011" spans="1:6" ht="29.55" customHeight="1" x14ac:dyDescent="0.25">
      <c r="A6011" s="6" t="s">
        <v>25394</v>
      </c>
      <c r="B6011" s="5" t="s">
        <v>25395</v>
      </c>
      <c r="C6011" s="5" t="s">
        <v>25396</v>
      </c>
      <c r="D6011" s="5" t="s">
        <v>25392</v>
      </c>
      <c r="E6011" s="5" t="s">
        <v>25393</v>
      </c>
      <c r="F6011" s="5" t="str">
        <f>HYPERLINK("http://tenuta-san-luca.business.site/","tenuta-san-luca.business.site/")</f>
        <v>tenuta-san-luca.business.site/</v>
      </c>
    </row>
    <row r="6012" spans="1:6" ht="29.55" customHeight="1" x14ac:dyDescent="0.25">
      <c r="A6012" s="6" t="s">
        <v>25397</v>
      </c>
      <c r="B6012" s="5" t="s">
        <v>25398</v>
      </c>
      <c r="C6012" s="5" t="s">
        <v>25399</v>
      </c>
      <c r="D6012" s="5" t="s">
        <v>25400</v>
      </c>
      <c r="E6012" s="5" t="s">
        <v>25401</v>
      </c>
      <c r="F6012" s="5" t="str">
        <f>HYPERLINK("http://www.giolica.it/","www.giolica.it")</f>
        <v>www.giolica.it</v>
      </c>
    </row>
    <row r="6013" spans="1:6" ht="29.55" customHeight="1" x14ac:dyDescent="0.25">
      <c r="A6013" s="1" t="s">
        <v>25404</v>
      </c>
      <c r="B6013" s="7" t="s">
        <v>25405</v>
      </c>
      <c r="C6013" s="7" t="s">
        <v>25406</v>
      </c>
      <c r="D6013" s="7" t="s">
        <v>25402</v>
      </c>
      <c r="E6013" s="7" t="s">
        <v>25403</v>
      </c>
      <c r="F6013" s="7" t="str">
        <f>HYPERLINK("http://www.gardengardenia.it/","www.gardengardenia.it")</f>
        <v>www.gardengardenia.it</v>
      </c>
    </row>
    <row r="6014" spans="1:6" ht="43.05" customHeight="1" x14ac:dyDescent="0.25">
      <c r="A6014" s="1" t="s">
        <v>25407</v>
      </c>
      <c r="B6014" s="7" t="s">
        <v>25408</v>
      </c>
      <c r="C6014" s="7" t="s">
        <v>25409</v>
      </c>
      <c r="D6014" s="7" t="s">
        <v>25410</v>
      </c>
      <c r="E6014" s="7" t="s">
        <v>25411</v>
      </c>
      <c r="F6014" s="7" t="str">
        <f>HYPERLINK("http://www.ecovillaggiolanuovaterra.it/","www.ecovillaggiolanuovaterra.it")</f>
        <v>www.ecovillaggiolanuovaterra.it</v>
      </c>
    </row>
    <row r="6015" spans="1:6" ht="29.55" customHeight="1" x14ac:dyDescent="0.25">
      <c r="A6015" s="1" t="s">
        <v>25412</v>
      </c>
      <c r="B6015" s="7" t="s">
        <v>25413</v>
      </c>
      <c r="C6015" s="7" t="s">
        <v>25414</v>
      </c>
      <c r="D6015" s="7" t="s">
        <v>25415</v>
      </c>
      <c r="E6015" s="7" t="s">
        <v>25416</v>
      </c>
      <c r="F6015" s="7" t="str">
        <f>HYPERLINK("http://www.campodimarta.it/","www.campodimarta.it")</f>
        <v>www.campodimarta.it</v>
      </c>
    </row>
    <row r="6016" spans="1:6" ht="55.65" customHeight="1" x14ac:dyDescent="0.25">
      <c r="A6016" s="6" t="s">
        <v>25418</v>
      </c>
      <c r="B6016" s="5" t="s">
        <v>25419</v>
      </c>
      <c r="C6016" s="5" t="s">
        <v>25420</v>
      </c>
      <c r="D6016" s="5" t="s">
        <v>25421</v>
      </c>
      <c r="E6016" s="5" t="s">
        <v>25417</v>
      </c>
      <c r="F6016" s="5" t="str">
        <f>HYPERLINK("http://www.amistade.org/","www.amistade.org")</f>
        <v>www.amistade.org</v>
      </c>
    </row>
    <row r="6017" spans="1:6" ht="29.55" customHeight="1" x14ac:dyDescent="0.25">
      <c r="A6017" s="6" t="s">
        <v>25423</v>
      </c>
      <c r="B6017" s="5" t="s">
        <v>25424</v>
      </c>
      <c r="C6017" s="5" t="s">
        <v>25422</v>
      </c>
      <c r="D6017" s="5" t="s">
        <v>25425</v>
      </c>
      <c r="E6017" s="5" t="s">
        <v>25426</v>
      </c>
      <c r="F6017" s="5" t="str">
        <f>HYPERLINK("http://www.rebeccofarm.it/","www.rebeccofarm.it")</f>
        <v>www.rebeccofarm.it</v>
      </c>
    </row>
    <row r="6018" spans="1:6" ht="29.55" customHeight="1" x14ac:dyDescent="0.25">
      <c r="A6018" s="6" t="s">
        <v>25429</v>
      </c>
      <c r="B6018" s="5" t="s">
        <v>25430</v>
      </c>
      <c r="C6018" s="5" t="s">
        <v>25422</v>
      </c>
      <c r="D6018" s="5" t="s">
        <v>25427</v>
      </c>
      <c r="E6018" s="5" t="s">
        <v>25428</v>
      </c>
      <c r="F6018" s="5" t="str">
        <f>HYPERLINK("http://www.anticatavernadelprincipe.com/","www.anticatavernadelprincipe.com")</f>
        <v>www.anticatavernadelprincipe.com</v>
      </c>
    </row>
    <row r="6019" spans="1:6" ht="29.55" customHeight="1" x14ac:dyDescent="0.25">
      <c r="A6019" s="6" t="s">
        <v>25434</v>
      </c>
      <c r="B6019" s="5" t="s">
        <v>25435</v>
      </c>
      <c r="C6019" s="5" t="s">
        <v>25431</v>
      </c>
      <c r="D6019" s="5" t="s">
        <v>25436</v>
      </c>
      <c r="E6019" s="5" t="s">
        <v>25437</v>
      </c>
      <c r="F6019" s="5" t="str">
        <f>HYPERLINK("http://masseriacostedicuma.it/","masseriacostedicuma.it")</f>
        <v>masseriacostedicuma.it</v>
      </c>
    </row>
    <row r="6020" spans="1:6" ht="29.55" customHeight="1" x14ac:dyDescent="0.25">
      <c r="A6020" s="6" t="s">
        <v>25438</v>
      </c>
      <c r="B6020" s="5" t="s">
        <v>25439</v>
      </c>
      <c r="C6020" s="5" t="s">
        <v>25433</v>
      </c>
      <c r="D6020" s="5" t="s">
        <v>25440</v>
      </c>
      <c r="E6020" s="5" t="s">
        <v>25432</v>
      </c>
      <c r="F6020" s="5" t="str">
        <f>HYPERLINK("http://www.luccelliera-toscana.com/","www.luccelliera-toscana.com")</f>
        <v>www.luccelliera-toscana.com</v>
      </c>
    </row>
    <row r="6021" spans="1:6" ht="29.55" customHeight="1" x14ac:dyDescent="0.25">
      <c r="A6021" s="6" t="s">
        <v>25441</v>
      </c>
      <c r="B6021" s="5" t="s">
        <v>25442</v>
      </c>
      <c r="C6021" s="5" t="s">
        <v>25443</v>
      </c>
      <c r="D6021" s="5" t="s">
        <v>25444</v>
      </c>
      <c r="E6021" s="5" t="s">
        <v>25445</v>
      </c>
      <c r="F6021" s="5" t="str">
        <f>HYPERLINK("http://www.addariogroup.it/","www.addariogroup.it")</f>
        <v>www.addariogroup.it</v>
      </c>
    </row>
    <row r="6022" spans="1:6" ht="29.55" customHeight="1" x14ac:dyDescent="0.25">
      <c r="A6022" s="6" t="s">
        <v>25446</v>
      </c>
      <c r="B6022" s="5" t="s">
        <v>25447</v>
      </c>
      <c r="C6022" s="5" t="s">
        <v>25448</v>
      </c>
      <c r="D6022" s="5" t="s">
        <v>25449</v>
      </c>
      <c r="E6022" s="5" t="s">
        <v>25450</v>
      </c>
      <c r="F6022" s="5" t="str">
        <f>HYPERLINK("http://www.florami.it/","www.florami.it")</f>
        <v>www.florami.it</v>
      </c>
    </row>
    <row r="6023" spans="1:6" ht="29.55" customHeight="1" x14ac:dyDescent="0.25">
      <c r="A6023" s="6" t="s">
        <v>25451</v>
      </c>
      <c r="B6023" s="5" t="s">
        <v>25452</v>
      </c>
      <c r="C6023" s="5" t="s">
        <v>25448</v>
      </c>
      <c r="D6023" s="5" t="s">
        <v>25453</v>
      </c>
      <c r="E6023" s="5" t="s">
        <v>25454</v>
      </c>
      <c r="F6023" s="5" t="str">
        <f>HYPERLINK("http://www.fratellipapi.com/","www.fratellipapi.com")</f>
        <v>www.fratellipapi.com</v>
      </c>
    </row>
    <row r="6024" spans="1:6" ht="16.95" customHeight="1" x14ac:dyDescent="0.25">
      <c r="A6024" s="1" t="s">
        <v>25456</v>
      </c>
      <c r="B6024" s="7" t="s">
        <v>25457</v>
      </c>
      <c r="C6024" s="7" t="s">
        <v>25458</v>
      </c>
      <c r="D6024" s="7" t="s">
        <v>25459</v>
      </c>
      <c r="E6024" s="7" t="s">
        <v>25460</v>
      </c>
      <c r="F6024" s="7" t="str">
        <f>HYPERLINK("http://www.scuderieverdina.it/","www.scuderieverdina.it")</f>
        <v>www.scuderieverdina.it</v>
      </c>
    </row>
    <row r="6025" spans="1:6" ht="29.55" customHeight="1" x14ac:dyDescent="0.25">
      <c r="A6025" s="6" t="s">
        <v>25464</v>
      </c>
      <c r="B6025" s="5" t="s">
        <v>25465</v>
      </c>
      <c r="C6025" s="5" t="s">
        <v>25466</v>
      </c>
      <c r="D6025" s="5" t="s">
        <v>25467</v>
      </c>
      <c r="E6025" s="5" t="s">
        <v>25468</v>
      </c>
      <c r="F6025" s="5" t="str">
        <f>HYPERLINK("http://www.campanapa.it/","www.campanapa.it")</f>
        <v>www.campanapa.it</v>
      </c>
    </row>
    <row r="6026" spans="1:6" ht="16.95" customHeight="1" x14ac:dyDescent="0.25">
      <c r="A6026" s="6" t="s">
        <v>25472</v>
      </c>
      <c r="B6026" s="5" t="s">
        <v>25473</v>
      </c>
      <c r="C6026" s="5" t="s">
        <v>25469</v>
      </c>
      <c r="D6026" s="5" t="s">
        <v>25461</v>
      </c>
      <c r="E6026" s="5" t="s">
        <v>25462</v>
      </c>
      <c r="F6026" s="5" t="str">
        <f>HYPERLINK("http://www.agrimatsalento.com/","www.agrimatsalento.com")</f>
        <v>www.agrimatsalento.com</v>
      </c>
    </row>
    <row r="6027" spans="1:6" ht="29.55" customHeight="1" x14ac:dyDescent="0.25">
      <c r="A6027" s="6" t="s">
        <v>25474</v>
      </c>
      <c r="B6027" s="5" t="s">
        <v>25475</v>
      </c>
      <c r="C6027" s="5" t="s">
        <v>25476</v>
      </c>
      <c r="D6027" s="5" t="s">
        <v>25470</v>
      </c>
      <c r="E6027" s="5" t="s">
        <v>25471</v>
      </c>
      <c r="F6027" s="5" t="str">
        <f>HYPERLINK("http://www.ecologicfarm.verdy.it/","www.ecologicfarm.verdy.it")</f>
        <v>www.ecologicfarm.verdy.it</v>
      </c>
    </row>
    <row r="6028" spans="1:6" ht="43.05" customHeight="1" x14ac:dyDescent="0.25">
      <c r="A6028" s="6" t="s">
        <v>25477</v>
      </c>
      <c r="B6028" s="5" t="s">
        <v>25478</v>
      </c>
      <c r="C6028" s="5" t="s">
        <v>25463</v>
      </c>
      <c r="D6028" s="5" t="s">
        <v>25479</v>
      </c>
      <c r="E6028" s="5" t="s">
        <v>25455</v>
      </c>
      <c r="F6028" s="5" t="str">
        <f>HYPERLINK("http://www.lalumacadelbelice.it/","www.lalumacadelbelice.it")</f>
        <v>www.lalumacadelbelice.it</v>
      </c>
    </row>
    <row r="6029" spans="1:6" ht="29.55" customHeight="1" x14ac:dyDescent="0.25">
      <c r="A6029" s="6" t="s">
        <v>25484</v>
      </c>
      <c r="B6029" s="5" t="s">
        <v>25485</v>
      </c>
      <c r="C6029" s="5" t="s">
        <v>25486</v>
      </c>
      <c r="D6029" s="5" t="s">
        <v>25487</v>
      </c>
      <c r="E6029" s="5" t="s">
        <v>25488</v>
      </c>
      <c r="F6029" s="5" t="str">
        <f>HYPERLINK("http://macubo.com/","macubo.com")</f>
        <v>macubo.com</v>
      </c>
    </row>
    <row r="6030" spans="1:6" ht="29.55" customHeight="1" x14ac:dyDescent="0.25">
      <c r="A6030" s="1" t="s">
        <v>25492</v>
      </c>
      <c r="B6030" s="7" t="s">
        <v>25493</v>
      </c>
      <c r="C6030" s="7" t="s">
        <v>25482</v>
      </c>
      <c r="D6030" s="7" t="s">
        <v>25494</v>
      </c>
      <c r="E6030" s="7" t="s">
        <v>25490</v>
      </c>
      <c r="F6030" s="7" t="str">
        <f>HYPERLINK("http://www.legravine.com/","www.legravine.com")</f>
        <v>www.legravine.com</v>
      </c>
    </row>
    <row r="6031" spans="1:6" ht="68.099999999999994" customHeight="1" x14ac:dyDescent="0.25">
      <c r="A6031" s="6" t="s">
        <v>25495</v>
      </c>
      <c r="B6031" s="5" t="s">
        <v>25496</v>
      </c>
      <c r="C6031" s="5" t="s">
        <v>25480</v>
      </c>
      <c r="D6031" s="5" t="s">
        <v>25491</v>
      </c>
      <c r="E6031" s="5" t="s">
        <v>25481</v>
      </c>
      <c r="F6031" s="5" t="str">
        <f>HYPERLINK("http://societa-agricola-cristofari-societa-a-re-13933361001.quantofattura.com/","societa-agricola-cristofari-societa-a-re-13933361001.quantofattura.com")</f>
        <v>societa-agricola-cristofari-societa-a-re-13933361001.quantofattura.com</v>
      </c>
    </row>
    <row r="6032" spans="1:6" ht="29.55" customHeight="1" x14ac:dyDescent="0.25">
      <c r="A6032" s="6" t="s">
        <v>25497</v>
      </c>
      <c r="B6032" s="5" t="s">
        <v>25498</v>
      </c>
      <c r="C6032" s="5" t="s">
        <v>25483</v>
      </c>
      <c r="D6032" s="5" t="s">
        <v>25499</v>
      </c>
      <c r="E6032" s="5" t="s">
        <v>25489</v>
      </c>
      <c r="F6032" s="5" t="str">
        <f>HYPERLINK("http://www.collearzan.it/","www.collearzan.it")</f>
        <v>www.collearzan.it</v>
      </c>
    </row>
    <row r="6033" spans="1:6" ht="29.55" customHeight="1" x14ac:dyDescent="0.25">
      <c r="A6033" s="6" t="s">
        <v>25506</v>
      </c>
      <c r="B6033" s="5" t="s">
        <v>25507</v>
      </c>
      <c r="C6033" s="5" t="s">
        <v>25505</v>
      </c>
      <c r="D6033" s="5" t="s">
        <v>25503</v>
      </c>
      <c r="E6033" s="5" t="s">
        <v>25504</v>
      </c>
      <c r="F6033" s="5" t="str">
        <f>HYPERLINK("http://www.iparieti.com/","www.iparieti.com")</f>
        <v>www.iparieti.com</v>
      </c>
    </row>
    <row r="6034" spans="1:6" ht="81.75" customHeight="1" x14ac:dyDescent="0.25">
      <c r="A6034" s="6" t="s">
        <v>25508</v>
      </c>
      <c r="B6034" s="5" t="s">
        <v>25509</v>
      </c>
      <c r="C6034" s="5" t="s">
        <v>25500</v>
      </c>
      <c r="D6034" s="5" t="s">
        <v>25501</v>
      </c>
      <c r="E6034" s="5" t="s">
        <v>25502</v>
      </c>
      <c r="F6034" s="5" t="str">
        <f>HYPERLINK("http://www.hortulanus.it/","www.hortulanus.it")</f>
        <v>www.hortulanus.it</v>
      </c>
    </row>
    <row r="6035" spans="1:6" ht="29.55" customHeight="1" x14ac:dyDescent="0.25">
      <c r="A6035" s="1" t="s">
        <v>25510</v>
      </c>
      <c r="B6035" s="7" t="s">
        <v>25511</v>
      </c>
      <c r="C6035" s="7" t="s">
        <v>25512</v>
      </c>
      <c r="D6035" s="7" t="s">
        <v>25513</v>
      </c>
      <c r="E6035" s="7" t="s">
        <v>25514</v>
      </c>
      <c r="F6035" s="7" t="str">
        <f>HYPERLINK("http://www.facebook.com/covilvivai/","www.facebook.com/covilvivai/")</f>
        <v>www.facebook.com/covilvivai/</v>
      </c>
    </row>
    <row r="6036" spans="1:6" ht="29.55" customHeight="1" x14ac:dyDescent="0.25">
      <c r="A6036" s="6" t="s">
        <v>25516</v>
      </c>
      <c r="B6036" s="5" t="s">
        <v>25517</v>
      </c>
      <c r="C6036" s="5" t="s">
        <v>25518</v>
      </c>
      <c r="D6036" s="5" t="s">
        <v>25519</v>
      </c>
      <c r="E6036" s="5" t="s">
        <v>25520</v>
      </c>
      <c r="F6036" s="5" t="str">
        <f>HYPERLINK("http://www.miriammalfatti.com/","www.miriammalfatti.com")</f>
        <v>www.miriammalfatti.com</v>
      </c>
    </row>
    <row r="6037" spans="1:6" ht="55.65" customHeight="1" x14ac:dyDescent="0.25">
      <c r="A6037" s="1" t="s">
        <v>25525</v>
      </c>
      <c r="B6037" s="7" t="s">
        <v>25526</v>
      </c>
      <c r="C6037" s="7" t="s">
        <v>25527</v>
      </c>
      <c r="D6037" s="7" t="s">
        <v>25524</v>
      </c>
      <c r="E6037" s="7" t="s">
        <v>25515</v>
      </c>
      <c r="F6037" s="7" t="str">
        <f>HYPERLINK("http://talentooliosalento.it/","talentooliosalento.it")</f>
        <v>talentooliosalento.it</v>
      </c>
    </row>
    <row r="6038" spans="1:6" ht="55.65" customHeight="1" x14ac:dyDescent="0.25">
      <c r="A6038" s="6" t="s">
        <v>25528</v>
      </c>
      <c r="B6038" s="5" t="s">
        <v>25529</v>
      </c>
      <c r="C6038" s="5" t="s">
        <v>25530</v>
      </c>
      <c r="D6038" s="5" t="s">
        <v>25531</v>
      </c>
      <c r="E6038" s="5" t="s">
        <v>25523</v>
      </c>
      <c r="F6038" s="5" t="str">
        <f>HYPERLINK("http://www.tenutarekhale.it/","www.tenutarekhale.it")</f>
        <v>www.tenutarekhale.it</v>
      </c>
    </row>
    <row r="6039" spans="1:6" ht="29.55" customHeight="1" x14ac:dyDescent="0.25">
      <c r="A6039" s="1" t="s">
        <v>25532</v>
      </c>
      <c r="B6039" s="7" t="s">
        <v>25533</v>
      </c>
      <c r="C6039" s="7" t="s">
        <v>25521</v>
      </c>
      <c r="D6039" s="7" t="s">
        <v>25522</v>
      </c>
      <c r="E6039" s="7" t="s">
        <v>25523</v>
      </c>
      <c r="F6039" s="7" t="str">
        <f>HYPERLINK("http://www.oliougustumiu.it/","www.oliougustumiu.it")</f>
        <v>www.oliougustumiu.it</v>
      </c>
    </row>
    <row r="6040" spans="1:6" ht="16.95" customHeight="1" x14ac:dyDescent="0.25">
      <c r="A6040" s="6" t="s">
        <v>25534</v>
      </c>
      <c r="B6040" s="5" t="s">
        <v>25535</v>
      </c>
      <c r="C6040" s="5" t="s">
        <v>25527</v>
      </c>
      <c r="D6040" s="5" t="s">
        <v>25536</v>
      </c>
      <c r="E6040" s="5" t="s">
        <v>25537</v>
      </c>
      <c r="F6040" s="5" t="str">
        <f>HYPERLINK("http://www.fontepino.com/","www.fontepino.com")</f>
        <v>www.fontepino.com</v>
      </c>
    </row>
    <row r="6041" spans="1:6" ht="29.55" customHeight="1" x14ac:dyDescent="0.25">
      <c r="A6041" s="1" t="s">
        <v>25538</v>
      </c>
      <c r="B6041" s="7" t="s">
        <v>25539</v>
      </c>
      <c r="C6041" s="7" t="s">
        <v>25521</v>
      </c>
      <c r="D6041" s="7" t="s">
        <v>25519</v>
      </c>
      <c r="E6041" s="7" t="s">
        <v>25520</v>
      </c>
      <c r="F6041" s="7" t="str">
        <f>HYPERLINK("http://www.lorzata.it/","www.lorzata.it")</f>
        <v>www.lorzata.it</v>
      </c>
    </row>
    <row r="6042" spans="1:6" ht="29.55" customHeight="1" x14ac:dyDescent="0.25">
      <c r="A6042" s="1" t="s">
        <v>25545</v>
      </c>
      <c r="B6042" s="7" t="s">
        <v>25546</v>
      </c>
      <c r="C6042" s="7" t="s">
        <v>25542</v>
      </c>
      <c r="D6042" s="7" t="s">
        <v>25547</v>
      </c>
      <c r="E6042" s="7" t="s">
        <v>25541</v>
      </c>
      <c r="F6042" s="7" t="str">
        <f>HYPERLINK("http://www.ilmoggio.it/","www.ilmoggio.it")</f>
        <v>www.ilmoggio.it</v>
      </c>
    </row>
    <row r="6043" spans="1:6" ht="16.95" customHeight="1" x14ac:dyDescent="0.25">
      <c r="A6043" s="1" t="s">
        <v>25548</v>
      </c>
      <c r="B6043" s="7" t="s">
        <v>25549</v>
      </c>
      <c r="C6043" s="7" t="s">
        <v>25544</v>
      </c>
      <c r="D6043" s="7" t="s">
        <v>25550</v>
      </c>
      <c r="E6043" s="7" t="s">
        <v>25543</v>
      </c>
      <c r="F6043" s="7" t="str">
        <f>HYPERLINK("http://www.groppoli.com/","www.groppoli.com")</f>
        <v>www.groppoli.com</v>
      </c>
    </row>
    <row r="6044" spans="1:6" ht="29.55" customHeight="1" x14ac:dyDescent="0.25">
      <c r="A6044" s="1" t="s">
        <v>25551</v>
      </c>
      <c r="B6044" s="7" t="s">
        <v>25552</v>
      </c>
      <c r="C6044" s="7" t="s">
        <v>25540</v>
      </c>
      <c r="D6044" s="7" t="s">
        <v>25553</v>
      </c>
      <c r="E6044" s="7" t="s">
        <v>25554</v>
      </c>
      <c r="F6044" s="7" t="str">
        <f>HYPERLINK("http://www.zomaroresort.it/","www.zomaroresort.it")</f>
        <v>www.zomaroresort.it</v>
      </c>
    </row>
    <row r="6045" spans="1:6" ht="43.05" customHeight="1" x14ac:dyDescent="0.25">
      <c r="A6045" s="6" t="s">
        <v>25555</v>
      </c>
      <c r="B6045" s="5" t="s">
        <v>25556</v>
      </c>
      <c r="C6045" s="5" t="s">
        <v>25557</v>
      </c>
      <c r="D6045" s="5" t="s">
        <v>25558</v>
      </c>
      <c r="E6045" s="5" t="s">
        <v>25559</v>
      </c>
      <c r="F6045" s="5" t="str">
        <f>HYPERLINK("http://www.chiocciando.it/","www.chiocciando.it")</f>
        <v>www.chiocciando.it</v>
      </c>
    </row>
    <row r="6046" spans="1:6" ht="29.55" customHeight="1" x14ac:dyDescent="0.25">
      <c r="A6046" s="6" t="s">
        <v>25560</v>
      </c>
      <c r="B6046" s="5" t="s">
        <v>25561</v>
      </c>
      <c r="C6046" s="5" t="s">
        <v>25562</v>
      </c>
      <c r="D6046" s="5" t="s">
        <v>25563</v>
      </c>
      <c r="E6046" s="5" t="s">
        <v>25564</v>
      </c>
      <c r="F6046" s="5" t="str">
        <f>HYPERLINK("http://www.dellaterraedelluomo.it/","www.dellaterraedelluomo.it")</f>
        <v>www.dellaterraedelluomo.it</v>
      </c>
    </row>
    <row r="6047" spans="1:6" ht="29.55" customHeight="1" x14ac:dyDescent="0.25">
      <c r="A6047" s="6" t="s">
        <v>25565</v>
      </c>
      <c r="B6047" s="5" t="s">
        <v>25566</v>
      </c>
      <c r="C6047" s="5" t="s">
        <v>25567</v>
      </c>
      <c r="D6047" s="5" t="s">
        <v>25568</v>
      </c>
      <c r="E6047" s="5" t="s">
        <v>25569</v>
      </c>
      <c r="F6047" s="5" t="str">
        <f>HYPERLINK("http://www.terresociali.it/","www.terresociali.it")</f>
        <v>www.terresociali.it</v>
      </c>
    </row>
    <row r="6048" spans="1:6" ht="29.55" customHeight="1" x14ac:dyDescent="0.25">
      <c r="A6048" s="6" t="s">
        <v>25571</v>
      </c>
      <c r="B6048" s="5" t="s">
        <v>25572</v>
      </c>
      <c r="C6048" s="5" t="s">
        <v>25557</v>
      </c>
      <c r="D6048" s="5" t="s">
        <v>25573</v>
      </c>
      <c r="E6048" s="5" t="s">
        <v>25570</v>
      </c>
      <c r="F6048" s="5" t="str">
        <f>HYPERLINK("http://imarroni.com/","imarroni.com")</f>
        <v>imarroni.com</v>
      </c>
    </row>
    <row r="6049" spans="1:6" ht="43.05" customHeight="1" x14ac:dyDescent="0.25">
      <c r="A6049" s="6" t="s">
        <v>25574</v>
      </c>
      <c r="B6049" s="5" t="s">
        <v>25575</v>
      </c>
      <c r="C6049" s="5" t="s">
        <v>25576</v>
      </c>
      <c r="D6049" s="5" t="s">
        <v>25577</v>
      </c>
      <c r="E6049" s="5" t="s">
        <v>25578</v>
      </c>
      <c r="F6049" s="5" t="str">
        <f>HYPERLINK("http://www.collefagiano.it/","www.collefagiano.it")</f>
        <v>www.collefagiano.it</v>
      </c>
    </row>
    <row r="6050" spans="1:6" ht="29.55" customHeight="1" x14ac:dyDescent="0.25">
      <c r="A6050" s="6" t="s">
        <v>25579</v>
      </c>
      <c r="B6050" s="5" t="s">
        <v>25580</v>
      </c>
      <c r="C6050" s="5" t="s">
        <v>25581</v>
      </c>
      <c r="D6050" s="5" t="s">
        <v>25582</v>
      </c>
      <c r="E6050" s="5" t="s">
        <v>25583</v>
      </c>
      <c r="F6050" s="5" t="str">
        <f>HYPERLINK("http://www.casalesantamaria.net/","www.casalesantamaria.net")</f>
        <v>www.casalesantamaria.net</v>
      </c>
    </row>
    <row r="6051" spans="1:6" ht="55.65" customHeight="1" x14ac:dyDescent="0.25">
      <c r="A6051" s="6" t="s">
        <v>25587</v>
      </c>
      <c r="B6051" s="5" t="s">
        <v>25588</v>
      </c>
      <c r="C6051" s="5" t="s">
        <v>25589</v>
      </c>
      <c r="D6051" s="5" t="s">
        <v>25585</v>
      </c>
      <c r="E6051" s="5" t="s">
        <v>25586</v>
      </c>
      <c r="F6051" s="5" t="str">
        <f>HYPERLINK("http://www.ortobioshop.it/","www.ortobioshop.it")</f>
        <v>www.ortobioshop.it</v>
      </c>
    </row>
    <row r="6052" spans="1:6" ht="29.55" customHeight="1" x14ac:dyDescent="0.25">
      <c r="A6052" s="6" t="s">
        <v>25590</v>
      </c>
      <c r="B6052" s="5" t="s">
        <v>25591</v>
      </c>
      <c r="C6052" s="5" t="s">
        <v>25584</v>
      </c>
      <c r="D6052" s="5" t="s">
        <v>25585</v>
      </c>
      <c r="E6052" s="5" t="s">
        <v>25586</v>
      </c>
      <c r="F6052" s="5" t="str">
        <f>HYPERLINK("http://www.agricolalombardi.it/","www.agricolalombardi.it")</f>
        <v>www.agricolalombardi.it</v>
      </c>
    </row>
    <row r="6053" spans="1:6" ht="29.55" customHeight="1" x14ac:dyDescent="0.25">
      <c r="A6053" s="1" t="s">
        <v>25596</v>
      </c>
      <c r="B6053" s="7" t="s">
        <v>25597</v>
      </c>
      <c r="C6053" s="7" t="s">
        <v>25595</v>
      </c>
      <c r="D6053" s="7" t="s">
        <v>25592</v>
      </c>
      <c r="E6053" s="7" t="s">
        <v>25593</v>
      </c>
      <c r="F6053" s="7" t="str">
        <f>HYPERLINK("http://villacaviciana.com/","villacaviciana.com")</f>
        <v>villacaviciana.com</v>
      </c>
    </row>
    <row r="6054" spans="1:6" ht="29.55" customHeight="1" x14ac:dyDescent="0.25">
      <c r="A6054" s="6" t="s">
        <v>25598</v>
      </c>
      <c r="B6054" s="5" t="s">
        <v>25599</v>
      </c>
      <c r="C6054" s="5" t="s">
        <v>25600</v>
      </c>
      <c r="D6054" s="5" t="s">
        <v>25592</v>
      </c>
      <c r="E6054" s="5" t="s">
        <v>25593</v>
      </c>
      <c r="F6054" s="5" t="str">
        <f>HYPERLINK("http://offleadretrievers.com/","offleadretrievers.com")</f>
        <v>offleadretrievers.com</v>
      </c>
    </row>
    <row r="6055" spans="1:6" ht="55.65" customHeight="1" x14ac:dyDescent="0.25">
      <c r="A6055" s="6" t="s">
        <v>25601</v>
      </c>
      <c r="B6055" s="5" t="s">
        <v>25602</v>
      </c>
      <c r="C6055" s="5" t="s">
        <v>25594</v>
      </c>
      <c r="D6055" s="5" t="s">
        <v>25592</v>
      </c>
      <c r="E6055" s="5" t="s">
        <v>25593</v>
      </c>
      <c r="F6055" s="5" t="str">
        <f>HYPERLINK("http://relais-torre-del-piancastagno.dormireinitalia.top/","relais-torre-del-piancastagno.dormireinitalia.top")</f>
        <v>relais-torre-del-piancastagno.dormireinitalia.top</v>
      </c>
    </row>
    <row r="6056" spans="1:6" ht="29.55" customHeight="1" x14ac:dyDescent="0.25">
      <c r="A6056" s="6" t="s">
        <v>25605</v>
      </c>
      <c r="B6056" s="5" t="s">
        <v>25606</v>
      </c>
      <c r="C6056" s="5" t="s">
        <v>25607</v>
      </c>
      <c r="D6056" s="5" t="s">
        <v>25603</v>
      </c>
      <c r="E6056" s="5" t="s">
        <v>25604</v>
      </c>
      <c r="F6056" s="5" t="str">
        <f>HYPERLINK("http://fattoriacapobianco.it/","fattoriacapobianco.it")</f>
        <v>fattoriacapobianco.it</v>
      </c>
    </row>
    <row r="6057" spans="1:6" ht="29.55" customHeight="1" x14ac:dyDescent="0.25">
      <c r="A6057" s="6" t="s">
        <v>25610</v>
      </c>
      <c r="B6057" s="5" t="s">
        <v>25611</v>
      </c>
      <c r="C6057" s="5" t="s">
        <v>25612</v>
      </c>
      <c r="D6057" s="5" t="s">
        <v>25608</v>
      </c>
      <c r="E6057" s="5" t="s">
        <v>25609</v>
      </c>
      <c r="F6057" s="5" t="str">
        <f>HYPERLINK("http://www.villafrut.it/","www.villafrut.it")</f>
        <v>www.villafrut.it</v>
      </c>
    </row>
    <row r="6058" spans="1:6" ht="29.55" customHeight="1" x14ac:dyDescent="0.25">
      <c r="A6058" s="1" t="s">
        <v>25615</v>
      </c>
      <c r="B6058" s="7" t="s">
        <v>25616</v>
      </c>
      <c r="C6058" s="7" t="s">
        <v>25617</v>
      </c>
      <c r="D6058" s="7" t="s">
        <v>25613</v>
      </c>
      <c r="E6058" s="7" t="s">
        <v>25614</v>
      </c>
      <c r="F6058" s="7" t="str">
        <f>HYPERLINK("http://www.elais-tech.com/","www.elais-tech.com")</f>
        <v>www.elais-tech.com</v>
      </c>
    </row>
    <row r="6059" spans="1:6" ht="29.55" customHeight="1" x14ac:dyDescent="0.25">
      <c r="A6059" s="1" t="s">
        <v>25618</v>
      </c>
      <c r="B6059" s="7" t="s">
        <v>25619</v>
      </c>
      <c r="C6059" s="7" t="s">
        <v>25620</v>
      </c>
      <c r="D6059" s="7" t="s">
        <v>25613</v>
      </c>
      <c r="E6059" s="7" t="s">
        <v>25614</v>
      </c>
      <c r="F6059" s="7" t="str">
        <f>HYPERLINK("http://fattoriaaperegina.it/","fattoriaaperegina.it")</f>
        <v>fattoriaaperegina.it</v>
      </c>
    </row>
    <row r="6060" spans="1:6" ht="43.05" customHeight="1" x14ac:dyDescent="0.25">
      <c r="A6060" s="6" t="s">
        <v>25624</v>
      </c>
      <c r="B6060" s="5" t="s">
        <v>25625</v>
      </c>
      <c r="C6060" s="5" t="s">
        <v>25621</v>
      </c>
      <c r="D6060" s="5" t="s">
        <v>25622</v>
      </c>
      <c r="E6060" s="5" t="s">
        <v>25623</v>
      </c>
      <c r="F6060" s="5" t="str">
        <f>HYPERLINK("http://sinergiasrl.com/","sinergiasrl.com")</f>
        <v>sinergiasrl.com</v>
      </c>
    </row>
    <row r="6061" spans="1:6" ht="29.55" customHeight="1" x14ac:dyDescent="0.25">
      <c r="A6061" s="6" t="s">
        <v>25629</v>
      </c>
      <c r="B6061" s="5" t="s">
        <v>25630</v>
      </c>
      <c r="C6061" s="5" t="s">
        <v>25628</v>
      </c>
      <c r="D6061" s="5" t="s">
        <v>25626</v>
      </c>
      <c r="E6061" s="5" t="s">
        <v>25627</v>
      </c>
      <c r="F6061" s="5" t="str">
        <f>HYPERLINK("http://www.calufera.com/","www.calufera.com")</f>
        <v>www.calufera.com</v>
      </c>
    </row>
    <row r="6062" spans="1:6" ht="16.95" customHeight="1" x14ac:dyDescent="0.25">
      <c r="A6062" s="1" t="s">
        <v>25634</v>
      </c>
      <c r="B6062" s="7" t="s">
        <v>25635</v>
      </c>
      <c r="C6062" s="7" t="s">
        <v>25636</v>
      </c>
      <c r="D6062" s="7" t="s">
        <v>25631</v>
      </c>
      <c r="E6062" s="7" t="s">
        <v>25632</v>
      </c>
      <c r="F6062" s="7" t="str">
        <f>HYPERLINK("http://www.locandasole.it/","www.locandasole.it")</f>
        <v>www.locandasole.it</v>
      </c>
    </row>
    <row r="6063" spans="1:6" ht="16.95" customHeight="1" x14ac:dyDescent="0.25">
      <c r="A6063" s="1" t="s">
        <v>25637</v>
      </c>
      <c r="B6063" s="7" t="s">
        <v>25638</v>
      </c>
      <c r="C6063" s="7" t="s">
        <v>25639</v>
      </c>
      <c r="D6063" s="7" t="s">
        <v>25631</v>
      </c>
      <c r="E6063" s="7" t="s">
        <v>25632</v>
      </c>
      <c r="F6063" s="7" t="str">
        <f>HYPERLINK("http://www.hotel-bellapeschiera.it/","www.hotel-bellapeschiera.it")</f>
        <v>www.hotel-bellapeschiera.it</v>
      </c>
    </row>
    <row r="6064" spans="1:6" ht="16.95" customHeight="1" x14ac:dyDescent="0.25">
      <c r="A6064" s="6" t="s">
        <v>25641</v>
      </c>
      <c r="B6064" s="5" t="s">
        <v>25642</v>
      </c>
      <c r="C6064" s="5" t="s">
        <v>25633</v>
      </c>
      <c r="D6064" s="5" t="s">
        <v>25640</v>
      </c>
      <c r="E6064" s="5" t="s">
        <v>25632</v>
      </c>
      <c r="F6064" s="5" t="str">
        <f>HYPERLINK("http://www.pilottoservizi.com/","www.pilottoservizi.com")</f>
        <v>www.pilottoservizi.com</v>
      </c>
    </row>
    <row r="6065" spans="1:6" ht="29.55" customHeight="1" x14ac:dyDescent="0.25">
      <c r="A6065" s="1" t="s">
        <v>25646</v>
      </c>
      <c r="B6065" s="7" t="s">
        <v>25647</v>
      </c>
      <c r="C6065" s="7" t="s">
        <v>25645</v>
      </c>
      <c r="D6065" s="7" t="s">
        <v>25643</v>
      </c>
      <c r="E6065" s="7" t="s">
        <v>25644</v>
      </c>
      <c r="F6065" s="7" t="str">
        <f>HYPERLINK("http://vivaidallerive.it/","vivaidallerive.it")</f>
        <v>vivaidallerive.it</v>
      </c>
    </row>
    <row r="6066" spans="1:6" ht="43.05" customHeight="1" x14ac:dyDescent="0.25">
      <c r="A6066" s="6" t="s">
        <v>25649</v>
      </c>
      <c r="B6066" s="5" t="s">
        <v>25650</v>
      </c>
      <c r="C6066" s="5" t="s">
        <v>25648</v>
      </c>
      <c r="D6066" s="5" t="s">
        <v>25643</v>
      </c>
      <c r="E6066" s="5" t="s">
        <v>25644</v>
      </c>
      <c r="F6066" s="5" t="str">
        <f>HYPERLINK("http://italiavalueteam.it/","italiavalueteam.it")</f>
        <v>italiavalueteam.it</v>
      </c>
    </row>
    <row r="6067" spans="1:6" ht="29.55" customHeight="1" x14ac:dyDescent="0.25">
      <c r="A6067" s="1" t="s">
        <v>25653</v>
      </c>
      <c r="B6067" s="7" t="s">
        <v>25654</v>
      </c>
      <c r="C6067" s="7" t="s">
        <v>25655</v>
      </c>
      <c r="D6067" s="7" t="s">
        <v>25651</v>
      </c>
      <c r="E6067" s="7" t="s">
        <v>25652</v>
      </c>
      <c r="F6067" s="7" t="str">
        <f>HYPERLINK("http://www.enaip.veneto.it/index.php/vi/bassano-del-grappa","www.enaip.veneto.it/index.php/vi/bassano-del-grappa")</f>
        <v>www.enaip.veneto.it/index.php/vi/bassano-del-grappa</v>
      </c>
    </row>
    <row r="6068" spans="1:6" ht="43.05" customHeight="1" x14ac:dyDescent="0.25">
      <c r="A6068" s="6" t="s">
        <v>25657</v>
      </c>
      <c r="B6068" s="5" t="s">
        <v>25658</v>
      </c>
      <c r="C6068" s="5" t="s">
        <v>25659</v>
      </c>
      <c r="D6068" s="5" t="s">
        <v>25656</v>
      </c>
      <c r="E6068" s="5" t="s">
        <v>25652</v>
      </c>
      <c r="F6068" s="5" t="str">
        <f>HYPERLINK("http://www.pradarca.it/","www.pradarca.it")</f>
        <v>www.pradarca.it</v>
      </c>
    </row>
    <row r="6069" spans="1:6" ht="29.55" customHeight="1" x14ac:dyDescent="0.25">
      <c r="A6069" s="6" t="s">
        <v>25662</v>
      </c>
      <c r="B6069" s="5" t="s">
        <v>25663</v>
      </c>
      <c r="C6069" s="5" t="s">
        <v>25664</v>
      </c>
      <c r="D6069" s="5" t="s">
        <v>25660</v>
      </c>
      <c r="E6069" s="5" t="s">
        <v>25661</v>
      </c>
      <c r="F6069" s="5" t="str">
        <f>HYPERLINK("http://www.consorziovalsesia.it/produttori/item","www.consorziovalsesia.it/produttori/item")</f>
        <v>www.consorziovalsesia.it/produttori/item</v>
      </c>
    </row>
    <row r="6070" spans="1:6" ht="29.55" customHeight="1" x14ac:dyDescent="0.25">
      <c r="A6070" s="1" t="s">
        <v>25665</v>
      </c>
      <c r="B6070" s="7" t="s">
        <v>25666</v>
      </c>
      <c r="C6070" s="7" t="s">
        <v>25667</v>
      </c>
      <c r="D6070" s="7" t="s">
        <v>25660</v>
      </c>
      <c r="E6070" s="7" t="s">
        <v>25661</v>
      </c>
      <c r="F6070" s="7" t="str">
        <f>HYPERLINK("http://www.carolinakhouri.com/","www.carolinakhouri.com")</f>
        <v>www.carolinakhouri.com</v>
      </c>
    </row>
    <row r="6071" spans="1:6" ht="29.55" customHeight="1" x14ac:dyDescent="0.25">
      <c r="A6071" s="6" t="s">
        <v>25670</v>
      </c>
      <c r="B6071" s="5" t="s">
        <v>25671</v>
      </c>
      <c r="C6071" s="5" t="s">
        <v>25672</v>
      </c>
      <c r="D6071" s="5" t="s">
        <v>25668</v>
      </c>
      <c r="E6071" s="5" t="s">
        <v>25669</v>
      </c>
      <c r="F6071" s="5" t="str">
        <f>HYPERLINK("http://www.canapafacile.it/","www.canapafacile.it")</f>
        <v>www.canapafacile.it</v>
      </c>
    </row>
    <row r="6072" spans="1:6" ht="43.05" customHeight="1" x14ac:dyDescent="0.25">
      <c r="A6072" s="1" t="s">
        <v>25673</v>
      </c>
      <c r="B6072" s="7" t="s">
        <v>25674</v>
      </c>
      <c r="C6072" s="7" t="s">
        <v>25675</v>
      </c>
      <c r="D6072" s="7" t="s">
        <v>25668</v>
      </c>
      <c r="E6072" s="7" t="s">
        <v>25669</v>
      </c>
      <c r="F6072" s="7" t="str">
        <f>HYPERLINK("http://www.clubippicolavalletta.it/","www.clubippicolavalletta.it")</f>
        <v>www.clubippicolavalletta.it</v>
      </c>
    </row>
    <row r="6073" spans="1:6" ht="29.55" customHeight="1" x14ac:dyDescent="0.25">
      <c r="A6073" s="6" t="s">
        <v>25678</v>
      </c>
      <c r="B6073" s="5" t="s">
        <v>25679</v>
      </c>
      <c r="C6073" s="5" t="s">
        <v>25680</v>
      </c>
      <c r="D6073" s="5" t="s">
        <v>25676</v>
      </c>
      <c r="E6073" s="5" t="s">
        <v>25677</v>
      </c>
      <c r="F6073" s="5" t="str">
        <f>HYPERLINK("http://www.societagricolaliviadrusillaclaudiasrl.com/","www.societagricolaliviadrusillaclaudiasrl.com")</f>
        <v>www.societagricolaliviadrusillaclaudiasrl.com</v>
      </c>
    </row>
    <row r="6074" spans="1:6" ht="29.55" customHeight="1" x14ac:dyDescent="0.25">
      <c r="A6074" s="6" t="s">
        <v>25681</v>
      </c>
      <c r="B6074" s="5" t="s">
        <v>25682</v>
      </c>
      <c r="C6074" s="5" t="s">
        <v>25680</v>
      </c>
      <c r="D6074" s="5" t="s">
        <v>25676</v>
      </c>
      <c r="E6074" s="5" t="s">
        <v>25677</v>
      </c>
      <c r="F6074" s="5" t="str">
        <f>HYPERLINK("http://www.vinipetrucco.it/","www.vinipetrucco.it")</f>
        <v>www.vinipetrucco.it</v>
      </c>
    </row>
    <row r="6075" spans="1:6" ht="29.55" customHeight="1" x14ac:dyDescent="0.25">
      <c r="A6075" s="6" t="s">
        <v>25683</v>
      </c>
      <c r="B6075" s="5" t="s">
        <v>25684</v>
      </c>
      <c r="C6075" s="5" t="s">
        <v>25685</v>
      </c>
      <c r="D6075" s="5" t="s">
        <v>25676</v>
      </c>
      <c r="E6075" s="5" t="s">
        <v>25677</v>
      </c>
      <c r="F6075" s="5" t="str">
        <f>HYPERLINK("http://www.altierinillo.com/","www.altierinillo.com")</f>
        <v>www.altierinillo.com</v>
      </c>
    </row>
    <row r="6076" spans="1:6" ht="16.95" customHeight="1" x14ac:dyDescent="0.25">
      <c r="A6076" s="1" t="s">
        <v>25686</v>
      </c>
      <c r="B6076" s="7" t="s">
        <v>25687</v>
      </c>
      <c r="C6076" s="7" t="s">
        <v>25688</v>
      </c>
      <c r="D6076" s="7" t="s">
        <v>25676</v>
      </c>
      <c r="E6076" s="7" t="s">
        <v>25677</v>
      </c>
      <c r="F6076" s="7" t="str">
        <f>HYPERLINK("http://www.casaledelmiele.it/","www.casaledelmiele.it")</f>
        <v>www.casaledelmiele.it</v>
      </c>
    </row>
    <row r="6077" spans="1:6" ht="29.55" customHeight="1" x14ac:dyDescent="0.25">
      <c r="A6077" s="6" t="s">
        <v>25691</v>
      </c>
      <c r="B6077" s="5" t="s">
        <v>25692</v>
      </c>
      <c r="C6077" s="5" t="s">
        <v>25693</v>
      </c>
      <c r="D6077" s="5" t="s">
        <v>25689</v>
      </c>
      <c r="E6077" s="5" t="s">
        <v>25690</v>
      </c>
      <c r="F6077" s="5" t="str">
        <f>HYPERLINK("http://www.alvecchiocasaleagriturismo.it/","www.alvecchiocasaleagriturismo.it")</f>
        <v>www.alvecchiocasaleagriturismo.it</v>
      </c>
    </row>
    <row r="6078" spans="1:6" ht="43.05" customHeight="1" x14ac:dyDescent="0.25">
      <c r="A6078" s="1" t="s">
        <v>25694</v>
      </c>
      <c r="B6078" s="7" t="s">
        <v>25695</v>
      </c>
      <c r="C6078" s="7" t="s">
        <v>25696</v>
      </c>
      <c r="D6078" s="7" t="s">
        <v>25689</v>
      </c>
      <c r="E6078" s="7" t="s">
        <v>25690</v>
      </c>
      <c r="F6078" s="7" t="str">
        <f>HYPERLINK("http://terredelfriulidimezzo.it/","terredelfriulidimezzo.it")</f>
        <v>terredelfriulidimezzo.it</v>
      </c>
    </row>
    <row r="6079" spans="1:6" ht="29.55" customHeight="1" x14ac:dyDescent="0.25">
      <c r="A6079" s="1" t="s">
        <v>25699</v>
      </c>
      <c r="B6079" s="7" t="s">
        <v>25700</v>
      </c>
      <c r="C6079" s="7" t="s">
        <v>25701</v>
      </c>
      <c r="D6079" s="7" t="s">
        <v>25697</v>
      </c>
      <c r="E6079" s="7" t="s">
        <v>25698</v>
      </c>
      <c r="F6079" s="7" t="str">
        <f>HYPERLINK("http://www.vinifamigliascotta.it/","www.vinifamigliascotta.it")</f>
        <v>www.vinifamigliascotta.it</v>
      </c>
    </row>
    <row r="6080" spans="1:6" ht="29.55" customHeight="1" x14ac:dyDescent="0.25">
      <c r="A6080" s="6" t="s">
        <v>25702</v>
      </c>
      <c r="B6080" s="5" t="s">
        <v>25703</v>
      </c>
      <c r="C6080" s="5" t="s">
        <v>25704</v>
      </c>
      <c r="D6080" s="5" t="s">
        <v>25697</v>
      </c>
      <c r="E6080" s="5" t="s">
        <v>25698</v>
      </c>
      <c r="F6080" s="5" t="str">
        <f>HYPERLINK("http://www.fattoriaterramica.it/","www.fattoriaterramica.it")</f>
        <v>www.fattoriaterramica.it</v>
      </c>
    </row>
    <row r="6081" spans="1:6" ht="29.55" customHeight="1" x14ac:dyDescent="0.25">
      <c r="A6081" s="6" t="s">
        <v>25707</v>
      </c>
      <c r="B6081" s="5" t="s">
        <v>25708</v>
      </c>
      <c r="C6081" s="5" t="s">
        <v>25709</v>
      </c>
      <c r="D6081" s="5" t="s">
        <v>25705</v>
      </c>
      <c r="E6081" s="5" t="s">
        <v>25706</v>
      </c>
      <c r="F6081" s="5" t="str">
        <f>HYPERLINK("http://localcarbonitalia.org/","localcarbonitalia.org")</f>
        <v>localcarbonitalia.org</v>
      </c>
    </row>
    <row r="6082" spans="1:6" ht="55.65" customHeight="1" x14ac:dyDescent="0.25">
      <c r="A6082" s="1" t="s">
        <v>25710</v>
      </c>
      <c r="B6082" s="7" t="s">
        <v>25711</v>
      </c>
      <c r="C6082" s="7" t="s">
        <v>25712</v>
      </c>
      <c r="D6082" s="7" t="s">
        <v>25705</v>
      </c>
      <c r="E6082" s="7" t="s">
        <v>25706</v>
      </c>
      <c r="F6082" s="7" t="str">
        <f>HYPERLINK("http://www.solobrado.it/","www.solobrado.it")</f>
        <v>www.solobrado.it</v>
      </c>
    </row>
    <row r="6083" spans="1:6" ht="29.55" customHeight="1" x14ac:dyDescent="0.25">
      <c r="A6083" s="6" t="s">
        <v>25716</v>
      </c>
      <c r="B6083" s="5" t="s">
        <v>25717</v>
      </c>
      <c r="C6083" s="5" t="s">
        <v>25718</v>
      </c>
      <c r="D6083" s="5" t="s">
        <v>25713</v>
      </c>
      <c r="E6083" s="5" t="s">
        <v>25714</v>
      </c>
      <c r="F6083" s="5" t="str">
        <f>HYPERLINK("http://www.laperladeltevere.com/","www.laperladeltevere.com")</f>
        <v>www.laperladeltevere.com</v>
      </c>
    </row>
    <row r="6084" spans="1:6" ht="29.55" customHeight="1" x14ac:dyDescent="0.25">
      <c r="A6084" s="6" t="s">
        <v>25719</v>
      </c>
      <c r="B6084" s="5" t="s">
        <v>25720</v>
      </c>
      <c r="C6084" s="5" t="s">
        <v>25715</v>
      </c>
      <c r="D6084" s="5" t="s">
        <v>25713</v>
      </c>
      <c r="E6084" s="5" t="s">
        <v>25714</v>
      </c>
      <c r="F6084" s="5" t="str">
        <f>HYPERLINK("http://www.bioenergiasrl.com/","www.bioenergiasrl.com")</f>
        <v>www.bioenergiasrl.com</v>
      </c>
    </row>
    <row r="6085" spans="1:6" ht="29.55" customHeight="1" x14ac:dyDescent="0.25">
      <c r="A6085" s="1" t="s">
        <v>25724</v>
      </c>
      <c r="B6085" s="7" t="s">
        <v>25725</v>
      </c>
      <c r="C6085" s="7" t="s">
        <v>25721</v>
      </c>
      <c r="D6085" s="7" t="s">
        <v>25722</v>
      </c>
      <c r="E6085" s="7" t="s">
        <v>25723</v>
      </c>
      <c r="F6085" s="7" t="str">
        <f>HYPERLINK("http://www.carlopellegrino.it/","www.carlopellegrino.it")</f>
        <v>www.carlopellegrino.it</v>
      </c>
    </row>
    <row r="6086" spans="1:6" ht="29.55" customHeight="1" x14ac:dyDescent="0.25">
      <c r="A6086" s="6" t="s">
        <v>25727</v>
      </c>
      <c r="B6086" s="5" t="s">
        <v>25728</v>
      </c>
      <c r="C6086" s="5" t="s">
        <v>25729</v>
      </c>
      <c r="D6086" s="5" t="s">
        <v>25722</v>
      </c>
      <c r="E6086" s="5" t="s">
        <v>25723</v>
      </c>
      <c r="F6086" s="5" t="str">
        <f>HYPERLINK("http://www.caseificioincava.it/","www.caseificioincava.it")</f>
        <v>www.caseificioincava.it</v>
      </c>
    </row>
    <row r="6087" spans="1:6" ht="43.05" customHeight="1" x14ac:dyDescent="0.25">
      <c r="A6087" s="1" t="s">
        <v>25730</v>
      </c>
      <c r="B6087" s="7" t="s">
        <v>25731</v>
      </c>
      <c r="C6087" s="7" t="s">
        <v>25726</v>
      </c>
      <c r="D6087" s="7" t="s">
        <v>25722</v>
      </c>
      <c r="E6087" s="7" t="s">
        <v>25723</v>
      </c>
      <c r="F6087" s="7" t="str">
        <f>HYPERLINK("http://beliceolio.com/","beliceolio.com")</f>
        <v>beliceolio.com</v>
      </c>
    </row>
    <row r="6088" spans="1:6" ht="29.55" customHeight="1" x14ac:dyDescent="0.25">
      <c r="A6088" s="6" t="s">
        <v>25735</v>
      </c>
      <c r="B6088" s="5" t="s">
        <v>25736</v>
      </c>
      <c r="C6088" s="5" t="s">
        <v>25737</v>
      </c>
      <c r="D6088" s="5" t="s">
        <v>25732</v>
      </c>
      <c r="E6088" s="5" t="s">
        <v>25733</v>
      </c>
      <c r="F6088" s="5" t="str">
        <f>HYPERLINK("http://www.stevialsuditalia.it/","www.stevialsuditalia.it")</f>
        <v>www.stevialsuditalia.it</v>
      </c>
    </row>
    <row r="6089" spans="1:6" ht="29.55" customHeight="1" x14ac:dyDescent="0.25">
      <c r="A6089" s="1" t="s">
        <v>25738</v>
      </c>
      <c r="B6089" s="7" t="s">
        <v>25739</v>
      </c>
      <c r="C6089" s="7" t="s">
        <v>25734</v>
      </c>
      <c r="D6089" s="7" t="s">
        <v>25732</v>
      </c>
      <c r="E6089" s="7" t="s">
        <v>25733</v>
      </c>
      <c r="F6089" s="7" t="str">
        <f>HYPERLINK("http://www.gandolfovini.com/","www.gandolfovini.com")</f>
        <v>www.gandolfovini.com</v>
      </c>
    </row>
    <row r="6090" spans="1:6" ht="16.95" customHeight="1" x14ac:dyDescent="0.25">
      <c r="A6090" s="6" t="s">
        <v>25740</v>
      </c>
      <c r="B6090" s="5" t="s">
        <v>25741</v>
      </c>
      <c r="C6090" s="5" t="s">
        <v>25742</v>
      </c>
      <c r="D6090" s="5" t="s">
        <v>25732</v>
      </c>
      <c r="E6090" s="5" t="s">
        <v>25733</v>
      </c>
      <c r="F6090" s="5" t="str">
        <f>HYPERLINK("http://naturared.it/","naturared.it")</f>
        <v>naturared.it</v>
      </c>
    </row>
    <row r="6091" spans="1:6" ht="29.55" customHeight="1" x14ac:dyDescent="0.25">
      <c r="A6091" s="1" t="s">
        <v>25743</v>
      </c>
      <c r="B6091" s="7" t="s">
        <v>25744</v>
      </c>
      <c r="C6091" s="7" t="s">
        <v>25745</v>
      </c>
      <c r="D6091" s="7" t="s">
        <v>25732</v>
      </c>
      <c r="E6091" s="7" t="s">
        <v>25733</v>
      </c>
      <c r="F6091" s="7" t="str">
        <f>HYPERLINK("http://www.terrevivedisicilia.it/","www.terrevivedisicilia.it")</f>
        <v>www.terrevivedisicilia.it</v>
      </c>
    </row>
    <row r="6092" spans="1:6" ht="29.55" customHeight="1" x14ac:dyDescent="0.25">
      <c r="A6092" s="6" t="s">
        <v>25748</v>
      </c>
      <c r="B6092" s="5" t="s">
        <v>25749</v>
      </c>
      <c r="C6092" s="5" t="s">
        <v>25750</v>
      </c>
      <c r="D6092" s="5" t="s">
        <v>25746</v>
      </c>
      <c r="E6092" s="5" t="s">
        <v>25747</v>
      </c>
      <c r="F6092" s="5" t="str">
        <f>HYPERLINK("http://konsumer.mazarashopping.com/","konsumer.mazarashopping.com")</f>
        <v>konsumer.mazarashopping.com</v>
      </c>
    </row>
    <row r="6093" spans="1:6" ht="29.55" customHeight="1" x14ac:dyDescent="0.25">
      <c r="A6093" s="1" t="s">
        <v>25752</v>
      </c>
      <c r="B6093" s="7" t="s">
        <v>25753</v>
      </c>
      <c r="C6093" s="7" t="s">
        <v>25751</v>
      </c>
      <c r="D6093" s="7" t="s">
        <v>25746</v>
      </c>
      <c r="E6093" s="7" t="s">
        <v>25747</v>
      </c>
      <c r="F6093" s="7" t="str">
        <f>HYPERLINK("http://agricolagiammalvo.it/","agricolagiammalvo.it")</f>
        <v>agricolagiammalvo.it</v>
      </c>
    </row>
    <row r="6094" spans="1:6" ht="29.55" customHeight="1" x14ac:dyDescent="0.25">
      <c r="A6094" s="6" t="s">
        <v>25755</v>
      </c>
      <c r="B6094" s="5" t="s">
        <v>25756</v>
      </c>
      <c r="C6094" s="5" t="s">
        <v>25757</v>
      </c>
      <c r="D6094" s="5" t="s">
        <v>25758</v>
      </c>
      <c r="E6094" s="5" t="s">
        <v>25759</v>
      </c>
      <c r="F6094" s="5" t="str">
        <f>HYPERLINK("http://www.ferrandovini.it/","www.ferrandovini.it")</f>
        <v>www.ferrandovini.it</v>
      </c>
    </row>
    <row r="6095" spans="1:6" ht="29.55" customHeight="1" x14ac:dyDescent="0.25">
      <c r="A6095" s="1" t="s">
        <v>25760</v>
      </c>
      <c r="B6095" s="7" t="s">
        <v>25761</v>
      </c>
      <c r="C6095" s="7" t="s">
        <v>25762</v>
      </c>
      <c r="D6095" s="7" t="s">
        <v>25758</v>
      </c>
      <c r="E6095" s="7" t="s">
        <v>25759</v>
      </c>
      <c r="F6095" s="7" t="str">
        <f>HYPERLINK("http://www.aziendagricolamolino.com/","www.aziendagricolamolino.com")</f>
        <v>www.aziendagricolamolino.com</v>
      </c>
    </row>
    <row r="6096" spans="1:6" ht="29.55" customHeight="1" x14ac:dyDescent="0.25">
      <c r="A6096" s="1" t="s">
        <v>25764</v>
      </c>
      <c r="B6096" s="7" t="s">
        <v>25765</v>
      </c>
      <c r="C6096" s="7" t="s">
        <v>25766</v>
      </c>
      <c r="D6096" s="7" t="s">
        <v>25758</v>
      </c>
      <c r="E6096" s="7" t="s">
        <v>25759</v>
      </c>
      <c r="F6096" s="7" t="str">
        <f>HYPERLINK("http://www.belprato.it/","www.belprato.it")</f>
        <v>www.belprato.it</v>
      </c>
    </row>
    <row r="6097" spans="1:6" ht="29.55" customHeight="1" x14ac:dyDescent="0.25">
      <c r="A6097" s="6" t="s">
        <v>25767</v>
      </c>
      <c r="B6097" s="5" t="s">
        <v>25768</v>
      </c>
      <c r="C6097" s="5" t="s">
        <v>25763</v>
      </c>
      <c r="D6097" s="5" t="s">
        <v>25758</v>
      </c>
      <c r="E6097" s="5" t="s">
        <v>25759</v>
      </c>
      <c r="F6097" s="5" t="str">
        <f>HYPERLINK("http://giardinodeisapori.com/","giardinodeisapori.com")</f>
        <v>giardinodeisapori.com</v>
      </c>
    </row>
    <row r="6098" spans="1:6" ht="16.95" customHeight="1" x14ac:dyDescent="0.25">
      <c r="A6098" s="1" t="s">
        <v>25770</v>
      </c>
      <c r="B6098" s="7" t="s">
        <v>25771</v>
      </c>
      <c r="C6098" s="7" t="s">
        <v>25754</v>
      </c>
      <c r="D6098" s="7" t="s">
        <v>25758</v>
      </c>
      <c r="E6098" s="7" t="s">
        <v>25759</v>
      </c>
      <c r="F6098" s="7" t="str">
        <f>HYPERLINK("http://www.madeinbamboo.com/","www.madeinbamboo.com")</f>
        <v>www.madeinbamboo.com</v>
      </c>
    </row>
    <row r="6099" spans="1:6" ht="16.95" customHeight="1" x14ac:dyDescent="0.25">
      <c r="A6099" s="1" t="s">
        <v>25772</v>
      </c>
      <c r="B6099" s="7" t="s">
        <v>25773</v>
      </c>
      <c r="C6099" s="7" t="s">
        <v>25762</v>
      </c>
      <c r="D6099" s="7" t="s">
        <v>25758</v>
      </c>
      <c r="E6099" s="7" t="s">
        <v>25759</v>
      </c>
      <c r="F6099" s="7" t="str">
        <f>HYPERLINK("http://www.cottolengo.org/","www.cottolengo.org")</f>
        <v>www.cottolengo.org</v>
      </c>
    </row>
    <row r="6100" spans="1:6" ht="16.95" customHeight="1" x14ac:dyDescent="0.25">
      <c r="A6100" s="6" t="s">
        <v>25774</v>
      </c>
      <c r="B6100" s="5" t="s">
        <v>25775</v>
      </c>
      <c r="C6100" s="5" t="s">
        <v>25769</v>
      </c>
      <c r="D6100" s="5" t="s">
        <v>25758</v>
      </c>
      <c r="E6100" s="5" t="s">
        <v>25759</v>
      </c>
      <c r="F6100" s="5" t="str">
        <f>HYPERLINK("http://canapa-farm.com/","canapa-farm.com")</f>
        <v>canapa-farm.com</v>
      </c>
    </row>
    <row r="6101" spans="1:6" ht="43.05" customHeight="1" x14ac:dyDescent="0.25">
      <c r="A6101" s="6" t="s">
        <v>25778</v>
      </c>
      <c r="B6101" s="5" t="s">
        <v>25779</v>
      </c>
      <c r="C6101" s="5" t="s">
        <v>25780</v>
      </c>
      <c r="D6101" s="5" t="s">
        <v>25776</v>
      </c>
      <c r="E6101" s="5" t="s">
        <v>25777</v>
      </c>
      <c r="F6101" s="5" t="str">
        <f>HYPERLINK("http://www.bioanzulla.it/","www.bioanzulla.it")</f>
        <v>www.bioanzulla.it</v>
      </c>
    </row>
    <row r="6102" spans="1:6" ht="43.05" customHeight="1" x14ac:dyDescent="0.25">
      <c r="A6102" s="1" t="s">
        <v>25784</v>
      </c>
      <c r="B6102" s="7" t="s">
        <v>25785</v>
      </c>
      <c r="C6102" s="7" t="s">
        <v>25786</v>
      </c>
      <c r="D6102" s="7" t="s">
        <v>25782</v>
      </c>
      <c r="E6102" s="7" t="s">
        <v>25783</v>
      </c>
      <c r="F6102" s="7" t="str">
        <f>HYPERLINK("http://www.cia.tn.it/","www.cia.tn.it")</f>
        <v>www.cia.tn.it</v>
      </c>
    </row>
    <row r="6103" spans="1:6" ht="29.55" customHeight="1" x14ac:dyDescent="0.25">
      <c r="A6103" s="6" t="s">
        <v>25788</v>
      </c>
      <c r="B6103" s="5" t="s">
        <v>25789</v>
      </c>
      <c r="C6103" s="5" t="s">
        <v>25790</v>
      </c>
      <c r="D6103" s="5" t="s">
        <v>25782</v>
      </c>
      <c r="E6103" s="5" t="s">
        <v>25783</v>
      </c>
      <c r="F6103" s="5" t="str">
        <f>HYPERLINK("http://www.d-piu.com/","www.d-piu.com")</f>
        <v>www.d-piu.com</v>
      </c>
    </row>
    <row r="6104" spans="1:6" ht="29.55" customHeight="1" x14ac:dyDescent="0.25">
      <c r="A6104" s="6" t="s">
        <v>25791</v>
      </c>
      <c r="B6104" s="5" t="s">
        <v>25792</v>
      </c>
      <c r="C6104" s="5" t="s">
        <v>25781</v>
      </c>
      <c r="D6104" s="5" t="s">
        <v>25782</v>
      </c>
      <c r="E6104" s="5" t="s">
        <v>25783</v>
      </c>
      <c r="F6104" s="5" t="str">
        <f>HYPERLINK("http://www.agribel.it/","www.agribel.it")</f>
        <v>www.agribel.it</v>
      </c>
    </row>
    <row r="6105" spans="1:6" ht="29.55" customHeight="1" x14ac:dyDescent="0.25">
      <c r="A6105" s="6" t="s">
        <v>25793</v>
      </c>
      <c r="B6105" s="5" t="s">
        <v>25794</v>
      </c>
      <c r="C6105" s="5" t="s">
        <v>25787</v>
      </c>
      <c r="D6105" s="5" t="s">
        <v>25782</v>
      </c>
      <c r="E6105" s="5" t="s">
        <v>25783</v>
      </c>
      <c r="F6105" s="5" t="str">
        <f>HYPERLINK("http://www.coltivars.spazioweb.it/","www.coltivars.spazioweb.it")</f>
        <v>www.coltivars.spazioweb.it</v>
      </c>
    </row>
    <row r="6106" spans="1:6" ht="29.55" customHeight="1" x14ac:dyDescent="0.25">
      <c r="A6106" s="1" t="s">
        <v>25798</v>
      </c>
      <c r="B6106" s="7" t="s">
        <v>25799</v>
      </c>
      <c r="C6106" s="7" t="s">
        <v>25795</v>
      </c>
      <c r="D6106" s="7" t="s">
        <v>25796</v>
      </c>
      <c r="E6106" s="7" t="s">
        <v>25797</v>
      </c>
      <c r="F6106" s="7" t="str">
        <f>HYPERLINK("http://www.cassiodoro19.com/","www.cassiodoro19.com")</f>
        <v>www.cassiodoro19.com</v>
      </c>
    </row>
    <row r="6107" spans="1:6" ht="16.95" customHeight="1" x14ac:dyDescent="0.25">
      <c r="A6107" s="6" t="s">
        <v>25803</v>
      </c>
      <c r="B6107" s="5" t="s">
        <v>25804</v>
      </c>
      <c r="C6107" s="5" t="s">
        <v>25802</v>
      </c>
      <c r="D6107" s="5" t="s">
        <v>25800</v>
      </c>
      <c r="E6107" s="5" t="s">
        <v>25801</v>
      </c>
      <c r="F6107" s="5" t="str">
        <f>HYPERLINK("http://www.cerranodabruzzo.it/","www.cerranodabruzzo.it")</f>
        <v>www.cerranodabruzzo.it</v>
      </c>
    </row>
    <row r="6108" spans="1:6" ht="29.55" customHeight="1" x14ac:dyDescent="0.25">
      <c r="A6108" s="6" t="s">
        <v>25807</v>
      </c>
      <c r="B6108" s="5" t="s">
        <v>25808</v>
      </c>
      <c r="C6108" s="5" t="s">
        <v>25809</v>
      </c>
      <c r="D6108" s="5" t="s">
        <v>25805</v>
      </c>
      <c r="E6108" s="5" t="s">
        <v>25806</v>
      </c>
      <c r="F6108" s="5" t="str">
        <f>HYPERLINK("http://www.serveco.eu/","www.serveco.eu")</f>
        <v>www.serveco.eu</v>
      </c>
    </row>
    <row r="6109" spans="1:6" ht="43.05" customHeight="1" x14ac:dyDescent="0.25">
      <c r="A6109" s="1" t="s">
        <v>25813</v>
      </c>
      <c r="B6109" s="7" t="s">
        <v>25814</v>
      </c>
      <c r="C6109" s="7" t="s">
        <v>25810</v>
      </c>
      <c r="D6109" s="7" t="s">
        <v>25811</v>
      </c>
      <c r="E6109" s="7" t="s">
        <v>25812</v>
      </c>
      <c r="F6109" s="7" t="str">
        <f>HYPERLINK("http://oliomerlato.com/","oliomerlato.com")</f>
        <v>oliomerlato.com</v>
      </c>
    </row>
    <row r="6110" spans="1:6" ht="43.05" customHeight="1" x14ac:dyDescent="0.25">
      <c r="A6110" s="1" t="s">
        <v>25815</v>
      </c>
      <c r="B6110" s="7" t="s">
        <v>25816</v>
      </c>
      <c r="C6110" s="7" t="s">
        <v>25817</v>
      </c>
      <c r="D6110" s="7" t="s">
        <v>25818</v>
      </c>
      <c r="E6110" s="7" t="s">
        <v>25819</v>
      </c>
      <c r="F6110" s="7" t="str">
        <f>HYPERLINK("http://aziendamassaretti.it/","aziendamassaretti.it")</f>
        <v>aziendamassaretti.it</v>
      </c>
    </row>
    <row r="6111" spans="1:6" ht="29.55" customHeight="1" x14ac:dyDescent="0.25">
      <c r="A6111" s="6" t="s">
        <v>25820</v>
      </c>
      <c r="B6111" s="5" t="s">
        <v>25821</v>
      </c>
      <c r="C6111" s="5" t="s">
        <v>25822</v>
      </c>
      <c r="D6111" s="5" t="s">
        <v>25818</v>
      </c>
      <c r="E6111" s="5" t="s">
        <v>25819</v>
      </c>
      <c r="F6111" s="5" t="str">
        <f>HYPERLINK("http://www.calcagnopesto.it/","www.calcagnopesto.it")</f>
        <v>www.calcagnopesto.it</v>
      </c>
    </row>
    <row r="6112" spans="1:6" ht="29.55" customHeight="1" x14ac:dyDescent="0.25">
      <c r="A6112" s="6" t="s">
        <v>25827</v>
      </c>
      <c r="B6112" s="5" t="s">
        <v>25828</v>
      </c>
      <c r="C6112" s="5" t="s">
        <v>25825</v>
      </c>
      <c r="D6112" s="5" t="s">
        <v>25823</v>
      </c>
      <c r="E6112" s="5" t="s">
        <v>25824</v>
      </c>
      <c r="F6112" s="5" t="str">
        <f>HYPERLINK("http://enarothmusic.com/","enarothmusic.com")</f>
        <v>enarothmusic.com</v>
      </c>
    </row>
    <row r="6113" spans="1:6" ht="29.55" customHeight="1" x14ac:dyDescent="0.25">
      <c r="A6113" s="6" t="s">
        <v>25829</v>
      </c>
      <c r="B6113" s="5" t="s">
        <v>25830</v>
      </c>
      <c r="C6113" s="5" t="s">
        <v>25826</v>
      </c>
      <c r="D6113" s="5" t="s">
        <v>25823</v>
      </c>
      <c r="E6113" s="5" t="s">
        <v>25824</v>
      </c>
      <c r="F6113" s="5" t="str">
        <f>HYPERLINK("http://www.tenutagrismeralda.com/","www.tenutagrismeralda.com")</f>
        <v>www.tenutagrismeralda.com</v>
      </c>
    </row>
    <row r="6114" spans="1:6" ht="29.55" customHeight="1" x14ac:dyDescent="0.25">
      <c r="A6114" s="6" t="s">
        <v>25831</v>
      </c>
      <c r="B6114" s="5" t="s">
        <v>25832</v>
      </c>
      <c r="C6114" s="5" t="s">
        <v>25833</v>
      </c>
      <c r="D6114" s="5" t="s">
        <v>25823</v>
      </c>
      <c r="E6114" s="5" t="s">
        <v>25824</v>
      </c>
      <c r="F6114" s="5" t="str">
        <f>HYPERLINK("http://www.janasfood.it/","www.janasfood.it")</f>
        <v>www.janasfood.it</v>
      </c>
    </row>
    <row r="6115" spans="1:6" ht="29.55" customHeight="1" x14ac:dyDescent="0.25">
      <c r="A6115" s="1" t="s">
        <v>25837</v>
      </c>
      <c r="B6115" s="7" t="s">
        <v>25838</v>
      </c>
      <c r="C6115" s="7" t="s">
        <v>25839</v>
      </c>
      <c r="D6115" s="7" t="s">
        <v>25834</v>
      </c>
      <c r="E6115" s="7" t="s">
        <v>25835</v>
      </c>
      <c r="F6115" s="7" t="str">
        <f>HYPERLINK("http://parafarmacia-beauty-pharma.business.site/","parafarmacia-beauty-pharma.business.site")</f>
        <v>parafarmacia-beauty-pharma.business.site</v>
      </c>
    </row>
    <row r="6116" spans="1:6" ht="29.55" customHeight="1" x14ac:dyDescent="0.25">
      <c r="A6116" s="6" t="s">
        <v>25840</v>
      </c>
      <c r="B6116" s="5" t="s">
        <v>25841</v>
      </c>
      <c r="C6116" s="5" t="s">
        <v>25836</v>
      </c>
      <c r="D6116" s="5" t="s">
        <v>25834</v>
      </c>
      <c r="E6116" s="5" t="s">
        <v>25835</v>
      </c>
      <c r="F6116" s="5" t="str">
        <f>HYPERLINK("http://www.intesasanpaolo.com/it/common/footer","www.intesasanpaolo.com/it/common/footer")</f>
        <v>www.intesasanpaolo.com/it/common/footer</v>
      </c>
    </row>
    <row r="6117" spans="1:6" ht="29.55" customHeight="1" x14ac:dyDescent="0.25">
      <c r="A6117" s="1" t="s">
        <v>25845</v>
      </c>
      <c r="B6117" s="7" t="s">
        <v>25846</v>
      </c>
      <c r="C6117" s="7" t="s">
        <v>25844</v>
      </c>
      <c r="D6117" s="7" t="s">
        <v>25842</v>
      </c>
      <c r="E6117" s="7" t="s">
        <v>25843</v>
      </c>
      <c r="F6117" s="7" t="str">
        <f>HYPERLINK("http://www.oleabiosardegna-com/","www.oleabiosardegna-com")</f>
        <v>www.oleabiosardegna-com</v>
      </c>
    </row>
    <row r="6118" spans="1:6" ht="55.65" customHeight="1" x14ac:dyDescent="0.25">
      <c r="A6118" s="6" t="s">
        <v>25849</v>
      </c>
      <c r="B6118" s="5" t="s">
        <v>25850</v>
      </c>
      <c r="C6118" s="5" t="s">
        <v>25851</v>
      </c>
      <c r="D6118" s="5" t="s">
        <v>25847</v>
      </c>
      <c r="E6118" s="5" t="s">
        <v>25848</v>
      </c>
      <c r="F6118" s="5" t="str">
        <f>HYPERLINK("http://www.oleificiosanpasquale.it/","www.oleificiosanpasquale.it")</f>
        <v>www.oleificiosanpasquale.it</v>
      </c>
    </row>
    <row r="6119" spans="1:6" ht="29.55" customHeight="1" x14ac:dyDescent="0.25">
      <c r="A6119" s="1" t="s">
        <v>25853</v>
      </c>
      <c r="B6119" s="7" t="s">
        <v>25854</v>
      </c>
      <c r="C6119" s="7" t="s">
        <v>25852</v>
      </c>
      <c r="D6119" s="7" t="s">
        <v>25847</v>
      </c>
      <c r="E6119" s="7" t="s">
        <v>25848</v>
      </c>
      <c r="F6119" s="7" t="str">
        <f>HYPERLINK("http://www.enervitabio.com/","www.enervitabio.com")</f>
        <v>www.enervitabio.com</v>
      </c>
    </row>
    <row r="6120" spans="1:6" ht="29.55" customHeight="1" x14ac:dyDescent="0.25">
      <c r="A6120" s="1" t="s">
        <v>25858</v>
      </c>
      <c r="B6120" s="7" t="s">
        <v>25859</v>
      </c>
      <c r="C6120" s="7" t="s">
        <v>25855</v>
      </c>
      <c r="D6120" s="7" t="s">
        <v>25856</v>
      </c>
      <c r="E6120" s="7" t="s">
        <v>25857</v>
      </c>
      <c r="F6120" s="7" t="str">
        <f>HYPERLINK("http://www.fattoriagallo.com/","www.fattoriagallo.com")</f>
        <v>www.fattoriagallo.com</v>
      </c>
    </row>
    <row r="6121" spans="1:6" ht="16.95" customHeight="1" x14ac:dyDescent="0.25">
      <c r="A6121" s="6" t="s">
        <v>25864</v>
      </c>
      <c r="B6121" s="5" t="s">
        <v>25865</v>
      </c>
      <c r="C6121" s="5" t="s">
        <v>25862</v>
      </c>
      <c r="D6121" s="5" t="s">
        <v>25860</v>
      </c>
      <c r="E6121" s="5" t="s">
        <v>25861</v>
      </c>
      <c r="F6121" s="5" t="str">
        <f>HYPERLINK("http://www.graniblei.com/","www.graniblei.com")</f>
        <v>www.graniblei.com</v>
      </c>
    </row>
    <row r="6122" spans="1:6" ht="29.55" customHeight="1" x14ac:dyDescent="0.25">
      <c r="A6122" s="1" t="s">
        <v>25866</v>
      </c>
      <c r="B6122" s="7" t="s">
        <v>25867</v>
      </c>
      <c r="C6122" s="7" t="s">
        <v>25863</v>
      </c>
      <c r="D6122" s="7" t="s">
        <v>25860</v>
      </c>
      <c r="E6122" s="7" t="s">
        <v>25861</v>
      </c>
      <c r="F6122" s="7" t="str">
        <f>HYPERLINK("http://www.agriturismostallaini.com/","www.agriturismostallaini.com")</f>
        <v>www.agriturismostallaini.com</v>
      </c>
    </row>
    <row r="6123" spans="1:6" ht="43.05" customHeight="1" x14ac:dyDescent="0.25">
      <c r="A6123" s="1" t="s">
        <v>25871</v>
      </c>
      <c r="B6123" s="7" t="s">
        <v>25872</v>
      </c>
      <c r="C6123" s="7" t="s">
        <v>25873</v>
      </c>
      <c r="D6123" s="7" t="s">
        <v>25868</v>
      </c>
      <c r="E6123" s="7" t="s">
        <v>25869</v>
      </c>
      <c r="F6123" s="7" t="str">
        <f>HYPERLINK("http://www.villaromanadeltellaro.com/","www.villaromanadeltellaro.com")</f>
        <v>www.villaromanadeltellaro.com</v>
      </c>
    </row>
    <row r="6124" spans="1:6" ht="43.05" customHeight="1" x14ac:dyDescent="0.25">
      <c r="A6124" s="1" t="s">
        <v>25874</v>
      </c>
      <c r="B6124" s="7" t="s">
        <v>25875</v>
      </c>
      <c r="C6124" s="7" t="s">
        <v>25870</v>
      </c>
      <c r="D6124" s="7" t="s">
        <v>25868</v>
      </c>
      <c r="E6124" s="7" t="s">
        <v>25869</v>
      </c>
      <c r="F6124" s="7" t="str">
        <f>HYPERLINK("http://az-agricolaboccaccioespada-ss.business.site/","az-agricolaboccaccioespada-ss.business.site")</f>
        <v>az-agricolaboccaccioespada-ss.business.site</v>
      </c>
    </row>
    <row r="6125" spans="1:6" ht="29.55" customHeight="1" x14ac:dyDescent="0.25">
      <c r="A6125" s="1" t="s">
        <v>25879</v>
      </c>
      <c r="B6125" s="7" t="s">
        <v>25880</v>
      </c>
      <c r="C6125" s="7" t="s">
        <v>25878</v>
      </c>
      <c r="D6125" s="7" t="s">
        <v>25876</v>
      </c>
      <c r="E6125" s="7" t="s">
        <v>25877</v>
      </c>
      <c r="F6125" s="7" t="str">
        <f>HYPERLINK("http://www.groumm.com/","www.groumm.com")</f>
        <v>www.groumm.com</v>
      </c>
    </row>
    <row r="6126" spans="1:6" ht="81.75" customHeight="1" x14ac:dyDescent="0.25">
      <c r="A6126" s="1" t="s">
        <v>25882</v>
      </c>
      <c r="B6126" s="7" t="s">
        <v>25883</v>
      </c>
      <c r="C6126" s="7" t="s">
        <v>25881</v>
      </c>
      <c r="D6126" s="7" t="s">
        <v>25884</v>
      </c>
      <c r="E6126" s="7" t="s">
        <v>25885</v>
      </c>
      <c r="F6126" s="7" t="str">
        <f>HYPERLINK("http://www.marsetti.it/","www.marsetti.it")</f>
        <v>www.marsetti.it</v>
      </c>
    </row>
    <row r="6127" spans="1:6" ht="29.55" customHeight="1" x14ac:dyDescent="0.25">
      <c r="A6127" s="1" t="s">
        <v>25890</v>
      </c>
      <c r="B6127" s="7" t="s">
        <v>25891</v>
      </c>
      <c r="C6127" s="7" t="s">
        <v>25886</v>
      </c>
      <c r="D6127" s="7" t="s">
        <v>25887</v>
      </c>
      <c r="E6127" s="7" t="s">
        <v>25888</v>
      </c>
      <c r="F6127" s="7" t="str">
        <f>HYPERLINK("http://www.panthea.it/","www.panthea.it")</f>
        <v>www.panthea.it</v>
      </c>
    </row>
    <row r="6128" spans="1:6" ht="29.55" customHeight="1" x14ac:dyDescent="0.25">
      <c r="A6128" s="6" t="s">
        <v>25892</v>
      </c>
      <c r="B6128" s="5" t="s">
        <v>25893</v>
      </c>
      <c r="C6128" s="5" t="s">
        <v>25889</v>
      </c>
      <c r="D6128" s="5" t="s">
        <v>25887</v>
      </c>
      <c r="E6128" s="5" t="s">
        <v>25888</v>
      </c>
      <c r="F6128" s="5" t="str">
        <f>HYPERLINK("http://www.guicciardinistrozzi.it/","www.guicciardinistrozzi.it")</f>
        <v>www.guicciardinistrozzi.it</v>
      </c>
    </row>
    <row r="6129" spans="1:6" ht="43.05" customHeight="1" x14ac:dyDescent="0.25">
      <c r="A6129" s="1" t="s">
        <v>25897</v>
      </c>
      <c r="B6129" s="7" t="s">
        <v>25898</v>
      </c>
      <c r="C6129" s="7" t="s">
        <v>25899</v>
      </c>
      <c r="D6129" s="7" t="s">
        <v>25895</v>
      </c>
      <c r="E6129" s="7" t="s">
        <v>25896</v>
      </c>
      <c r="F6129" s="7" t="str">
        <f>HYPERLINK("http://it.wikipedia.org/wiki/chiesa_della_madonna_delle_querce","it.wikipedia.org/wiki/chiesa_della_madonna_delle_querce")</f>
        <v>it.wikipedia.org/wiki/chiesa_della_madonna_delle_querce</v>
      </c>
    </row>
    <row r="6130" spans="1:6" ht="68.099999999999994" customHeight="1" x14ac:dyDescent="0.25">
      <c r="A6130" s="1" t="s">
        <v>25901</v>
      </c>
      <c r="B6130" s="7" t="s">
        <v>25902</v>
      </c>
      <c r="C6130" s="7" t="s">
        <v>25900</v>
      </c>
      <c r="D6130" s="7" t="s">
        <v>25895</v>
      </c>
      <c r="E6130" s="7" t="s">
        <v>25896</v>
      </c>
      <c r="F6130" s="7" t="str">
        <f>HYPERLINK("http://dagofarmhouse.it/","dagofarmhouse.it")</f>
        <v>dagofarmhouse.it</v>
      </c>
    </row>
    <row r="6131" spans="1:6" ht="16.95" customHeight="1" x14ac:dyDescent="0.25">
      <c r="A6131" s="1" t="s">
        <v>25903</v>
      </c>
      <c r="B6131" s="7" t="s">
        <v>25904</v>
      </c>
      <c r="C6131" s="7" t="s">
        <v>25894</v>
      </c>
      <c r="D6131" s="7" t="s">
        <v>25895</v>
      </c>
      <c r="E6131" s="7" t="s">
        <v>25896</v>
      </c>
      <c r="F6131" s="7" t="str">
        <f>HYPERLINK("http://www.villadigeggiano.com/","www.villadigeggiano.com")</f>
        <v>www.villadigeggiano.com</v>
      </c>
    </row>
    <row r="6132" spans="1:6" ht="29.55" customHeight="1" x14ac:dyDescent="0.25">
      <c r="A6132" s="6" t="s">
        <v>25908</v>
      </c>
      <c r="B6132" s="5" t="s">
        <v>25909</v>
      </c>
      <c r="C6132" s="5" t="s">
        <v>25907</v>
      </c>
      <c r="D6132" s="5" t="s">
        <v>25905</v>
      </c>
      <c r="E6132" s="5" t="s">
        <v>25906</v>
      </c>
      <c r="F6132" s="5" t="str">
        <f>HYPERLINK("http://www.agriturismobellavista.eu/","www.agriturismobellavista.eu")</f>
        <v>www.agriturismobellavista.eu</v>
      </c>
    </row>
    <row r="6133" spans="1:6" ht="29.55" customHeight="1" x14ac:dyDescent="0.25">
      <c r="A6133" s="6" t="s">
        <v>25912</v>
      </c>
      <c r="B6133" s="5" t="s">
        <v>25913</v>
      </c>
      <c r="C6133" s="5" t="s">
        <v>25910</v>
      </c>
      <c r="D6133" s="5" t="s">
        <v>25905</v>
      </c>
      <c r="E6133" s="5" t="s">
        <v>25906</v>
      </c>
      <c r="F6133" s="5" t="str">
        <f>HYPERLINK("http://www.tenutailsanto.com/","www.tenutailsanto.com")</f>
        <v>www.tenutailsanto.com</v>
      </c>
    </row>
    <row r="6134" spans="1:6" ht="29.55" customHeight="1" x14ac:dyDescent="0.25">
      <c r="A6134" s="1" t="s">
        <v>25914</v>
      </c>
      <c r="B6134" s="7" t="s">
        <v>25915</v>
      </c>
      <c r="C6134" s="7" t="s">
        <v>25911</v>
      </c>
      <c r="D6134" s="7" t="s">
        <v>25905</v>
      </c>
      <c r="E6134" s="7" t="s">
        <v>25906</v>
      </c>
      <c r="F6134" s="7" t="str">
        <f>HYPERLINK("http://www.rocciacerbaia.com/","www.rocciacerbaia.com")</f>
        <v>www.rocciacerbaia.com</v>
      </c>
    </row>
    <row r="6135" spans="1:6" ht="29.55" customHeight="1" x14ac:dyDescent="0.25">
      <c r="A6135" s="6" t="s">
        <v>25918</v>
      </c>
      <c r="B6135" s="5" t="s">
        <v>25919</v>
      </c>
      <c r="C6135" s="5" t="s">
        <v>25920</v>
      </c>
      <c r="D6135" s="5" t="s">
        <v>25916</v>
      </c>
      <c r="E6135" s="5" t="s">
        <v>25917</v>
      </c>
      <c r="F6135" s="5" t="str">
        <f>HYPERLINK("http://www.zarre.it/","www.zarre.it")</f>
        <v>www.zarre.it</v>
      </c>
    </row>
    <row r="6136" spans="1:6" ht="29.55" customHeight="1" x14ac:dyDescent="0.25">
      <c r="A6136" s="1" t="s">
        <v>25922</v>
      </c>
      <c r="B6136" s="7" t="s">
        <v>25923</v>
      </c>
      <c r="C6136" s="7" t="s">
        <v>25921</v>
      </c>
      <c r="D6136" s="7" t="s">
        <v>25916</v>
      </c>
      <c r="E6136" s="7" t="s">
        <v>25917</v>
      </c>
      <c r="F6136" s="7" t="str">
        <f>HYPERLINK("http://golfodisalerno.carrd.co/","golfodisalerno.carrd.co")</f>
        <v>golfodisalerno.carrd.co</v>
      </c>
    </row>
    <row r="6137" spans="1:6" ht="29.55" customHeight="1" x14ac:dyDescent="0.25">
      <c r="A6137" s="6" t="s">
        <v>25924</v>
      </c>
      <c r="B6137" s="5" t="s">
        <v>25925</v>
      </c>
      <c r="C6137" s="5" t="s">
        <v>25926</v>
      </c>
      <c r="D6137" s="5" t="s">
        <v>25916</v>
      </c>
      <c r="E6137" s="5" t="s">
        <v>25917</v>
      </c>
      <c r="F6137" s="5" t="str">
        <f>HYPERLINK("http://terrazzacria.com/","terrazzacria.com")</f>
        <v>terrazzacria.com</v>
      </c>
    </row>
    <row r="6138" spans="1:6" ht="94.2" customHeight="1" x14ac:dyDescent="0.25">
      <c r="A6138" s="6" t="s">
        <v>25929</v>
      </c>
      <c r="B6138" s="5" t="s">
        <v>25930</v>
      </c>
      <c r="C6138" s="5" t="s">
        <v>25931</v>
      </c>
      <c r="D6138" s="5" t="s">
        <v>25927</v>
      </c>
      <c r="E6138" s="5" t="s">
        <v>25928</v>
      </c>
      <c r="F6138" s="5" t="str">
        <f>HYPERLINK("http://masseria-fontana-vecchia.business.site/","masseria-fontana-vecchia.business.site/")</f>
        <v>masseria-fontana-vecchia.business.site/</v>
      </c>
    </row>
    <row r="6139" spans="1:6" ht="29.55" customHeight="1" x14ac:dyDescent="0.25">
      <c r="A6139" s="6" t="s">
        <v>25932</v>
      </c>
      <c r="B6139" s="5" t="s">
        <v>25933</v>
      </c>
      <c r="C6139" s="5" t="s">
        <v>25931</v>
      </c>
      <c r="D6139" s="5" t="s">
        <v>25927</v>
      </c>
      <c r="E6139" s="5" t="s">
        <v>25928</v>
      </c>
      <c r="F6139" s="5" t="str">
        <f>HYPERLINK("http://www.casacivitas.com/","www.casacivitas.com")</f>
        <v>www.casacivitas.com</v>
      </c>
    </row>
    <row r="6140" spans="1:6" ht="29.55" customHeight="1" x14ac:dyDescent="0.25">
      <c r="A6140" s="6" t="s">
        <v>25939</v>
      </c>
      <c r="B6140" s="5" t="s">
        <v>25940</v>
      </c>
      <c r="C6140" s="5" t="s">
        <v>25938</v>
      </c>
      <c r="D6140" s="5" t="s">
        <v>25935</v>
      </c>
      <c r="E6140" s="5" t="s">
        <v>25936</v>
      </c>
      <c r="F6140" s="5" t="str">
        <f>HYPERLINK("http://www.ilmondodifenny.it/","www.ilmondodifenny.it")</f>
        <v>www.ilmondodifenny.it</v>
      </c>
    </row>
    <row r="6141" spans="1:6" ht="29.55" customHeight="1" x14ac:dyDescent="0.25">
      <c r="A6141" s="6" t="s">
        <v>25941</v>
      </c>
      <c r="B6141" s="5" t="s">
        <v>25942</v>
      </c>
      <c r="C6141" s="5" t="s">
        <v>25934</v>
      </c>
      <c r="D6141" s="5" t="s">
        <v>25935</v>
      </c>
      <c r="E6141" s="5" t="s">
        <v>25936</v>
      </c>
      <c r="F6141" s="5" t="str">
        <f>HYPERLINK("http://www.facebook.com/caseificiotenutaprovenza/","www.facebook.com/caseificiotenutaprovenza/")</f>
        <v>www.facebook.com/caseificiotenutaprovenza/</v>
      </c>
    </row>
    <row r="6142" spans="1:6" ht="29.55" customHeight="1" x14ac:dyDescent="0.25">
      <c r="A6142" s="1" t="s">
        <v>25943</v>
      </c>
      <c r="B6142" s="7" t="s">
        <v>25944</v>
      </c>
      <c r="C6142" s="7" t="s">
        <v>25945</v>
      </c>
      <c r="D6142" s="7" t="s">
        <v>25935</v>
      </c>
      <c r="E6142" s="7" t="s">
        <v>25936</v>
      </c>
      <c r="F6142" s="7" t="str">
        <f>HYPERLINK("http://www.caseificiomediterraneo.it/","www.caseificiomediterraneo.it")</f>
        <v>www.caseificiomediterraneo.it</v>
      </c>
    </row>
    <row r="6143" spans="1:6" ht="29.55" customHeight="1" x14ac:dyDescent="0.25">
      <c r="A6143" s="6" t="s">
        <v>25946</v>
      </c>
      <c r="B6143" s="5" t="s">
        <v>25947</v>
      </c>
      <c r="C6143" s="5" t="s">
        <v>25937</v>
      </c>
      <c r="D6143" s="5" t="s">
        <v>25935</v>
      </c>
      <c r="E6143" s="5" t="s">
        <v>25936</v>
      </c>
      <c r="F6143" s="5" t="str">
        <f>HYPERLINK("http://www.ciasalerno.it/","www.ciasalerno.it")</f>
        <v>www.ciasalerno.it</v>
      </c>
    </row>
    <row r="6144" spans="1:6" ht="29.55" customHeight="1" x14ac:dyDescent="0.25">
      <c r="A6144" s="6" t="s">
        <v>25948</v>
      </c>
      <c r="B6144" s="5" t="s">
        <v>25949</v>
      </c>
      <c r="C6144" s="5" t="s">
        <v>25950</v>
      </c>
      <c r="D6144" s="5" t="s">
        <v>25935</v>
      </c>
      <c r="E6144" s="5" t="s">
        <v>25936</v>
      </c>
      <c r="F6144" s="5" t="str">
        <f>HYPERLINK("http://www.vivaigardenia.it/","www.vivaigardenia.it")</f>
        <v>www.vivaigardenia.it</v>
      </c>
    </row>
    <row r="6145" spans="1:6" ht="29.55" customHeight="1" x14ac:dyDescent="0.25">
      <c r="A6145" s="1" t="s">
        <v>25953</v>
      </c>
      <c r="B6145" s="7" t="s">
        <v>25954</v>
      </c>
      <c r="C6145" s="7" t="s">
        <v>25955</v>
      </c>
      <c r="D6145" s="7" t="s">
        <v>25951</v>
      </c>
      <c r="E6145" s="7" t="s">
        <v>25952</v>
      </c>
      <c r="F6145" s="7" t="str">
        <f>HYPERLINK("http://www.anticaconcadoro.it/","www.anticaconcadoro.it")</f>
        <v>www.anticaconcadoro.it</v>
      </c>
    </row>
    <row r="6146" spans="1:6" ht="29.55" customHeight="1" x14ac:dyDescent="0.25">
      <c r="A6146" s="6" t="s">
        <v>25959</v>
      </c>
      <c r="B6146" s="5" t="s">
        <v>25960</v>
      </c>
      <c r="C6146" s="5" t="s">
        <v>25961</v>
      </c>
      <c r="D6146" s="5" t="s">
        <v>25956</v>
      </c>
      <c r="E6146" s="5" t="s">
        <v>25957</v>
      </c>
      <c r="F6146" s="5" t="str">
        <f>HYPERLINK("http://www.casaverdeweb.com/","www.casaverdeweb.com")</f>
        <v>www.casaverdeweb.com</v>
      </c>
    </row>
    <row r="6147" spans="1:6" ht="29.55" customHeight="1" x14ac:dyDescent="0.25">
      <c r="A6147" s="6" t="s">
        <v>25963</v>
      </c>
      <c r="B6147" s="5" t="s">
        <v>25964</v>
      </c>
      <c r="C6147" s="5" t="s">
        <v>25965</v>
      </c>
      <c r="D6147" s="5" t="s">
        <v>25956</v>
      </c>
      <c r="E6147" s="5" t="s">
        <v>25957</v>
      </c>
      <c r="F6147" s="5" t="str">
        <f>HYPERLINK("http://www.vivaigardenia.it/","www.vivaigardenia.it")</f>
        <v>www.vivaigardenia.it</v>
      </c>
    </row>
    <row r="6148" spans="1:6" ht="43.05" customHeight="1" x14ac:dyDescent="0.25">
      <c r="A6148" s="6" t="s">
        <v>25966</v>
      </c>
      <c r="B6148" s="5" t="s">
        <v>25967</v>
      </c>
      <c r="C6148" s="5" t="s">
        <v>25968</v>
      </c>
      <c r="D6148" s="5" t="s">
        <v>25956</v>
      </c>
      <c r="E6148" s="5" t="s">
        <v>25957</v>
      </c>
      <c r="F6148" s="5" t="str">
        <f>HYPERLINK("http://ovoitalia.it/","ovoitalia.it")</f>
        <v>ovoitalia.it</v>
      </c>
    </row>
    <row r="6149" spans="1:6" ht="29.55" customHeight="1" x14ac:dyDescent="0.25">
      <c r="A6149" s="1" t="s">
        <v>25969</v>
      </c>
      <c r="B6149" s="7" t="s">
        <v>25970</v>
      </c>
      <c r="C6149" s="7" t="s">
        <v>25958</v>
      </c>
      <c r="D6149" s="7" t="s">
        <v>25956</v>
      </c>
      <c r="E6149" s="7" t="s">
        <v>25957</v>
      </c>
      <c r="F6149" s="7" t="str">
        <f>HYPERLINK("http://www.verdequadro.it/","www.verdequadro.it")</f>
        <v>www.verdequadro.it</v>
      </c>
    </row>
    <row r="6150" spans="1:6" ht="55.65" customHeight="1" x14ac:dyDescent="0.25">
      <c r="A6150" s="1" t="s">
        <v>25971</v>
      </c>
      <c r="B6150" s="7" t="s">
        <v>25972</v>
      </c>
      <c r="C6150" s="7" t="s">
        <v>25962</v>
      </c>
      <c r="D6150" s="7" t="s">
        <v>25956</v>
      </c>
      <c r="E6150" s="7" t="s">
        <v>25957</v>
      </c>
      <c r="F6150" s="7" t="str">
        <f>HYPERLINK("http://l/","l")</f>
        <v>l</v>
      </c>
    </row>
    <row r="6151" spans="1:6" ht="29.55" customHeight="1" x14ac:dyDescent="0.25">
      <c r="A6151" s="1" t="s">
        <v>25976</v>
      </c>
      <c r="B6151" s="7" t="s">
        <v>25977</v>
      </c>
      <c r="C6151" s="7" t="s">
        <v>25973</v>
      </c>
      <c r="D6151" s="7" t="s">
        <v>25974</v>
      </c>
      <c r="E6151" s="7" t="s">
        <v>25975</v>
      </c>
      <c r="F6151" s="7" t="str">
        <f>HYPERLINK("http://www.mmagrifarmsrls.it/","www.mmagrifarmsrls.it")</f>
        <v>www.mmagrifarmsrls.it</v>
      </c>
    </row>
    <row r="6152" spans="1:6" ht="43.05" customHeight="1" x14ac:dyDescent="0.25">
      <c r="A6152" s="1" t="s">
        <v>25979</v>
      </c>
      <c r="B6152" s="7" t="s">
        <v>25980</v>
      </c>
      <c r="C6152" s="7" t="s">
        <v>25978</v>
      </c>
      <c r="D6152" s="7" t="s">
        <v>25974</v>
      </c>
      <c r="E6152" s="7" t="s">
        <v>25975</v>
      </c>
      <c r="F6152" s="7" t="str">
        <f>HYPERLINK("http://bbvalentepalinuro.it/","bbvalentepalinuro.it")</f>
        <v>bbvalentepalinuro.it</v>
      </c>
    </row>
    <row r="6153" spans="1:6" ht="29.55" customHeight="1" x14ac:dyDescent="0.25">
      <c r="A6153" s="1" t="s">
        <v>25981</v>
      </c>
      <c r="B6153" s="7" t="s">
        <v>25982</v>
      </c>
      <c r="C6153" s="7" t="s">
        <v>25983</v>
      </c>
      <c r="D6153" s="7" t="s">
        <v>25974</v>
      </c>
      <c r="E6153" s="7" t="s">
        <v>25975</v>
      </c>
      <c r="F6153" s="7" t="str">
        <f>HYPERLINK("http://www.carlomirra.it/","www.carlomirra.it")</f>
        <v>www.carlomirra.it</v>
      </c>
    </row>
    <row r="6154" spans="1:6" ht="29.55" customHeight="1" x14ac:dyDescent="0.25">
      <c r="A6154" s="6" t="s">
        <v>25987</v>
      </c>
      <c r="B6154" s="5" t="s">
        <v>25988</v>
      </c>
      <c r="C6154" s="5" t="s">
        <v>25984</v>
      </c>
      <c r="D6154" s="5" t="s">
        <v>25985</v>
      </c>
      <c r="E6154" s="5" t="s">
        <v>25986</v>
      </c>
      <c r="F6154" s="5" t="str">
        <f>HYPERLINK("http://agriturismo-i-3-fratelli.business.site/","agriturismo-i-3-fratelli.business.site")</f>
        <v>agriturismo-i-3-fratelli.business.site</v>
      </c>
    </row>
    <row r="6155" spans="1:6" ht="16.95" customHeight="1" x14ac:dyDescent="0.25">
      <c r="A6155" s="6" t="s">
        <v>25992</v>
      </c>
      <c r="B6155" s="5" t="s">
        <v>25993</v>
      </c>
      <c r="C6155" s="5" t="s">
        <v>25991</v>
      </c>
      <c r="D6155" s="5" t="s">
        <v>25989</v>
      </c>
      <c r="E6155" s="5" t="s">
        <v>25990</v>
      </c>
      <c r="F6155" s="5" t="str">
        <f>HYPERLINK("http://www.amachia.com/","www.amachia.com")</f>
        <v>www.amachia.com</v>
      </c>
    </row>
    <row r="6156" spans="1:6" ht="43.05" customHeight="1" x14ac:dyDescent="0.25">
      <c r="A6156" s="6" t="s">
        <v>25996</v>
      </c>
      <c r="B6156" s="5" t="s">
        <v>25997</v>
      </c>
      <c r="C6156" s="5" t="s">
        <v>25998</v>
      </c>
      <c r="D6156" s="5" t="s">
        <v>25994</v>
      </c>
      <c r="E6156" s="5" t="s">
        <v>25995</v>
      </c>
      <c r="F6156" s="5" t="str">
        <f>HYPERLINK("http://agriservices.info/","agriservices.info")</f>
        <v>agriservices.info</v>
      </c>
    </row>
    <row r="6157" spans="1:6" ht="43.05" customHeight="1" x14ac:dyDescent="0.25">
      <c r="A6157" s="1" t="s">
        <v>26002</v>
      </c>
      <c r="B6157" s="7" t="s">
        <v>26003</v>
      </c>
      <c r="C6157" s="7" t="s">
        <v>26001</v>
      </c>
      <c r="D6157" s="7" t="s">
        <v>25999</v>
      </c>
      <c r="E6157" s="7" t="s">
        <v>26000</v>
      </c>
      <c r="F6157" s="7" t="str">
        <f>HYPERLINK("http://www.villadeiconsoli.it/","www.villadeiconsoli.it")</f>
        <v>www.villadeiconsoli.it</v>
      </c>
    </row>
    <row r="6158" spans="1:6" ht="16.95" customHeight="1" x14ac:dyDescent="0.25">
      <c r="A6158" s="6" t="s">
        <v>26005</v>
      </c>
      <c r="B6158" s="5" t="s">
        <v>26006</v>
      </c>
      <c r="C6158" s="5" t="s">
        <v>26004</v>
      </c>
      <c r="D6158" s="5" t="s">
        <v>25999</v>
      </c>
      <c r="E6158" s="5" t="s">
        <v>26000</v>
      </c>
      <c r="F6158" s="5" t="str">
        <f>HYPERLINK("http://www.lagricolavalledeicasali.it/","www.lagricolavalledeicasali.it")</f>
        <v>www.lagricolavalledeicasali.it</v>
      </c>
    </row>
    <row r="6159" spans="1:6" ht="29.55" customHeight="1" x14ac:dyDescent="0.25">
      <c r="A6159" s="6" t="s">
        <v>26010</v>
      </c>
      <c r="B6159" s="5" t="s">
        <v>26011</v>
      </c>
      <c r="C6159" s="5" t="s">
        <v>26009</v>
      </c>
      <c r="D6159" s="5" t="s">
        <v>26007</v>
      </c>
      <c r="E6159" s="5" t="s">
        <v>26008</v>
      </c>
      <c r="F6159" s="5" t="str">
        <f>HYPERLINK("http://www.vinivannelli.it/","www.vinivannelli.it")</f>
        <v>www.vinivannelli.it</v>
      </c>
    </row>
    <row r="6160" spans="1:6" ht="16.95" customHeight="1" x14ac:dyDescent="0.25">
      <c r="A6160" s="1" t="s">
        <v>26018</v>
      </c>
      <c r="B6160" s="7" t="s">
        <v>26019</v>
      </c>
      <c r="C6160" s="7" t="s">
        <v>26015</v>
      </c>
      <c r="D6160" s="7" t="s">
        <v>26012</v>
      </c>
      <c r="E6160" s="7" t="s">
        <v>26013</v>
      </c>
      <c r="F6160" s="7" t="str">
        <f>HYPERLINK("http://www.alma-srl.com/","www.alma-srl.com")</f>
        <v>www.alma-srl.com</v>
      </c>
    </row>
    <row r="6161" spans="1:6" ht="29.55" customHeight="1" x14ac:dyDescent="0.25">
      <c r="A6161" s="6" t="s">
        <v>26020</v>
      </c>
      <c r="B6161" s="5" t="s">
        <v>26021</v>
      </c>
      <c r="C6161" s="5" t="s">
        <v>26016</v>
      </c>
      <c r="D6161" s="5" t="s">
        <v>26012</v>
      </c>
      <c r="E6161" s="5" t="s">
        <v>26013</v>
      </c>
      <c r="F6161" s="5" t="str">
        <f>HYPERLINK("http://www.falconenaturalwines.com/","www.falconenaturalwines.com")</f>
        <v>www.falconenaturalwines.com</v>
      </c>
    </row>
    <row r="6162" spans="1:6" ht="29.55" customHeight="1" x14ac:dyDescent="0.25">
      <c r="A6162" s="6" t="s">
        <v>26022</v>
      </c>
      <c r="B6162" s="5" t="s">
        <v>26023</v>
      </c>
      <c r="C6162" s="5" t="s">
        <v>26017</v>
      </c>
      <c r="D6162" s="5" t="s">
        <v>26012</v>
      </c>
      <c r="E6162" s="5" t="s">
        <v>26013</v>
      </c>
      <c r="F6162" s="5" t="str">
        <f>HYPERLINK("http://www.passolongo.it/","www.passolongo.it")</f>
        <v>www.passolongo.it</v>
      </c>
    </row>
    <row r="6163" spans="1:6" ht="29.55" customHeight="1" x14ac:dyDescent="0.25">
      <c r="A6163" s="6" t="s">
        <v>26024</v>
      </c>
      <c r="B6163" s="5" t="s">
        <v>26025</v>
      </c>
      <c r="C6163" s="5" t="s">
        <v>26014</v>
      </c>
      <c r="D6163" s="5" t="s">
        <v>26012</v>
      </c>
      <c r="E6163" s="5" t="s">
        <v>26013</v>
      </c>
      <c r="F6163" s="5" t="str">
        <f>HYPERLINK("http://www.bio-orto.com/","www.bio-orto.com")</f>
        <v>www.bio-orto.com</v>
      </c>
    </row>
    <row r="6164" spans="1:6" ht="29.55" customHeight="1" x14ac:dyDescent="0.25">
      <c r="A6164" s="1" t="s">
        <v>26030</v>
      </c>
      <c r="B6164" s="7" t="s">
        <v>26031</v>
      </c>
      <c r="C6164" s="7" t="s">
        <v>26032</v>
      </c>
      <c r="D6164" s="7" t="s">
        <v>26027</v>
      </c>
      <c r="E6164" s="7" t="s">
        <v>26028</v>
      </c>
      <c r="F6164" s="7" t="str">
        <f>HYPERLINK("http://www.sdmotors.it/contatti/","www.sdmotors.it/contatti/")</f>
        <v>www.sdmotors.it/contatti/</v>
      </c>
    </row>
    <row r="6165" spans="1:6" ht="29.55" customHeight="1" x14ac:dyDescent="0.25">
      <c r="A6165" s="6" t="s">
        <v>26033</v>
      </c>
      <c r="B6165" s="5" t="s">
        <v>26034</v>
      </c>
      <c r="C6165" s="5" t="s">
        <v>26029</v>
      </c>
      <c r="D6165" s="5" t="s">
        <v>26027</v>
      </c>
      <c r="E6165" s="5" t="s">
        <v>26028</v>
      </c>
      <c r="F6165" s="5" t="str">
        <f>HYPERLINK("http://bcroma.it/","bcroma.it")</f>
        <v>bcroma.it</v>
      </c>
    </row>
    <row r="6166" spans="1:6" ht="43.05" customHeight="1" x14ac:dyDescent="0.25">
      <c r="A6166" s="1" t="s">
        <v>26035</v>
      </c>
      <c r="B6166" s="7" t="s">
        <v>26036</v>
      </c>
      <c r="C6166" s="7" t="s">
        <v>26026</v>
      </c>
      <c r="D6166" s="7" t="s">
        <v>26027</v>
      </c>
      <c r="E6166" s="7" t="s">
        <v>26028</v>
      </c>
      <c r="F6166" s="7" t="str">
        <f>HYPERLINK("http://bellavita-ristorante.business.site/","bellavita-ristorante.business.site/")</f>
        <v>bellavita-ristorante.business.site/</v>
      </c>
    </row>
    <row r="6167" spans="1:6" ht="16.95" customHeight="1" x14ac:dyDescent="0.25">
      <c r="A6167" s="6" t="s">
        <v>26040</v>
      </c>
      <c r="B6167" s="5" t="s">
        <v>26041</v>
      </c>
      <c r="C6167" s="5" t="s">
        <v>26039</v>
      </c>
      <c r="D6167" s="5" t="s">
        <v>26037</v>
      </c>
      <c r="E6167" s="5" t="s">
        <v>26038</v>
      </c>
      <c r="F6167" s="5" t="str">
        <f>HYPERLINK("http://www.villaulpia.com/","www.villaulpia.com")</f>
        <v>www.villaulpia.com</v>
      </c>
    </row>
    <row r="6168" spans="1:6" ht="29.55" customHeight="1" x14ac:dyDescent="0.25">
      <c r="A6168" s="6" t="s">
        <v>26043</v>
      </c>
      <c r="B6168" s="5" t="s">
        <v>26044</v>
      </c>
      <c r="C6168" s="5" t="s">
        <v>26042</v>
      </c>
      <c r="D6168" s="5" t="s">
        <v>26037</v>
      </c>
      <c r="E6168" s="5" t="s">
        <v>26038</v>
      </c>
      <c r="F6168" s="5" t="str">
        <f>HYPERLINK("http://www.cantinecontezandotti.it/","www.cantinecontezandotti.it")</f>
        <v>www.cantinecontezandotti.it</v>
      </c>
    </row>
    <row r="6169" spans="1:6" ht="16.95" customHeight="1" x14ac:dyDescent="0.25">
      <c r="A6169" s="1" t="s">
        <v>26048</v>
      </c>
      <c r="B6169" s="7" t="s">
        <v>26049</v>
      </c>
      <c r="C6169" s="7" t="s">
        <v>26050</v>
      </c>
      <c r="D6169" s="7" t="s">
        <v>26045</v>
      </c>
      <c r="E6169" s="7" t="s">
        <v>26046</v>
      </c>
      <c r="F6169" s="7" t="str">
        <f>HYPERLINK("http://www.drc-holding.com/","www.drc-holding.com")</f>
        <v>www.drc-holding.com</v>
      </c>
    </row>
    <row r="6170" spans="1:6" ht="29.55" customHeight="1" x14ac:dyDescent="0.25">
      <c r="A6170" s="1" t="s">
        <v>26051</v>
      </c>
      <c r="B6170" s="7" t="s">
        <v>26052</v>
      </c>
      <c r="C6170" s="7" t="s">
        <v>26047</v>
      </c>
      <c r="D6170" s="7" t="s">
        <v>26045</v>
      </c>
      <c r="E6170" s="7" t="s">
        <v>26046</v>
      </c>
      <c r="F6170" s="7" t="str">
        <f>HYPERLINK("http://www.silvafeconda.it/","www.silvafeconda.it")</f>
        <v>www.silvafeconda.it</v>
      </c>
    </row>
    <row r="6171" spans="1:6" ht="29.55" customHeight="1" x14ac:dyDescent="0.25">
      <c r="A6171" s="1" t="s">
        <v>26056</v>
      </c>
      <c r="B6171" s="7" t="s">
        <v>26057</v>
      </c>
      <c r="C6171" s="7" t="s">
        <v>26055</v>
      </c>
      <c r="D6171" s="7" t="s">
        <v>26053</v>
      </c>
      <c r="E6171" s="7" t="s">
        <v>26054</v>
      </c>
      <c r="F6171" s="7" t="str">
        <f>HYPERLINK("http://www.cclitaly.it/","www.cclitaly.it")</f>
        <v>www.cclitaly.it</v>
      </c>
    </row>
    <row r="6172" spans="1:6" ht="43.05" customHeight="1" x14ac:dyDescent="0.25">
      <c r="A6172" s="6" t="s">
        <v>26059</v>
      </c>
      <c r="B6172" s="5" t="s">
        <v>26060</v>
      </c>
      <c r="C6172" s="5" t="s">
        <v>26055</v>
      </c>
      <c r="D6172" s="5" t="s">
        <v>26053</v>
      </c>
      <c r="E6172" s="5" t="s">
        <v>26054</v>
      </c>
      <c r="F6172" s="5" t="str">
        <f>HYPERLINK("http://www.cclitaly.it/","www.cclitaly.it")</f>
        <v>www.cclitaly.it</v>
      </c>
    </row>
    <row r="6173" spans="1:6" ht="43.05" customHeight="1" x14ac:dyDescent="0.25">
      <c r="A6173" s="6" t="s">
        <v>26061</v>
      </c>
      <c r="B6173" s="5" t="s">
        <v>26062</v>
      </c>
      <c r="C6173" s="5" t="s">
        <v>26058</v>
      </c>
      <c r="D6173" s="5" t="s">
        <v>26053</v>
      </c>
      <c r="E6173" s="5" t="s">
        <v>26054</v>
      </c>
      <c r="F6173" s="5" t="str">
        <f>HYPERLINK("http://www.asdvallecontessa.it/","www.asdvallecontessa.it")</f>
        <v>www.asdvallecontessa.it</v>
      </c>
    </row>
    <row r="6174" spans="1:6" ht="43.05" customHeight="1" x14ac:dyDescent="0.25">
      <c r="A6174" s="6" t="s">
        <v>26063</v>
      </c>
      <c r="B6174" s="5" t="s">
        <v>26064</v>
      </c>
      <c r="C6174" s="5" t="s">
        <v>26065</v>
      </c>
      <c r="D6174" s="8"/>
      <c r="E6174" s="8"/>
      <c r="F6174" s="5" t="str">
        <f>HYPERLINK("http://worldwide-vineyards.com/","worldwide-vineyards.com")</f>
        <v>worldwide-vineyards.com</v>
      </c>
    </row>
    <row r="6175" spans="1:6" ht="16.95" customHeight="1" x14ac:dyDescent="0.25">
      <c r="A6175" s="6" t="s">
        <v>26066</v>
      </c>
      <c r="B6175" s="5" t="s">
        <v>26067</v>
      </c>
      <c r="C6175" s="5" t="s">
        <v>26068</v>
      </c>
      <c r="D6175" s="5" t="s">
        <v>26053</v>
      </c>
      <c r="E6175" s="5" t="s">
        <v>26054</v>
      </c>
      <c r="F6175" s="5" t="str">
        <f>HYPERLINK("http://www.mcgardensmilano.it/","www.mcgardensmilano.it")</f>
        <v>www.mcgardensmilano.it</v>
      </c>
    </row>
    <row r="6176" spans="1:6" ht="29.55" customHeight="1" x14ac:dyDescent="0.25">
      <c r="A6176" s="1" t="s">
        <v>26072</v>
      </c>
      <c r="B6176" s="7" t="s">
        <v>26073</v>
      </c>
      <c r="C6176" s="7" t="s">
        <v>26074</v>
      </c>
      <c r="D6176" s="7" t="s">
        <v>26069</v>
      </c>
      <c r="E6176" s="7" t="s">
        <v>26070</v>
      </c>
      <c r="F6176" s="7" t="str">
        <f>HYPERLINK("http://www.thermaeone.it/","www.thermaeone.it")</f>
        <v>www.thermaeone.it</v>
      </c>
    </row>
    <row r="6177" spans="1:6" ht="43.05" customHeight="1" x14ac:dyDescent="0.25">
      <c r="A6177" s="6" t="s">
        <v>26075</v>
      </c>
      <c r="B6177" s="5" t="s">
        <v>26076</v>
      </c>
      <c r="C6177" s="5" t="s">
        <v>26071</v>
      </c>
      <c r="D6177" s="5" t="s">
        <v>26069</v>
      </c>
      <c r="E6177" s="5" t="s">
        <v>26070</v>
      </c>
      <c r="F6177" s="5" t="str">
        <f>HYPERLINK("http://www.borgodelbaccano.it/","www.borgodelbaccano.it")</f>
        <v>www.borgodelbaccano.it</v>
      </c>
    </row>
    <row r="6178" spans="1:6" ht="29.55" customHeight="1" x14ac:dyDescent="0.25">
      <c r="A6178" s="6" t="s">
        <v>26077</v>
      </c>
      <c r="B6178" s="5" t="s">
        <v>26078</v>
      </c>
      <c r="C6178" s="5" t="s">
        <v>26079</v>
      </c>
      <c r="D6178" s="5" t="s">
        <v>26069</v>
      </c>
      <c r="E6178" s="5" t="s">
        <v>26070</v>
      </c>
      <c r="F6178" s="5" t="str">
        <f>HYPERLINK("http://www.mbe.it/it/spedizioni/roma/roma/0075","www.mbe.it/it/spedizioni/roma/roma/0075")</f>
        <v>www.mbe.it/it/spedizioni/roma/roma/0075</v>
      </c>
    </row>
    <row r="6179" spans="1:6" ht="16.95" customHeight="1" x14ac:dyDescent="0.25">
      <c r="A6179" s="1" t="s">
        <v>26083</v>
      </c>
      <c r="B6179" s="7" t="s">
        <v>26084</v>
      </c>
      <c r="C6179" s="7" t="s">
        <v>26085</v>
      </c>
      <c r="D6179" s="7" t="s">
        <v>26081</v>
      </c>
      <c r="E6179" s="7" t="s">
        <v>26082</v>
      </c>
      <c r="F6179" s="7" t="str">
        <f>HYPERLINK("http://www.trattoriamicci.it/","www.trattoriamicci.it")</f>
        <v>www.trattoriamicci.it</v>
      </c>
    </row>
    <row r="6180" spans="1:6" ht="29.55" customHeight="1" x14ac:dyDescent="0.25">
      <c r="A6180" s="6" t="s">
        <v>26086</v>
      </c>
      <c r="B6180" s="5" t="s">
        <v>26087</v>
      </c>
      <c r="C6180" s="5" t="s">
        <v>26088</v>
      </c>
      <c r="D6180" s="5" t="s">
        <v>26081</v>
      </c>
      <c r="E6180" s="5" t="s">
        <v>26082</v>
      </c>
      <c r="F6180" s="5" t="str">
        <f>HYPERLINK("http://www.commercialistaonline.info/","www.commercialistaonline.info")</f>
        <v>www.commercialistaonline.info</v>
      </c>
    </row>
    <row r="6181" spans="1:6" ht="43.05" customHeight="1" x14ac:dyDescent="0.25">
      <c r="A6181" s="1" t="s">
        <v>26089</v>
      </c>
      <c r="B6181" s="7" t="s">
        <v>26090</v>
      </c>
      <c r="C6181" s="7" t="s">
        <v>26080</v>
      </c>
      <c r="D6181" s="7" t="s">
        <v>26081</v>
      </c>
      <c r="E6181" s="7" t="s">
        <v>26082</v>
      </c>
      <c r="F6181" s="7" t="str">
        <f>HYPERLINK("http://www.vivaro.com/","www.vivaro.com")</f>
        <v>www.vivaro.com</v>
      </c>
    </row>
    <row r="6182" spans="1:6" ht="29.55" customHeight="1" x14ac:dyDescent="0.25">
      <c r="A6182" s="6" t="s">
        <v>26091</v>
      </c>
      <c r="B6182" s="5" t="s">
        <v>26092</v>
      </c>
      <c r="C6182" s="5" t="s">
        <v>26093</v>
      </c>
      <c r="D6182" s="5" t="s">
        <v>26081</v>
      </c>
      <c r="E6182" s="5" t="s">
        <v>26082</v>
      </c>
      <c r="F6182" s="5" t="str">
        <f>HYPERLINK("http://www.agrimar.it/","www.agrimar.it")</f>
        <v>www.agrimar.it</v>
      </c>
    </row>
    <row r="6183" spans="1:6" ht="43.05" customHeight="1" x14ac:dyDescent="0.25">
      <c r="A6183" s="1" t="s">
        <v>26098</v>
      </c>
      <c r="B6183" s="7" t="s">
        <v>26099</v>
      </c>
      <c r="C6183" s="7" t="s">
        <v>26097</v>
      </c>
      <c r="D6183" s="7" t="s">
        <v>26094</v>
      </c>
      <c r="E6183" s="7" t="s">
        <v>26095</v>
      </c>
      <c r="F6183" s="7" t="str">
        <f>HYPERLINK("http://avvocatopavone.wixsite.com/website","avvocatopavone.wixsite.com/website")</f>
        <v>avvocatopavone.wixsite.com/website</v>
      </c>
    </row>
    <row r="6184" spans="1:6" ht="29.55" customHeight="1" x14ac:dyDescent="0.25">
      <c r="A6184" s="6" t="s">
        <v>26100</v>
      </c>
      <c r="B6184" s="5" t="s">
        <v>26101</v>
      </c>
      <c r="C6184" s="5" t="s">
        <v>26096</v>
      </c>
      <c r="D6184" s="5" t="s">
        <v>26094</v>
      </c>
      <c r="E6184" s="5" t="s">
        <v>26095</v>
      </c>
      <c r="F6184" s="5" t="str">
        <f>HYPERLINK("http://casaledeipozzi.com/","casaledeipozzi.com")</f>
        <v>casaledeipozzi.com</v>
      </c>
    </row>
    <row r="6185" spans="1:6" ht="43.05" customHeight="1" x14ac:dyDescent="0.25">
      <c r="A6185" s="1" t="s">
        <v>26105</v>
      </c>
      <c r="B6185" s="7" t="s">
        <v>26106</v>
      </c>
      <c r="C6185" s="7" t="s">
        <v>26107</v>
      </c>
      <c r="D6185" s="7" t="s">
        <v>26102</v>
      </c>
      <c r="E6185" s="7" t="s">
        <v>26103</v>
      </c>
      <c r="F6185" s="7" t="str">
        <f>HYPERLINK("http://www.facebook.com/aziendaagricoladalessio/","www.facebook.com/aziendaagricoladalessio/")</f>
        <v>www.facebook.com/aziendaagricoladalessio/</v>
      </c>
    </row>
    <row r="6186" spans="1:6" ht="29.55" customHeight="1" x14ac:dyDescent="0.25">
      <c r="A6186" s="1" t="s">
        <v>26108</v>
      </c>
      <c r="B6186" s="7" t="s">
        <v>26109</v>
      </c>
      <c r="C6186" s="7" t="s">
        <v>26110</v>
      </c>
      <c r="D6186" s="7" t="s">
        <v>26102</v>
      </c>
      <c r="E6186" s="7" t="s">
        <v>26103</v>
      </c>
      <c r="F6186" s="7" t="str">
        <f>HYPERLINK("http://vulcino.com/","vulcino.com")</f>
        <v>vulcino.com</v>
      </c>
    </row>
    <row r="6187" spans="1:6" ht="43.05" customHeight="1" x14ac:dyDescent="0.25">
      <c r="A6187" s="6" t="s">
        <v>26111</v>
      </c>
      <c r="B6187" s="5" t="s">
        <v>26112</v>
      </c>
      <c r="C6187" s="5" t="s">
        <v>26104</v>
      </c>
      <c r="D6187" s="5" t="s">
        <v>26102</v>
      </c>
      <c r="E6187" s="5" t="s">
        <v>26103</v>
      </c>
      <c r="F6187" s="5" t="str">
        <f>HYPERLINK("http://www.commercialistaonline.info/","www.commercialistaonline.info")</f>
        <v>www.commercialistaonline.info</v>
      </c>
    </row>
    <row r="6188" spans="1:6" ht="29.55" customHeight="1" x14ac:dyDescent="0.25">
      <c r="A6188" s="1" t="s">
        <v>26115</v>
      </c>
      <c r="B6188" s="7" t="s">
        <v>26116</v>
      </c>
      <c r="C6188" s="7" t="s">
        <v>26117</v>
      </c>
      <c r="D6188" s="7" t="s">
        <v>26113</v>
      </c>
      <c r="E6188" s="7" t="s">
        <v>26114</v>
      </c>
      <c r="F6188" s="7" t="str">
        <f>HYPERLINK("http://www.aci.it/","www.aci.it")</f>
        <v>www.aci.it</v>
      </c>
    </row>
    <row r="6189" spans="1:6" ht="29.55" customHeight="1" x14ac:dyDescent="0.25">
      <c r="A6189" s="1" t="s">
        <v>26121</v>
      </c>
      <c r="B6189" s="7" t="s">
        <v>26122</v>
      </c>
      <c r="C6189" s="7" t="s">
        <v>26123</v>
      </c>
      <c r="D6189" s="7" t="s">
        <v>26119</v>
      </c>
      <c r="E6189" s="7" t="s">
        <v>26120</v>
      </c>
      <c r="F6189" s="7" t="str">
        <f>HYPERLINK("http://www.frantoiopaoloni.it/","www.frantoiopaoloni.it")</f>
        <v>www.frantoiopaoloni.it</v>
      </c>
    </row>
    <row r="6190" spans="1:6" ht="43.05" customHeight="1" x14ac:dyDescent="0.25">
      <c r="A6190" s="1" t="s">
        <v>26125</v>
      </c>
      <c r="B6190" s="7" t="s">
        <v>26126</v>
      </c>
      <c r="C6190" s="7" t="s">
        <v>26118</v>
      </c>
      <c r="D6190" s="7" t="s">
        <v>26119</v>
      </c>
      <c r="E6190" s="7" t="s">
        <v>26120</v>
      </c>
      <c r="F6190" s="7" t="str">
        <f>HYPERLINK("http://www.profunghi.it/","www.profunghi.it")</f>
        <v>www.profunghi.it</v>
      </c>
    </row>
    <row r="6191" spans="1:6" ht="43.05" customHeight="1" x14ac:dyDescent="0.25">
      <c r="A6191" s="6" t="s">
        <v>26127</v>
      </c>
      <c r="B6191" s="5" t="s">
        <v>26128</v>
      </c>
      <c r="C6191" s="5" t="s">
        <v>26124</v>
      </c>
      <c r="D6191" s="5" t="s">
        <v>26119</v>
      </c>
      <c r="E6191" s="5" t="s">
        <v>26120</v>
      </c>
      <c r="F6191" s="5" t="str">
        <f>HYPERLINK("http://www.agrore.it/","www.agrore.it")</f>
        <v>www.agrore.it</v>
      </c>
    </row>
    <row r="6192" spans="1:6" ht="16.95" customHeight="1" x14ac:dyDescent="0.25">
      <c r="A6192" s="1" t="s">
        <v>26132</v>
      </c>
      <c r="B6192" s="7" t="s">
        <v>26133</v>
      </c>
      <c r="C6192" s="7" t="s">
        <v>26129</v>
      </c>
      <c r="D6192" s="7" t="s">
        <v>26130</v>
      </c>
      <c r="E6192" s="7" t="s">
        <v>26131</v>
      </c>
      <c r="F6192" s="7" t="str">
        <f>HYPERLINK("http://letrelumache.business.site/","letrelumache.business.site/")</f>
        <v>letrelumache.business.site/</v>
      </c>
    </row>
    <row r="6193" spans="1:6" ht="16.95" customHeight="1" x14ac:dyDescent="0.25">
      <c r="A6193" s="1" t="s">
        <v>26134</v>
      </c>
      <c r="B6193" s="7" t="s">
        <v>26135</v>
      </c>
      <c r="C6193" s="7" t="s">
        <v>26136</v>
      </c>
      <c r="D6193" s="7" t="s">
        <v>26137</v>
      </c>
      <c r="E6193" s="7" t="s">
        <v>26138</v>
      </c>
      <c r="F6193" s="7" t="str">
        <f>HYPERLINK("http://www.canapirpina.it/","www.canapirpina.it")</f>
        <v>www.canapirpina.it</v>
      </c>
    </row>
    <row r="6194" spans="1:6" ht="16.95" customHeight="1" x14ac:dyDescent="0.25">
      <c r="A6194" s="6" t="s">
        <v>26139</v>
      </c>
      <c r="B6194" s="5" t="s">
        <v>26140</v>
      </c>
      <c r="C6194" s="5" t="s">
        <v>26129</v>
      </c>
      <c r="D6194" s="5" t="s">
        <v>26130</v>
      </c>
      <c r="E6194" s="5" t="s">
        <v>26131</v>
      </c>
      <c r="F6194" s="5" t="str">
        <f>HYPERLINK("http://www.alexartroma.it/","www.alexartroma.it")</f>
        <v>www.alexartroma.it</v>
      </c>
    </row>
    <row r="6195" spans="1:6" ht="43.05" customHeight="1" x14ac:dyDescent="0.25">
      <c r="A6195" s="6" t="s">
        <v>26144</v>
      </c>
      <c r="B6195" s="5" t="s">
        <v>26145</v>
      </c>
      <c r="C6195" s="5" t="s">
        <v>26143</v>
      </c>
      <c r="D6195" s="5" t="s">
        <v>26141</v>
      </c>
      <c r="E6195" s="5" t="s">
        <v>26142</v>
      </c>
      <c r="F6195" s="5" t="str">
        <f>HYPERLINK("http://www.autoroyalcompany.it/","www.autoroyalcompany.it")</f>
        <v>www.autoroyalcompany.it</v>
      </c>
    </row>
    <row r="6196" spans="1:6" ht="43.05" customHeight="1" x14ac:dyDescent="0.25">
      <c r="A6196" s="6" t="s">
        <v>26146</v>
      </c>
      <c r="B6196" s="5" t="s">
        <v>26147</v>
      </c>
      <c r="C6196" s="5" t="s">
        <v>26143</v>
      </c>
      <c r="D6196" s="5" t="s">
        <v>26141</v>
      </c>
      <c r="E6196" s="5" t="s">
        <v>26142</v>
      </c>
      <c r="F6196" s="5" t="str">
        <f>HYPERLINK("http://www.poderiditragliatella.it/","www.poderiditragliatella.it")</f>
        <v>www.poderiditragliatella.it</v>
      </c>
    </row>
    <row r="6197" spans="1:6" ht="29.55" customHeight="1" x14ac:dyDescent="0.25">
      <c r="A6197" s="1" t="s">
        <v>26148</v>
      </c>
      <c r="B6197" s="7" t="s">
        <v>26149</v>
      </c>
      <c r="C6197" s="7" t="s">
        <v>26150</v>
      </c>
      <c r="D6197" s="7" t="s">
        <v>26151</v>
      </c>
      <c r="E6197" s="7" t="s">
        <v>26152</v>
      </c>
      <c r="F6197" s="7" t="str">
        <f>HYPERLINK("http://www.newdentalservicesrl.it/","www.newdentalservicesrl.it")</f>
        <v>www.newdentalservicesrl.it</v>
      </c>
    </row>
    <row r="6198" spans="1:6" ht="16.95" customHeight="1" x14ac:dyDescent="0.25">
      <c r="A6198" s="1" t="s">
        <v>26153</v>
      </c>
      <c r="B6198" s="7" t="s">
        <v>26154</v>
      </c>
      <c r="C6198" s="7" t="s">
        <v>26150</v>
      </c>
      <c r="D6198" s="7" t="s">
        <v>26151</v>
      </c>
      <c r="E6198" s="7" t="s">
        <v>26152</v>
      </c>
      <c r="F6198" s="7" t="str">
        <f>HYPERLINK("http://www.gardenloasi.it/","www.gardenloasi.it")</f>
        <v>www.gardenloasi.it</v>
      </c>
    </row>
    <row r="6199" spans="1:6" ht="29.55" customHeight="1" x14ac:dyDescent="0.25">
      <c r="A6199" s="1" t="s">
        <v>26159</v>
      </c>
      <c r="B6199" s="7" t="s">
        <v>26160</v>
      </c>
      <c r="C6199" s="7" t="s">
        <v>26158</v>
      </c>
      <c r="D6199" s="7" t="s">
        <v>26155</v>
      </c>
      <c r="E6199" s="7" t="s">
        <v>26156</v>
      </c>
      <c r="F6199" s="7" t="str">
        <f>HYPERLINK("http://www.pianoconti.it/","www.pianoconti.it")</f>
        <v>www.pianoconti.it</v>
      </c>
    </row>
    <row r="6200" spans="1:6" ht="29.55" customHeight="1" x14ac:dyDescent="0.25">
      <c r="A6200" s="6" t="s">
        <v>26161</v>
      </c>
      <c r="B6200" s="5" t="s">
        <v>26162</v>
      </c>
      <c r="C6200" s="5" t="s">
        <v>26157</v>
      </c>
      <c r="D6200" s="5" t="s">
        <v>26155</v>
      </c>
      <c r="E6200" s="5" t="s">
        <v>26156</v>
      </c>
      <c r="F6200" s="5" t="str">
        <f>HYPERLINK("http://www.bussello.com/","www.bussello.com")</f>
        <v>www.bussello.com</v>
      </c>
    </row>
    <row r="6201" spans="1:6" ht="43.05" customHeight="1" x14ac:dyDescent="0.25">
      <c r="A6201" s="1" t="s">
        <v>26166</v>
      </c>
      <c r="B6201" s="7" t="s">
        <v>26167</v>
      </c>
      <c r="C6201" s="7" t="s">
        <v>26168</v>
      </c>
      <c r="D6201" s="7" t="s">
        <v>26163</v>
      </c>
      <c r="E6201" s="7" t="s">
        <v>26164</v>
      </c>
      <c r="F6201" s="7" t="str">
        <f>HYPERLINK("http://www.lumacadivittoria.it/","www.lumacadivittoria.it")</f>
        <v>www.lumacadivittoria.it</v>
      </c>
    </row>
    <row r="6202" spans="1:6" ht="29.55" customHeight="1" x14ac:dyDescent="0.25">
      <c r="A6202" s="1" t="s">
        <v>26169</v>
      </c>
      <c r="B6202" s="7" t="s">
        <v>26170</v>
      </c>
      <c r="C6202" s="7" t="s">
        <v>26165</v>
      </c>
      <c r="D6202" s="7" t="s">
        <v>26163</v>
      </c>
      <c r="E6202" s="7" t="s">
        <v>26164</v>
      </c>
      <c r="F6202" s="7" t="str">
        <f>HYPERLINK("http://www.ortoplus.es/","www.ortoplus.es")</f>
        <v>www.ortoplus.es</v>
      </c>
    </row>
    <row r="6203" spans="1:6" ht="29.55" customHeight="1" x14ac:dyDescent="0.25">
      <c r="A6203" s="1" t="s">
        <v>26174</v>
      </c>
      <c r="B6203" s="7" t="s">
        <v>26175</v>
      </c>
      <c r="C6203" s="7" t="s">
        <v>26173</v>
      </c>
      <c r="D6203" s="7" t="s">
        <v>26171</v>
      </c>
      <c r="E6203" s="7" t="s">
        <v>26172</v>
      </c>
      <c r="F6203" s="7" t="str">
        <f>HYPERLINK("http://natoinsicilia.com/","natoinsicilia.com")</f>
        <v>natoinsicilia.com</v>
      </c>
    </row>
    <row r="6204" spans="1:6" ht="29.55" customHeight="1" x14ac:dyDescent="0.25">
      <c r="A6204" s="1" t="s">
        <v>26176</v>
      </c>
      <c r="B6204" s="7" t="s">
        <v>26177</v>
      </c>
      <c r="C6204" s="7" t="s">
        <v>26178</v>
      </c>
      <c r="D6204" s="7" t="s">
        <v>26179</v>
      </c>
      <c r="E6204" s="7" t="s">
        <v>26180</v>
      </c>
      <c r="F6204" s="7" t="str">
        <f>HYPERLINK("http://www.officineraialfs.it/","www.officineraialfs.it")</f>
        <v>www.officineraialfs.it</v>
      </c>
    </row>
    <row r="6205" spans="1:6" ht="29.55" customHeight="1" x14ac:dyDescent="0.25">
      <c r="A6205" s="1" t="s">
        <v>26183</v>
      </c>
      <c r="B6205" s="7" t="s">
        <v>26184</v>
      </c>
      <c r="C6205" s="7" t="s">
        <v>26185</v>
      </c>
      <c r="D6205" s="7" t="s">
        <v>26181</v>
      </c>
      <c r="E6205" s="7" t="s">
        <v>26182</v>
      </c>
      <c r="F6205" s="7" t="str">
        <f>HYPERLINK("http://www.mondonuovoscarl.it/","www.mondonuovoscarl.it")</f>
        <v>www.mondonuovoscarl.it</v>
      </c>
    </row>
    <row r="6206" spans="1:6" ht="29.55" customHeight="1" x14ac:dyDescent="0.25">
      <c r="A6206" s="6" t="s">
        <v>26186</v>
      </c>
      <c r="B6206" s="5" t="s">
        <v>26187</v>
      </c>
      <c r="C6206" s="5" t="s">
        <v>26185</v>
      </c>
      <c r="D6206" s="5" t="s">
        <v>26181</v>
      </c>
      <c r="E6206" s="5" t="s">
        <v>26182</v>
      </c>
      <c r="F6206" s="5" t="str">
        <f>HYPERLINK("http://www.mondonuovoscarl.it/","www.mondonuovoscarl.it")</f>
        <v>www.mondonuovoscarl.it</v>
      </c>
    </row>
    <row r="6207" spans="1:6" ht="29.55" customHeight="1" x14ac:dyDescent="0.25">
      <c r="A6207" s="1" t="s">
        <v>26188</v>
      </c>
      <c r="B6207" s="7" t="s">
        <v>26189</v>
      </c>
      <c r="C6207" s="7" t="s">
        <v>26185</v>
      </c>
      <c r="D6207" s="7" t="s">
        <v>26181</v>
      </c>
      <c r="E6207" s="7" t="s">
        <v>26182</v>
      </c>
      <c r="F6207" s="7" t="str">
        <f>HYPERLINK("http://www.mondonuovoscarl.it/","www.mondonuovoscarl.it")</f>
        <v>www.mondonuovoscarl.it</v>
      </c>
    </row>
    <row r="6208" spans="1:6" ht="16.95" customHeight="1" x14ac:dyDescent="0.25">
      <c r="A6208" s="6" t="s">
        <v>26193</v>
      </c>
      <c r="B6208" s="5" t="s">
        <v>26194</v>
      </c>
      <c r="C6208" s="5" t="s">
        <v>26195</v>
      </c>
      <c r="D6208" s="5" t="s">
        <v>26190</v>
      </c>
      <c r="E6208" s="5" t="s">
        <v>26191</v>
      </c>
      <c r="F6208" s="5" t="str">
        <f>HYPERLINK("http://www.racyline.com/","www.racyline.com")</f>
        <v>www.racyline.com</v>
      </c>
    </row>
    <row r="6209" spans="1:6" ht="16.95" customHeight="1" x14ac:dyDescent="0.25">
      <c r="A6209" s="1" t="s">
        <v>26196</v>
      </c>
      <c r="B6209" s="7" t="s">
        <v>26197</v>
      </c>
      <c r="C6209" s="7" t="s">
        <v>26192</v>
      </c>
      <c r="D6209" s="7" t="s">
        <v>26190</v>
      </c>
      <c r="E6209" s="7" t="s">
        <v>26191</v>
      </c>
      <c r="F6209" s="7" t="str">
        <f>HYPERLINK("http://www.gaiapianetaverdesrl.it/","www.gaiapianetaverdesrl.it")</f>
        <v>www.gaiapianetaverdesrl.it</v>
      </c>
    </row>
    <row r="6210" spans="1:6" ht="43.05" customHeight="1" x14ac:dyDescent="0.25">
      <c r="A6210" s="1" t="s">
        <v>26200</v>
      </c>
      <c r="B6210" s="7" t="s">
        <v>26201</v>
      </c>
      <c r="C6210" s="7" t="s">
        <v>26202</v>
      </c>
      <c r="D6210" s="7" t="s">
        <v>26198</v>
      </c>
      <c r="E6210" s="7" t="s">
        <v>26199</v>
      </c>
      <c r="F6210" s="7" t="str">
        <f>HYPERLINK("http://www.cannabislightusg.com/","www.cannabislightusg.com")</f>
        <v>www.cannabislightusg.com</v>
      </c>
    </row>
    <row r="6211" spans="1:6" ht="29.55" customHeight="1" x14ac:dyDescent="0.25">
      <c r="A6211" s="1" t="s">
        <v>26205</v>
      </c>
      <c r="B6211" s="7" t="s">
        <v>26206</v>
      </c>
      <c r="C6211" s="7" t="s">
        <v>26207</v>
      </c>
      <c r="D6211" s="7" t="s">
        <v>26203</v>
      </c>
      <c r="E6211" s="7" t="s">
        <v>26204</v>
      </c>
      <c r="F6211" s="7" t="str">
        <f>HYPERLINK("http://www.vallesangiorgio.info/","www.vallesangiorgio.info")</f>
        <v>www.vallesangiorgio.info</v>
      </c>
    </row>
    <row r="6212" spans="1:6" ht="29.55" customHeight="1" x14ac:dyDescent="0.25">
      <c r="A6212" s="1" t="s">
        <v>26208</v>
      </c>
      <c r="B6212" s="7" t="s">
        <v>26209</v>
      </c>
      <c r="C6212" s="7" t="s">
        <v>26210</v>
      </c>
      <c r="D6212" s="7" t="s">
        <v>26203</v>
      </c>
      <c r="E6212" s="7" t="s">
        <v>26204</v>
      </c>
      <c r="F6212" s="7" t="str">
        <f>HYPERLINK("http://www.essenzabergamotto.com/","www.essenzabergamotto.com")</f>
        <v>www.essenzabergamotto.com</v>
      </c>
    </row>
    <row r="6213" spans="1:6" ht="55.65" customHeight="1" x14ac:dyDescent="0.25">
      <c r="A6213" s="6" t="s">
        <v>26211</v>
      </c>
      <c r="B6213" s="5" t="s">
        <v>26212</v>
      </c>
      <c r="C6213" s="5" t="s">
        <v>26213</v>
      </c>
      <c r="D6213" s="5" t="s">
        <v>26203</v>
      </c>
      <c r="E6213" s="5" t="s">
        <v>26204</v>
      </c>
      <c r="F6213" s="5" t="str">
        <f>HYPERLINK("http://www.villasantamariagioiosa.it/","www.villasantamariagioiosa.it")</f>
        <v>www.villasantamariagioiosa.it</v>
      </c>
    </row>
    <row r="6214" spans="1:6" ht="29.55" customHeight="1" x14ac:dyDescent="0.25">
      <c r="A6214" s="1" t="s">
        <v>26217</v>
      </c>
      <c r="B6214" s="7" t="s">
        <v>26218</v>
      </c>
      <c r="C6214" s="7" t="s">
        <v>26216</v>
      </c>
      <c r="D6214" s="7" t="s">
        <v>26214</v>
      </c>
      <c r="E6214" s="7" t="s">
        <v>26215</v>
      </c>
      <c r="F6214" s="7" t="str">
        <f>HYPERLINK("http://lecerasare.it/","lecerasare.it")</f>
        <v>lecerasare.it</v>
      </c>
    </row>
    <row r="6215" spans="1:6" ht="55.65" customHeight="1" x14ac:dyDescent="0.25">
      <c r="A6215" s="6" t="s">
        <v>26222</v>
      </c>
      <c r="B6215" s="5" t="s">
        <v>26223</v>
      </c>
      <c r="C6215" s="5" t="s">
        <v>26221</v>
      </c>
      <c r="D6215" s="5" t="s">
        <v>26219</v>
      </c>
      <c r="E6215" s="5" t="s">
        <v>26220</v>
      </c>
      <c r="F6215" s="5" t="str">
        <f>HYPERLINK("http://www.calocrideo.it/","www.calocrideo.it")</f>
        <v>www.calocrideo.it</v>
      </c>
    </row>
    <row r="6216" spans="1:6" ht="43.05" customHeight="1" x14ac:dyDescent="0.25">
      <c r="A6216" s="6" t="s">
        <v>26224</v>
      </c>
      <c r="B6216" s="5" t="s">
        <v>26225</v>
      </c>
      <c r="C6216" s="5" t="s">
        <v>26226</v>
      </c>
      <c r="D6216" s="5" t="s">
        <v>26219</v>
      </c>
      <c r="E6216" s="5" t="s">
        <v>26220</v>
      </c>
      <c r="F6216" s="5" t="str">
        <f>HYPERLINK("http://www.orizongroup.it/","www.orizongroup.it")</f>
        <v>www.orizongroup.it</v>
      </c>
    </row>
    <row r="6217" spans="1:6" ht="55.65" customHeight="1" x14ac:dyDescent="0.25">
      <c r="A6217" s="1" t="s">
        <v>26230</v>
      </c>
      <c r="B6217" s="7" t="s">
        <v>26231</v>
      </c>
      <c r="C6217" s="7" t="s">
        <v>26227</v>
      </c>
      <c r="D6217" s="7" t="s">
        <v>26228</v>
      </c>
      <c r="E6217" s="7" t="s">
        <v>26229</v>
      </c>
      <c r="F6217" s="7" t="str">
        <f>HYPERLINK("http://www.ristorantemasseriadornato.it/","www.ristorantemasseriadornato.it")</f>
        <v>www.ristorantemasseriadornato.it</v>
      </c>
    </row>
    <row r="6218" spans="1:6" ht="29.55" customHeight="1" x14ac:dyDescent="0.25">
      <c r="A6218" s="6" t="s">
        <v>26234</v>
      </c>
      <c r="B6218" s="5" t="s">
        <v>26235</v>
      </c>
      <c r="C6218" s="5" t="s">
        <v>26236</v>
      </c>
      <c r="D6218" s="5" t="s">
        <v>26232</v>
      </c>
      <c r="E6218" s="5" t="s">
        <v>26233</v>
      </c>
      <c r="F6218" s="5" t="str">
        <f>HYPERLINK("http://www.terraesale.it/","www.terraesale.it")</f>
        <v>www.terraesale.it</v>
      </c>
    </row>
    <row r="6219" spans="1:6" ht="16.95" customHeight="1" x14ac:dyDescent="0.25">
      <c r="A6219" s="1" t="s">
        <v>26240</v>
      </c>
      <c r="B6219" s="7" t="s">
        <v>26241</v>
      </c>
      <c r="C6219" s="7" t="s">
        <v>26237</v>
      </c>
      <c r="D6219" s="7" t="s">
        <v>26238</v>
      </c>
      <c r="E6219" s="7" t="s">
        <v>26239</v>
      </c>
      <c r="F6219" s="7" t="str">
        <f>HYPERLINK("http://tenuta-san-luca.business.site/","tenuta-san-luca.business.site/")</f>
        <v>tenuta-san-luca.business.site/</v>
      </c>
    </row>
    <row r="6220" spans="1:6" ht="29.55" customHeight="1" x14ac:dyDescent="0.25">
      <c r="A6220" s="6" t="s">
        <v>26245</v>
      </c>
      <c r="B6220" s="5" t="s">
        <v>26246</v>
      </c>
      <c r="C6220" s="5" t="s">
        <v>26244</v>
      </c>
      <c r="D6220" s="5" t="s">
        <v>26242</v>
      </c>
      <c r="E6220" s="5" t="s">
        <v>26243</v>
      </c>
      <c r="F6220" s="5" t="str">
        <f>HYPERLINK("http://tenutapadi.it/","tenutapadi.it")</f>
        <v>tenutapadi.it</v>
      </c>
    </row>
    <row r="6221" spans="1:6" ht="29.55" customHeight="1" x14ac:dyDescent="0.25">
      <c r="A6221" s="6" t="s">
        <v>26251</v>
      </c>
      <c r="B6221" s="5" t="s">
        <v>26252</v>
      </c>
      <c r="C6221" s="5" t="s">
        <v>26249</v>
      </c>
      <c r="D6221" s="5" t="s">
        <v>26247</v>
      </c>
      <c r="E6221" s="5" t="s">
        <v>26248</v>
      </c>
      <c r="F6221" s="5" t="str">
        <f>HYPERLINK("http://www.ilsaulo.it/","www.ilsaulo.it")</f>
        <v>www.ilsaulo.it</v>
      </c>
    </row>
    <row r="6222" spans="1:6" ht="43.05" customHeight="1" x14ac:dyDescent="0.25">
      <c r="A6222" s="1" t="s">
        <v>26253</v>
      </c>
      <c r="B6222" s="7" t="s">
        <v>26254</v>
      </c>
      <c r="C6222" s="7" t="s">
        <v>26250</v>
      </c>
      <c r="D6222" s="7" t="s">
        <v>26247</v>
      </c>
      <c r="E6222" s="7" t="s">
        <v>26248</v>
      </c>
      <c r="F6222" s="7" t="str">
        <f>HYPERLINK("http://www.naturalisworld.it/","www.naturalisworld.it")</f>
        <v>www.naturalisworld.it</v>
      </c>
    </row>
    <row r="6223" spans="1:6" ht="29.55" customHeight="1" x14ac:dyDescent="0.25">
      <c r="A6223" s="1" t="s">
        <v>26258</v>
      </c>
      <c r="B6223" s="7" t="s">
        <v>26259</v>
      </c>
      <c r="C6223" s="7" t="s">
        <v>26255</v>
      </c>
      <c r="D6223" s="7" t="s">
        <v>26256</v>
      </c>
      <c r="E6223" s="7" t="s">
        <v>26257</v>
      </c>
      <c r="F6223" s="7" t="str">
        <f>HYPERLINK("http://www.cadefigo.it/","www.cadefigo.it")</f>
        <v>www.cadefigo.it</v>
      </c>
    </row>
    <row r="6224" spans="1:6" ht="29.55" customHeight="1" x14ac:dyDescent="0.25">
      <c r="A6224" s="1" t="s">
        <v>26262</v>
      </c>
      <c r="B6224" s="7" t="s">
        <v>26263</v>
      </c>
      <c r="C6224" s="7" t="s">
        <v>26264</v>
      </c>
      <c r="D6224" s="7" t="s">
        <v>26260</v>
      </c>
      <c r="E6224" s="7" t="s">
        <v>26261</v>
      </c>
      <c r="F6224" s="7" t="str">
        <f>HYPERLINK("http://www.delseprio.it/","www.delseprio.it")</f>
        <v>www.delseprio.it</v>
      </c>
    </row>
    <row r="6225" spans="1:6" ht="29.55" customHeight="1" x14ac:dyDescent="0.25">
      <c r="A6225" s="1" t="s">
        <v>26266</v>
      </c>
      <c r="B6225" s="7" t="s">
        <v>26267</v>
      </c>
      <c r="C6225" s="7" t="s">
        <v>26265</v>
      </c>
      <c r="D6225" s="7" t="s">
        <v>26268</v>
      </c>
      <c r="E6225" s="7" t="s">
        <v>26269</v>
      </c>
      <c r="F6225" s="7" t="str">
        <f>HYPERLINK("http://www.terrasolis.it/","www.terrasolis.it")</f>
        <v>www.terrasolis.it</v>
      </c>
    </row>
    <row r="6226" spans="1:6" ht="29.55" customHeight="1" x14ac:dyDescent="0.25">
      <c r="A6226" s="6" t="s">
        <v>26272</v>
      </c>
      <c r="B6226" s="5" t="s">
        <v>26273</v>
      </c>
      <c r="C6226" s="5" t="s">
        <v>26274</v>
      </c>
      <c r="D6226" s="5" t="s">
        <v>26270</v>
      </c>
      <c r="E6226" s="5" t="s">
        <v>26271</v>
      </c>
      <c r="F6226" s="5" t="str">
        <f>HYPERLINK("http://faccendi.com/","faccendi.com")</f>
        <v>faccendi.com</v>
      </c>
    </row>
    <row r="6227" spans="1:6" ht="29.55" customHeight="1" x14ac:dyDescent="0.25">
      <c r="A6227" s="1" t="s">
        <v>26278</v>
      </c>
      <c r="B6227" s="7" t="s">
        <v>26279</v>
      </c>
      <c r="C6227" s="7" t="s">
        <v>26275</v>
      </c>
      <c r="D6227" s="7" t="s">
        <v>26276</v>
      </c>
      <c r="E6227" s="7" t="s">
        <v>26277</v>
      </c>
      <c r="F6227" s="7" t="str">
        <f>HYPERLINK("http://www.foxpetroli.com/","www.foxpetroli.com")</f>
        <v>www.foxpetroli.com</v>
      </c>
    </row>
    <row r="6228" spans="1:6" ht="29.55" customHeight="1" x14ac:dyDescent="0.25">
      <c r="A6228" s="6" t="s">
        <v>26283</v>
      </c>
      <c r="B6228" s="5" t="s">
        <v>26284</v>
      </c>
      <c r="C6228" s="5" t="s">
        <v>26285</v>
      </c>
      <c r="D6228" s="5" t="s">
        <v>26281</v>
      </c>
      <c r="E6228" s="5" t="s">
        <v>26282</v>
      </c>
      <c r="F6228" s="5" t="str">
        <f>HYPERLINK("http://www.scuderia-santo-stefano.com/","www.scuderia-santo-stefano.com")</f>
        <v>www.scuderia-santo-stefano.com</v>
      </c>
    </row>
    <row r="6229" spans="1:6" ht="29.55" customHeight="1" x14ac:dyDescent="0.25">
      <c r="A6229" s="1" t="s">
        <v>26289</v>
      </c>
      <c r="B6229" s="7" t="s">
        <v>26290</v>
      </c>
      <c r="C6229" s="7" t="s">
        <v>26280</v>
      </c>
      <c r="D6229" s="7" t="s">
        <v>26287</v>
      </c>
      <c r="E6229" s="7" t="s">
        <v>26288</v>
      </c>
      <c r="F6229" s="7" t="str">
        <f>HYPERLINK("http://caseificiomontauro.it/","caseificiomontauro.it")</f>
        <v>caseificiomontauro.it</v>
      </c>
    </row>
    <row r="6230" spans="1:6" ht="43.05" customHeight="1" x14ac:dyDescent="0.25">
      <c r="A6230" s="6" t="s">
        <v>26291</v>
      </c>
      <c r="B6230" s="5" t="s">
        <v>26292</v>
      </c>
      <c r="C6230" s="5" t="s">
        <v>26286</v>
      </c>
      <c r="D6230" s="5" t="s">
        <v>26287</v>
      </c>
      <c r="E6230" s="5" t="s">
        <v>26288</v>
      </c>
      <c r="F6230" s="5" t="str">
        <f>HYPERLINK("http://www.insectforfuture.com/","www.insectforfuture.com")</f>
        <v>www.insectforfuture.com</v>
      </c>
    </row>
    <row r="6231" spans="1:6" ht="16.95" customHeight="1" x14ac:dyDescent="0.25">
      <c r="A6231" s="6" t="s">
        <v>26295</v>
      </c>
      <c r="B6231" s="5" t="s">
        <v>26296</v>
      </c>
      <c r="C6231" s="5" t="s">
        <v>26297</v>
      </c>
      <c r="D6231" s="5" t="s">
        <v>26293</v>
      </c>
      <c r="E6231" s="5" t="s">
        <v>26294</v>
      </c>
      <c r="F6231" s="5" t="str">
        <f>HYPERLINK("http://www.notaiotrasatti.it/index.php/contatti","www.notaiotrasatti.it/index.php/contatti")</f>
        <v>www.notaiotrasatti.it/index.php/contatti</v>
      </c>
    </row>
    <row r="6232" spans="1:6" ht="16.95" customHeight="1" x14ac:dyDescent="0.25">
      <c r="A6232" s="1" t="s">
        <v>26298</v>
      </c>
      <c r="B6232" s="7" t="s">
        <v>26299</v>
      </c>
      <c r="C6232" s="7" t="s">
        <v>26300</v>
      </c>
      <c r="D6232" s="7" t="s">
        <v>26293</v>
      </c>
      <c r="E6232" s="7" t="s">
        <v>26294</v>
      </c>
      <c r="F6232" s="7" t="str">
        <f>HYPERLINK("http://www.poderepradarolo.com/","www.poderepradarolo.com")</f>
        <v>www.poderepradarolo.com</v>
      </c>
    </row>
    <row r="6233" spans="1:6" ht="55.65" customHeight="1" x14ac:dyDescent="0.25">
      <c r="A6233" s="1" t="s">
        <v>26303</v>
      </c>
      <c r="B6233" s="7" t="s">
        <v>26304</v>
      </c>
      <c r="C6233" s="7" t="s">
        <v>26305</v>
      </c>
      <c r="D6233" s="7" t="s">
        <v>26301</v>
      </c>
      <c r="E6233" s="7" t="s">
        <v>26302</v>
      </c>
      <c r="F6233" s="7" t="str">
        <f>HYPERLINK("http://www.facebook.com/mandorlo.fiorito","www.facebook.com/mandorlo.fiorito")</f>
        <v>www.facebook.com/mandorlo.fiorito</v>
      </c>
    </row>
    <row r="6234" spans="1:6" ht="29.55" customHeight="1" x14ac:dyDescent="0.25">
      <c r="A6234" s="1" t="s">
        <v>26306</v>
      </c>
      <c r="B6234" s="7" t="s">
        <v>26307</v>
      </c>
      <c r="C6234" s="7" t="s">
        <v>26300</v>
      </c>
      <c r="D6234" s="7" t="s">
        <v>26301</v>
      </c>
      <c r="E6234" s="7" t="s">
        <v>26302</v>
      </c>
      <c r="F6234" s="7" t="str">
        <f>HYPERLINK("http://connectisweb.com/","connectisweb.com")</f>
        <v>connectisweb.com</v>
      </c>
    </row>
    <row r="6235" spans="1:6" ht="29.55" customHeight="1" x14ac:dyDescent="0.25">
      <c r="A6235" s="6" t="s">
        <v>26310</v>
      </c>
      <c r="B6235" s="5" t="s">
        <v>26311</v>
      </c>
      <c r="C6235" s="5" t="s">
        <v>26312</v>
      </c>
      <c r="D6235" s="5" t="s">
        <v>26308</v>
      </c>
      <c r="E6235" s="5" t="s">
        <v>26309</v>
      </c>
      <c r="F6235" s="5" t="str">
        <f>HYPERLINK("http://www.vivaischito.com/","www.vivaischito.com")</f>
        <v>www.vivaischito.com</v>
      </c>
    </row>
    <row r="6236" spans="1:6" ht="29.55" customHeight="1" x14ac:dyDescent="0.25">
      <c r="A6236" s="6" t="s">
        <v>26316</v>
      </c>
      <c r="B6236" s="5" t="s">
        <v>26317</v>
      </c>
      <c r="C6236" s="5" t="s">
        <v>26318</v>
      </c>
      <c r="D6236" s="5" t="s">
        <v>26314</v>
      </c>
      <c r="E6236" s="5" t="s">
        <v>26315</v>
      </c>
      <c r="F6236" s="5" t="str">
        <f>HYPERLINK("http://www.poderedelpari.com/","www.poderedelpari.com")</f>
        <v>www.poderedelpari.com</v>
      </c>
    </row>
    <row r="6237" spans="1:6" ht="16.95" customHeight="1" x14ac:dyDescent="0.25">
      <c r="A6237" s="1" t="s">
        <v>26319</v>
      </c>
      <c r="B6237" s="7" t="s">
        <v>26320</v>
      </c>
      <c r="C6237" s="7" t="s">
        <v>26313</v>
      </c>
      <c r="D6237" s="7" t="s">
        <v>26314</v>
      </c>
      <c r="E6237" s="7" t="s">
        <v>26315</v>
      </c>
      <c r="F6237" s="7" t="str">
        <f>HYPERLINK("http://www.sunwave.it/","www.sunwave.it")</f>
        <v>www.sunwave.it</v>
      </c>
    </row>
    <row r="6238" spans="1:6" ht="29.55" customHeight="1" x14ac:dyDescent="0.25">
      <c r="A6238" s="6" t="s">
        <v>26323</v>
      </c>
      <c r="B6238" s="5" t="s">
        <v>26324</v>
      </c>
      <c r="C6238" s="5" t="s">
        <v>26325</v>
      </c>
      <c r="D6238" s="5" t="s">
        <v>26321</v>
      </c>
      <c r="E6238" s="5" t="s">
        <v>26322</v>
      </c>
      <c r="F6238" s="5" t="str">
        <f>HYPERLINK("http://www.fattoriasorbaiano.it/","www.fattoriasorbaiano.it")</f>
        <v>www.fattoriasorbaiano.it</v>
      </c>
    </row>
    <row r="6239" spans="1:6" ht="29.55" customHeight="1" x14ac:dyDescent="0.25">
      <c r="A6239" s="6" t="s">
        <v>26327</v>
      </c>
      <c r="B6239" s="5" t="s">
        <v>26328</v>
      </c>
      <c r="C6239" s="5" t="s">
        <v>26326</v>
      </c>
      <c r="D6239" s="5" t="s">
        <v>26321</v>
      </c>
      <c r="E6239" s="5" t="s">
        <v>26322</v>
      </c>
      <c r="F6239" s="5" t="str">
        <f>HYPERLINK("http://www.toscanolio.com/","www.toscanolio.com")</f>
        <v>www.toscanolio.com</v>
      </c>
    </row>
    <row r="6240" spans="1:6" ht="29.55" customHeight="1" x14ac:dyDescent="0.25">
      <c r="A6240" s="1" t="s">
        <v>26329</v>
      </c>
      <c r="B6240" s="7" t="s">
        <v>26330</v>
      </c>
      <c r="C6240" s="7" t="s">
        <v>26331</v>
      </c>
      <c r="D6240" s="7" t="s">
        <v>26321</v>
      </c>
      <c r="E6240" s="7" t="s">
        <v>26322</v>
      </c>
      <c r="F6240" s="7" t="str">
        <f>HYPERLINK("http://www.2wbio-loop.com/","http://www.2wbio-loop.com")</f>
        <v>http://www.2wbio-loop.com</v>
      </c>
    </row>
    <row r="6241" spans="1:6" ht="43.05" customHeight="1" x14ac:dyDescent="0.25">
      <c r="A6241" s="1" t="s">
        <v>26332</v>
      </c>
      <c r="B6241" s="7" t="s">
        <v>26333</v>
      </c>
      <c r="C6241" s="7" t="s">
        <v>26334</v>
      </c>
      <c r="D6241" s="7" t="s">
        <v>26321</v>
      </c>
      <c r="E6241" s="7" t="s">
        <v>26322</v>
      </c>
      <c r="F6241" s="7" t="str">
        <f>HYPERLINK("http://www.lombricolturaclt.it/","www.lombricolturaclt.it")</f>
        <v>www.lombricolturaclt.it</v>
      </c>
    </row>
    <row r="6242" spans="1:6" ht="29.55" customHeight="1" x14ac:dyDescent="0.25">
      <c r="A6242" s="1" t="s">
        <v>26337</v>
      </c>
      <c r="B6242" s="7" t="s">
        <v>26338</v>
      </c>
      <c r="C6242" s="7" t="s">
        <v>26339</v>
      </c>
      <c r="D6242" s="7" t="s">
        <v>26335</v>
      </c>
      <c r="E6242" s="7" t="s">
        <v>26336</v>
      </c>
      <c r="F6242" s="7" t="str">
        <f>HYPERLINK("http://www.pietrobeconcini.com/","www.pietrobeconcini.com")</f>
        <v>www.pietrobeconcini.com</v>
      </c>
    </row>
    <row r="6243" spans="1:6" ht="29.55" customHeight="1" x14ac:dyDescent="0.25">
      <c r="A6243" s="6" t="s">
        <v>26343</v>
      </c>
      <c r="B6243" s="5" t="s">
        <v>26344</v>
      </c>
      <c r="C6243" s="5" t="s">
        <v>26345</v>
      </c>
      <c r="D6243" s="5" t="s">
        <v>26341</v>
      </c>
      <c r="E6243" s="5" t="s">
        <v>26342</v>
      </c>
      <c r="F6243" s="5" t="str">
        <f>HYPERLINK("http://osteriafavorita.it/","osteriafavorita.it")</f>
        <v>osteriafavorita.it</v>
      </c>
    </row>
    <row r="6244" spans="1:6" ht="29.55" customHeight="1" x14ac:dyDescent="0.25">
      <c r="A6244" s="6" t="s">
        <v>26347</v>
      </c>
      <c r="B6244" s="5" t="s">
        <v>26348</v>
      </c>
      <c r="C6244" s="5" t="s">
        <v>26346</v>
      </c>
      <c r="D6244" s="5" t="s">
        <v>26341</v>
      </c>
      <c r="E6244" s="5" t="s">
        <v>26342</v>
      </c>
      <c r="F6244" s="5" t="str">
        <f>HYPERLINK("http://assisiunica.it/","assisiunica.it")</f>
        <v>assisiunica.it</v>
      </c>
    </row>
    <row r="6245" spans="1:6" ht="29.55" customHeight="1" x14ac:dyDescent="0.25">
      <c r="A6245" s="6" t="s">
        <v>26349</v>
      </c>
      <c r="B6245" s="5" t="s">
        <v>26350</v>
      </c>
      <c r="C6245" s="5" t="s">
        <v>26351</v>
      </c>
      <c r="D6245" s="5" t="s">
        <v>26341</v>
      </c>
      <c r="E6245" s="5" t="s">
        <v>26342</v>
      </c>
      <c r="F6245" s="5" t="str">
        <f>HYPERLINK("http://www.bioumbria-art.it/bio/biovivaio","www.bioumbria-art.it/bio/biovivaio")</f>
        <v>www.bioumbria-art.it/bio/biovivaio</v>
      </c>
    </row>
    <row r="6246" spans="1:6" ht="29.55" customHeight="1" x14ac:dyDescent="0.25">
      <c r="A6246" s="1" t="s">
        <v>26352</v>
      </c>
      <c r="B6246" s="7" t="s">
        <v>26353</v>
      </c>
      <c r="C6246" s="7" t="s">
        <v>26340</v>
      </c>
      <c r="D6246" s="7" t="s">
        <v>26341</v>
      </c>
      <c r="E6246" s="7" t="s">
        <v>26342</v>
      </c>
      <c r="F6246" s="7" t="str">
        <f>HYPERLINK("http://oliodelbianco.it/","oliodelbianco.it")</f>
        <v>oliodelbianco.it</v>
      </c>
    </row>
    <row r="6247" spans="1:6" ht="43.05" customHeight="1" x14ac:dyDescent="0.25">
      <c r="A6247" s="6" t="s">
        <v>26356</v>
      </c>
      <c r="B6247" s="5" t="s">
        <v>26357</v>
      </c>
      <c r="C6247" s="5" t="s">
        <v>26358</v>
      </c>
      <c r="D6247" s="5" t="s">
        <v>26354</v>
      </c>
      <c r="E6247" s="5" t="s">
        <v>26355</v>
      </c>
      <c r="F6247" s="5" t="str">
        <f>HYPERLINK("http://www.reschio.com/","www.reschio.com")</f>
        <v>www.reschio.com</v>
      </c>
    </row>
    <row r="6248" spans="1:6" ht="43.05" customHeight="1" x14ac:dyDescent="0.25">
      <c r="A6248" s="1" t="s">
        <v>26360</v>
      </c>
      <c r="B6248" s="7" t="s">
        <v>26361</v>
      </c>
      <c r="C6248" s="7" t="s">
        <v>26362</v>
      </c>
      <c r="D6248" s="7" t="s">
        <v>26354</v>
      </c>
      <c r="E6248" s="7" t="s">
        <v>26355</v>
      </c>
      <c r="F6248" s="7" t="str">
        <f>HYPERLINK("http://www.facebook.com/ristorante-cupa-cupa-346042129191208/","www.facebook.com/ristorante-cupa-cupa-346042129191208/")</f>
        <v>www.facebook.com/ristorante-cupa-cupa-346042129191208/</v>
      </c>
    </row>
    <row r="6249" spans="1:6" ht="16.95" customHeight="1" x14ac:dyDescent="0.25">
      <c r="A6249" s="6" t="s">
        <v>26363</v>
      </c>
      <c r="B6249" s="5" t="s">
        <v>26364</v>
      </c>
      <c r="C6249" s="5" t="s">
        <v>26362</v>
      </c>
      <c r="D6249" s="5" t="s">
        <v>26354</v>
      </c>
      <c r="E6249" s="5" t="s">
        <v>26355</v>
      </c>
      <c r="F6249" s="5" t="str">
        <f>HYPERLINK("http://oliofarchioni.com/","oliofarchioni.com")</f>
        <v>oliofarchioni.com</v>
      </c>
    </row>
    <row r="6250" spans="1:6" ht="29.55" customHeight="1" x14ac:dyDescent="0.25">
      <c r="A6250" s="1" t="s">
        <v>26365</v>
      </c>
      <c r="B6250" s="7" t="s">
        <v>26366</v>
      </c>
      <c r="C6250" s="7" t="s">
        <v>26367</v>
      </c>
      <c r="D6250" s="7" t="s">
        <v>26354</v>
      </c>
      <c r="E6250" s="7" t="s">
        <v>26355</v>
      </c>
      <c r="F6250" s="7" t="str">
        <f>HYPERLINK("http://luppolomadeinitaly.it/","luppolomadeinitaly.it")</f>
        <v>luppolomadeinitaly.it</v>
      </c>
    </row>
    <row r="6251" spans="1:6" ht="29.55" customHeight="1" x14ac:dyDescent="0.25">
      <c r="A6251" s="1" t="s">
        <v>26368</v>
      </c>
      <c r="B6251" s="7" t="s">
        <v>26369</v>
      </c>
      <c r="C6251" s="7" t="s">
        <v>26359</v>
      </c>
      <c r="D6251" s="7" t="s">
        <v>26354</v>
      </c>
      <c r="E6251" s="7" t="s">
        <v>26355</v>
      </c>
      <c r="F6251" s="7" t="str">
        <f>HYPERLINK("http://www.newfarming.it/","www.newfarming.it")</f>
        <v>www.newfarming.it</v>
      </c>
    </row>
    <row r="6252" spans="1:6" ht="29.55" customHeight="1" x14ac:dyDescent="0.25">
      <c r="A6252" s="1" t="s">
        <v>26373</v>
      </c>
      <c r="B6252" s="7" t="s">
        <v>26374</v>
      </c>
      <c r="C6252" s="7" t="s">
        <v>26375</v>
      </c>
      <c r="D6252" s="7" t="s">
        <v>26370</v>
      </c>
      <c r="E6252" s="7" t="s">
        <v>26371</v>
      </c>
      <c r="F6252" s="7" t="str">
        <f>HYPERLINK("http://lnk.bio/agriturismodandelion","lnk.bio/agriturismodandelion")</f>
        <v>lnk.bio/agriturismodandelion</v>
      </c>
    </row>
    <row r="6253" spans="1:6" ht="16.95" customHeight="1" x14ac:dyDescent="0.25">
      <c r="A6253" s="1" t="s">
        <v>26376</v>
      </c>
      <c r="B6253" s="7" t="s">
        <v>26377</v>
      </c>
      <c r="C6253" s="7" t="s">
        <v>26378</v>
      </c>
      <c r="D6253" s="7" t="s">
        <v>26370</v>
      </c>
      <c r="E6253" s="7" t="s">
        <v>26371</v>
      </c>
      <c r="F6253" s="7" t="str">
        <f>HYPERLINK("http://www.agraia.it/","www.agraia.it")</f>
        <v>www.agraia.it</v>
      </c>
    </row>
    <row r="6254" spans="1:6" ht="29.55" customHeight="1" x14ac:dyDescent="0.25">
      <c r="A6254" s="6" t="s">
        <v>26379</v>
      </c>
      <c r="B6254" s="5" t="s">
        <v>26380</v>
      </c>
      <c r="C6254" s="5" t="s">
        <v>26372</v>
      </c>
      <c r="D6254" s="5" t="s">
        <v>26370</v>
      </c>
      <c r="E6254" s="5" t="s">
        <v>26371</v>
      </c>
      <c r="F6254" s="5" t="str">
        <f>HYPERLINK("http://www.terreumbre.it/","www.terreumbre.it")</f>
        <v>www.terreumbre.it</v>
      </c>
    </row>
    <row r="6255" spans="1:6" ht="68.099999999999994" customHeight="1" x14ac:dyDescent="0.25">
      <c r="A6255" s="6" t="s">
        <v>26383</v>
      </c>
      <c r="B6255" s="5" t="s">
        <v>26384</v>
      </c>
      <c r="C6255" s="5" t="s">
        <v>26385</v>
      </c>
      <c r="D6255" s="5" t="s">
        <v>26381</v>
      </c>
      <c r="E6255" s="5" t="s">
        <v>26382</v>
      </c>
      <c r="F6255" s="5" t="str">
        <f>HYPERLINK("http://e-shop.colfiorito.it/","e-shop.colfiorito.it")</f>
        <v>e-shop.colfiorito.it</v>
      </c>
    </row>
    <row r="6256" spans="1:6" ht="43.05" customHeight="1" x14ac:dyDescent="0.25">
      <c r="A6256" s="1" t="s">
        <v>26389</v>
      </c>
      <c r="B6256" s="7" t="s">
        <v>26390</v>
      </c>
      <c r="C6256" s="7" t="s">
        <v>26386</v>
      </c>
      <c r="D6256" s="7" t="s">
        <v>26387</v>
      </c>
      <c r="E6256" s="7" t="s">
        <v>26388</v>
      </c>
      <c r="F6256" s="7" t="str">
        <f>HYPERLINK("http://casale.bedsandhotels.com/","casale.bedsandhotels.com")</f>
        <v>casale.bedsandhotels.com</v>
      </c>
    </row>
    <row r="6257" spans="1:6" ht="43.05" customHeight="1" x14ac:dyDescent="0.25">
      <c r="A6257" s="1" t="s">
        <v>26393</v>
      </c>
      <c r="B6257" s="7" t="s">
        <v>26394</v>
      </c>
      <c r="C6257" s="7" t="s">
        <v>26395</v>
      </c>
      <c r="D6257" s="7" t="s">
        <v>26391</v>
      </c>
      <c r="E6257" s="7" t="s">
        <v>26392</v>
      </c>
      <c r="F6257" s="7" t="str">
        <f>HYPERLINK("http://www.biobambuitalia.it/","www.biobambuitalia.it")</f>
        <v>www.biobambuitalia.it</v>
      </c>
    </row>
    <row r="6258" spans="1:6" ht="29.55" customHeight="1" x14ac:dyDescent="0.25">
      <c r="A6258" s="6" t="s">
        <v>26399</v>
      </c>
      <c r="B6258" s="5" t="s">
        <v>26400</v>
      </c>
      <c r="C6258" s="5" t="s">
        <v>26401</v>
      </c>
      <c r="D6258" s="5" t="s">
        <v>26397</v>
      </c>
      <c r="E6258" s="5" t="s">
        <v>26398</v>
      </c>
      <c r="F6258" s="5" t="str">
        <f>HYPERLINK("http://negozi.naturasi.it/italia/padova/selvazzano-dentro","negozi.naturasi.it/italia/padova/selvazzano-dentro")</f>
        <v>negozi.naturasi.it/italia/padova/selvazzano-dentro</v>
      </c>
    </row>
    <row r="6259" spans="1:6" ht="43.05" customHeight="1" x14ac:dyDescent="0.25">
      <c r="A6259" s="6" t="s">
        <v>26403</v>
      </c>
      <c r="B6259" s="5" t="s">
        <v>26404</v>
      </c>
      <c r="C6259" s="5" t="s">
        <v>26402</v>
      </c>
      <c r="D6259" s="5" t="s">
        <v>26397</v>
      </c>
      <c r="E6259" s="5" t="s">
        <v>26398</v>
      </c>
      <c r="F6259" s="5" t="str">
        <f>HYPERLINK("http://blog.demia.org/","blog.demia.org")</f>
        <v>blog.demia.org</v>
      </c>
    </row>
    <row r="6260" spans="1:6" ht="29.55" customHeight="1" x14ac:dyDescent="0.25">
      <c r="A6260" s="1" t="s">
        <v>26405</v>
      </c>
      <c r="B6260" s="7" t="s">
        <v>26406</v>
      </c>
      <c r="C6260" s="7" t="s">
        <v>26407</v>
      </c>
      <c r="D6260" s="7" t="s">
        <v>26397</v>
      </c>
      <c r="E6260" s="7" t="s">
        <v>26398</v>
      </c>
      <c r="F6260" s="7" t="str">
        <f>HYPERLINK("http://inef.it/","inef.it")</f>
        <v>inef.it</v>
      </c>
    </row>
    <row r="6261" spans="1:6" ht="43.05" customHeight="1" x14ac:dyDescent="0.25">
      <c r="A6261" s="6" t="s">
        <v>26408</v>
      </c>
      <c r="B6261" s="5" t="s">
        <v>26409</v>
      </c>
      <c r="C6261" s="5" t="s">
        <v>26396</v>
      </c>
      <c r="D6261" s="5" t="s">
        <v>26397</v>
      </c>
      <c r="E6261" s="5" t="s">
        <v>26398</v>
      </c>
      <c r="F6261" s="5" t="str">
        <f>HYPERLINK("http://www.unmondodigioia.org/","www.unmondodigioia.org")</f>
        <v>www.unmondodigioia.org</v>
      </c>
    </row>
    <row r="6262" spans="1:6" ht="43.05" customHeight="1" x14ac:dyDescent="0.25">
      <c r="A6262" s="6" t="s">
        <v>26413</v>
      </c>
      <c r="B6262" s="5" t="s">
        <v>26414</v>
      </c>
      <c r="C6262" s="5" t="s">
        <v>26410</v>
      </c>
      <c r="D6262" s="5" t="s">
        <v>26411</v>
      </c>
      <c r="E6262" s="5" t="s">
        <v>26412</v>
      </c>
      <c r="F6262" s="5" t="str">
        <f>HYPERLINK("http://pec.it/","pec.it")</f>
        <v>pec.it</v>
      </c>
    </row>
    <row r="6263" spans="1:6" ht="16.95" customHeight="1" x14ac:dyDescent="0.25">
      <c r="A6263" s="1" t="s">
        <v>26416</v>
      </c>
      <c r="B6263" s="7" t="s">
        <v>26417</v>
      </c>
      <c r="C6263" s="7" t="s">
        <v>26418</v>
      </c>
      <c r="D6263" s="7" t="s">
        <v>26411</v>
      </c>
      <c r="E6263" s="7" t="s">
        <v>26412</v>
      </c>
      <c r="F6263" s="7" t="str">
        <f>HYPERLINK("http://www.lafattoriaveneta.it/","www.lafattoriaveneta.it")</f>
        <v>www.lafattoriaveneta.it</v>
      </c>
    </row>
    <row r="6264" spans="1:6" ht="29.55" customHeight="1" x14ac:dyDescent="0.25">
      <c r="A6264" s="1" t="s">
        <v>26419</v>
      </c>
      <c r="B6264" s="7" t="s">
        <v>26420</v>
      </c>
      <c r="C6264" s="7" t="s">
        <v>26415</v>
      </c>
      <c r="D6264" s="7" t="s">
        <v>26411</v>
      </c>
      <c r="E6264" s="7" t="s">
        <v>26412</v>
      </c>
      <c r="F6264" s="7" t="str">
        <f>HYPERLINK("http://www.apsholding.it/","www.apsholding.it")</f>
        <v>www.apsholding.it</v>
      </c>
    </row>
    <row r="6265" spans="1:6" ht="29.55" customHeight="1" x14ac:dyDescent="0.25">
      <c r="A6265" s="6" t="s">
        <v>26425</v>
      </c>
      <c r="B6265" s="5" t="s">
        <v>26426</v>
      </c>
      <c r="C6265" s="5" t="s">
        <v>26421</v>
      </c>
      <c r="D6265" s="5" t="s">
        <v>26423</v>
      </c>
      <c r="E6265" s="5" t="s">
        <v>26424</v>
      </c>
      <c r="F6265" s="5" t="str">
        <f>HYPERLINK("http://www.raffaele-conti.com/","www.raffaele-conti.com")</f>
        <v>www.raffaele-conti.com</v>
      </c>
    </row>
    <row r="6266" spans="1:6" ht="29.55" customHeight="1" x14ac:dyDescent="0.25">
      <c r="A6266" s="6" t="s">
        <v>26427</v>
      </c>
      <c r="B6266" s="5" t="s">
        <v>26428</v>
      </c>
      <c r="C6266" s="5" t="s">
        <v>26422</v>
      </c>
      <c r="D6266" s="5" t="s">
        <v>26423</v>
      </c>
      <c r="E6266" s="5" t="s">
        <v>26424</v>
      </c>
      <c r="F6266" s="5" t="str">
        <f>HYPERLINK("http://diamondparma.it/","diamondparma.it")</f>
        <v>diamondparma.it</v>
      </c>
    </row>
    <row r="6267" spans="1:6" ht="68.099999999999994" customHeight="1" x14ac:dyDescent="0.25">
      <c r="A6267" s="1" t="s">
        <v>26432</v>
      </c>
      <c r="B6267" s="7" t="s">
        <v>26433</v>
      </c>
      <c r="C6267" s="7" t="s">
        <v>26429</v>
      </c>
      <c r="D6267" s="7" t="s">
        <v>26430</v>
      </c>
      <c r="E6267" s="7" t="s">
        <v>26431</v>
      </c>
      <c r="F6267" s="7" t="str">
        <f>HYPERLINK("http://www.agriturismopontecalatrasi.com/","www.agriturismopontecalatrasi.com")</f>
        <v>www.agriturismopontecalatrasi.com</v>
      </c>
    </row>
    <row r="6268" spans="1:6" ht="29.55" customHeight="1" x14ac:dyDescent="0.25">
      <c r="A6268" s="1" t="s">
        <v>26434</v>
      </c>
      <c r="B6268" s="7" t="s">
        <v>26435</v>
      </c>
      <c r="C6268" s="7" t="s">
        <v>26436</v>
      </c>
      <c r="D6268" s="7" t="s">
        <v>26430</v>
      </c>
      <c r="E6268" s="7" t="s">
        <v>26431</v>
      </c>
      <c r="F6268" s="7" t="str">
        <f>HYPERLINK("http://www.agriturismoparcovecchio.com/","www.agriturismoparcovecchio.com")</f>
        <v>www.agriturismoparcovecchio.com</v>
      </c>
    </row>
    <row r="6269" spans="1:6" ht="55.65" customHeight="1" x14ac:dyDescent="0.25">
      <c r="A6269" s="6" t="s">
        <v>26440</v>
      </c>
      <c r="B6269" s="5" t="s">
        <v>26441</v>
      </c>
      <c r="C6269" s="5" t="s">
        <v>26442</v>
      </c>
      <c r="D6269" s="5" t="s">
        <v>26437</v>
      </c>
      <c r="E6269" s="5" t="s">
        <v>26438</v>
      </c>
      <c r="F6269" s="5" t="str">
        <f>HYPERLINK("http://www.redgardensrls.it/","www.redgardensrls.it")</f>
        <v>www.redgardensrls.it</v>
      </c>
    </row>
    <row r="6270" spans="1:6" ht="43.05" customHeight="1" x14ac:dyDescent="0.25">
      <c r="A6270" s="6" t="s">
        <v>26443</v>
      </c>
      <c r="B6270" s="5" t="s">
        <v>26444</v>
      </c>
      <c r="C6270" s="5" t="s">
        <v>26445</v>
      </c>
      <c r="D6270" s="5" t="s">
        <v>26437</v>
      </c>
      <c r="E6270" s="5" t="s">
        <v>26438</v>
      </c>
      <c r="F6270" s="5" t="str">
        <f>HYPERLINK("http://www.marinadivini.it/","www.marinadivini.it")</f>
        <v>www.marinadivini.it</v>
      </c>
    </row>
    <row r="6271" spans="1:6" ht="68.099999999999994" customHeight="1" x14ac:dyDescent="0.25">
      <c r="A6271" s="1" t="s">
        <v>26446</v>
      </c>
      <c r="B6271" s="7" t="s">
        <v>26447</v>
      </c>
      <c r="C6271" s="7" t="s">
        <v>26439</v>
      </c>
      <c r="D6271" s="7" t="s">
        <v>26437</v>
      </c>
      <c r="E6271" s="7" t="s">
        <v>26438</v>
      </c>
      <c r="F6271" s="7" t="str">
        <f>HYPERLINK("http://www.villadafne.it/","www.villadafne.it")</f>
        <v>www.villadafne.it</v>
      </c>
    </row>
    <row r="6272" spans="1:6" ht="55.65" customHeight="1" x14ac:dyDescent="0.25">
      <c r="A6272" s="1" t="s">
        <v>26451</v>
      </c>
      <c r="B6272" s="7" t="s">
        <v>26452</v>
      </c>
      <c r="C6272" s="7" t="s">
        <v>26450</v>
      </c>
      <c r="D6272" s="7" t="s">
        <v>26448</v>
      </c>
      <c r="E6272" s="7" t="s">
        <v>26449</v>
      </c>
      <c r="F6272" s="7" t="str">
        <f>HYPERLINK("http://www.degregorioagricoltura.com/","www.degregorioagricoltura.com")</f>
        <v>www.degregorioagricoltura.com</v>
      </c>
    </row>
    <row r="6273" spans="1:6" ht="43.05" customHeight="1" x14ac:dyDescent="0.25">
      <c r="A6273" s="1" t="s">
        <v>26454</v>
      </c>
      <c r="B6273" s="7" t="s">
        <v>26455</v>
      </c>
      <c r="C6273" s="7" t="s">
        <v>26453</v>
      </c>
      <c r="D6273" s="2"/>
      <c r="E6273" s="2"/>
      <c r="F6273" s="7" t="str">
        <f>HYPERLINK("http://euroganaderosgroup.com/","euroganaderosgroup.com")</f>
        <v>euroganaderosgroup.com</v>
      </c>
    </row>
    <row r="6274" spans="1:6" ht="55.65" customHeight="1" x14ac:dyDescent="0.25">
      <c r="A6274" s="1" t="s">
        <v>26459</v>
      </c>
      <c r="B6274" s="7" t="s">
        <v>26460</v>
      </c>
      <c r="C6274" s="7" t="s">
        <v>26458</v>
      </c>
      <c r="D6274" s="7" t="s">
        <v>26456</v>
      </c>
      <c r="E6274" s="7" t="s">
        <v>26457</v>
      </c>
      <c r="F6274" s="7" t="str">
        <f>HYPERLINK("http://www.morgiacooperativa.it/","www.morgiacooperativa.it")</f>
        <v>www.morgiacooperativa.it</v>
      </c>
    </row>
    <row r="6275" spans="1:6" ht="43.05" customHeight="1" x14ac:dyDescent="0.25">
      <c r="A6275" s="6" t="s">
        <v>26463</v>
      </c>
      <c r="B6275" s="5" t="s">
        <v>26464</v>
      </c>
      <c r="C6275" s="5" t="s">
        <v>26465</v>
      </c>
      <c r="D6275" s="5" t="s">
        <v>26461</v>
      </c>
      <c r="E6275" s="5" t="s">
        <v>26462</v>
      </c>
      <c r="F6275" s="5" t="str">
        <f>HYPERLINK("http://zero-5-societa-agricola-a-responsabilita-limitata-01252100951.quantofattura.com/","zero-5-societa-agricola-a-responsabilita-limitata-01252100951.quantofattura.com")</f>
        <v>zero-5-societa-agricola-a-responsabilita-limitata-01252100951.quantofattura.com</v>
      </c>
    </row>
    <row r="6276" spans="1:6" ht="43.05" customHeight="1" x14ac:dyDescent="0.25">
      <c r="A6276" s="6" t="s">
        <v>26466</v>
      </c>
      <c r="B6276" s="5" t="s">
        <v>26467</v>
      </c>
      <c r="C6276" s="5" t="s">
        <v>26468</v>
      </c>
      <c r="D6276" s="5" t="s">
        <v>26461</v>
      </c>
      <c r="E6276" s="5" t="s">
        <v>26462</v>
      </c>
      <c r="F6276" s="5" t="str">
        <f>HYPERLINK("http://www.cbdgroup.it/","www.cbdgroup.it")</f>
        <v>www.cbdgroup.it</v>
      </c>
    </row>
    <row r="6277" spans="1:6" ht="29.55" customHeight="1" x14ac:dyDescent="0.25">
      <c r="A6277" s="6" t="s">
        <v>26472</v>
      </c>
      <c r="B6277" s="5" t="s">
        <v>26473</v>
      </c>
      <c r="C6277" s="5" t="s">
        <v>26474</v>
      </c>
      <c r="D6277" s="5" t="s">
        <v>26470</v>
      </c>
      <c r="E6277" s="5" t="s">
        <v>26471</v>
      </c>
      <c r="F6277" s="5" t="str">
        <f>HYPERLINK("http://www.servicesos.it/","www.servicesos.it")</f>
        <v>www.servicesos.it</v>
      </c>
    </row>
    <row r="6278" spans="1:6" ht="29.55" customHeight="1" x14ac:dyDescent="0.25">
      <c r="A6278" s="6" t="s">
        <v>26476</v>
      </c>
      <c r="B6278" s="5" t="s">
        <v>26477</v>
      </c>
      <c r="C6278" s="5" t="s">
        <v>26469</v>
      </c>
      <c r="D6278" s="5" t="s">
        <v>26470</v>
      </c>
      <c r="E6278" s="5" t="s">
        <v>26471</v>
      </c>
      <c r="F6278" s="5" t="str">
        <f>HYPERLINK("http://tenutesarde.com/","tenutesarde.com")</f>
        <v>tenutesarde.com</v>
      </c>
    </row>
    <row r="6279" spans="1:6" ht="29.55" customHeight="1" x14ac:dyDescent="0.25">
      <c r="A6279" s="1" t="s">
        <v>26478</v>
      </c>
      <c r="B6279" s="7" t="s">
        <v>26479</v>
      </c>
      <c r="C6279" s="7" t="s">
        <v>26475</v>
      </c>
      <c r="D6279" s="7" t="s">
        <v>26470</v>
      </c>
      <c r="E6279" s="7" t="s">
        <v>26471</v>
      </c>
      <c r="F6279" s="7" t="str">
        <f>HYPERLINK("http://www.susu.org/","www.susu.org")</f>
        <v>www.susu.org</v>
      </c>
    </row>
    <row r="6280" spans="1:6" ht="29.55" customHeight="1" x14ac:dyDescent="0.25">
      <c r="A6280" s="1" t="s">
        <v>26483</v>
      </c>
      <c r="B6280" s="7" t="s">
        <v>26484</v>
      </c>
      <c r="C6280" s="7" t="s">
        <v>26480</v>
      </c>
      <c r="D6280" s="7" t="s">
        <v>26481</v>
      </c>
      <c r="E6280" s="7" t="s">
        <v>26482</v>
      </c>
      <c r="F6280" s="7" t="str">
        <f>HYPERLINK("http://www.casamichelangela.it/","www.casamichelangela.it")</f>
        <v>www.casamichelangela.it</v>
      </c>
    </row>
    <row r="6281" spans="1:6" ht="29.55" customHeight="1" x14ac:dyDescent="0.25">
      <c r="A6281" s="6" t="s">
        <v>26487</v>
      </c>
      <c r="B6281" s="5" t="s">
        <v>26488</v>
      </c>
      <c r="C6281" s="5" t="s">
        <v>26489</v>
      </c>
      <c r="D6281" s="5" t="s">
        <v>26485</v>
      </c>
      <c r="E6281" s="5" t="s">
        <v>26486</v>
      </c>
      <c r="F6281" s="5" t="str">
        <f>HYPERLINK("http://www.aziendaagricolagalano.com/","www.aziendaagricolagalano.com")</f>
        <v>www.aziendaagricolagalano.com</v>
      </c>
    </row>
    <row r="6282" spans="1:6" ht="29.55" customHeight="1" x14ac:dyDescent="0.25">
      <c r="A6282" s="6" t="s">
        <v>26492</v>
      </c>
      <c r="B6282" s="5" t="s">
        <v>26493</v>
      </c>
      <c r="C6282" s="5" t="s">
        <v>26494</v>
      </c>
      <c r="D6282" s="5" t="s">
        <v>26490</v>
      </c>
      <c r="E6282" s="5" t="s">
        <v>26491</v>
      </c>
      <c r="F6282" s="5" t="str">
        <f>HYPERLINK("http://ventigrani.it/","ventigrani.it")</f>
        <v>ventigrani.it</v>
      </c>
    </row>
    <row r="6283" spans="1:6" ht="43.05" customHeight="1" x14ac:dyDescent="0.25">
      <c r="A6283" s="6" t="s">
        <v>26498</v>
      </c>
      <c r="B6283" s="5" t="s">
        <v>26499</v>
      </c>
      <c r="C6283" s="5" t="s">
        <v>26500</v>
      </c>
      <c r="D6283" s="5" t="s">
        <v>26496</v>
      </c>
      <c r="E6283" s="5" t="s">
        <v>26497</v>
      </c>
      <c r="F6283" s="5" t="str">
        <f>HYPERLINK("http://www.alpozzoaziendaagricola.it/","www.alpozzoaziendaagricola.it")</f>
        <v>www.alpozzoaziendaagricola.it</v>
      </c>
    </row>
    <row r="6284" spans="1:6" ht="29.55" customHeight="1" x14ac:dyDescent="0.25">
      <c r="A6284" s="6" t="s">
        <v>26501</v>
      </c>
      <c r="B6284" s="5" t="s">
        <v>26502</v>
      </c>
      <c r="C6284" s="5" t="s">
        <v>26495</v>
      </c>
      <c r="D6284" s="5" t="s">
        <v>26496</v>
      </c>
      <c r="E6284" s="5" t="s">
        <v>26497</v>
      </c>
      <c r="F6284" s="5" t="str">
        <f>HYPERLINK("http://instagram.com/luxuryfarm_","instagram.com/luxuryfarm_")</f>
        <v>instagram.com/luxuryfarm_</v>
      </c>
    </row>
    <row r="6285" spans="1:6" ht="29.55" customHeight="1" x14ac:dyDescent="0.25">
      <c r="A6285" s="1" t="s">
        <v>26505</v>
      </c>
      <c r="B6285" s="7" t="s">
        <v>26506</v>
      </c>
      <c r="C6285" s="7" t="s">
        <v>26507</v>
      </c>
      <c r="D6285" s="7" t="s">
        <v>26503</v>
      </c>
      <c r="E6285" s="7" t="s">
        <v>26504</v>
      </c>
      <c r="F6285" s="7" t="str">
        <f>HYPERLINK("http://www.cantinerussolillo.com/","www.cantinerussolillo.com")</f>
        <v>www.cantinerussolillo.com</v>
      </c>
    </row>
    <row r="6286" spans="1:6" ht="29.55" customHeight="1" x14ac:dyDescent="0.25">
      <c r="A6286" s="1" t="s">
        <v>26511</v>
      </c>
      <c r="B6286" s="7" t="s">
        <v>26512</v>
      </c>
      <c r="C6286" s="7" t="s">
        <v>26510</v>
      </c>
      <c r="D6286" s="7" t="s">
        <v>26508</v>
      </c>
      <c r="E6286" s="7" t="s">
        <v>26509</v>
      </c>
      <c r="F6286" s="7" t="str">
        <f>HYPERLINK("http://www.levocidinapoli.it/","www.levocidinapoli.it")</f>
        <v>www.levocidinapoli.it</v>
      </c>
    </row>
    <row r="6287" spans="1:6" ht="29.55" customHeight="1" x14ac:dyDescent="0.25">
      <c r="A6287" s="1" t="s">
        <v>26515</v>
      </c>
      <c r="B6287" s="7" t="s">
        <v>26516</v>
      </c>
      <c r="C6287" s="7" t="s">
        <v>26517</v>
      </c>
      <c r="D6287" s="7" t="s">
        <v>26513</v>
      </c>
      <c r="E6287" s="7" t="s">
        <v>26514</v>
      </c>
      <c r="F6287" s="7" t="str">
        <f>HYPERLINK("http://www.agrielaia.it/","www.agrielaia.it")</f>
        <v>www.agrielaia.it</v>
      </c>
    </row>
    <row r="6288" spans="1:6" ht="43.05" customHeight="1" x14ac:dyDescent="0.25">
      <c r="A6288" s="6" t="s">
        <v>26520</v>
      </c>
      <c r="B6288" s="5" t="s">
        <v>26521</v>
      </c>
      <c r="C6288" s="5" t="s">
        <v>26522</v>
      </c>
      <c r="D6288" s="5" t="s">
        <v>26518</v>
      </c>
      <c r="E6288" s="5" t="s">
        <v>26519</v>
      </c>
      <c r="F6288" s="5" t="str">
        <f>HYPERLINK("http://www.calumacosmesi.it/","www.calumacosmesi.it")</f>
        <v>www.calumacosmesi.it</v>
      </c>
    </row>
    <row r="6289" spans="1:6" ht="29.55" customHeight="1" x14ac:dyDescent="0.25">
      <c r="A6289" s="1" t="s">
        <v>26526</v>
      </c>
      <c r="B6289" s="7" t="s">
        <v>26527</v>
      </c>
      <c r="C6289" s="7" t="s">
        <v>26528</v>
      </c>
      <c r="D6289" s="7" t="s">
        <v>26523</v>
      </c>
      <c r="E6289" s="7" t="s">
        <v>26524</v>
      </c>
      <c r="F6289" s="7" t="str">
        <f>HYPERLINK("http://www.ortodilucania.it/","www.ortodilucania.it")</f>
        <v>www.ortodilucania.it</v>
      </c>
    </row>
    <row r="6290" spans="1:6" ht="43.05" customHeight="1" x14ac:dyDescent="0.25">
      <c r="A6290" s="1" t="s">
        <v>26529</v>
      </c>
      <c r="B6290" s="7" t="s">
        <v>26530</v>
      </c>
      <c r="C6290" s="7" t="s">
        <v>26525</v>
      </c>
      <c r="D6290" s="7" t="s">
        <v>26523</v>
      </c>
      <c r="E6290" s="7" t="s">
        <v>26524</v>
      </c>
      <c r="F6290" s="7" t="str">
        <f>HYPERLINK("http://www.ortodilucania.it/","www.ortodilucania.it")</f>
        <v>www.ortodilucania.it</v>
      </c>
    </row>
    <row r="6291" spans="1:6" ht="29.55" customHeight="1" x14ac:dyDescent="0.25">
      <c r="A6291" s="1" t="s">
        <v>26534</v>
      </c>
      <c r="B6291" s="7" t="s">
        <v>26535</v>
      </c>
      <c r="C6291" s="7" t="s">
        <v>26531</v>
      </c>
      <c r="D6291" s="7" t="s">
        <v>26532</v>
      </c>
      <c r="E6291" s="7" t="s">
        <v>26533</v>
      </c>
      <c r="F6291" s="7" t="str">
        <f>HYPERLINK("http://agriturismo-macchia-di-riso-apartment.gobasilicata.com/","agriturismo-macchia-di-riso-apartment.gobasilicata.com")</f>
        <v>agriturismo-macchia-di-riso-apartment.gobasilicata.com</v>
      </c>
    </row>
    <row r="6292" spans="1:6" ht="55.65" customHeight="1" x14ac:dyDescent="0.25">
      <c r="A6292" s="1" t="s">
        <v>26538</v>
      </c>
      <c r="B6292" s="7" t="s">
        <v>26539</v>
      </c>
      <c r="C6292" s="7" t="s">
        <v>26540</v>
      </c>
      <c r="D6292" s="7" t="s">
        <v>26536</v>
      </c>
      <c r="E6292" s="7" t="s">
        <v>26537</v>
      </c>
      <c r="F6292" s="7" t="str">
        <f>HYPERLINK("http://canapaidelgolfo.it/","canapaidelgolfo.it")</f>
        <v>canapaidelgolfo.it</v>
      </c>
    </row>
    <row r="6293" spans="1:6" ht="29.55" customHeight="1" x14ac:dyDescent="0.25">
      <c r="A6293" s="6" t="s">
        <v>26544</v>
      </c>
      <c r="B6293" s="5" t="s">
        <v>26545</v>
      </c>
      <c r="C6293" s="5" t="s">
        <v>26543</v>
      </c>
      <c r="D6293" s="5" t="s">
        <v>26541</v>
      </c>
      <c r="E6293" s="5" t="s">
        <v>26542</v>
      </c>
      <c r="F6293" s="5" t="str">
        <f>HYPERLINK("http://www.orion.it/","www.orion.it")</f>
        <v>www.orion.it</v>
      </c>
    </row>
    <row r="6294" spans="1:6" ht="43.05" customHeight="1" x14ac:dyDescent="0.25">
      <c r="A6294" s="6" t="s">
        <v>26548</v>
      </c>
      <c r="B6294" s="5" t="s">
        <v>26549</v>
      </c>
      <c r="C6294" s="5" t="s">
        <v>26550</v>
      </c>
      <c r="D6294" s="5" t="s">
        <v>26546</v>
      </c>
      <c r="E6294" s="5" t="s">
        <v>26547</v>
      </c>
      <c r="F6294" s="5" t="str">
        <f>HYPERLINK("http://gocciadorocoop.com/","gocciadorocoop.com")</f>
        <v>gocciadorocoop.com</v>
      </c>
    </row>
    <row r="6295" spans="1:6" ht="29.55" customHeight="1" x14ac:dyDescent="0.25">
      <c r="A6295" s="6" t="s">
        <v>26552</v>
      </c>
      <c r="B6295" s="5" t="s">
        <v>26553</v>
      </c>
      <c r="C6295" s="5" t="s">
        <v>26550</v>
      </c>
      <c r="D6295" s="5" t="s">
        <v>26551</v>
      </c>
      <c r="E6295" s="5" t="s">
        <v>26547</v>
      </c>
      <c r="F6295" s="5" t="str">
        <f>HYPERLINK("http://www.alveario.it/","www.alveario.it")</f>
        <v>www.alveario.it</v>
      </c>
    </row>
    <row r="6296" spans="1:6" ht="29.55" customHeight="1" x14ac:dyDescent="0.25">
      <c r="A6296" s="1" t="s">
        <v>26554</v>
      </c>
      <c r="B6296" s="7" t="s">
        <v>26555</v>
      </c>
      <c r="C6296" s="7" t="s">
        <v>26556</v>
      </c>
      <c r="D6296" s="7" t="s">
        <v>26551</v>
      </c>
      <c r="E6296" s="7" t="s">
        <v>26547</v>
      </c>
      <c r="F6296" s="7" t="str">
        <f>HYPERLINK("http://www.illimoneto.it/","www.illimoneto.it")</f>
        <v>www.illimoneto.it</v>
      </c>
    </row>
    <row r="6297" spans="1:6" ht="43.05" customHeight="1" x14ac:dyDescent="0.25">
      <c r="A6297" s="6" t="s">
        <v>26557</v>
      </c>
      <c r="B6297" s="5" t="s">
        <v>26558</v>
      </c>
      <c r="C6297" s="5" t="s">
        <v>26559</v>
      </c>
      <c r="D6297" s="5" t="s">
        <v>26551</v>
      </c>
      <c r="E6297" s="5" t="s">
        <v>26547</v>
      </c>
      <c r="F6297" s="5" t="str">
        <f>HYPERLINK("http://tenutadipetriolo.com/","tenutadipetriolo.com")</f>
        <v>tenutadipetriolo.com</v>
      </c>
    </row>
    <row r="6298" spans="1:6" ht="29.55" customHeight="1" x14ac:dyDescent="0.25">
      <c r="A6298" s="1" t="s">
        <v>26560</v>
      </c>
      <c r="B6298" s="7" t="s">
        <v>26561</v>
      </c>
      <c r="C6298" s="7" t="s">
        <v>26562</v>
      </c>
      <c r="D6298" s="7" t="s">
        <v>26551</v>
      </c>
      <c r="E6298" s="7" t="s">
        <v>26547</v>
      </c>
      <c r="F6298" s="7" t="str">
        <f>HYPERLINK("http://www.trovailtempo.it/","www.trovailtempo.it")</f>
        <v>www.trovailtempo.it</v>
      </c>
    </row>
    <row r="6299" spans="1:6" ht="43.05" customHeight="1" x14ac:dyDescent="0.25">
      <c r="A6299" s="1" t="s">
        <v>26563</v>
      </c>
      <c r="B6299" s="7" t="s">
        <v>26564</v>
      </c>
      <c r="C6299" s="7" t="s">
        <v>26565</v>
      </c>
      <c r="D6299" s="7" t="s">
        <v>26566</v>
      </c>
      <c r="E6299" s="7" t="s">
        <v>26567</v>
      </c>
      <c r="F6299" s="7" t="str">
        <f>HYPERLINK("http://www.santoronzo.com/","www.santoronzo.com")</f>
        <v>www.santoronzo.com</v>
      </c>
    </row>
    <row r="6300" spans="1:6" ht="29.55" customHeight="1" x14ac:dyDescent="0.25">
      <c r="A6300" s="1" t="s">
        <v>26568</v>
      </c>
      <c r="B6300" s="7" t="s">
        <v>26569</v>
      </c>
      <c r="C6300" s="7" t="s">
        <v>26570</v>
      </c>
      <c r="D6300" s="7" t="s">
        <v>26566</v>
      </c>
      <c r="E6300" s="7" t="s">
        <v>26567</v>
      </c>
      <c r="F6300" s="7" t="str">
        <f>HYPERLINK("http://www.cdesign-group.com/","www.cdesign-group.com")</f>
        <v>www.cdesign-group.com</v>
      </c>
    </row>
    <row r="6301" spans="1:6" ht="29.55" customHeight="1" x14ac:dyDescent="0.25">
      <c r="A6301" s="6" t="s">
        <v>26571</v>
      </c>
      <c r="B6301" s="5" t="s">
        <v>26572</v>
      </c>
      <c r="C6301" s="5" t="s">
        <v>26573</v>
      </c>
      <c r="D6301" s="5" t="s">
        <v>26566</v>
      </c>
      <c r="E6301" s="5" t="s">
        <v>26567</v>
      </c>
      <c r="F6301" s="5" t="str">
        <f>HYPERLINK("http://www.beefmaster.it/","www.beefmaster.it")</f>
        <v>www.beefmaster.it</v>
      </c>
    </row>
    <row r="6302" spans="1:6" ht="29.55" customHeight="1" x14ac:dyDescent="0.25">
      <c r="A6302" s="6" t="s">
        <v>26574</v>
      </c>
      <c r="B6302" s="5" t="s">
        <v>26575</v>
      </c>
      <c r="C6302" s="5" t="s">
        <v>26570</v>
      </c>
      <c r="D6302" s="5" t="s">
        <v>26566</v>
      </c>
      <c r="E6302" s="5" t="s">
        <v>26567</v>
      </c>
      <c r="F6302" s="5" t="str">
        <f>HYPERLINK("http://www.ilcavallino.com/","www.ilcavallino.com")</f>
        <v>www.ilcavallino.com</v>
      </c>
    </row>
    <row r="6303" spans="1:6" ht="29.55" customHeight="1" x14ac:dyDescent="0.25">
      <c r="A6303" s="6" t="s">
        <v>26577</v>
      </c>
      <c r="B6303" s="5" t="s">
        <v>26578</v>
      </c>
      <c r="C6303" s="5" t="s">
        <v>26565</v>
      </c>
      <c r="D6303" s="5" t="s">
        <v>26566</v>
      </c>
      <c r="E6303" s="5" t="s">
        <v>26567</v>
      </c>
      <c r="F6303" s="5" t="str">
        <f>HYPERLINK("http://www.baghetto.com/","www.baghetto.com")</f>
        <v>www.baghetto.com</v>
      </c>
    </row>
    <row r="6304" spans="1:6" ht="29.55" customHeight="1" x14ac:dyDescent="0.25">
      <c r="A6304" s="1" t="s">
        <v>26580</v>
      </c>
      <c r="B6304" s="7" t="s">
        <v>26581</v>
      </c>
      <c r="C6304" s="7" t="s">
        <v>26579</v>
      </c>
      <c r="D6304" s="7" t="s">
        <v>26566</v>
      </c>
      <c r="E6304" s="7" t="s">
        <v>26567</v>
      </c>
      <c r="F6304" s="7" t="str">
        <f>HYPERLINK("http://www.gargatano.it/","www.gargatano.it")</f>
        <v>www.gargatano.it</v>
      </c>
    </row>
    <row r="6305" spans="1:6" ht="29.55" customHeight="1" x14ac:dyDescent="0.25">
      <c r="A6305" s="1" t="s">
        <v>26582</v>
      </c>
      <c r="B6305" s="7" t="s">
        <v>26583</v>
      </c>
      <c r="C6305" s="7" t="s">
        <v>26576</v>
      </c>
      <c r="D6305" s="7" t="s">
        <v>26566</v>
      </c>
      <c r="E6305" s="7" t="s">
        <v>26567</v>
      </c>
      <c r="F6305" s="7" t="str">
        <f>HYPERLINK("http://www.sfgreenenergy.it/","www.sfgreenenergy.it")</f>
        <v>www.sfgreenenergy.it</v>
      </c>
    </row>
    <row r="6306" spans="1:6" ht="16.95" customHeight="1" x14ac:dyDescent="0.25">
      <c r="A6306" s="6" t="s">
        <v>26584</v>
      </c>
      <c r="B6306" s="5" t="s">
        <v>26585</v>
      </c>
      <c r="C6306" s="5" t="s">
        <v>26586</v>
      </c>
      <c r="D6306" s="5" t="s">
        <v>26587</v>
      </c>
      <c r="E6306" s="5" t="s">
        <v>26588</v>
      </c>
      <c r="F6306" s="5" t="str">
        <f>HYPERLINK("http://www.coltivaco2.com/","www.coltivaco2.com")</f>
        <v>www.coltivaco2.com</v>
      </c>
    </row>
    <row r="6307" spans="1:6" ht="16.95" customHeight="1" x14ac:dyDescent="0.25">
      <c r="A6307" s="1" t="s">
        <v>26591</v>
      </c>
      <c r="B6307" s="7" t="s">
        <v>26592</v>
      </c>
      <c r="C6307" s="7" t="s">
        <v>26589</v>
      </c>
      <c r="D6307" s="7" t="s">
        <v>26587</v>
      </c>
      <c r="E6307" s="7" t="s">
        <v>26588</v>
      </c>
      <c r="F6307" s="7" t="str">
        <f>HYPERLINK("http://www.policanapa.it/","www.policanapa.it")</f>
        <v>www.policanapa.it</v>
      </c>
    </row>
    <row r="6308" spans="1:6" ht="29.55" customHeight="1" x14ac:dyDescent="0.25">
      <c r="A6308" s="1" t="s">
        <v>26593</v>
      </c>
      <c r="B6308" s="7" t="s">
        <v>26594</v>
      </c>
      <c r="C6308" s="7" t="s">
        <v>26595</v>
      </c>
      <c r="D6308" s="7" t="s">
        <v>26587</v>
      </c>
      <c r="E6308" s="7" t="s">
        <v>26588</v>
      </c>
      <c r="F6308" s="7" t="str">
        <f>HYPERLINK("http://www.intesasanpaolo.com/it/common/footer","www.intesasanpaolo.com/it/common/footer")</f>
        <v>www.intesasanpaolo.com/it/common/footer</v>
      </c>
    </row>
    <row r="6309" spans="1:6" ht="29.55" customHeight="1" x14ac:dyDescent="0.25">
      <c r="A6309" s="6" t="s">
        <v>26596</v>
      </c>
      <c r="B6309" s="5" t="s">
        <v>26597</v>
      </c>
      <c r="C6309" s="5" t="s">
        <v>26590</v>
      </c>
      <c r="D6309" s="5" t="s">
        <v>26587</v>
      </c>
      <c r="E6309" s="5" t="s">
        <v>26588</v>
      </c>
      <c r="F6309" s="5" t="str">
        <f>HYPERLINK("http://www.segretaria24.it/business-center/","www.segretaria24.it/business-center/")</f>
        <v>www.segretaria24.it/business-center/</v>
      </c>
    </row>
    <row r="6310" spans="1:6" ht="29.55" customHeight="1" x14ac:dyDescent="0.25">
      <c r="A6310" s="6" t="s">
        <v>26600</v>
      </c>
      <c r="B6310" s="5" t="s">
        <v>26601</v>
      </c>
      <c r="C6310" s="5" t="s">
        <v>26602</v>
      </c>
      <c r="D6310" s="5" t="s">
        <v>26598</v>
      </c>
      <c r="E6310" s="5" t="s">
        <v>26599</v>
      </c>
      <c r="F6310" s="5" t="str">
        <f>HYPERLINK("http://www.backgrounditalia.it/","www.backgrounditalia.it")</f>
        <v>www.backgrounditalia.it</v>
      </c>
    </row>
    <row r="6311" spans="1:6" ht="29.55" customHeight="1" x14ac:dyDescent="0.25">
      <c r="A6311" s="1" t="s">
        <v>26604</v>
      </c>
      <c r="B6311" s="7" t="s">
        <v>26605</v>
      </c>
      <c r="C6311" s="7" t="s">
        <v>26603</v>
      </c>
      <c r="D6311" s="7" t="s">
        <v>26598</v>
      </c>
      <c r="E6311" s="7" t="s">
        <v>26599</v>
      </c>
      <c r="F6311" s="7" t="str">
        <f>HYPERLINK("http://www.vivaidealverde.it/","www.vivaidealverde.it")</f>
        <v>www.vivaidealverde.it</v>
      </c>
    </row>
    <row r="6312" spans="1:6" ht="29.55" customHeight="1" x14ac:dyDescent="0.25">
      <c r="A6312" s="1" t="s">
        <v>26606</v>
      </c>
      <c r="B6312" s="7" t="s">
        <v>26607</v>
      </c>
      <c r="C6312" s="7" t="s">
        <v>26608</v>
      </c>
      <c r="D6312" s="7" t="s">
        <v>26609</v>
      </c>
      <c r="E6312" s="7" t="s">
        <v>26610</v>
      </c>
      <c r="F6312" s="7" t="str">
        <f>HYPERLINK("http://www.rosina.com/","www.rosina.com")</f>
        <v>www.rosina.com</v>
      </c>
    </row>
    <row r="6313" spans="1:6" ht="29.55" customHeight="1" x14ac:dyDescent="0.25">
      <c r="A6313" s="6" t="s">
        <v>26613</v>
      </c>
      <c r="B6313" s="5" t="s">
        <v>26614</v>
      </c>
      <c r="C6313" s="5" t="s">
        <v>26615</v>
      </c>
      <c r="D6313" s="5" t="s">
        <v>26611</v>
      </c>
      <c r="E6313" s="5" t="s">
        <v>26612</v>
      </c>
      <c r="F6313" s="5" t="str">
        <f>HYPERLINK("http://cotoneorganicosicilia.com/","cotoneorganicosicilia.com")</f>
        <v>cotoneorganicosicilia.com</v>
      </c>
    </row>
    <row r="6314" spans="1:6" ht="29.55" customHeight="1" x14ac:dyDescent="0.25">
      <c r="A6314" s="6" t="s">
        <v>26616</v>
      </c>
      <c r="B6314" s="5" t="s">
        <v>26617</v>
      </c>
      <c r="C6314" s="5" t="s">
        <v>26618</v>
      </c>
      <c r="D6314" s="5" t="s">
        <v>26611</v>
      </c>
      <c r="E6314" s="5" t="s">
        <v>26612</v>
      </c>
      <c r="F6314" s="5" t="str">
        <f>HYPERLINK("http://www.genuineat.it/","www.genuineat.it")</f>
        <v>www.genuineat.it</v>
      </c>
    </row>
    <row r="6315" spans="1:6" ht="55.65" customHeight="1" x14ac:dyDescent="0.25">
      <c r="A6315" s="1" t="s">
        <v>26621</v>
      </c>
      <c r="B6315" s="7" t="s">
        <v>26622</v>
      </c>
      <c r="C6315" s="7" t="s">
        <v>26623</v>
      </c>
      <c r="D6315" s="7" t="s">
        <v>26619</v>
      </c>
      <c r="E6315" s="7" t="s">
        <v>26620</v>
      </c>
      <c r="F6315" s="7" t="str">
        <f>HYPERLINK("http://www.atotisnebros.it/","www.atotisnebros.it")</f>
        <v>www.atotisnebros.it</v>
      </c>
    </row>
    <row r="6316" spans="1:6" ht="29.55" customHeight="1" x14ac:dyDescent="0.25">
      <c r="A6316" s="6" t="s">
        <v>26624</v>
      </c>
      <c r="B6316" s="5" t="s">
        <v>26625</v>
      </c>
      <c r="C6316" s="5" t="s">
        <v>26626</v>
      </c>
      <c r="D6316" s="5" t="s">
        <v>26619</v>
      </c>
      <c r="E6316" s="5" t="s">
        <v>26620</v>
      </c>
      <c r="F6316" s="5" t="str">
        <f>HYPERLINK("http://www.agrifutura-angeletti.com/","www.agrifutura-angeletti.com")</f>
        <v>www.agrifutura-angeletti.com</v>
      </c>
    </row>
    <row r="6317" spans="1:6" ht="43.05" customHeight="1" x14ac:dyDescent="0.25">
      <c r="A6317" s="6" t="s">
        <v>26627</v>
      </c>
      <c r="B6317" s="5" t="s">
        <v>26628</v>
      </c>
      <c r="C6317" s="5" t="s">
        <v>26629</v>
      </c>
      <c r="D6317" s="5" t="s">
        <v>26619</v>
      </c>
      <c r="E6317" s="5" t="s">
        <v>26620</v>
      </c>
      <c r="F6317" s="5" t="str">
        <f>HYPERLINK("http://il-vecchio-carro.comeviaggiare.top/","il-vecchio-carro.comeviaggiare.top")</f>
        <v>il-vecchio-carro.comeviaggiare.top</v>
      </c>
    </row>
    <row r="6318" spans="1:6" ht="43.05" customHeight="1" x14ac:dyDescent="0.25">
      <c r="A6318" s="6" t="s">
        <v>26633</v>
      </c>
      <c r="B6318" s="5" t="s">
        <v>26634</v>
      </c>
      <c r="C6318" s="5" t="s">
        <v>26632</v>
      </c>
      <c r="D6318" s="5" t="s">
        <v>26630</v>
      </c>
      <c r="E6318" s="5" t="s">
        <v>26631</v>
      </c>
      <c r="F6318" s="5" t="str">
        <f>HYPERLINK("http://www.agribest.it/","www.agribest.it")</f>
        <v>www.agribest.it</v>
      </c>
    </row>
    <row r="6319" spans="1:6" ht="29.55" customHeight="1" x14ac:dyDescent="0.25">
      <c r="A6319" s="1" t="s">
        <v>26635</v>
      </c>
      <c r="B6319" s="7" t="s">
        <v>26636</v>
      </c>
      <c r="C6319" s="7" t="s">
        <v>26637</v>
      </c>
      <c r="D6319" s="7" t="s">
        <v>26630</v>
      </c>
      <c r="E6319" s="7" t="s">
        <v>26631</v>
      </c>
      <c r="F6319" s="7" t="str">
        <f>HYPERLINK("http://www.ammedical.it/","www.ammedical.it")</f>
        <v>www.ammedical.it</v>
      </c>
    </row>
    <row r="6320" spans="1:6" ht="29.55" customHeight="1" x14ac:dyDescent="0.25">
      <c r="A6320" s="6" t="s">
        <v>26642</v>
      </c>
      <c r="B6320" s="5" t="s">
        <v>26643</v>
      </c>
      <c r="C6320" s="5" t="s">
        <v>26640</v>
      </c>
      <c r="D6320" s="5" t="s">
        <v>26638</v>
      </c>
      <c r="E6320" s="5" t="s">
        <v>26639</v>
      </c>
      <c r="F6320" s="5" t="str">
        <f>HYPERLINK("http://www.fc3italy.it/","www.fc3italy.it")</f>
        <v>www.fc3italy.it</v>
      </c>
    </row>
    <row r="6321" spans="1:6" ht="29.55" customHeight="1" x14ac:dyDescent="0.25">
      <c r="A6321" s="1" t="s">
        <v>26644</v>
      </c>
      <c r="B6321" s="7" t="s">
        <v>26645</v>
      </c>
      <c r="C6321" s="7" t="s">
        <v>26641</v>
      </c>
      <c r="D6321" s="7" t="s">
        <v>26638</v>
      </c>
      <c r="E6321" s="7" t="s">
        <v>26639</v>
      </c>
      <c r="F6321" s="7" t="str">
        <f>HYPERLINK("http://www.dererumnatura.info/","www.dererumnatura.info")</f>
        <v>www.dererumnatura.info</v>
      </c>
    </row>
    <row r="6322" spans="1:6" ht="29.55" customHeight="1" x14ac:dyDescent="0.25">
      <c r="A6322" s="6" t="s">
        <v>26648</v>
      </c>
      <c r="B6322" s="5" t="s">
        <v>26649</v>
      </c>
      <c r="C6322" s="5" t="s">
        <v>26650</v>
      </c>
      <c r="D6322" s="5" t="s">
        <v>26646</v>
      </c>
      <c r="E6322" s="5" t="s">
        <v>26647</v>
      </c>
      <c r="F6322" s="5" t="str">
        <f>HYPERLINK("http://www.aloemirea.it/","www.aloemirea.it")</f>
        <v>www.aloemirea.it</v>
      </c>
    </row>
    <row r="6323" spans="1:6" ht="55.65" customHeight="1" x14ac:dyDescent="0.25">
      <c r="A6323" s="6" t="s">
        <v>26653</v>
      </c>
      <c r="B6323" s="5" t="s">
        <v>26654</v>
      </c>
      <c r="C6323" s="5" t="s">
        <v>26655</v>
      </c>
      <c r="D6323" s="5" t="s">
        <v>26651</v>
      </c>
      <c r="E6323" s="5" t="s">
        <v>26652</v>
      </c>
      <c r="F6323" s="5" t="str">
        <f>HYPERLINK("http://www.carnekmzero.it/","www.carnekmzero.it")</f>
        <v>www.carnekmzero.it</v>
      </c>
    </row>
    <row r="6324" spans="1:6" ht="29.55" customHeight="1" x14ac:dyDescent="0.25">
      <c r="A6324" s="1" t="s">
        <v>26656</v>
      </c>
      <c r="B6324" s="7" t="s">
        <v>26657</v>
      </c>
      <c r="C6324" s="7" t="s">
        <v>26658</v>
      </c>
      <c r="D6324" s="7" t="s">
        <v>26651</v>
      </c>
      <c r="E6324" s="7" t="s">
        <v>26652</v>
      </c>
      <c r="F6324" s="7" t="str">
        <f>HYPERLINK("http://www.villamorago.it/","www.villamorago.it")</f>
        <v>www.villamorago.it</v>
      </c>
    </row>
    <row r="6325" spans="1:6" ht="29.55" customHeight="1" x14ac:dyDescent="0.25">
      <c r="A6325" s="6" t="s">
        <v>26661</v>
      </c>
      <c r="B6325" s="5" t="s">
        <v>26662</v>
      </c>
      <c r="C6325" s="5" t="s">
        <v>26663</v>
      </c>
      <c r="D6325" s="5" t="s">
        <v>26659</v>
      </c>
      <c r="E6325" s="5" t="s">
        <v>26660</v>
      </c>
      <c r="F6325" s="5" t="str">
        <f>HYPERLINK("http://www.tenutadiforci.com/","www.tenutadiforci.com")</f>
        <v>www.tenutadiforci.com</v>
      </c>
    </row>
    <row r="6326" spans="1:6" ht="16.95" customHeight="1" x14ac:dyDescent="0.25">
      <c r="A6326" s="6" t="s">
        <v>26666</v>
      </c>
      <c r="B6326" s="5" t="s">
        <v>26667</v>
      </c>
      <c r="C6326" s="5" t="s">
        <v>26668</v>
      </c>
      <c r="D6326" s="5" t="s">
        <v>26664</v>
      </c>
      <c r="E6326" s="5" t="s">
        <v>26665</v>
      </c>
      <c r="F6326" s="5" t="str">
        <f>HYPERLINK("http://vitanuovaagritech.com/","vitanuovaagritech.com")</f>
        <v>vitanuovaagritech.com</v>
      </c>
    </row>
    <row r="6327" spans="1:6" ht="43.05" customHeight="1" x14ac:dyDescent="0.25">
      <c r="A6327" s="1" t="s">
        <v>26670</v>
      </c>
      <c r="B6327" s="7" t="s">
        <v>26671</v>
      </c>
      <c r="C6327" s="7" t="s">
        <v>26669</v>
      </c>
      <c r="D6327" s="7" t="s">
        <v>26664</v>
      </c>
      <c r="E6327" s="7" t="s">
        <v>26665</v>
      </c>
      <c r="F6327" s="7" t="str">
        <f>HYPERLINK("http://carburanti.esso.it/it-it/find-station/esso-lucca-essolucca-100107949","carburanti.esso.it/it-it/find-station/esso-lucca-essolucca-100107949")</f>
        <v>carburanti.esso.it/it-it/find-station/esso-lucca-essolucca-100107949</v>
      </c>
    </row>
    <row r="6328" spans="1:6" ht="16.95" customHeight="1" x14ac:dyDescent="0.25">
      <c r="A6328" s="1" t="s">
        <v>26672</v>
      </c>
      <c r="B6328" s="7" t="s">
        <v>26673</v>
      </c>
      <c r="C6328" s="7" t="s">
        <v>26674</v>
      </c>
      <c r="D6328" s="7" t="s">
        <v>26664</v>
      </c>
      <c r="E6328" s="7" t="s">
        <v>26665</v>
      </c>
      <c r="F6328" s="7" t="str">
        <f>HYPERLINK("http://www.flowers2eat.it/","www.flowers2eat.it")</f>
        <v>www.flowers2eat.it</v>
      </c>
    </row>
    <row r="6329" spans="1:6" ht="29.55" customHeight="1" x14ac:dyDescent="0.25">
      <c r="A6329" s="6" t="s">
        <v>26677</v>
      </c>
      <c r="B6329" s="5" t="s">
        <v>26678</v>
      </c>
      <c r="C6329" s="5" t="s">
        <v>26679</v>
      </c>
      <c r="D6329" s="5" t="s">
        <v>26675</v>
      </c>
      <c r="E6329" s="5" t="s">
        <v>26676</v>
      </c>
      <c r="F6329" s="5" t="str">
        <f>HYPERLINK("http://www.puntozeroitalia.it/","www.puntozeroitalia.it")</f>
        <v>www.puntozeroitalia.it</v>
      </c>
    </row>
    <row r="6330" spans="1:6" ht="43.05" customHeight="1" x14ac:dyDescent="0.25">
      <c r="A6330" s="1" t="s">
        <v>26680</v>
      </c>
      <c r="B6330" s="7" t="s">
        <v>26681</v>
      </c>
      <c r="C6330" s="7" t="s">
        <v>26682</v>
      </c>
      <c r="D6330" s="7" t="s">
        <v>26675</v>
      </c>
      <c r="E6330" s="7" t="s">
        <v>26676</v>
      </c>
      <c r="F6330" s="7" t="str">
        <f>HYPERLINK("http://www.flowerslaziu.it/","www.flowerslaziu.it")</f>
        <v>www.flowerslaziu.it</v>
      </c>
    </row>
    <row r="6331" spans="1:6" ht="29.55" customHeight="1" x14ac:dyDescent="0.25">
      <c r="A6331" s="1" t="s">
        <v>26686</v>
      </c>
      <c r="B6331" s="7" t="s">
        <v>26687</v>
      </c>
      <c r="C6331" s="7" t="s">
        <v>26688</v>
      </c>
      <c r="D6331" s="7" t="s">
        <v>26683</v>
      </c>
      <c r="E6331" s="7" t="s">
        <v>26684</v>
      </c>
      <c r="F6331" s="7" t="str">
        <f>HYPERLINK("http://www.orodigaeta.it/","www.orodigaeta.it")</f>
        <v>www.orodigaeta.it</v>
      </c>
    </row>
    <row r="6332" spans="1:6" ht="43.05" customHeight="1" x14ac:dyDescent="0.25">
      <c r="A6332" s="6" t="s">
        <v>26689</v>
      </c>
      <c r="B6332" s="5" t="s">
        <v>26690</v>
      </c>
      <c r="C6332" s="5" t="s">
        <v>26685</v>
      </c>
      <c r="D6332" s="5" t="s">
        <v>26683</v>
      </c>
      <c r="E6332" s="5" t="s">
        <v>26684</v>
      </c>
      <c r="F6332" s="5" t="str">
        <f>HYPERLINK("http://fattoria-di-bonito-societa-agricola-a-responsabili-02849940594.quantofattura.com/","fattoria-di-bonito-societa-agricola-a-responsabili-02849940594.quantofattura.com")</f>
        <v>fattoria-di-bonito-societa-agricola-a-responsabili-02849940594.quantofattura.com</v>
      </c>
    </row>
    <row r="6333" spans="1:6" ht="29.55" customHeight="1" x14ac:dyDescent="0.25">
      <c r="A6333" s="1" t="s">
        <v>26694</v>
      </c>
      <c r="B6333" s="7" t="s">
        <v>26695</v>
      </c>
      <c r="C6333" s="7" t="s">
        <v>26693</v>
      </c>
      <c r="D6333" s="7" t="s">
        <v>26691</v>
      </c>
      <c r="E6333" s="7" t="s">
        <v>26692</v>
      </c>
      <c r="F6333" s="7" t="str">
        <f>HYPERLINK("http://www.agriz.it/","www.agriz.it")</f>
        <v>www.agriz.it</v>
      </c>
    </row>
    <row r="6334" spans="1:6" ht="43.05" customHeight="1" x14ac:dyDescent="0.25">
      <c r="A6334" s="6" t="s">
        <v>26699</v>
      </c>
      <c r="B6334" s="5" t="s">
        <v>26700</v>
      </c>
      <c r="C6334" s="5" t="s">
        <v>26698</v>
      </c>
      <c r="D6334" s="5" t="s">
        <v>26696</v>
      </c>
      <c r="E6334" s="5" t="s">
        <v>26697</v>
      </c>
      <c r="F6334" s="5" t="str">
        <f>HYPERLINK("http://www.agricolaterranera.it/","www.agricolaterranera.it")</f>
        <v>www.agricolaterranera.it</v>
      </c>
    </row>
    <row r="6335" spans="1:6" ht="43.05" customHeight="1" x14ac:dyDescent="0.25">
      <c r="A6335" s="1" t="s">
        <v>26702</v>
      </c>
      <c r="B6335" s="7" t="s">
        <v>26703</v>
      </c>
      <c r="C6335" s="7" t="s">
        <v>26704</v>
      </c>
      <c r="D6335" s="7" t="s">
        <v>26696</v>
      </c>
      <c r="E6335" s="7" t="s">
        <v>26697</v>
      </c>
      <c r="F6335" s="7" t="str">
        <f>HYPERLINK("http://valle-oliva.business.site/","valle-oliva.business.site")</f>
        <v>valle-oliva.business.site</v>
      </c>
    </row>
    <row r="6336" spans="1:6" ht="16.95" customHeight="1" x14ac:dyDescent="0.25">
      <c r="A6336" s="6" t="s">
        <v>26705</v>
      </c>
      <c r="B6336" s="5" t="s">
        <v>26706</v>
      </c>
      <c r="C6336" s="5" t="s">
        <v>26701</v>
      </c>
      <c r="D6336" s="5" t="s">
        <v>26696</v>
      </c>
      <c r="E6336" s="5" t="s">
        <v>26697</v>
      </c>
      <c r="F6336" s="5" t="str">
        <f>HYPERLINK("http://www.mof.it/","www.mof.it")</f>
        <v>www.mof.it</v>
      </c>
    </row>
    <row r="6337" spans="1:6" ht="29.55" customHeight="1" x14ac:dyDescent="0.25">
      <c r="A6337" s="1" t="s">
        <v>26711</v>
      </c>
      <c r="B6337" s="7" t="s">
        <v>26712</v>
      </c>
      <c r="C6337" s="7" t="s">
        <v>26713</v>
      </c>
      <c r="D6337" s="7" t="s">
        <v>26708</v>
      </c>
      <c r="E6337" s="7" t="s">
        <v>26709</v>
      </c>
      <c r="F6337" s="7" t="str">
        <f>HYPERLINK("http://farmhouse-pian-dei-lupi.avventurainitalia.top/","farmhouse-pian-dei-lupi.avventurainitalia.top")</f>
        <v>farmhouse-pian-dei-lupi.avventurainitalia.top</v>
      </c>
    </row>
    <row r="6338" spans="1:6" ht="16.95" customHeight="1" x14ac:dyDescent="0.25">
      <c r="A6338" s="1" t="s">
        <v>26714</v>
      </c>
      <c r="B6338" s="7" t="s">
        <v>26715</v>
      </c>
      <c r="C6338" s="7" t="s">
        <v>26707</v>
      </c>
      <c r="D6338" s="7" t="s">
        <v>26708</v>
      </c>
      <c r="E6338" s="7" t="s">
        <v>26709</v>
      </c>
      <c r="F6338" s="7" t="str">
        <f>HYPERLINK("http://studio-morando.it/","studio-morando.it")</f>
        <v>studio-morando.it</v>
      </c>
    </row>
    <row r="6339" spans="1:6" ht="55.65" customHeight="1" x14ac:dyDescent="0.25">
      <c r="A6339" s="1" t="s">
        <v>26718</v>
      </c>
      <c r="B6339" s="7" t="s">
        <v>26719</v>
      </c>
      <c r="C6339" s="7" t="s">
        <v>26710</v>
      </c>
      <c r="D6339" s="7" t="s">
        <v>26716</v>
      </c>
      <c r="E6339" s="7" t="s">
        <v>26717</v>
      </c>
      <c r="F6339" s="7" t="str">
        <f>HYPERLINK("http://www.cantinamonsellato.it/","www.cantinamonsellato.it")</f>
        <v>www.cantinamonsellato.it</v>
      </c>
    </row>
    <row r="6340" spans="1:6" ht="16.95" customHeight="1" x14ac:dyDescent="0.25">
      <c r="A6340" s="6" t="s">
        <v>26724</v>
      </c>
      <c r="B6340" s="5" t="s">
        <v>26725</v>
      </c>
      <c r="C6340" s="5" t="s">
        <v>26723</v>
      </c>
      <c r="D6340" s="5" t="s">
        <v>26720</v>
      </c>
      <c r="E6340" s="5" t="s">
        <v>26721</v>
      </c>
      <c r="F6340" s="5" t="str">
        <f>HYPERLINK("http://www.latricasina.it/","www.latricasina.it")</f>
        <v>www.latricasina.it</v>
      </c>
    </row>
    <row r="6341" spans="1:6" ht="29.55" customHeight="1" x14ac:dyDescent="0.25">
      <c r="A6341" s="1" t="s">
        <v>26726</v>
      </c>
      <c r="B6341" s="7" t="s">
        <v>26727</v>
      </c>
      <c r="C6341" s="7" t="s">
        <v>26722</v>
      </c>
      <c r="D6341" s="7" t="s">
        <v>26720</v>
      </c>
      <c r="E6341" s="7" t="s">
        <v>26721</v>
      </c>
      <c r="F6341" s="7" t="str">
        <f>HYPERLINK("http://primoljo.com/","primoljo.com")</f>
        <v>primoljo.com</v>
      </c>
    </row>
    <row r="6342" spans="1:6" ht="29.55" customHeight="1" x14ac:dyDescent="0.25">
      <c r="A6342" s="6" t="s">
        <v>26730</v>
      </c>
      <c r="B6342" s="5" t="s">
        <v>26731</v>
      </c>
      <c r="C6342" s="5" t="s">
        <v>26732</v>
      </c>
      <c r="D6342" s="5" t="s">
        <v>26728</v>
      </c>
      <c r="E6342" s="5" t="s">
        <v>26729</v>
      </c>
      <c r="F6342" s="5" t="str">
        <f>HYPERLINK("http://www.agricolavittorio.it/","www.agricolavittorio.it")</f>
        <v>www.agricolavittorio.it</v>
      </c>
    </row>
    <row r="6343" spans="1:6" ht="43.05" customHeight="1" x14ac:dyDescent="0.25">
      <c r="A6343" s="1" t="s">
        <v>26733</v>
      </c>
      <c r="B6343" s="7" t="s">
        <v>26734</v>
      </c>
      <c r="C6343" s="7" t="s">
        <v>26735</v>
      </c>
      <c r="D6343" s="7" t="s">
        <v>26728</v>
      </c>
      <c r="E6343" s="7" t="s">
        <v>26729</v>
      </c>
      <c r="F6343" s="7" t="str">
        <f>HYPERLINK("http://www.tenutacasello.it/","www.tenutacasello.it")</f>
        <v>www.tenutacasello.it</v>
      </c>
    </row>
    <row r="6344" spans="1:6" ht="29.55" customHeight="1" x14ac:dyDescent="0.25">
      <c r="A6344" s="6" t="s">
        <v>26739</v>
      </c>
      <c r="B6344" s="5" t="s">
        <v>26740</v>
      </c>
      <c r="C6344" s="5" t="s">
        <v>26736</v>
      </c>
      <c r="D6344" s="5" t="s">
        <v>26737</v>
      </c>
      <c r="E6344" s="5" t="s">
        <v>26738</v>
      </c>
      <c r="F6344" s="5" t="str">
        <f>HYPERLINK("http://www.agricolasantanna.it/","www.agricolasantanna.it")</f>
        <v>www.agricolasantanna.it</v>
      </c>
    </row>
    <row r="6345" spans="1:6" ht="29.55" customHeight="1" x14ac:dyDescent="0.25">
      <c r="A6345" s="6" t="s">
        <v>26741</v>
      </c>
      <c r="B6345" s="5" t="s">
        <v>26742</v>
      </c>
      <c r="C6345" s="5" t="s">
        <v>26743</v>
      </c>
      <c r="D6345" s="5" t="s">
        <v>26737</v>
      </c>
      <c r="E6345" s="5" t="s">
        <v>26738</v>
      </c>
      <c r="F6345" s="5" t="str">
        <f>HYPERLINK("http://www.lastoremasseria.it/","www.lastoremasseria.it")</f>
        <v>www.lastoremasseria.it</v>
      </c>
    </row>
    <row r="6346" spans="1:6" ht="55.65" customHeight="1" x14ac:dyDescent="0.25">
      <c r="A6346" s="1" t="s">
        <v>26746</v>
      </c>
      <c r="B6346" s="7" t="s">
        <v>26747</v>
      </c>
      <c r="C6346" s="7" t="s">
        <v>26748</v>
      </c>
      <c r="D6346" s="7" t="s">
        <v>26744</v>
      </c>
      <c r="E6346" s="7" t="s">
        <v>26745</v>
      </c>
      <c r="F6346" s="7" t="str">
        <f>HYPERLINK("http://www.oasigalbuserabianca.it/","www.oasigalbuserabianca.it")</f>
        <v>www.oasigalbuserabianca.it</v>
      </c>
    </row>
    <row r="6347" spans="1:6" ht="43.05" customHeight="1" x14ac:dyDescent="0.25">
      <c r="A6347" s="1" t="s">
        <v>26752</v>
      </c>
      <c r="B6347" s="7" t="s">
        <v>26753</v>
      </c>
      <c r="C6347" s="7" t="s">
        <v>26751</v>
      </c>
      <c r="D6347" s="7" t="s">
        <v>26749</v>
      </c>
      <c r="E6347" s="7" t="s">
        <v>26750</v>
      </c>
      <c r="F6347" s="7" t="str">
        <f>HYPERLINK("http://www.leterrediavalon.it/","www.leterrediavalon.it")</f>
        <v>www.leterrediavalon.it</v>
      </c>
    </row>
    <row r="6348" spans="1:6" ht="29.55" customHeight="1" x14ac:dyDescent="0.25">
      <c r="A6348" s="6" t="s">
        <v>26756</v>
      </c>
      <c r="B6348" s="5" t="s">
        <v>26757</v>
      </c>
      <c r="C6348" s="5" t="s">
        <v>26758</v>
      </c>
      <c r="D6348" s="5" t="s">
        <v>26754</v>
      </c>
      <c r="E6348" s="5" t="s">
        <v>26755</v>
      </c>
      <c r="F6348" s="5" t="str">
        <f>HYPERLINK("http://laboratoriolucchetta.it/","laboratoriolucchetta.it")</f>
        <v>laboratoriolucchetta.it</v>
      </c>
    </row>
    <row r="6349" spans="1:6" ht="43.05" customHeight="1" x14ac:dyDescent="0.25">
      <c r="A6349" s="6" t="s">
        <v>26759</v>
      </c>
      <c r="B6349" s="5" t="s">
        <v>26760</v>
      </c>
      <c r="C6349" s="5" t="s">
        <v>26761</v>
      </c>
      <c r="D6349" s="5" t="s">
        <v>26754</v>
      </c>
      <c r="E6349" s="5" t="s">
        <v>26755</v>
      </c>
      <c r="F6349" s="5" t="str">
        <f>HYPERLINK("http://www.fraismonde.com/","www.fraismonde.com")</f>
        <v>www.fraismonde.com</v>
      </c>
    </row>
    <row r="6350" spans="1:6" ht="29.55" customHeight="1" x14ac:dyDescent="0.25">
      <c r="A6350" s="1" t="s">
        <v>26762</v>
      </c>
      <c r="B6350" s="7" t="s">
        <v>26763</v>
      </c>
      <c r="C6350" s="7" t="s">
        <v>26764</v>
      </c>
      <c r="D6350" s="7" t="s">
        <v>26765</v>
      </c>
      <c r="E6350" s="7" t="s">
        <v>26766</v>
      </c>
      <c r="F6350" s="7" t="str">
        <f>HYPERLINK("http://www.caseificiodinucci.it/","www.caseificiodinucci.it")</f>
        <v>www.caseificiodinucci.it</v>
      </c>
    </row>
    <row r="6351" spans="1:6" ht="29.55" customHeight="1" x14ac:dyDescent="0.25">
      <c r="A6351" s="1" t="s">
        <v>26768</v>
      </c>
      <c r="B6351" s="7" t="s">
        <v>26769</v>
      </c>
      <c r="C6351" s="7" t="s">
        <v>26767</v>
      </c>
      <c r="D6351" s="7" t="s">
        <v>26765</v>
      </c>
      <c r="E6351" s="7" t="s">
        <v>26766</v>
      </c>
      <c r="F6351" s="7" t="str">
        <f>HYPERLINK("http://www.santanacleto.eu/","www.santanacleto.eu")</f>
        <v>www.santanacleto.eu</v>
      </c>
    </row>
    <row r="6352" spans="1:6" ht="16.95" customHeight="1" x14ac:dyDescent="0.25">
      <c r="A6352" s="6" t="s">
        <v>26770</v>
      </c>
      <c r="B6352" s="5" t="s">
        <v>26771</v>
      </c>
      <c r="C6352" s="5" t="s">
        <v>26772</v>
      </c>
      <c r="D6352" s="5" t="s">
        <v>26773</v>
      </c>
      <c r="E6352" s="5" t="s">
        <v>26774</v>
      </c>
      <c r="F6352" s="5" t="str">
        <f>HYPERLINK("http://www.terredelmoscatello.it/","www.terredelmoscatello.it")</f>
        <v>www.terredelmoscatello.it</v>
      </c>
    </row>
    <row r="6353" spans="1:6" ht="43.05" customHeight="1" x14ac:dyDescent="0.25">
      <c r="A6353" s="6" t="s">
        <v>26775</v>
      </c>
      <c r="B6353" s="5" t="s">
        <v>26776</v>
      </c>
      <c r="C6353" s="5" t="s">
        <v>26772</v>
      </c>
      <c r="D6353" s="5" t="s">
        <v>26773</v>
      </c>
      <c r="E6353" s="5" t="s">
        <v>26774</v>
      </c>
      <c r="F6353" s="5" t="str">
        <f>HYPERLINK("http://www.robertorondelli.it/","www.robertorondelli.it")</f>
        <v>www.robertorondelli.it</v>
      </c>
    </row>
    <row r="6354" spans="1:6" ht="16.95" customHeight="1" x14ac:dyDescent="0.25">
      <c r="A6354" s="6" t="s">
        <v>26777</v>
      </c>
      <c r="B6354" s="5" t="s">
        <v>26778</v>
      </c>
      <c r="C6354" s="5" t="s">
        <v>26779</v>
      </c>
      <c r="D6354" s="5" t="s">
        <v>26773</v>
      </c>
      <c r="E6354" s="5" t="s">
        <v>26774</v>
      </c>
      <c r="F6354" s="5" t="str">
        <f>HYPERLINK("http://www.agriturismosoleada.it/","www.agriturismosoleada.it")</f>
        <v>www.agriturismosoleada.it</v>
      </c>
    </row>
    <row r="6355" spans="1:6" ht="68.099999999999994" customHeight="1" x14ac:dyDescent="0.25">
      <c r="A6355" s="6" t="s">
        <v>26780</v>
      </c>
      <c r="B6355" s="5" t="s">
        <v>26781</v>
      </c>
      <c r="C6355" s="5" t="s">
        <v>26782</v>
      </c>
      <c r="D6355" s="5" t="s">
        <v>26773</v>
      </c>
      <c r="E6355" s="5" t="s">
        <v>26774</v>
      </c>
      <c r="F6355" s="5" t="str">
        <f>HYPERLINK("http://www.rebuttatoleone.it/","www.rebuttatoleone.it")</f>
        <v>www.rebuttatoleone.it</v>
      </c>
    </row>
    <row r="6356" spans="1:6" ht="29.55" customHeight="1" x14ac:dyDescent="0.25">
      <c r="A6356" s="1" t="s">
        <v>26786</v>
      </c>
      <c r="B6356" s="7" t="s">
        <v>26787</v>
      </c>
      <c r="C6356" s="7" t="s">
        <v>26785</v>
      </c>
      <c r="D6356" s="7" t="s">
        <v>26783</v>
      </c>
      <c r="E6356" s="7" t="s">
        <v>26784</v>
      </c>
      <c r="F6356" s="7" t="str">
        <f>HYPERLINK("http://www.ilpelagone.com/","www.ilpelagone.com/")</f>
        <v>www.ilpelagone.com/</v>
      </c>
    </row>
    <row r="6357" spans="1:6" ht="29.55" customHeight="1" x14ac:dyDescent="0.25">
      <c r="A6357" s="6" t="s">
        <v>26788</v>
      </c>
      <c r="B6357" s="5" t="s">
        <v>26789</v>
      </c>
      <c r="C6357" s="5" t="s">
        <v>26790</v>
      </c>
      <c r="D6357" s="5" t="s">
        <v>26783</v>
      </c>
      <c r="E6357" s="5" t="s">
        <v>26784</v>
      </c>
      <c r="F6357" s="5" t="str">
        <f>HYPERLINK("http://agricolturainnovativa.pointgreen.it/","agricolturainnovativa.pointgreen.it")</f>
        <v>agricolturainnovativa.pointgreen.it</v>
      </c>
    </row>
    <row r="6358" spans="1:6" ht="29.55" customHeight="1" x14ac:dyDescent="0.25">
      <c r="A6358" s="6" t="s">
        <v>26791</v>
      </c>
      <c r="B6358" s="5" t="s">
        <v>26792</v>
      </c>
      <c r="C6358" s="5" t="s">
        <v>26793</v>
      </c>
      <c r="D6358" s="5" t="s">
        <v>26783</v>
      </c>
      <c r="E6358" s="5" t="s">
        <v>26784</v>
      </c>
      <c r="F6358" s="5" t="str">
        <f>HYPERLINK("http://www.ilpratopronto.it/","www.ilpratopronto.it")</f>
        <v>www.ilpratopronto.it</v>
      </c>
    </row>
    <row r="6359" spans="1:6" ht="29.55" customHeight="1" x14ac:dyDescent="0.25">
      <c r="A6359" s="6" t="s">
        <v>26797</v>
      </c>
      <c r="B6359" s="5" t="s">
        <v>26798</v>
      </c>
      <c r="C6359" s="5" t="s">
        <v>26794</v>
      </c>
      <c r="D6359" s="5" t="s">
        <v>26795</v>
      </c>
      <c r="E6359" s="5" t="s">
        <v>26796</v>
      </c>
      <c r="F6359" s="5" t="str">
        <f>HYPERLINK("http://www.famgroup.it/","www.famgroup.it")</f>
        <v>www.famgroup.it</v>
      </c>
    </row>
    <row r="6360" spans="1:6" ht="16.95" customHeight="1" x14ac:dyDescent="0.25">
      <c r="A6360" s="1" t="s">
        <v>26801</v>
      </c>
      <c r="B6360" s="7" t="s">
        <v>26802</v>
      </c>
      <c r="C6360" s="7" t="s">
        <v>26803</v>
      </c>
      <c r="D6360" s="7" t="s">
        <v>26799</v>
      </c>
      <c r="E6360" s="7" t="s">
        <v>26800</v>
      </c>
      <c r="F6360" s="7" t="str">
        <f>HYPERLINK("http://www.lapollonetina.it/","www.lapollonetina.it")</f>
        <v>www.lapollonetina.it</v>
      </c>
    </row>
    <row r="6361" spans="1:6" ht="29.55" customHeight="1" x14ac:dyDescent="0.25">
      <c r="A6361" s="6" t="s">
        <v>26805</v>
      </c>
      <c r="B6361" s="5" t="s">
        <v>26806</v>
      </c>
      <c r="C6361" s="5" t="s">
        <v>26804</v>
      </c>
      <c r="D6361" s="5" t="s">
        <v>26799</v>
      </c>
      <c r="E6361" s="5" t="s">
        <v>26800</v>
      </c>
      <c r="F6361" s="5" t="str">
        <f>HYPERLINK("http://www.perazzeta.it/","www.perazzeta.it")</f>
        <v>www.perazzeta.it</v>
      </c>
    </row>
    <row r="6362" spans="1:6" ht="55.65" customHeight="1" x14ac:dyDescent="0.25">
      <c r="A6362" s="6" t="s">
        <v>26807</v>
      </c>
      <c r="B6362" s="8"/>
      <c r="C6362" s="5" t="s">
        <v>26808</v>
      </c>
      <c r="D6362" s="5" t="s">
        <v>26799</v>
      </c>
      <c r="E6362" s="5" t="s">
        <v>26800</v>
      </c>
      <c r="F6362" s="5" t="str">
        <f>HYPERLINK("http://www.consorziocavallomaremmano.it/","www.consorziocavallomaremmano.it")</f>
        <v>www.consorziocavallomaremmano.it</v>
      </c>
    </row>
    <row r="6363" spans="1:6" ht="29.55" customHeight="1" x14ac:dyDescent="0.25">
      <c r="A6363" s="1" t="s">
        <v>26810</v>
      </c>
      <c r="B6363" s="7" t="s">
        <v>26811</v>
      </c>
      <c r="C6363" s="7" t="s">
        <v>26809</v>
      </c>
      <c r="D6363" s="7" t="s">
        <v>26812</v>
      </c>
      <c r="E6363" s="7" t="s">
        <v>26813</v>
      </c>
      <c r="F6363" s="7" t="str">
        <f>HYPERLINK("http://polencic.com/","polencic.com")</f>
        <v>polencic.com</v>
      </c>
    </row>
    <row r="6364" spans="1:6" ht="16.95" customHeight="1" x14ac:dyDescent="0.25">
      <c r="A6364" s="1" t="s">
        <v>26814</v>
      </c>
      <c r="B6364" s="7" t="s">
        <v>26815</v>
      </c>
      <c r="C6364" s="7" t="s">
        <v>26816</v>
      </c>
      <c r="D6364" s="7" t="s">
        <v>26817</v>
      </c>
      <c r="E6364" s="7" t="s">
        <v>26818</v>
      </c>
      <c r="F6364" s="7" t="str">
        <f>HYPERLINK("http://www.zenafly.it/","www.zenafly.it")</f>
        <v>www.zenafly.it</v>
      </c>
    </row>
    <row r="6365" spans="1:6" ht="29.55" customHeight="1" x14ac:dyDescent="0.25">
      <c r="A6365" s="6" t="s">
        <v>26823</v>
      </c>
      <c r="B6365" s="5" t="s">
        <v>26824</v>
      </c>
      <c r="C6365" s="5" t="s">
        <v>26820</v>
      </c>
      <c r="D6365" s="5" t="s">
        <v>26821</v>
      </c>
      <c r="E6365" s="5" t="s">
        <v>26822</v>
      </c>
      <c r="F6365" s="5" t="str">
        <f>HYPERLINK("http://corsaalverde.it.gg/","corsaalverde.it.gg")</f>
        <v>corsaalverde.it.gg</v>
      </c>
    </row>
    <row r="6366" spans="1:6" ht="43.05" customHeight="1" x14ac:dyDescent="0.25">
      <c r="A6366" s="1" t="s">
        <v>26825</v>
      </c>
      <c r="B6366" s="7" t="s">
        <v>26826</v>
      </c>
      <c r="C6366" s="7" t="s">
        <v>26819</v>
      </c>
      <c r="D6366" s="7" t="s">
        <v>26821</v>
      </c>
      <c r="E6366" s="7" t="s">
        <v>26822</v>
      </c>
      <c r="F6366" s="7" t="str">
        <f>HYPERLINK("http://www.agriturismocasaledegliulivi.it/","www.agriturismocasaledegliulivi.it")</f>
        <v>www.agriturismocasaledegliulivi.it</v>
      </c>
    </row>
    <row r="6367" spans="1:6" ht="43.05" customHeight="1" x14ac:dyDescent="0.25">
      <c r="A6367" s="1" t="s">
        <v>26827</v>
      </c>
      <c r="B6367" s="7" t="s">
        <v>26828</v>
      </c>
      <c r="C6367" s="7" t="s">
        <v>26819</v>
      </c>
      <c r="D6367" s="7" t="s">
        <v>26821</v>
      </c>
      <c r="E6367" s="7" t="s">
        <v>26822</v>
      </c>
      <c r="F6367" s="7" t="str">
        <f>HYPERLINK("http://www.togethergreen.it/","www.togethergreen.it")</f>
        <v>www.togethergreen.it</v>
      </c>
    </row>
    <row r="6368" spans="1:6" ht="29.55" customHeight="1" x14ac:dyDescent="0.25">
      <c r="A6368" s="1" t="s">
        <v>26829</v>
      </c>
      <c r="B6368" s="7" t="s">
        <v>26830</v>
      </c>
      <c r="C6368" s="7" t="s">
        <v>26819</v>
      </c>
      <c r="D6368" s="7" t="s">
        <v>26821</v>
      </c>
      <c r="E6368" s="7" t="s">
        <v>26822</v>
      </c>
      <c r="F6368" s="7" t="str">
        <f>HYPERLINK("http://www.agriturismotorretta.eu/","www.agriturismotorretta.eu")</f>
        <v>www.agriturismotorretta.eu</v>
      </c>
    </row>
    <row r="6369" spans="1:6" ht="43.05" customHeight="1" x14ac:dyDescent="0.25">
      <c r="A6369" s="6" t="s">
        <v>26833</v>
      </c>
      <c r="B6369" s="5" t="s">
        <v>26834</v>
      </c>
      <c r="C6369" s="5" t="s">
        <v>26835</v>
      </c>
      <c r="D6369" s="5" t="s">
        <v>26831</v>
      </c>
      <c r="E6369" s="5" t="s">
        <v>26832</v>
      </c>
      <c r="F6369" s="5" t="str">
        <f>HYPERLINK("http://ilboscodipaliano.it/","ilboscodipaliano.it")</f>
        <v>ilboscodipaliano.it</v>
      </c>
    </row>
    <row r="6370" spans="1:6" ht="29.55" customHeight="1" x14ac:dyDescent="0.25">
      <c r="A6370" s="6" t="s">
        <v>26836</v>
      </c>
      <c r="B6370" s="5" t="s">
        <v>26837</v>
      </c>
      <c r="C6370" s="5" t="s">
        <v>26838</v>
      </c>
      <c r="D6370" s="5" t="s">
        <v>26831</v>
      </c>
      <c r="E6370" s="5" t="s">
        <v>26832</v>
      </c>
      <c r="F6370" s="5" t="str">
        <f>HYPERLINK("http://www.fattoriabonaparte-elba.it/","www.fattoriabonaparte-elba.it")</f>
        <v>www.fattoriabonaparte-elba.it</v>
      </c>
    </row>
    <row r="6371" spans="1:6" ht="16.95" customHeight="1" x14ac:dyDescent="0.25">
      <c r="A6371" s="6" t="s">
        <v>26839</v>
      </c>
      <c r="B6371" s="5" t="s">
        <v>26840</v>
      </c>
      <c r="C6371" s="5" t="s">
        <v>26841</v>
      </c>
      <c r="D6371" s="5" t="s">
        <v>26831</v>
      </c>
      <c r="E6371" s="5" t="s">
        <v>26832</v>
      </c>
      <c r="F6371" s="5" t="str">
        <f>HYPERLINK("http://hempoint.shop/","hempoint.shop")</f>
        <v>hempoint.shop</v>
      </c>
    </row>
    <row r="6372" spans="1:6" ht="29.55" customHeight="1" x14ac:dyDescent="0.25">
      <c r="A6372" s="6" t="s">
        <v>26844</v>
      </c>
      <c r="B6372" s="5" t="s">
        <v>26845</v>
      </c>
      <c r="C6372" s="5" t="s">
        <v>26846</v>
      </c>
      <c r="D6372" s="5" t="s">
        <v>26842</v>
      </c>
      <c r="E6372" s="5" t="s">
        <v>26843</v>
      </c>
      <c r="F6372" s="5" t="str">
        <f>HYPERLINK("http://lesodine.it/","lesodine.it")</f>
        <v>lesodine.it</v>
      </c>
    </row>
    <row r="6373" spans="1:6" ht="81.75" customHeight="1" x14ac:dyDescent="0.25">
      <c r="A6373" s="6" t="s">
        <v>26848</v>
      </c>
      <c r="B6373" s="5" t="s">
        <v>26849</v>
      </c>
      <c r="C6373" s="5" t="s">
        <v>26850</v>
      </c>
      <c r="D6373" s="5" t="s">
        <v>26842</v>
      </c>
      <c r="E6373" s="5" t="s">
        <v>26843</v>
      </c>
      <c r="F6373" s="5" t="str">
        <f>HYPERLINK("http://www.galverla.eu/","www.galverla.eu")</f>
        <v>www.galverla.eu</v>
      </c>
    </row>
    <row r="6374" spans="1:6" ht="29.55" customHeight="1" x14ac:dyDescent="0.25">
      <c r="A6374" s="6" t="s">
        <v>26851</v>
      </c>
      <c r="B6374" s="5" t="s">
        <v>26852</v>
      </c>
      <c r="C6374" s="5" t="s">
        <v>26847</v>
      </c>
      <c r="D6374" s="5" t="s">
        <v>26842</v>
      </c>
      <c r="E6374" s="5" t="s">
        <v>26843</v>
      </c>
      <c r="F6374" s="5" t="str">
        <f>HYPERLINK("http://dottorgiorgi.it/","dottorgiorgi.it")</f>
        <v>dottorgiorgi.it</v>
      </c>
    </row>
    <row r="6375" spans="1:6" ht="29.55" customHeight="1" x14ac:dyDescent="0.25">
      <c r="A6375" s="1" t="s">
        <v>26856</v>
      </c>
      <c r="B6375" s="7" t="s">
        <v>26857</v>
      </c>
      <c r="C6375" s="7" t="s">
        <v>26855</v>
      </c>
      <c r="D6375" s="7" t="s">
        <v>26853</v>
      </c>
      <c r="E6375" s="7" t="s">
        <v>26854</v>
      </c>
      <c r="F6375" s="7" t="str">
        <f>HYPERLINK("http://www.borgodelpriolo.it/","www.borgodelpriolo.it")</f>
        <v>www.borgodelpriolo.it</v>
      </c>
    </row>
    <row r="6376" spans="1:6" ht="16.95" customHeight="1" x14ac:dyDescent="0.25">
      <c r="A6376" s="6" t="s">
        <v>26862</v>
      </c>
      <c r="B6376" s="5" t="s">
        <v>26863</v>
      </c>
      <c r="C6376" s="5" t="s">
        <v>26858</v>
      </c>
      <c r="D6376" s="5" t="s">
        <v>26859</v>
      </c>
      <c r="E6376" s="5" t="s">
        <v>26860</v>
      </c>
      <c r="F6376" s="5" t="str">
        <f>HYPERLINK("http://agriturismosantareparata.com/","agriturismosantareparata.com")</f>
        <v>agriturismosantareparata.com</v>
      </c>
    </row>
    <row r="6377" spans="1:6" ht="43.05" customHeight="1" x14ac:dyDescent="0.25">
      <c r="A6377" s="6" t="s">
        <v>26866</v>
      </c>
      <c r="B6377" s="5" t="s">
        <v>26867</v>
      </c>
      <c r="C6377" s="5" t="s">
        <v>26861</v>
      </c>
      <c r="D6377" s="5" t="s">
        <v>26864</v>
      </c>
      <c r="E6377" s="5" t="s">
        <v>26865</v>
      </c>
      <c r="F6377" s="5" t="str">
        <f>HYPERLINK("http://www.travignoli.com/","www.travignoli.com")</f>
        <v>www.travignoli.com</v>
      </c>
    </row>
    <row r="6378" spans="1:6" ht="29.55" customHeight="1" x14ac:dyDescent="0.25">
      <c r="A6378" s="6" t="s">
        <v>26872</v>
      </c>
      <c r="B6378" s="5" t="s">
        <v>26873</v>
      </c>
      <c r="C6378" s="5" t="s">
        <v>26868</v>
      </c>
      <c r="D6378" s="5" t="s">
        <v>26869</v>
      </c>
      <c r="E6378" s="5" t="s">
        <v>26870</v>
      </c>
      <c r="F6378" s="5" t="str">
        <f>HYPERLINK("http://www.agriturismomontalbino.it/","www.agriturismomontalbino.it")</f>
        <v>www.agriturismomontalbino.it</v>
      </c>
    </row>
    <row r="6379" spans="1:6" ht="29.55" customHeight="1" x14ac:dyDescent="0.25">
      <c r="A6379" s="1" t="s">
        <v>26874</v>
      </c>
      <c r="B6379" s="7" t="s">
        <v>26875</v>
      </c>
      <c r="C6379" s="7" t="s">
        <v>26871</v>
      </c>
      <c r="D6379" s="7" t="s">
        <v>26869</v>
      </c>
      <c r="E6379" s="7" t="s">
        <v>26870</v>
      </c>
      <c r="F6379" s="7" t="str">
        <f>HYPERLINK("http://www.podere-scoldasu.it/","www.podere-scoldasu.it")</f>
        <v>www.podere-scoldasu.it</v>
      </c>
    </row>
    <row r="6380" spans="1:6" ht="29.55" customHeight="1" x14ac:dyDescent="0.25">
      <c r="A6380" s="6" t="s">
        <v>26876</v>
      </c>
      <c r="B6380" s="5" t="s">
        <v>26877</v>
      </c>
      <c r="C6380" s="5" t="s">
        <v>26878</v>
      </c>
      <c r="D6380" s="5" t="s">
        <v>26869</v>
      </c>
      <c r="E6380" s="5" t="s">
        <v>26870</v>
      </c>
      <c r="F6380" s="5" t="str">
        <f>HYPERLINK("http://toscana.fpi.it/","toscana.fpi.it")</f>
        <v>toscana.fpi.it</v>
      </c>
    </row>
    <row r="6381" spans="1:6" ht="43.05" customHeight="1" x14ac:dyDescent="0.25">
      <c r="A6381" s="1" t="s">
        <v>26879</v>
      </c>
      <c r="B6381" s="7" t="s">
        <v>26880</v>
      </c>
      <c r="C6381" s="7" t="s">
        <v>26871</v>
      </c>
      <c r="D6381" s="7" t="s">
        <v>26869</v>
      </c>
      <c r="E6381" s="7" t="s">
        <v>26870</v>
      </c>
      <c r="F6381" s="7" t="str">
        <f>HYPERLINK("http://oliodelcolle.com/","oliodelcolle.com")</f>
        <v>oliodelcolle.com</v>
      </c>
    </row>
    <row r="6382" spans="1:6" ht="43.05" customHeight="1" x14ac:dyDescent="0.25">
      <c r="A6382" s="1" t="s">
        <v>26881</v>
      </c>
      <c r="B6382" s="7" t="s">
        <v>26882</v>
      </c>
      <c r="C6382" s="7" t="s">
        <v>26883</v>
      </c>
      <c r="D6382" s="7" t="s">
        <v>26869</v>
      </c>
      <c r="E6382" s="7" t="s">
        <v>26870</v>
      </c>
      <c r="F6382" s="7" t="str">
        <f>HYPERLINK("http://www.villapanconesi.it/","www.villapanconesi.it")</f>
        <v>www.villapanconesi.it</v>
      </c>
    </row>
    <row r="6383" spans="1:6" ht="29.55" customHeight="1" x14ac:dyDescent="0.25">
      <c r="A6383" s="1" t="s">
        <v>26886</v>
      </c>
      <c r="B6383" s="7" t="s">
        <v>26887</v>
      </c>
      <c r="C6383" s="7" t="s">
        <v>26888</v>
      </c>
      <c r="D6383" s="7" t="s">
        <v>26884</v>
      </c>
      <c r="E6383" s="7" t="s">
        <v>26885</v>
      </c>
      <c r="F6383" s="7" t="str">
        <f>HYPERLINK("http://www.podereverde.it/","www.podereverde.it")</f>
        <v>www.podereverde.it</v>
      </c>
    </row>
    <row r="6384" spans="1:6" ht="43.05" customHeight="1" x14ac:dyDescent="0.25">
      <c r="A6384" s="1" t="s">
        <v>26892</v>
      </c>
      <c r="B6384" s="7" t="s">
        <v>26893</v>
      </c>
      <c r="C6384" s="7" t="s">
        <v>26891</v>
      </c>
      <c r="D6384" s="7" t="s">
        <v>26889</v>
      </c>
      <c r="E6384" s="7" t="s">
        <v>26890</v>
      </c>
      <c r="F6384" s="7" t="str">
        <f>HYPERLINK("http://www.comune.sesto-fiorentino.fi.it/it/comune/polizia-municipale","www.comune.sesto-fiorentino.fi.it/it/comune/polizia-municipale")</f>
        <v>www.comune.sesto-fiorentino.fi.it/it/comune/polizia-municipale</v>
      </c>
    </row>
    <row r="6385" spans="1:6" ht="16.95" customHeight="1" x14ac:dyDescent="0.25">
      <c r="A6385" s="6" t="s">
        <v>26897</v>
      </c>
      <c r="B6385" s="5" t="s">
        <v>26898</v>
      </c>
      <c r="C6385" s="5" t="s">
        <v>26894</v>
      </c>
      <c r="D6385" s="5" t="s">
        <v>26895</v>
      </c>
      <c r="E6385" s="5" t="s">
        <v>26896</v>
      </c>
      <c r="F6385" s="5" t="str">
        <f>HYPERLINK("http://agricolaliscio.it/","agricolaliscio.it")</f>
        <v>agricolaliscio.it</v>
      </c>
    </row>
    <row r="6386" spans="1:6" ht="29.55" customHeight="1" x14ac:dyDescent="0.25">
      <c r="A6386" s="6" t="s">
        <v>26899</v>
      </c>
      <c r="B6386" s="5" t="s">
        <v>26900</v>
      </c>
      <c r="C6386" s="5" t="s">
        <v>26894</v>
      </c>
      <c r="D6386" s="5" t="s">
        <v>26895</v>
      </c>
      <c r="E6386" s="5" t="s">
        <v>26896</v>
      </c>
      <c r="F6386" s="5" t="str">
        <f>HYPERLINK("http://agricolaliscio.it/","agricolaliscio.it")</f>
        <v>agricolaliscio.it</v>
      </c>
    </row>
    <row r="6387" spans="1:6" ht="29.55" customHeight="1" x14ac:dyDescent="0.25">
      <c r="A6387" s="6" t="s">
        <v>26904</v>
      </c>
      <c r="B6387" s="5" t="s">
        <v>26905</v>
      </c>
      <c r="C6387" s="5" t="s">
        <v>26903</v>
      </c>
      <c r="D6387" s="5" t="s">
        <v>26901</v>
      </c>
      <c r="E6387" s="5" t="s">
        <v>26902</v>
      </c>
      <c r="F6387" s="5" t="str">
        <f>HYPERLINK("http://www.palazzopiccolo.it/","www.palazzopiccolo.it")</f>
        <v>www.palazzopiccolo.it</v>
      </c>
    </row>
    <row r="6388" spans="1:6" ht="43.05" customHeight="1" x14ac:dyDescent="0.25">
      <c r="A6388" s="1" t="s">
        <v>26909</v>
      </c>
      <c r="B6388" s="7" t="s">
        <v>26910</v>
      </c>
      <c r="C6388" s="7" t="s">
        <v>26911</v>
      </c>
      <c r="D6388" s="7" t="s">
        <v>26906</v>
      </c>
      <c r="E6388" s="7" t="s">
        <v>26907</v>
      </c>
      <c r="F6388" s="7" t="str">
        <f>HYPERLINK("http://www.agrofarmaweb.it/","www.agrofarmaweb.it")</f>
        <v>www.agrofarmaweb.it</v>
      </c>
    </row>
    <row r="6389" spans="1:6" ht="29.55" customHeight="1" x14ac:dyDescent="0.25">
      <c r="A6389" s="6" t="s">
        <v>26912</v>
      </c>
      <c r="B6389" s="5" t="s">
        <v>26913</v>
      </c>
      <c r="C6389" s="5" t="s">
        <v>26908</v>
      </c>
      <c r="D6389" s="5" t="s">
        <v>26906</v>
      </c>
      <c r="E6389" s="5" t="s">
        <v>26907</v>
      </c>
      <c r="F6389" s="5" t="str">
        <f>HYPERLINK("http://www.ricambicarpinelli.it/","www.ricambicarpinelli.it")</f>
        <v>www.ricambicarpinelli.it</v>
      </c>
    </row>
    <row r="6390" spans="1:6" ht="29.55" customHeight="1" x14ac:dyDescent="0.25">
      <c r="A6390" s="1" t="s">
        <v>26917</v>
      </c>
      <c r="B6390" s="7" t="s">
        <v>26918</v>
      </c>
      <c r="C6390" s="7" t="s">
        <v>26919</v>
      </c>
      <c r="D6390" s="7" t="s">
        <v>26915</v>
      </c>
      <c r="E6390" s="7" t="s">
        <v>26916</v>
      </c>
      <c r="F6390" s="7" t="str">
        <f>HYPERLINK("http://new-floritaly-srl-04325860718.quantofattura.com/","new-floritaly-srl-04325860718.quantofattura.com")</f>
        <v>new-floritaly-srl-04325860718.quantofattura.com</v>
      </c>
    </row>
    <row r="6391" spans="1:6" ht="43.05" customHeight="1" x14ac:dyDescent="0.25">
      <c r="A6391" s="6" t="s">
        <v>26920</v>
      </c>
      <c r="B6391" s="5" t="s">
        <v>26921</v>
      </c>
      <c r="C6391" s="5" t="s">
        <v>26914</v>
      </c>
      <c r="D6391" s="5" t="s">
        <v>26915</v>
      </c>
      <c r="E6391" s="5" t="s">
        <v>26916</v>
      </c>
      <c r="F6391" s="5" t="str">
        <f>HYPERLINK("http://www.dagnello.it/","www.dagnello.it")</f>
        <v>www.dagnello.it</v>
      </c>
    </row>
    <row r="6392" spans="1:6" ht="29.55" customHeight="1" x14ac:dyDescent="0.25">
      <c r="A6392" s="1" t="s">
        <v>26922</v>
      </c>
      <c r="B6392" s="7" t="s">
        <v>26923</v>
      </c>
      <c r="C6392" s="7" t="s">
        <v>26924</v>
      </c>
      <c r="D6392" s="7" t="s">
        <v>26925</v>
      </c>
      <c r="E6392" s="7" t="s">
        <v>26926</v>
      </c>
      <c r="F6392" s="7" t="str">
        <f>HYPERLINK("http://www.sanita.puglia.it/web/asl-foggia","www.sanita.puglia.it/web/asl-foggia")</f>
        <v>www.sanita.puglia.it/web/asl-foggia</v>
      </c>
    </row>
    <row r="6393" spans="1:6" ht="29.55" customHeight="1" x14ac:dyDescent="0.25">
      <c r="A6393" s="1" t="s">
        <v>26930</v>
      </c>
      <c r="B6393" s="7" t="s">
        <v>26931</v>
      </c>
      <c r="C6393" s="7" t="s">
        <v>26927</v>
      </c>
      <c r="D6393" s="7" t="s">
        <v>26925</v>
      </c>
      <c r="E6393" s="7" t="s">
        <v>26926</v>
      </c>
      <c r="F6393" s="7" t="str">
        <f>HYPERLINK("http://www.dellagri.it/","www.dellagri.it")</f>
        <v>www.dellagri.it</v>
      </c>
    </row>
    <row r="6394" spans="1:6" ht="29.55" customHeight="1" x14ac:dyDescent="0.25">
      <c r="A6394" s="1" t="s">
        <v>26932</v>
      </c>
      <c r="B6394" s="7" t="s">
        <v>26933</v>
      </c>
      <c r="C6394" s="7" t="s">
        <v>26929</v>
      </c>
      <c r="D6394" s="7" t="s">
        <v>26925</v>
      </c>
      <c r="E6394" s="7" t="s">
        <v>26926</v>
      </c>
      <c r="F6394" s="7" t="str">
        <f>HYPERLINK("http://www.cappuccinifoggia.it/","www.cappuccinifoggia.it")</f>
        <v>www.cappuccinifoggia.it</v>
      </c>
    </row>
    <row r="6395" spans="1:6" ht="29.55" customHeight="1" x14ac:dyDescent="0.25">
      <c r="A6395" s="1" t="s">
        <v>26934</v>
      </c>
      <c r="B6395" s="7" t="s">
        <v>26935</v>
      </c>
      <c r="C6395" s="7" t="s">
        <v>26928</v>
      </c>
      <c r="D6395" s="7" t="s">
        <v>26925</v>
      </c>
      <c r="E6395" s="7" t="s">
        <v>26926</v>
      </c>
      <c r="F6395" s="7" t="str">
        <f>HYPERLINK("http://www.terredimaria.it/","www.terredimaria.it")</f>
        <v>www.terredimaria.it</v>
      </c>
    </row>
    <row r="6396" spans="1:6" ht="29.55" customHeight="1" x14ac:dyDescent="0.25">
      <c r="A6396" s="1" t="s">
        <v>26939</v>
      </c>
      <c r="B6396" s="7" t="s">
        <v>26940</v>
      </c>
      <c r="C6396" s="7" t="s">
        <v>26936</v>
      </c>
      <c r="D6396" s="7" t="s">
        <v>26937</v>
      </c>
      <c r="E6396" s="7" t="s">
        <v>26938</v>
      </c>
      <c r="F6396" s="7" t="str">
        <f>HYPERLINK("http://www.oliosantacecilia.it/","www.oliosantacecilia.it")</f>
        <v>www.oliosantacecilia.it</v>
      </c>
    </row>
    <row r="6397" spans="1:6" ht="29.55" customHeight="1" x14ac:dyDescent="0.25">
      <c r="A6397" s="6" t="s">
        <v>26941</v>
      </c>
      <c r="B6397" s="5" t="s">
        <v>26942</v>
      </c>
      <c r="C6397" s="5" t="s">
        <v>26943</v>
      </c>
      <c r="D6397" s="5" t="s">
        <v>26937</v>
      </c>
      <c r="E6397" s="5" t="s">
        <v>26938</v>
      </c>
      <c r="F6397" s="5" t="str">
        <f>HYPERLINK("http://moschella.shop/","moschella.shop")</f>
        <v>moschella.shop</v>
      </c>
    </row>
    <row r="6398" spans="1:6" ht="43.05" customHeight="1" x14ac:dyDescent="0.25">
      <c r="A6398" s="1" t="s">
        <v>26948</v>
      </c>
      <c r="B6398" s="7" t="s">
        <v>26949</v>
      </c>
      <c r="C6398" s="7" t="s">
        <v>26946</v>
      </c>
      <c r="D6398" s="7" t="s">
        <v>26944</v>
      </c>
      <c r="E6398" s="7" t="s">
        <v>26945</v>
      </c>
      <c r="F6398" s="7" t="str">
        <f>HYPERLINK("http://www.poacoop.it/","www.poacoop.it")</f>
        <v>www.poacoop.it</v>
      </c>
    </row>
    <row r="6399" spans="1:6" ht="29.55" customHeight="1" x14ac:dyDescent="0.25">
      <c r="A6399" s="6" t="s">
        <v>26950</v>
      </c>
      <c r="B6399" s="5" t="s">
        <v>26951</v>
      </c>
      <c r="C6399" s="5" t="s">
        <v>26947</v>
      </c>
      <c r="D6399" s="5" t="s">
        <v>26944</v>
      </c>
      <c r="E6399" s="5" t="s">
        <v>26945</v>
      </c>
      <c r="F6399" s="5" t="str">
        <f>HYPERLINK("http://www.micpower.it/","www.micpower.it")</f>
        <v>www.micpower.it</v>
      </c>
    </row>
    <row r="6400" spans="1:6" ht="16.95" customHeight="1" x14ac:dyDescent="0.25">
      <c r="A6400" s="1" t="s">
        <v>26955</v>
      </c>
      <c r="B6400" s="7" t="s">
        <v>26956</v>
      </c>
      <c r="C6400" s="7" t="s">
        <v>26957</v>
      </c>
      <c r="D6400" s="7" t="s">
        <v>26952</v>
      </c>
      <c r="E6400" s="7" t="s">
        <v>26953</v>
      </c>
      <c r="F6400" s="7" t="str">
        <f>HYPERLINK("http://www.oleificiovieste.com/","www.oleificiovieste.com")</f>
        <v>www.oleificiovieste.com</v>
      </c>
    </row>
    <row r="6401" spans="1:6" ht="43.05" customHeight="1" x14ac:dyDescent="0.25">
      <c r="A6401" s="6" t="s">
        <v>26958</v>
      </c>
      <c r="B6401" s="5" t="s">
        <v>26959</v>
      </c>
      <c r="C6401" s="5" t="s">
        <v>26954</v>
      </c>
      <c r="D6401" s="5" t="s">
        <v>26952</v>
      </c>
      <c r="E6401" s="5" t="s">
        <v>26953</v>
      </c>
      <c r="F6401" s="5" t="str">
        <f>HYPERLINK("http://www.cooperativagoldgreen.com/","www.cooperativagoldgreen.com")</f>
        <v>www.cooperativagoldgreen.com</v>
      </c>
    </row>
    <row r="6402" spans="1:6" ht="16.95" customHeight="1" x14ac:dyDescent="0.25">
      <c r="A6402" s="6" t="s">
        <v>26962</v>
      </c>
      <c r="B6402" s="5" t="s">
        <v>26963</v>
      </c>
      <c r="C6402" s="5" t="s">
        <v>26964</v>
      </c>
      <c r="D6402" s="5" t="s">
        <v>26960</v>
      </c>
      <c r="E6402" s="5" t="s">
        <v>26961</v>
      </c>
      <c r="F6402" s="5" t="str">
        <f>HYPERLINK("http://www.canapaitalia.com/","www.canapaitalia.com")</f>
        <v>www.canapaitalia.com</v>
      </c>
    </row>
    <row r="6403" spans="1:6" ht="29.55" customHeight="1" x14ac:dyDescent="0.25">
      <c r="A6403" s="1" t="s">
        <v>26968</v>
      </c>
      <c r="B6403" s="7" t="s">
        <v>26969</v>
      </c>
      <c r="C6403" s="7" t="s">
        <v>26967</v>
      </c>
      <c r="D6403" s="7" t="s">
        <v>26965</v>
      </c>
      <c r="E6403" s="7" t="s">
        <v>26966</v>
      </c>
      <c r="F6403" s="7" t="str">
        <f>HYPERLINK("http://www.beecoop.it/","www.beecoop.it")</f>
        <v>www.beecoop.it</v>
      </c>
    </row>
    <row r="6404" spans="1:6" ht="29.55" customHeight="1" x14ac:dyDescent="0.25">
      <c r="A6404" s="1" t="s">
        <v>26970</v>
      </c>
      <c r="B6404" s="7" t="s">
        <v>26971</v>
      </c>
      <c r="C6404" s="7" t="s">
        <v>26964</v>
      </c>
      <c r="D6404" s="7" t="s">
        <v>26965</v>
      </c>
      <c r="E6404" s="7" t="s">
        <v>26966</v>
      </c>
      <c r="F6404" s="7" t="str">
        <f>HYPERLINK("http://dg-valverde.business.site/","dg-valverde.business.site/")</f>
        <v>dg-valverde.business.site/</v>
      </c>
    </row>
    <row r="6405" spans="1:6" ht="43.05" customHeight="1" x14ac:dyDescent="0.25">
      <c r="A6405" s="6" t="s">
        <v>26975</v>
      </c>
      <c r="B6405" s="5" t="s">
        <v>26976</v>
      </c>
      <c r="C6405" s="5" t="s">
        <v>26974</v>
      </c>
      <c r="D6405" s="5" t="s">
        <v>26972</v>
      </c>
      <c r="E6405" s="5" t="s">
        <v>26973</v>
      </c>
      <c r="F6405" s="5" t="str">
        <f>HYPERLINK("http://www.cooperativagoldgreen.com/","www.cooperativagoldgreen.com")</f>
        <v>www.cooperativagoldgreen.com</v>
      </c>
    </row>
    <row r="6406" spans="1:6" ht="29.55" customHeight="1" x14ac:dyDescent="0.25">
      <c r="A6406" s="6" t="s">
        <v>26980</v>
      </c>
      <c r="B6406" s="5" t="s">
        <v>26981</v>
      </c>
      <c r="C6406" s="5" t="s">
        <v>26979</v>
      </c>
      <c r="D6406" s="5" t="s">
        <v>26977</v>
      </c>
      <c r="E6406" s="5" t="s">
        <v>26978</v>
      </c>
      <c r="F6406" s="5" t="str">
        <f>HYPERLINK("http://www.thinknaturalcbd.com/","www.thinknaturalcbd.com")</f>
        <v>www.thinknaturalcbd.com</v>
      </c>
    </row>
    <row r="6407" spans="1:6" ht="43.05" customHeight="1" x14ac:dyDescent="0.25">
      <c r="A6407" s="1" t="s">
        <v>26982</v>
      </c>
      <c r="B6407" s="7" t="s">
        <v>26983</v>
      </c>
      <c r="C6407" s="7" t="s">
        <v>26984</v>
      </c>
      <c r="D6407" s="7" t="s">
        <v>26977</v>
      </c>
      <c r="E6407" s="7" t="s">
        <v>26978</v>
      </c>
      <c r="F6407" s="7" t="str">
        <f>HYPERLINK("http://www.milonedakroton.flazio.com/","www.milonedakroton.flazio.com")</f>
        <v>www.milonedakroton.flazio.com</v>
      </c>
    </row>
    <row r="6408" spans="1:6" ht="29.55" customHeight="1" x14ac:dyDescent="0.25">
      <c r="A6408" s="6" t="s">
        <v>26987</v>
      </c>
      <c r="B6408" s="5" t="s">
        <v>26988</v>
      </c>
      <c r="C6408" s="5" t="s">
        <v>26989</v>
      </c>
      <c r="D6408" s="5" t="s">
        <v>26985</v>
      </c>
      <c r="E6408" s="5" t="s">
        <v>26986</v>
      </c>
      <c r="F6408" s="5" t="str">
        <f>HYPERLINK("http://calabroparati.it/","calabroparati.it")</f>
        <v>calabroparati.it</v>
      </c>
    </row>
    <row r="6409" spans="1:6" ht="43.05" customHeight="1" x14ac:dyDescent="0.25">
      <c r="A6409" s="6" t="s">
        <v>26993</v>
      </c>
      <c r="B6409" s="5" t="s">
        <v>26994</v>
      </c>
      <c r="C6409" s="5" t="s">
        <v>26990</v>
      </c>
      <c r="D6409" s="5" t="s">
        <v>26991</v>
      </c>
      <c r="E6409" s="5" t="s">
        <v>26992</v>
      </c>
      <c r="F6409" s="5" t="str">
        <f>HYPERLINK("http://www.agrihotelcrocevallone.com/","www.agrihotelcrocevallone.com")</f>
        <v>www.agrihotelcrocevallone.com</v>
      </c>
    </row>
    <row r="6410" spans="1:6" ht="29.55" customHeight="1" x14ac:dyDescent="0.25">
      <c r="A6410" s="6" t="s">
        <v>26995</v>
      </c>
      <c r="B6410" s="5" t="s">
        <v>26996</v>
      </c>
      <c r="C6410" s="5" t="s">
        <v>26990</v>
      </c>
      <c r="D6410" s="5" t="s">
        <v>26991</v>
      </c>
      <c r="E6410" s="5" t="s">
        <v>26992</v>
      </c>
      <c r="F6410" s="5" t="str">
        <f>HYPERLINK("http://www.tenutasantatecla.it/","www.tenutasantatecla.it")</f>
        <v>www.tenutasantatecla.it</v>
      </c>
    </row>
    <row r="6411" spans="1:6" ht="29.55" customHeight="1" x14ac:dyDescent="0.25">
      <c r="A6411" s="1" t="s">
        <v>27000</v>
      </c>
      <c r="B6411" s="7" t="s">
        <v>27001</v>
      </c>
      <c r="C6411" s="7" t="s">
        <v>27002</v>
      </c>
      <c r="D6411" s="7" t="s">
        <v>26997</v>
      </c>
      <c r="E6411" s="7" t="s">
        <v>26998</v>
      </c>
      <c r="F6411" s="7" t="str">
        <f>HYPERLINK("http://kiranclub.it/","kiranclub.it")</f>
        <v>kiranclub.it</v>
      </c>
    </row>
    <row r="6412" spans="1:6" ht="29.55" customHeight="1" x14ac:dyDescent="0.25">
      <c r="A6412" s="6" t="s">
        <v>27003</v>
      </c>
      <c r="B6412" s="5" t="s">
        <v>27004</v>
      </c>
      <c r="C6412" s="5" t="s">
        <v>27005</v>
      </c>
      <c r="D6412" s="5" t="s">
        <v>26997</v>
      </c>
      <c r="E6412" s="5" t="s">
        <v>26998</v>
      </c>
      <c r="F6412" s="5" t="str">
        <f>HYPERLINK("http://www.supersunsrl3.com/","www.supersunsrl3.com")</f>
        <v>www.supersunsrl3.com</v>
      </c>
    </row>
    <row r="6413" spans="1:6" ht="29.55" customHeight="1" x14ac:dyDescent="0.25">
      <c r="A6413" s="1" t="s">
        <v>27006</v>
      </c>
      <c r="B6413" s="7" t="s">
        <v>27007</v>
      </c>
      <c r="C6413" s="7" t="s">
        <v>27005</v>
      </c>
      <c r="D6413" s="7" t="s">
        <v>26997</v>
      </c>
      <c r="E6413" s="7" t="s">
        <v>26998</v>
      </c>
      <c r="F6413" s="7" t="str">
        <f>HYPERLINK("http://www.supersunsrl2.com/","www.supersunsrl2.com")</f>
        <v>www.supersunsrl2.com</v>
      </c>
    </row>
    <row r="6414" spans="1:6" ht="29.55" customHeight="1" x14ac:dyDescent="0.25">
      <c r="A6414" s="6" t="s">
        <v>27009</v>
      </c>
      <c r="B6414" s="5" t="s">
        <v>27010</v>
      </c>
      <c r="C6414" s="5" t="s">
        <v>26999</v>
      </c>
      <c r="D6414" s="5" t="s">
        <v>26997</v>
      </c>
      <c r="E6414" s="5" t="s">
        <v>26998</v>
      </c>
      <c r="F6414" s="5" t="str">
        <f>HYPERLINK("http://www.prodottitipicimessina.it/","www.prodottitipicimessina.it")</f>
        <v>www.prodottitipicimessina.it</v>
      </c>
    </row>
    <row r="6415" spans="1:6" ht="29.55" customHeight="1" x14ac:dyDescent="0.25">
      <c r="A6415" s="1" t="s">
        <v>27011</v>
      </c>
      <c r="B6415" s="7" t="s">
        <v>27012</v>
      </c>
      <c r="C6415" s="7" t="s">
        <v>27013</v>
      </c>
      <c r="D6415" s="7" t="s">
        <v>26997</v>
      </c>
      <c r="E6415" s="7" t="s">
        <v>26998</v>
      </c>
      <c r="F6415" s="7" t="str">
        <f>HYPERLINK("http://www.etna-farm.com/","www.etna-farm.com")</f>
        <v>www.etna-farm.com</v>
      </c>
    </row>
    <row r="6416" spans="1:6" ht="29.55" customHeight="1" x14ac:dyDescent="0.25">
      <c r="A6416" s="6" t="s">
        <v>27014</v>
      </c>
      <c r="B6416" s="5" t="s">
        <v>27015</v>
      </c>
      <c r="C6416" s="5" t="s">
        <v>27008</v>
      </c>
      <c r="D6416" s="5" t="s">
        <v>26997</v>
      </c>
      <c r="E6416" s="5" t="s">
        <v>26998</v>
      </c>
      <c r="F6416" s="5" t="str">
        <f>HYPERLINK("http://www.bagliodellefate.com/","www.bagliodellefate.com")</f>
        <v>www.bagliodellefate.com</v>
      </c>
    </row>
    <row r="6417" spans="1:6" ht="43.05" customHeight="1" x14ac:dyDescent="0.25">
      <c r="A6417" s="1" t="s">
        <v>27019</v>
      </c>
      <c r="B6417" s="7" t="s">
        <v>27020</v>
      </c>
      <c r="C6417" s="7" t="s">
        <v>27021</v>
      </c>
      <c r="D6417" s="7" t="s">
        <v>27017</v>
      </c>
      <c r="E6417" s="7" t="s">
        <v>27018</v>
      </c>
      <c r="F6417" s="7" t="str">
        <f>HYPERLINK("http://www.facebook.com/ramusacamping/","www.facebook.com/ramusacamping/")</f>
        <v>www.facebook.com/ramusacamping/</v>
      </c>
    </row>
    <row r="6418" spans="1:6" ht="43.05" customHeight="1" x14ac:dyDescent="0.25">
      <c r="A6418" s="1" t="s">
        <v>27022</v>
      </c>
      <c r="B6418" s="7" t="s">
        <v>27023</v>
      </c>
      <c r="C6418" s="7" t="s">
        <v>27021</v>
      </c>
      <c r="D6418" s="7" t="s">
        <v>27017</v>
      </c>
      <c r="E6418" s="7" t="s">
        <v>27018</v>
      </c>
      <c r="F6418" s="7" t="str">
        <f>HYPERLINK("http://www.etnasapori.it/","www.etnasapori.it")</f>
        <v>www.etnasapori.it</v>
      </c>
    </row>
    <row r="6419" spans="1:6" ht="29.55" customHeight="1" x14ac:dyDescent="0.25">
      <c r="A6419" s="1" t="s">
        <v>27024</v>
      </c>
      <c r="B6419" s="7" t="s">
        <v>27025</v>
      </c>
      <c r="C6419" s="7" t="s">
        <v>27016</v>
      </c>
      <c r="D6419" s="7" t="s">
        <v>27017</v>
      </c>
      <c r="E6419" s="7" t="s">
        <v>27018</v>
      </c>
      <c r="F6419" s="7" t="str">
        <f>HYPERLINK("http://www.lafogliaverdecoop.it/","www.lafogliaverdecoop.it")</f>
        <v>www.lafogliaverdecoop.it</v>
      </c>
    </row>
    <row r="6420" spans="1:6" ht="16.95" customHeight="1" x14ac:dyDescent="0.25">
      <c r="A6420" s="6" t="s">
        <v>27026</v>
      </c>
      <c r="B6420" s="5" t="s">
        <v>27027</v>
      </c>
      <c r="C6420" s="5" t="s">
        <v>27016</v>
      </c>
      <c r="D6420" s="5" t="s">
        <v>27017</v>
      </c>
      <c r="E6420" s="5" t="s">
        <v>27018</v>
      </c>
      <c r="F6420" s="5" t="str">
        <f>HYPERLINK("http://shop.etnasterradeilimoni.it/","shop.etnasterradeilimoni.it")</f>
        <v>shop.etnasterradeilimoni.it</v>
      </c>
    </row>
    <row r="6421" spans="1:6" ht="43.05" customHeight="1" x14ac:dyDescent="0.25">
      <c r="A6421" s="1" t="s">
        <v>27028</v>
      </c>
      <c r="B6421" s="7" t="s">
        <v>27029</v>
      </c>
      <c r="C6421" s="7" t="s">
        <v>27016</v>
      </c>
      <c r="D6421" s="7" t="s">
        <v>27017</v>
      </c>
      <c r="E6421" s="7" t="s">
        <v>27018</v>
      </c>
      <c r="F6421" s="7" t="str">
        <f>HYPERLINK("http://aranciasuccosa.it/","aranciasuccosa.it")</f>
        <v>aranciasuccosa.it</v>
      </c>
    </row>
    <row r="6422" spans="1:6" ht="43.05" customHeight="1" x14ac:dyDescent="0.25">
      <c r="A6422" s="6" t="s">
        <v>27034</v>
      </c>
      <c r="B6422" s="5" t="s">
        <v>27035</v>
      </c>
      <c r="C6422" s="5" t="s">
        <v>27030</v>
      </c>
      <c r="D6422" s="5" t="s">
        <v>27031</v>
      </c>
      <c r="E6422" s="5" t="s">
        <v>27032</v>
      </c>
      <c r="F6422" s="5" t="str">
        <f>HYPERLINK("http://www.unvulcanodisapori.com/","www.unvulcanodisapori.com")</f>
        <v>www.unvulcanodisapori.com</v>
      </c>
    </row>
    <row r="6423" spans="1:6" ht="29.55" customHeight="1" x14ac:dyDescent="0.25">
      <c r="A6423" s="6" t="s">
        <v>27036</v>
      </c>
      <c r="B6423" s="5" t="s">
        <v>27037</v>
      </c>
      <c r="C6423" s="5" t="s">
        <v>27033</v>
      </c>
      <c r="D6423" s="5" t="s">
        <v>27031</v>
      </c>
      <c r="E6423" s="5" t="s">
        <v>27032</v>
      </c>
      <c r="F6423" s="5" t="str">
        <f>HYPERLINK("http://agroetna.it/","agroetna.it")</f>
        <v>agroetna.it</v>
      </c>
    </row>
    <row r="6424" spans="1:6" ht="29.55" customHeight="1" x14ac:dyDescent="0.25">
      <c r="A6424" s="1" t="s">
        <v>27041</v>
      </c>
      <c r="B6424" s="7" t="s">
        <v>27042</v>
      </c>
      <c r="C6424" s="7" t="s">
        <v>27040</v>
      </c>
      <c r="D6424" s="7" t="s">
        <v>27038</v>
      </c>
      <c r="E6424" s="7" t="s">
        <v>27039</v>
      </c>
      <c r="F6424" s="7" t="str">
        <f>HYPERLINK("http://la-macchia-societa-agricola-srl.business.site/","la-macchia-societa-agricola-srl.business.site/")</f>
        <v>la-macchia-societa-agricola-srl.business.site/</v>
      </c>
    </row>
    <row r="6425" spans="1:6" ht="68.099999999999994" customHeight="1" x14ac:dyDescent="0.25">
      <c r="A6425" s="1" t="s">
        <v>27045</v>
      </c>
      <c r="B6425" s="7" t="s">
        <v>27046</v>
      </c>
      <c r="C6425" s="7" t="s">
        <v>27047</v>
      </c>
      <c r="D6425" s="7" t="s">
        <v>27043</v>
      </c>
      <c r="E6425" s="7" t="s">
        <v>27044</v>
      </c>
      <c r="F6425" s="7" t="str">
        <f>HYPERLINK("http://www.lifespiral.it/","www.lifespiral.it")</f>
        <v>www.lifespiral.it</v>
      </c>
    </row>
    <row r="6426" spans="1:6" ht="29.55" customHeight="1" x14ac:dyDescent="0.25">
      <c r="A6426" s="1" t="s">
        <v>27048</v>
      </c>
      <c r="B6426" s="7" t="s">
        <v>27049</v>
      </c>
      <c r="C6426" s="7" t="s">
        <v>27050</v>
      </c>
      <c r="D6426" s="7" t="s">
        <v>27043</v>
      </c>
      <c r="E6426" s="7" t="s">
        <v>27044</v>
      </c>
      <c r="F6426" s="7" t="str">
        <f>HYPERLINK("http://gruppottantasei.it/","gruppottantasei.it")</f>
        <v>gruppottantasei.it</v>
      </c>
    </row>
    <row r="6427" spans="1:6" ht="29.55" customHeight="1" x14ac:dyDescent="0.25">
      <c r="A6427" s="6" t="s">
        <v>27054</v>
      </c>
      <c r="B6427" s="5" t="s">
        <v>27055</v>
      </c>
      <c r="C6427" s="5" t="s">
        <v>27056</v>
      </c>
      <c r="D6427" s="5" t="s">
        <v>27051</v>
      </c>
      <c r="E6427" s="5" t="s">
        <v>27052</v>
      </c>
      <c r="F6427" s="5" t="str">
        <f>HYPERLINK("http://www.saporidisicilia2017.it/","www.saporidisicilia2017.it")</f>
        <v>www.saporidisicilia2017.it</v>
      </c>
    </row>
    <row r="6428" spans="1:6" ht="29.55" customHeight="1" x14ac:dyDescent="0.25">
      <c r="A6428" s="6" t="s">
        <v>27058</v>
      </c>
      <c r="B6428" s="5" t="s">
        <v>27059</v>
      </c>
      <c r="C6428" s="5" t="s">
        <v>27057</v>
      </c>
      <c r="D6428" s="5" t="s">
        <v>27051</v>
      </c>
      <c r="E6428" s="5" t="s">
        <v>27052</v>
      </c>
      <c r="F6428" s="5" t="str">
        <f>HYPERLINK("http://www.sicilsapori.net/","www.sicilsapori.net")</f>
        <v>www.sicilsapori.net</v>
      </c>
    </row>
    <row r="6429" spans="1:6" ht="43.05" customHeight="1" x14ac:dyDescent="0.25">
      <c r="A6429" s="6" t="s">
        <v>27060</v>
      </c>
      <c r="B6429" s="5" t="s">
        <v>27061</v>
      </c>
      <c r="C6429" s="5" t="s">
        <v>27053</v>
      </c>
      <c r="D6429" s="5" t="s">
        <v>27051</v>
      </c>
      <c r="E6429" s="5" t="s">
        <v>27052</v>
      </c>
      <c r="F6429" s="5" t="str">
        <f>HYPERLINK("http://www.zafferanaoasidelletna.it/","www.zafferanaoasidelletna.it")</f>
        <v>www.zafferanaoasidelletna.it</v>
      </c>
    </row>
    <row r="6430" spans="1:6" ht="43.05" customHeight="1" x14ac:dyDescent="0.25">
      <c r="A6430" s="6" t="s">
        <v>27064</v>
      </c>
      <c r="B6430" s="5" t="s">
        <v>27065</v>
      </c>
      <c r="C6430" s="5" t="s">
        <v>27066</v>
      </c>
      <c r="D6430" s="5" t="s">
        <v>27062</v>
      </c>
      <c r="E6430" s="5" t="s">
        <v>27063</v>
      </c>
      <c r="F6430" s="5" t="str">
        <f>HYPERLINK("http://www.gigliottotenute.it/","www.gigliottotenute.it")</f>
        <v>www.gigliottotenute.it</v>
      </c>
    </row>
    <row r="6431" spans="1:6" ht="29.55" customHeight="1" x14ac:dyDescent="0.25">
      <c r="A6431" s="6" t="s">
        <v>27069</v>
      </c>
      <c r="B6431" s="5" t="s">
        <v>27070</v>
      </c>
      <c r="C6431" s="5" t="s">
        <v>27071</v>
      </c>
      <c r="D6431" s="5" t="s">
        <v>27067</v>
      </c>
      <c r="E6431" s="5" t="s">
        <v>27068</v>
      </c>
      <c r="F6431" s="5" t="str">
        <f>HYPERLINK("http://www.naturizia.it/","www.naturizia.it")</f>
        <v>www.naturizia.it</v>
      </c>
    </row>
    <row r="6432" spans="1:6" ht="43.05" customHeight="1" x14ac:dyDescent="0.25">
      <c r="A6432" s="1" t="s">
        <v>27072</v>
      </c>
      <c r="B6432" s="7" t="s">
        <v>27073</v>
      </c>
      <c r="C6432" s="7" t="s">
        <v>27074</v>
      </c>
      <c r="D6432" s="7" t="s">
        <v>27067</v>
      </c>
      <c r="E6432" s="7" t="s">
        <v>27068</v>
      </c>
      <c r="F6432" s="7" t="str">
        <f>HYPERLINK("http://gigliotto.com/","gigliotto.com")</f>
        <v>gigliotto.com</v>
      </c>
    </row>
    <row r="6433" spans="1:6" ht="29.55" customHeight="1" x14ac:dyDescent="0.25">
      <c r="A6433" s="6" t="s">
        <v>27075</v>
      </c>
      <c r="B6433" s="5" t="s">
        <v>27076</v>
      </c>
      <c r="C6433" s="5" t="s">
        <v>27077</v>
      </c>
      <c r="D6433" s="5" t="s">
        <v>27067</v>
      </c>
      <c r="E6433" s="5" t="s">
        <v>27068</v>
      </c>
      <c r="F6433" s="5" t="str">
        <f>HYPERLINK("http://www.ristorantecraterisilvestri.it/","www.ristorantecraterisilvestri.it")</f>
        <v>www.ristorantecraterisilvestri.it</v>
      </c>
    </row>
    <row r="6434" spans="1:6" ht="16.95" customHeight="1" x14ac:dyDescent="0.25">
      <c r="A6434" s="1" t="s">
        <v>27081</v>
      </c>
      <c r="B6434" s="7" t="s">
        <v>27082</v>
      </c>
      <c r="C6434" s="7" t="s">
        <v>27080</v>
      </c>
      <c r="D6434" s="7" t="s">
        <v>27078</v>
      </c>
      <c r="E6434" s="7" t="s">
        <v>27079</v>
      </c>
      <c r="F6434" s="7" t="str">
        <f>HYPERLINK("http://www.agricolaco.com/","www.agricolaco.com")</f>
        <v>www.agricolaco.com</v>
      </c>
    </row>
    <row r="6435" spans="1:6" ht="16.95" customHeight="1" x14ac:dyDescent="0.25">
      <c r="A6435" s="6" t="s">
        <v>27085</v>
      </c>
      <c r="B6435" s="5" t="s">
        <v>27086</v>
      </c>
      <c r="C6435" s="5" t="s">
        <v>27087</v>
      </c>
      <c r="D6435" s="5" t="s">
        <v>27083</v>
      </c>
      <c r="E6435" s="5" t="s">
        <v>27084</v>
      </c>
      <c r="F6435" s="5" t="str">
        <f>HYPERLINK("http://www.fordvirauto.it/","www.fordvirauto.it/")</f>
        <v>www.fordvirauto.it/</v>
      </c>
    </row>
    <row r="6436" spans="1:6" ht="29.55" customHeight="1" x14ac:dyDescent="0.25">
      <c r="A6436" s="1" t="s">
        <v>27091</v>
      </c>
      <c r="B6436" s="7" t="s">
        <v>27092</v>
      </c>
      <c r="C6436" s="7" t="s">
        <v>27090</v>
      </c>
      <c r="D6436" s="7" t="s">
        <v>27088</v>
      </c>
      <c r="E6436" s="7" t="s">
        <v>27089</v>
      </c>
      <c r="F6436" s="7" t="str">
        <f>HYPERLINK("http://www.matrangavetro.it/","www.matrangavetro.it")</f>
        <v>www.matrangavetro.it</v>
      </c>
    </row>
    <row r="6437" spans="1:6" ht="55.65" customHeight="1" x14ac:dyDescent="0.25">
      <c r="A6437" s="1" t="s">
        <v>27096</v>
      </c>
      <c r="B6437" s="7" t="s">
        <v>27097</v>
      </c>
      <c r="C6437" s="7" t="s">
        <v>27095</v>
      </c>
      <c r="D6437" s="7" t="s">
        <v>27093</v>
      </c>
      <c r="E6437" s="7" t="s">
        <v>27094</v>
      </c>
      <c r="F6437" s="7" t="str">
        <f>HYPERLINK("http://www.castrofrutta.com/store/offerte-imperdibili-c140775381","www.castrofrutta.com/store/offerte-imperdibili-c140775381")</f>
        <v>www.castrofrutta.com/store/offerte-imperdibili-c140775381</v>
      </c>
    </row>
    <row r="6438" spans="1:6" ht="29.55" customHeight="1" x14ac:dyDescent="0.25">
      <c r="A6438" s="1" t="s">
        <v>27098</v>
      </c>
      <c r="B6438" s="7" t="s">
        <v>27099</v>
      </c>
      <c r="C6438" s="7" t="s">
        <v>27100</v>
      </c>
      <c r="D6438" s="7" t="s">
        <v>27093</v>
      </c>
      <c r="E6438" s="7" t="s">
        <v>27094</v>
      </c>
      <c r="F6438" s="7" t="str">
        <f>HYPERLINK("http://www.casale700.it/","www.casale700.it")</f>
        <v>www.casale700.it</v>
      </c>
    </row>
    <row r="6439" spans="1:6" ht="29.55" customHeight="1" x14ac:dyDescent="0.25">
      <c r="A6439" s="1" t="s">
        <v>27103</v>
      </c>
      <c r="B6439" s="7" t="s">
        <v>27104</v>
      </c>
      <c r="C6439" s="7" t="s">
        <v>27105</v>
      </c>
      <c r="D6439" s="7" t="s">
        <v>27101</v>
      </c>
      <c r="E6439" s="7" t="s">
        <v>27102</v>
      </c>
      <c r="F6439" s="7" t="str">
        <f>HYPERLINK("http://www.canapaiodicalabria.it/","www.canapaiodicalabria.it")</f>
        <v>www.canapaiodicalabria.it</v>
      </c>
    </row>
    <row r="6440" spans="1:6" ht="43.05" customHeight="1" x14ac:dyDescent="0.25">
      <c r="A6440" s="6" t="s">
        <v>27107</v>
      </c>
      <c r="B6440" s="5" t="s">
        <v>27108</v>
      </c>
      <c r="C6440" s="5" t="s">
        <v>27106</v>
      </c>
      <c r="D6440" s="5" t="s">
        <v>27101</v>
      </c>
      <c r="E6440" s="5" t="s">
        <v>27102</v>
      </c>
      <c r="F6440" s="5" t="str">
        <f>HYPERLINK("http://degustinatura.it/","degustinatura.it")</f>
        <v>degustinatura.it</v>
      </c>
    </row>
    <row r="6441" spans="1:6" ht="29.55" customHeight="1" x14ac:dyDescent="0.25">
      <c r="A6441" s="6" t="s">
        <v>27112</v>
      </c>
      <c r="B6441" s="5" t="s">
        <v>27113</v>
      </c>
      <c r="C6441" s="5" t="s">
        <v>27111</v>
      </c>
      <c r="D6441" s="5" t="s">
        <v>27109</v>
      </c>
      <c r="E6441" s="5" t="s">
        <v>27110</v>
      </c>
      <c r="F6441" s="5" t="str">
        <f>HYPERLINK("http://www.olivebrandi.it/","www.olivebrandi.it")</f>
        <v>www.olivebrandi.it</v>
      </c>
    </row>
    <row r="6442" spans="1:6" ht="43.05" customHeight="1" x14ac:dyDescent="0.25">
      <c r="A6442" s="1" t="s">
        <v>27117</v>
      </c>
      <c r="B6442" s="7" t="s">
        <v>27118</v>
      </c>
      <c r="C6442" s="7" t="s">
        <v>27114</v>
      </c>
      <c r="D6442" s="7" t="s">
        <v>27115</v>
      </c>
      <c r="E6442" s="7" t="s">
        <v>27116</v>
      </c>
      <c r="F6442" s="7" t="str">
        <f>HYPERLINK("http://www.newstarinternational.eu/","www.newstarinternational.eu")</f>
        <v>www.newstarinternational.eu</v>
      </c>
    </row>
    <row r="6443" spans="1:6" ht="29.55" customHeight="1" x14ac:dyDescent="0.25">
      <c r="A6443" s="6" t="s">
        <v>27119</v>
      </c>
      <c r="B6443" s="5" t="s">
        <v>27120</v>
      </c>
      <c r="C6443" s="5" t="s">
        <v>27121</v>
      </c>
      <c r="D6443" s="5" t="s">
        <v>27115</v>
      </c>
      <c r="E6443" s="5" t="s">
        <v>27116</v>
      </c>
      <c r="F6443" s="5" t="str">
        <f>HYPERLINK("http://www.realarico.com/","www.realarico.com")</f>
        <v>www.realarico.com</v>
      </c>
    </row>
    <row r="6444" spans="1:6" ht="29.55" customHeight="1" x14ac:dyDescent="0.25">
      <c r="A6444" s="1" t="s">
        <v>27122</v>
      </c>
      <c r="B6444" s="7" t="s">
        <v>27123</v>
      </c>
      <c r="C6444" s="7" t="s">
        <v>27124</v>
      </c>
      <c r="D6444" s="7" t="s">
        <v>27115</v>
      </c>
      <c r="E6444" s="7" t="s">
        <v>27116</v>
      </c>
      <c r="F6444" s="7" t="str">
        <f>HYPERLINK("http://www.frescodisila.it/","www.frescodisila.it")</f>
        <v>www.frescodisila.it</v>
      </c>
    </row>
    <row r="6445" spans="1:6" ht="29.55" customHeight="1" x14ac:dyDescent="0.25">
      <c r="A6445" s="6" t="s">
        <v>27128</v>
      </c>
      <c r="B6445" s="5" t="s">
        <v>27129</v>
      </c>
      <c r="C6445" s="5" t="s">
        <v>27127</v>
      </c>
      <c r="D6445" s="5" t="s">
        <v>27125</v>
      </c>
      <c r="E6445" s="5" t="s">
        <v>27126</v>
      </c>
      <c r="F6445" s="5" t="str">
        <f>HYPERLINK("http://www.oleificiotorredellasignora.it/","www.oleificiotorredellasignora.it")</f>
        <v>www.oleificiotorredellasignora.it</v>
      </c>
    </row>
    <row r="6446" spans="1:6" ht="29.55" customHeight="1" x14ac:dyDescent="0.25">
      <c r="A6446" s="1" t="s">
        <v>27132</v>
      </c>
      <c r="B6446" s="7" t="s">
        <v>27133</v>
      </c>
      <c r="C6446" s="7" t="s">
        <v>27134</v>
      </c>
      <c r="D6446" s="7" t="s">
        <v>27130</v>
      </c>
      <c r="E6446" s="7" t="s">
        <v>27131</v>
      </c>
      <c r="F6446" s="7" t="str">
        <f>HYPERLINK("http://www.avantea.it/","www.avantea.it")</f>
        <v>www.avantea.it</v>
      </c>
    </row>
    <row r="6447" spans="1:6" ht="29.55" customHeight="1" x14ac:dyDescent="0.25">
      <c r="A6447" s="1" t="s">
        <v>27138</v>
      </c>
      <c r="B6447" s="7" t="s">
        <v>27139</v>
      </c>
      <c r="C6447" s="7" t="s">
        <v>27140</v>
      </c>
      <c r="D6447" s="7" t="s">
        <v>27137</v>
      </c>
      <c r="E6447" s="7" t="s">
        <v>27135</v>
      </c>
      <c r="F6447" s="7" t="str">
        <f>HYPERLINK("http://emanueleradice.com/","emanueleradice.com")</f>
        <v>emanueleradice.com</v>
      </c>
    </row>
    <row r="6448" spans="1:6" ht="43.05" customHeight="1" x14ac:dyDescent="0.25">
      <c r="A6448" s="1" t="s">
        <v>27141</v>
      </c>
      <c r="B6448" s="7" t="s">
        <v>27142</v>
      </c>
      <c r="C6448" s="7" t="s">
        <v>27143</v>
      </c>
      <c r="D6448" s="7" t="s">
        <v>27137</v>
      </c>
      <c r="E6448" s="7" t="s">
        <v>27135</v>
      </c>
      <c r="F6448" s="7" t="str">
        <f>HYPERLINK("http://www.ets-elettronica.com/","www.ets-elettronica.com")</f>
        <v>www.ets-elettronica.com</v>
      </c>
    </row>
    <row r="6449" spans="1:6" ht="29.55" customHeight="1" x14ac:dyDescent="0.25">
      <c r="A6449" s="6" t="s">
        <v>27144</v>
      </c>
      <c r="B6449" s="5" t="s">
        <v>27145</v>
      </c>
      <c r="C6449" s="5" t="s">
        <v>27136</v>
      </c>
      <c r="D6449" s="5" t="s">
        <v>27137</v>
      </c>
      <c r="E6449" s="5" t="s">
        <v>27135</v>
      </c>
      <c r="F6449" s="5" t="str">
        <f>HYPERLINK("http://www.intesasanpaolo.com/it/common/footer","www.intesasanpaolo.com/it/common/footer")</f>
        <v>www.intesasanpaolo.com/it/common/footer</v>
      </c>
    </row>
    <row r="6450" spans="1:6" ht="55.65" customHeight="1" x14ac:dyDescent="0.25">
      <c r="A6450" s="6" t="s">
        <v>27146</v>
      </c>
      <c r="B6450" s="5" t="s">
        <v>27147</v>
      </c>
      <c r="C6450" s="5" t="s">
        <v>27148</v>
      </c>
      <c r="D6450" s="5" t="s">
        <v>27137</v>
      </c>
      <c r="E6450" s="5" t="s">
        <v>27135</v>
      </c>
      <c r="F6450" s="5" t="str">
        <f>HYPERLINK("http://www.joeint.it/","www.joeint.it")</f>
        <v>www.joeint.it</v>
      </c>
    </row>
    <row r="6451" spans="1:6" ht="43.05" customHeight="1" x14ac:dyDescent="0.25">
      <c r="A6451" s="6" t="s">
        <v>27149</v>
      </c>
      <c r="B6451" s="5" t="s">
        <v>27150</v>
      </c>
      <c r="C6451" s="5" t="s">
        <v>27148</v>
      </c>
      <c r="D6451" s="5" t="s">
        <v>27137</v>
      </c>
      <c r="E6451" s="5" t="s">
        <v>27135</v>
      </c>
      <c r="F6451" s="5" t="str">
        <f>HYPERLINK("http://principedifino.it/","principedifino.it")</f>
        <v>principedifino.it</v>
      </c>
    </row>
    <row r="6452" spans="1:6" ht="29.55" customHeight="1" x14ac:dyDescent="0.25">
      <c r="A6452" s="1" t="s">
        <v>27151</v>
      </c>
      <c r="B6452" s="7" t="s">
        <v>27152</v>
      </c>
      <c r="C6452" s="7" t="s">
        <v>27140</v>
      </c>
      <c r="D6452" s="7" t="s">
        <v>27137</v>
      </c>
      <c r="E6452" s="7" t="s">
        <v>27135</v>
      </c>
      <c r="F6452" s="7" t="str">
        <f>HYPERLINK("http://www.alpedellupo.it/","www.alpedellupo.it")</f>
        <v>www.alpedellupo.it</v>
      </c>
    </row>
    <row r="6453" spans="1:6" ht="29.55" customHeight="1" x14ac:dyDescent="0.25">
      <c r="A6453" s="6" t="s">
        <v>27155</v>
      </c>
      <c r="B6453" s="5" t="s">
        <v>27156</v>
      </c>
      <c r="C6453" s="5" t="s">
        <v>27157</v>
      </c>
      <c r="D6453" s="5" t="s">
        <v>27153</v>
      </c>
      <c r="E6453" s="5" t="s">
        <v>27154</v>
      </c>
      <c r="F6453" s="5" t="str">
        <f>HYPERLINK("http://ghigo-allevamento-bovini-di-ghigo-antonio-c.business.site/","ghigo-allevamento-bovini-di-ghigo-antonio-c.business.site")</f>
        <v>ghigo-allevamento-bovini-di-ghigo-antonio-c.business.site</v>
      </c>
    </row>
    <row r="6454" spans="1:6" ht="29.55" customHeight="1" x14ac:dyDescent="0.25">
      <c r="A6454" s="6" t="s">
        <v>27161</v>
      </c>
      <c r="B6454" s="5" t="s">
        <v>27162</v>
      </c>
      <c r="C6454" s="5" t="s">
        <v>27163</v>
      </c>
      <c r="D6454" s="5" t="s">
        <v>27158</v>
      </c>
      <c r="E6454" s="5" t="s">
        <v>27159</v>
      </c>
      <c r="F6454" s="5" t="str">
        <f>HYPERLINK("http://www.ghigorotto.com/","www.ghigorotto.com")</f>
        <v>www.ghigorotto.com</v>
      </c>
    </row>
    <row r="6455" spans="1:6" ht="120.3" customHeight="1" x14ac:dyDescent="0.25">
      <c r="A6455" s="6" t="s">
        <v>27164</v>
      </c>
      <c r="B6455" s="5" t="s">
        <v>27165</v>
      </c>
      <c r="C6455" s="5" t="s">
        <v>27166</v>
      </c>
      <c r="D6455" s="5" t="s">
        <v>27158</v>
      </c>
      <c r="E6455" s="5" t="s">
        <v>27159</v>
      </c>
      <c r="F6455" s="5" t="str">
        <f>HYPERLINK("http://www.castellodineive.it/","www.castellodineive.it")</f>
        <v>www.castellodineive.it</v>
      </c>
    </row>
    <row r="6456" spans="1:6" ht="29.55" customHeight="1" x14ac:dyDescent="0.25">
      <c r="A6456" s="1" t="s">
        <v>27167</v>
      </c>
      <c r="B6456" s="7" t="s">
        <v>27168</v>
      </c>
      <c r="C6456" s="7" t="s">
        <v>27160</v>
      </c>
      <c r="D6456" s="7" t="s">
        <v>27158</v>
      </c>
      <c r="E6456" s="7" t="s">
        <v>27159</v>
      </c>
      <c r="F6456" s="7" t="str">
        <f>HYPERLINK("http://www.birrificiodellagranda.it/","www.birrificiodellagranda.it")</f>
        <v>www.birrificiodellagranda.it</v>
      </c>
    </row>
    <row r="6457" spans="1:6" ht="29.55" customHeight="1" x14ac:dyDescent="0.25">
      <c r="A6457" s="6" t="s">
        <v>27172</v>
      </c>
      <c r="B6457" s="5" t="s">
        <v>27173</v>
      </c>
      <c r="C6457" s="5" t="s">
        <v>27171</v>
      </c>
      <c r="D6457" s="5" t="s">
        <v>27169</v>
      </c>
      <c r="E6457" s="5" t="s">
        <v>27170</v>
      </c>
      <c r="F6457" s="5" t="str">
        <f>HYPERLINK("http://www.ambienteeterritorio.com/","www.ambienteeterritorio.com")</f>
        <v>www.ambienteeterritorio.com</v>
      </c>
    </row>
    <row r="6458" spans="1:6" ht="29.55" customHeight="1" x14ac:dyDescent="0.25">
      <c r="A6458" s="1" t="s">
        <v>27176</v>
      </c>
      <c r="B6458" s="7" t="s">
        <v>27177</v>
      </c>
      <c r="C6458" s="7" t="s">
        <v>27178</v>
      </c>
      <c r="D6458" s="7" t="s">
        <v>27174</v>
      </c>
      <c r="E6458" s="7" t="s">
        <v>27175</v>
      </c>
      <c r="F6458" s="7" t="str">
        <f>HYPERLINK("http://alconsorziodarizzo.business.site/","alconsorziodarizzo.business.site/")</f>
        <v>alconsorziodarizzo.business.site/</v>
      </c>
    </row>
    <row r="6459" spans="1:6" ht="43.05" customHeight="1" x14ac:dyDescent="0.25">
      <c r="A6459" s="1" t="s">
        <v>27183</v>
      </c>
      <c r="B6459" s="7" t="s">
        <v>27184</v>
      </c>
      <c r="C6459" s="7" t="s">
        <v>27179</v>
      </c>
      <c r="D6459" s="7" t="s">
        <v>27180</v>
      </c>
      <c r="E6459" s="7" t="s">
        <v>27181</v>
      </c>
      <c r="F6459" s="7" t="str">
        <f>HYPERLINK("http://www.centropantarei.com/","www.centropantarei.com")</f>
        <v>www.centropantarei.com</v>
      </c>
    </row>
    <row r="6460" spans="1:6" ht="29.55" customHeight="1" x14ac:dyDescent="0.25">
      <c r="A6460" s="6" t="s">
        <v>27185</v>
      </c>
      <c r="B6460" s="5" t="s">
        <v>27186</v>
      </c>
      <c r="C6460" s="5" t="s">
        <v>27182</v>
      </c>
      <c r="D6460" s="5" t="s">
        <v>27180</v>
      </c>
      <c r="E6460" s="5" t="s">
        <v>27181</v>
      </c>
      <c r="F6460" s="5" t="str">
        <f>HYPERLINK("http://www.tenutaaschari.it/","www.tenutaaschari.it")</f>
        <v>www.tenutaaschari.it</v>
      </c>
    </row>
    <row r="6461" spans="1:6" ht="43.05" customHeight="1" x14ac:dyDescent="0.25">
      <c r="A6461" s="6" t="s">
        <v>27190</v>
      </c>
      <c r="B6461" s="5" t="s">
        <v>27191</v>
      </c>
      <c r="C6461" s="5" t="s">
        <v>27189</v>
      </c>
      <c r="D6461" s="5" t="s">
        <v>27187</v>
      </c>
      <c r="E6461" s="5" t="s">
        <v>27188</v>
      </c>
      <c r="F6461" s="5" t="str">
        <f>HYPERLINK("http://www.lupadama.com/","www.lupadama.com")</f>
        <v>www.lupadama.com</v>
      </c>
    </row>
    <row r="6462" spans="1:6" ht="29.55" customHeight="1" x14ac:dyDescent="0.25">
      <c r="A6462" s="1" t="s">
        <v>27194</v>
      </c>
      <c r="B6462" s="7" t="s">
        <v>27195</v>
      </c>
      <c r="C6462" s="7" t="s">
        <v>27196</v>
      </c>
      <c r="D6462" s="7" t="s">
        <v>27192</v>
      </c>
      <c r="E6462" s="7" t="s">
        <v>27193</v>
      </c>
      <c r="F6462" s="7" t="str">
        <f>HYPERLINK("http://blog.falode.it/","blog.falode.it")</f>
        <v>blog.falode.it</v>
      </c>
    </row>
    <row r="6463" spans="1:6" ht="29.55" customHeight="1" x14ac:dyDescent="0.25">
      <c r="A6463" s="6" t="s">
        <v>27198</v>
      </c>
      <c r="B6463" s="5" t="s">
        <v>27199</v>
      </c>
      <c r="C6463" s="5" t="s">
        <v>27197</v>
      </c>
      <c r="D6463" s="5" t="s">
        <v>27192</v>
      </c>
      <c r="E6463" s="5" t="s">
        <v>27193</v>
      </c>
      <c r="F6463" s="5" t="str">
        <f>HYPERLINK("http://www.gesan.it/","www.gesan.it")</f>
        <v>www.gesan.it</v>
      </c>
    </row>
    <row r="6464" spans="1:6" ht="43.05" customHeight="1" x14ac:dyDescent="0.25">
      <c r="A6464" s="1" t="s">
        <v>27203</v>
      </c>
      <c r="B6464" s="7" t="s">
        <v>27204</v>
      </c>
      <c r="C6464" s="7" t="s">
        <v>27202</v>
      </c>
      <c r="D6464" s="7" t="s">
        <v>27200</v>
      </c>
      <c r="E6464" s="7" t="s">
        <v>27201</v>
      </c>
      <c r="F6464" s="7" t="str">
        <f>HYPERLINK("http://www.selvanova.com/","www.selvanova.com")</f>
        <v>www.selvanova.com</v>
      </c>
    </row>
    <row r="6465" spans="1:6" ht="29.55" customHeight="1" x14ac:dyDescent="0.25">
      <c r="A6465" s="6" t="s">
        <v>27207</v>
      </c>
      <c r="B6465" s="5" t="s">
        <v>27208</v>
      </c>
      <c r="C6465" s="5" t="s">
        <v>27209</v>
      </c>
      <c r="D6465" s="5" t="s">
        <v>27205</v>
      </c>
      <c r="E6465" s="5" t="s">
        <v>27206</v>
      </c>
      <c r="F6465" s="5" t="str">
        <f>HYPERLINK("http://www.caseificiogreco.it/","www.caseificiogreco.it")</f>
        <v>www.caseificiogreco.it</v>
      </c>
    </row>
    <row r="6466" spans="1:6" ht="68.099999999999994" customHeight="1" x14ac:dyDescent="0.25">
      <c r="A6466" s="6" t="s">
        <v>27210</v>
      </c>
      <c r="B6466" s="5" t="s">
        <v>27211</v>
      </c>
      <c r="C6466" s="5" t="s">
        <v>27212</v>
      </c>
      <c r="D6466" s="5" t="s">
        <v>27205</v>
      </c>
      <c r="E6466" s="5" t="s">
        <v>27206</v>
      </c>
      <c r="F6466" s="5" t="str">
        <f>HYPERLINK("http://www.vinidicostanzo.it/","www.vinidicostanzo.it")</f>
        <v>www.vinidicostanzo.it</v>
      </c>
    </row>
    <row r="6467" spans="1:6" ht="29.55" customHeight="1" x14ac:dyDescent="0.25">
      <c r="A6467" s="6" t="s">
        <v>27216</v>
      </c>
      <c r="B6467" s="5" t="s">
        <v>27217</v>
      </c>
      <c r="C6467" s="5" t="s">
        <v>27218</v>
      </c>
      <c r="D6467" s="5" t="s">
        <v>27214</v>
      </c>
      <c r="E6467" s="5" t="s">
        <v>27215</v>
      </c>
      <c r="F6467" s="5" t="str">
        <f>HYPERLINK("http://lantica-petra.bellaitaliatrips.top/","lantica-petra.bellaitaliatrips.top")</f>
        <v>lantica-petra.bellaitaliatrips.top</v>
      </c>
    </row>
    <row r="6468" spans="1:6" ht="29.55" customHeight="1" x14ac:dyDescent="0.25">
      <c r="A6468" s="1" t="s">
        <v>27219</v>
      </c>
      <c r="B6468" s="7" t="s">
        <v>27220</v>
      </c>
      <c r="C6468" s="7" t="s">
        <v>27213</v>
      </c>
      <c r="D6468" s="7" t="s">
        <v>27214</v>
      </c>
      <c r="E6468" s="7" t="s">
        <v>27215</v>
      </c>
      <c r="F6468" s="7" t="str">
        <f>HYPERLINK("http://www.terrafelix.it/","www.terrafelix.it")</f>
        <v>www.terrafelix.it</v>
      </c>
    </row>
    <row r="6469" spans="1:6" ht="29.55" customHeight="1" x14ac:dyDescent="0.25">
      <c r="A6469" s="6" t="s">
        <v>27221</v>
      </c>
      <c r="B6469" s="5" t="s">
        <v>27222</v>
      </c>
      <c r="C6469" s="5" t="s">
        <v>27213</v>
      </c>
      <c r="D6469" s="5" t="s">
        <v>27214</v>
      </c>
      <c r="E6469" s="5" t="s">
        <v>27215</v>
      </c>
      <c r="F6469" s="5" t="str">
        <f>HYPERLINK("http://www.montellabio.com/","www.montellabio.com")</f>
        <v>www.montellabio.com</v>
      </c>
    </row>
    <row r="6470" spans="1:6" ht="29.55" customHeight="1" x14ac:dyDescent="0.25">
      <c r="A6470" s="1" t="s">
        <v>27225</v>
      </c>
      <c r="B6470" s="7" t="s">
        <v>27226</v>
      </c>
      <c r="C6470" s="7" t="s">
        <v>27227</v>
      </c>
      <c r="D6470" s="7" t="s">
        <v>27223</v>
      </c>
      <c r="E6470" s="7" t="s">
        <v>27224</v>
      </c>
      <c r="F6470" s="7" t="str">
        <f>HYPERLINK("http://www.aureagri.it/","www.aureagri.it")</f>
        <v>www.aureagri.it</v>
      </c>
    </row>
    <row r="6471" spans="1:6" ht="43.05" customHeight="1" x14ac:dyDescent="0.25">
      <c r="A6471" s="6" t="s">
        <v>27230</v>
      </c>
      <c r="B6471" s="5" t="s">
        <v>27231</v>
      </c>
      <c r="C6471" s="5" t="s">
        <v>27232</v>
      </c>
      <c r="D6471" s="5" t="s">
        <v>27228</v>
      </c>
      <c r="E6471" s="5" t="s">
        <v>27229</v>
      </c>
      <c r="F6471" s="5" t="str">
        <f>HYPERLINK("http://www.vinives-gualterra.it/","www.vinives-gualterra.it")</f>
        <v>www.vinives-gualterra.it</v>
      </c>
    </row>
    <row r="6472" spans="1:6" ht="29.55" customHeight="1" x14ac:dyDescent="0.25">
      <c r="A6472" s="1" t="s">
        <v>27233</v>
      </c>
      <c r="B6472" s="7" t="s">
        <v>27234</v>
      </c>
      <c r="C6472" s="7" t="s">
        <v>27235</v>
      </c>
      <c r="D6472" s="7" t="s">
        <v>27228</v>
      </c>
      <c r="E6472" s="7" t="s">
        <v>27229</v>
      </c>
      <c r="F6472" s="7" t="str">
        <f>HYPERLINK("http://www.azlacollina.it/","www.azlacollina.it")</f>
        <v>www.azlacollina.it</v>
      </c>
    </row>
    <row r="6473" spans="1:6" ht="43.05" customHeight="1" x14ac:dyDescent="0.25">
      <c r="A6473" s="1" t="s">
        <v>27238</v>
      </c>
      <c r="B6473" s="7" t="s">
        <v>27239</v>
      </c>
      <c r="C6473" s="7" t="s">
        <v>27240</v>
      </c>
      <c r="D6473" s="7" t="s">
        <v>27236</v>
      </c>
      <c r="E6473" s="7" t="s">
        <v>27237</v>
      </c>
      <c r="F6473" s="7" t="str">
        <f>HYPERLINK("http://www.anchise.it/","www.anchise.it")</f>
        <v>www.anchise.it</v>
      </c>
    </row>
    <row r="6474" spans="1:6" ht="68.099999999999994" customHeight="1" x14ac:dyDescent="0.25">
      <c r="A6474" s="1" t="s">
        <v>27244</v>
      </c>
      <c r="B6474" s="7" t="s">
        <v>27245</v>
      </c>
      <c r="C6474" s="7" t="s">
        <v>27246</v>
      </c>
      <c r="D6474" s="7" t="s">
        <v>27243</v>
      </c>
      <c r="E6474" s="7" t="s">
        <v>27241</v>
      </c>
      <c r="F6474" s="7" t="str">
        <f>HYPERLINK("http://www.nurares.net/","www.nurares.net")</f>
        <v>www.nurares.net</v>
      </c>
    </row>
    <row r="6475" spans="1:6" ht="16.95" customHeight="1" x14ac:dyDescent="0.25">
      <c r="A6475" s="6" t="s">
        <v>27247</v>
      </c>
      <c r="B6475" s="5" t="s">
        <v>27248</v>
      </c>
      <c r="C6475" s="5" t="s">
        <v>27242</v>
      </c>
      <c r="D6475" s="5" t="s">
        <v>27241</v>
      </c>
      <c r="E6475" s="5" t="s">
        <v>27241</v>
      </c>
      <c r="F6475" s="5" t="str">
        <f>HYPERLINK("http://www.sardissimo.it/","www.sardissimo.it")</f>
        <v>www.sardissimo.it</v>
      </c>
    </row>
    <row r="6476" spans="1:6" ht="55.65" customHeight="1" x14ac:dyDescent="0.25">
      <c r="A6476" s="6" t="s">
        <v>27251</v>
      </c>
      <c r="B6476" s="5" t="s">
        <v>27252</v>
      </c>
      <c r="C6476" s="5" t="s">
        <v>27253</v>
      </c>
      <c r="D6476" s="5" t="s">
        <v>27250</v>
      </c>
      <c r="E6476" s="5" t="s">
        <v>27250</v>
      </c>
      <c r="F6476" s="5" t="str">
        <f>HYPERLINK("http://centrodascolto.it/wp/contatti/","centrodascolto.it/wp/contatti/")</f>
        <v>centrodascolto.it/wp/contatti/</v>
      </c>
    </row>
    <row r="6477" spans="1:6" ht="29.55" customHeight="1" x14ac:dyDescent="0.25">
      <c r="A6477" s="6" t="s">
        <v>27255</v>
      </c>
      <c r="B6477" s="5" t="s">
        <v>27256</v>
      </c>
      <c r="C6477" s="5" t="s">
        <v>27254</v>
      </c>
      <c r="D6477" s="5" t="s">
        <v>27249</v>
      </c>
      <c r="E6477" s="5" t="s">
        <v>27250</v>
      </c>
      <c r="F6477" s="5" t="str">
        <f>HYPERLINK("http://www.cantinepaulis.it/","www.cantinepaulis.it")</f>
        <v>www.cantinepaulis.it</v>
      </c>
    </row>
    <row r="6478" spans="1:6" ht="29.55" customHeight="1" x14ac:dyDescent="0.25">
      <c r="A6478" s="6" t="s">
        <v>27258</v>
      </c>
      <c r="B6478" s="5" t="s">
        <v>27259</v>
      </c>
      <c r="C6478" s="5" t="s">
        <v>27260</v>
      </c>
      <c r="D6478" s="5" t="s">
        <v>27261</v>
      </c>
      <c r="E6478" s="5" t="s">
        <v>27257</v>
      </c>
      <c r="F6478" s="5" t="str">
        <f>HYPERLINK("http://www.isprendas.com/","www.isprendas.com")</f>
        <v>www.isprendas.com</v>
      </c>
    </row>
    <row r="6479" spans="1:6" ht="16.95" customHeight="1" x14ac:dyDescent="0.25">
      <c r="A6479" s="1" t="s">
        <v>27263</v>
      </c>
      <c r="B6479" s="7" t="s">
        <v>27264</v>
      </c>
      <c r="C6479" s="7" t="s">
        <v>27262</v>
      </c>
      <c r="D6479" s="7" t="s">
        <v>27261</v>
      </c>
      <c r="E6479" s="7" t="s">
        <v>27257</v>
      </c>
      <c r="F6479" s="7" t="str">
        <f>HYPERLINK("http://spacecagliari.it/space-apartments/","spacecagliari.it/space-apartments/")</f>
        <v>spacecagliari.it/space-apartments/</v>
      </c>
    </row>
    <row r="6480" spans="1:6" ht="43.05" customHeight="1" x14ac:dyDescent="0.25">
      <c r="A6480" s="1" t="s">
        <v>27265</v>
      </c>
      <c r="B6480" s="7" t="s">
        <v>27266</v>
      </c>
      <c r="C6480" s="7" t="s">
        <v>27267</v>
      </c>
      <c r="D6480" s="7" t="s">
        <v>27257</v>
      </c>
      <c r="E6480" s="7" t="s">
        <v>27257</v>
      </c>
      <c r="F6480" s="7" t="str">
        <f>HYPERLINK("http://www.consorzioagrariodisardegna.it/","www.consorzioagrariodisardegna.it")</f>
        <v>www.consorzioagrariodisardegna.it</v>
      </c>
    </row>
    <row r="6481" spans="1:6" ht="29.55" customHeight="1" x14ac:dyDescent="0.25">
      <c r="A6481" s="1" t="s">
        <v>27271</v>
      </c>
      <c r="B6481" s="7" t="s">
        <v>27272</v>
      </c>
      <c r="C6481" s="7" t="s">
        <v>27270</v>
      </c>
      <c r="D6481" s="7" t="s">
        <v>27268</v>
      </c>
      <c r="E6481" s="7" t="s">
        <v>27269</v>
      </c>
      <c r="F6481" s="7" t="str">
        <f>HYPERLINK("http://www.cyprianerhof.com/","www.cyprianerhof.com/")</f>
        <v>www.cyprianerhof.com/</v>
      </c>
    </row>
    <row r="6482" spans="1:6" ht="29.55" customHeight="1" x14ac:dyDescent="0.25">
      <c r="A6482" s="6" t="s">
        <v>27277</v>
      </c>
      <c r="B6482" s="5" t="s">
        <v>27278</v>
      </c>
      <c r="C6482" s="5" t="s">
        <v>27275</v>
      </c>
      <c r="D6482" s="5" t="s">
        <v>27273</v>
      </c>
      <c r="E6482" s="5" t="s">
        <v>27274</v>
      </c>
      <c r="F6482" s="5" t="str">
        <f>HYPERLINK("http://tenutecosta.it/","tenutecosta.it")</f>
        <v>tenutecosta.it</v>
      </c>
    </row>
    <row r="6483" spans="1:6" ht="29.55" customHeight="1" x14ac:dyDescent="0.25">
      <c r="A6483" s="1" t="s">
        <v>27281</v>
      </c>
      <c r="B6483" s="7" t="s">
        <v>27282</v>
      </c>
      <c r="C6483" s="7" t="s">
        <v>27276</v>
      </c>
      <c r="D6483" s="7" t="s">
        <v>27279</v>
      </c>
      <c r="E6483" s="7" t="s">
        <v>27280</v>
      </c>
      <c r="F6483" s="7" t="str">
        <f>HYPERLINK("http://www.zoogamma.it/","www.zoogamma.it")</f>
        <v>www.zoogamma.it</v>
      </c>
    </row>
    <row r="6484" spans="1:6" ht="29.55" customHeight="1" x14ac:dyDescent="0.25">
      <c r="A6484" s="1" t="s">
        <v>27283</v>
      </c>
      <c r="B6484" s="7" t="s">
        <v>27284</v>
      </c>
      <c r="C6484" s="7" t="s">
        <v>27275</v>
      </c>
      <c r="D6484" s="7" t="s">
        <v>27279</v>
      </c>
      <c r="E6484" s="7" t="s">
        <v>27280</v>
      </c>
      <c r="F6484" s="7" t="str">
        <f>HYPERLINK("http://www.lantierideparatico.it/","www.lantierideparatico.it")</f>
        <v>www.lantierideparatico.it</v>
      </c>
    </row>
    <row r="6485" spans="1:6" ht="55.65" customHeight="1" x14ac:dyDescent="0.25">
      <c r="A6485" s="1" t="s">
        <v>27285</v>
      </c>
      <c r="B6485" s="7" t="s">
        <v>27286</v>
      </c>
      <c r="C6485" s="7" t="s">
        <v>27287</v>
      </c>
      <c r="D6485" s="7" t="s">
        <v>27279</v>
      </c>
      <c r="E6485" s="7" t="s">
        <v>27280</v>
      </c>
      <c r="F6485" s="7" t="str">
        <f>HYPERLINK("http://www.aziendadelpellegrino.com/","www.aziendadelpellegrino.com")</f>
        <v>www.aziendadelpellegrino.com</v>
      </c>
    </row>
    <row r="6486" spans="1:6" ht="29.55" customHeight="1" x14ac:dyDescent="0.25">
      <c r="A6486" s="6" t="s">
        <v>27288</v>
      </c>
      <c r="B6486" s="5" t="s">
        <v>27289</v>
      </c>
      <c r="C6486" s="5" t="s">
        <v>27275</v>
      </c>
      <c r="D6486" s="5" t="s">
        <v>27279</v>
      </c>
      <c r="E6486" s="5" t="s">
        <v>27280</v>
      </c>
      <c r="F6486" s="5" t="str">
        <f>HYPERLINK("http://www.malavasivini.com/","www.malavasivini.com")</f>
        <v>www.malavasivini.com</v>
      </c>
    </row>
    <row r="6487" spans="1:6" ht="29.55" customHeight="1" x14ac:dyDescent="0.25">
      <c r="A6487" s="6" t="s">
        <v>27293</v>
      </c>
      <c r="B6487" s="5" t="s">
        <v>27294</v>
      </c>
      <c r="C6487" s="5" t="s">
        <v>27295</v>
      </c>
      <c r="D6487" s="5" t="s">
        <v>27291</v>
      </c>
      <c r="E6487" s="5" t="s">
        <v>27292</v>
      </c>
      <c r="F6487" s="5" t="str">
        <f>HYPERLINK("http://www.cisintercoop.eu/","www.cisintercoop.eu")</f>
        <v>www.cisintercoop.eu</v>
      </c>
    </row>
    <row r="6488" spans="1:6" ht="29.55" customHeight="1" x14ac:dyDescent="0.25">
      <c r="A6488" s="1" t="s">
        <v>27296</v>
      </c>
      <c r="B6488" s="7" t="s">
        <v>27297</v>
      </c>
      <c r="C6488" s="7" t="s">
        <v>27290</v>
      </c>
      <c r="D6488" s="7" t="s">
        <v>27291</v>
      </c>
      <c r="E6488" s="7" t="s">
        <v>27292</v>
      </c>
      <c r="F6488" s="7" t="str">
        <f>HYPERLINK("http://www.vinizuliani.it/","www.vinizuliani.it")</f>
        <v>www.vinizuliani.it</v>
      </c>
    </row>
    <row r="6489" spans="1:6" ht="29.55" customHeight="1" x14ac:dyDescent="0.25">
      <c r="A6489" s="6" t="s">
        <v>27298</v>
      </c>
      <c r="B6489" s="5" t="s">
        <v>27299</v>
      </c>
      <c r="C6489" s="5" t="s">
        <v>27300</v>
      </c>
      <c r="D6489" s="5" t="s">
        <v>27291</v>
      </c>
      <c r="E6489" s="5" t="s">
        <v>27292</v>
      </c>
      <c r="F6489" s="5" t="str">
        <f>HYPERLINK("http://www.vivaisannicola.it/","www.vivaisannicola.it")</f>
        <v>www.vivaisannicola.it</v>
      </c>
    </row>
    <row r="6490" spans="1:6" ht="29.55" customHeight="1" x14ac:dyDescent="0.25">
      <c r="A6490" s="1" t="s">
        <v>27302</v>
      </c>
      <c r="B6490" s="7" t="s">
        <v>27303</v>
      </c>
      <c r="C6490" s="7" t="s">
        <v>27301</v>
      </c>
      <c r="D6490" s="7" t="s">
        <v>27291</v>
      </c>
      <c r="E6490" s="7" t="s">
        <v>27292</v>
      </c>
      <c r="F6490" s="7" t="str">
        <f>HYPERLINK("http://www.agrireghenzi.it/","www.agrireghenzi.it")</f>
        <v>www.agrireghenzi.it</v>
      </c>
    </row>
    <row r="6491" spans="1:6" ht="29.55" customHeight="1" x14ac:dyDescent="0.25">
      <c r="A6491" s="6" t="s">
        <v>27304</v>
      </c>
      <c r="B6491" s="5" t="s">
        <v>27305</v>
      </c>
      <c r="C6491" s="5" t="s">
        <v>27301</v>
      </c>
      <c r="D6491" s="5" t="s">
        <v>27291</v>
      </c>
      <c r="E6491" s="5" t="s">
        <v>27292</v>
      </c>
      <c r="F6491" s="5" t="str">
        <f>HYPERLINK("http://www.toninellifarm.it/","www.toninellifarm.it")</f>
        <v>www.toninellifarm.it</v>
      </c>
    </row>
    <row r="6492" spans="1:6" ht="29.55" customHeight="1" x14ac:dyDescent="0.25">
      <c r="A6492" s="6" t="s">
        <v>27306</v>
      </c>
      <c r="B6492" s="5" t="s">
        <v>27307</v>
      </c>
      <c r="C6492" s="5" t="s">
        <v>27301</v>
      </c>
      <c r="D6492" s="5" t="s">
        <v>27291</v>
      </c>
      <c r="E6492" s="5" t="s">
        <v>27292</v>
      </c>
      <c r="F6492" s="5" t="str">
        <f>HYPERLINK("http://www.ecowood3.it/","www.ecowood3.it")</f>
        <v>www.ecowood3.it</v>
      </c>
    </row>
    <row r="6493" spans="1:6" ht="29.55" customHeight="1" x14ac:dyDescent="0.25">
      <c r="A6493" s="6" t="s">
        <v>27310</v>
      </c>
      <c r="B6493" s="5" t="s">
        <v>27311</v>
      </c>
      <c r="C6493" s="5" t="s">
        <v>27312</v>
      </c>
      <c r="D6493" s="5" t="s">
        <v>27308</v>
      </c>
      <c r="E6493" s="5" t="s">
        <v>27309</v>
      </c>
      <c r="F6493" s="5" t="str">
        <f>HYPERLINK("http://www.ilcolmetto.it/","www.ilcolmetto.it")</f>
        <v>www.ilcolmetto.it</v>
      </c>
    </row>
    <row r="6494" spans="1:6" ht="16.95" customHeight="1" x14ac:dyDescent="0.25">
      <c r="A6494" s="6" t="s">
        <v>27313</v>
      </c>
      <c r="B6494" s="5" t="s">
        <v>27314</v>
      </c>
      <c r="C6494" s="5" t="s">
        <v>27315</v>
      </c>
      <c r="D6494" s="5" t="s">
        <v>27308</v>
      </c>
      <c r="E6494" s="5" t="s">
        <v>27309</v>
      </c>
      <c r="F6494" s="5" t="str">
        <f>HYPERLINK("http://www.imag-srl.it/","www.imag-srl.it")</f>
        <v>www.imag-srl.it</v>
      </c>
    </row>
    <row r="6495" spans="1:6" ht="29.55" customHeight="1" x14ac:dyDescent="0.25">
      <c r="A6495" s="6" t="s">
        <v>27319</v>
      </c>
      <c r="B6495" s="5" t="s">
        <v>27320</v>
      </c>
      <c r="C6495" s="5" t="s">
        <v>27318</v>
      </c>
      <c r="D6495" s="5" t="s">
        <v>27316</v>
      </c>
      <c r="E6495" s="5" t="s">
        <v>27317</v>
      </c>
      <c r="F6495" s="5" t="str">
        <f>HYPERLINK("http://www.tagaro.it/","www.tagaro.it")</f>
        <v>www.tagaro.it</v>
      </c>
    </row>
    <row r="6496" spans="1:6" ht="29.55" customHeight="1" x14ac:dyDescent="0.25">
      <c r="A6496" s="1" t="s">
        <v>27324</v>
      </c>
      <c r="B6496" s="7" t="s">
        <v>27325</v>
      </c>
      <c r="C6496" s="7" t="s">
        <v>27321</v>
      </c>
      <c r="D6496" s="7" t="s">
        <v>27322</v>
      </c>
      <c r="E6496" s="7" t="s">
        <v>27323</v>
      </c>
      <c r="F6496" s="7" t="str">
        <f>HYPERLINK("http://www.pettolecchiacollection.com/it/la-piccola/","www.pettolecchiacollection.com/it/la-piccola/")</f>
        <v>www.pettolecchiacollection.com/it/la-piccola/</v>
      </c>
    </row>
    <row r="6497" spans="1:6" ht="29.55" customHeight="1" x14ac:dyDescent="0.25">
      <c r="A6497" s="6" t="s">
        <v>27326</v>
      </c>
      <c r="B6497" s="5" t="s">
        <v>27327</v>
      </c>
      <c r="C6497" s="5" t="s">
        <v>27321</v>
      </c>
      <c r="D6497" s="5" t="s">
        <v>27322</v>
      </c>
      <c r="E6497" s="5" t="s">
        <v>27323</v>
      </c>
      <c r="F6497" s="5" t="str">
        <f>HYPERLINK("http://www.masseriachiancarella.com/","www.masseriachiancarella.com")</f>
        <v>www.masseriachiancarella.com</v>
      </c>
    </row>
    <row r="6498" spans="1:6" ht="29.55" customHeight="1" x14ac:dyDescent="0.25">
      <c r="A6498" s="6" t="s">
        <v>27330</v>
      </c>
      <c r="B6498" s="5" t="s">
        <v>27331</v>
      </c>
      <c r="C6498" s="5" t="s">
        <v>27332</v>
      </c>
      <c r="D6498" s="5" t="s">
        <v>27328</v>
      </c>
      <c r="E6498" s="5" t="s">
        <v>27329</v>
      </c>
      <c r="F6498" s="5" t="str">
        <f>HYPERLINK("http://agritria.it/","agritria.it")</f>
        <v>agritria.it</v>
      </c>
    </row>
    <row r="6499" spans="1:6" ht="29.55" customHeight="1" x14ac:dyDescent="0.25">
      <c r="A6499" s="6" t="s">
        <v>27333</v>
      </c>
      <c r="B6499" s="5" t="s">
        <v>27334</v>
      </c>
      <c r="C6499" s="5" t="s">
        <v>27332</v>
      </c>
      <c r="D6499" s="5" t="s">
        <v>27328</v>
      </c>
      <c r="E6499" s="5" t="s">
        <v>27329</v>
      </c>
      <c r="F6499" s="5" t="str">
        <f>HYPERLINK("http://www.cooperativaprogressoagricolo.com/","www.cooperativaprogressoagricolo.com")</f>
        <v>www.cooperativaprogressoagricolo.com</v>
      </c>
    </row>
    <row r="6500" spans="1:6" ht="29.55" customHeight="1" x14ac:dyDescent="0.25">
      <c r="A6500" s="6" t="s">
        <v>27337</v>
      </c>
      <c r="B6500" s="5" t="s">
        <v>27338</v>
      </c>
      <c r="C6500" s="5" t="s">
        <v>27339</v>
      </c>
      <c r="D6500" s="5" t="s">
        <v>27335</v>
      </c>
      <c r="E6500" s="5" t="s">
        <v>27336</v>
      </c>
      <c r="F6500" s="5" t="str">
        <f>HYPERLINK("http://ortobarbieri.com/","ortobarbieri.com")</f>
        <v>ortobarbieri.com</v>
      </c>
    </row>
    <row r="6501" spans="1:6" ht="29.55" customHeight="1" x14ac:dyDescent="0.25">
      <c r="A6501" s="1" t="s">
        <v>27341</v>
      </c>
      <c r="B6501" s="7" t="s">
        <v>27342</v>
      </c>
      <c r="C6501" s="7" t="s">
        <v>27340</v>
      </c>
      <c r="D6501" s="7" t="s">
        <v>27335</v>
      </c>
      <c r="E6501" s="7" t="s">
        <v>27336</v>
      </c>
      <c r="F6501" s="7" t="str">
        <f>HYPERLINK("http://www.agrimap.net/","www.agrimap.net")</f>
        <v>www.agrimap.net</v>
      </c>
    </row>
    <row r="6502" spans="1:6" ht="43.05" customHeight="1" x14ac:dyDescent="0.25">
      <c r="A6502" s="1" t="s">
        <v>27346</v>
      </c>
      <c r="B6502" s="7" t="s">
        <v>27347</v>
      </c>
      <c r="C6502" s="7" t="s">
        <v>27348</v>
      </c>
      <c r="D6502" s="7" t="s">
        <v>27343</v>
      </c>
      <c r="E6502" s="7" t="s">
        <v>27344</v>
      </c>
      <c r="F6502" s="7" t="str">
        <f>HYPERLINK("http://ourhotelexperience.com/b-amp-b-la-pieve-san-benedetto-val-di-sambro-italy","ourhotelexperience.com/b-amp-b-la-pieve-san-benedetto-val-di-sambro-italy")</f>
        <v>ourhotelexperience.com/b-amp-b-la-pieve-san-benedetto-val-di-sambro-italy</v>
      </c>
    </row>
    <row r="6503" spans="1:6" ht="29.55" customHeight="1" x14ac:dyDescent="0.25">
      <c r="A6503" s="1" t="s">
        <v>27349</v>
      </c>
      <c r="B6503" s="7" t="s">
        <v>27350</v>
      </c>
      <c r="C6503" s="7" t="s">
        <v>27345</v>
      </c>
      <c r="D6503" s="7" t="s">
        <v>27343</v>
      </c>
      <c r="E6503" s="7" t="s">
        <v>27344</v>
      </c>
      <c r="F6503" s="7" t="str">
        <f>HYPERLINK("http://dalcampoallatuatavola.it/","dalcampoallatuatavola.it")</f>
        <v>dalcampoallatuatavola.it</v>
      </c>
    </row>
    <row r="6504" spans="1:6" ht="43.05" customHeight="1" x14ac:dyDescent="0.25">
      <c r="A6504" s="6" t="s">
        <v>27354</v>
      </c>
      <c r="B6504" s="5" t="s">
        <v>27355</v>
      </c>
      <c r="C6504" s="5" t="s">
        <v>27353</v>
      </c>
      <c r="D6504" s="5" t="s">
        <v>27351</v>
      </c>
      <c r="E6504" s="5" t="s">
        <v>27352</v>
      </c>
      <c r="F6504" s="5" t="str">
        <f>HYPERLINK("http://www.pietrefitte.eu/","www.pietrefitte.eu")</f>
        <v>www.pietrefitte.eu</v>
      </c>
    </row>
    <row r="6505" spans="1:6" ht="29.55" customHeight="1" x14ac:dyDescent="0.25">
      <c r="A6505" s="6" t="s">
        <v>27358</v>
      </c>
      <c r="B6505" s="5" t="s">
        <v>27359</v>
      </c>
      <c r="C6505" s="5" t="s">
        <v>27360</v>
      </c>
      <c r="D6505" s="5" t="s">
        <v>27356</v>
      </c>
      <c r="E6505" s="5" t="s">
        <v>27357</v>
      </c>
      <c r="F6505" s="5" t="str">
        <f>HYPERLINK("http://www.sanniodop.it/","www.sanniodop.it")</f>
        <v>www.sanniodop.it</v>
      </c>
    </row>
    <row r="6506" spans="1:6" ht="29.55" customHeight="1" x14ac:dyDescent="0.25">
      <c r="A6506" s="6" t="s">
        <v>27361</v>
      </c>
      <c r="B6506" s="5" t="s">
        <v>27362</v>
      </c>
      <c r="C6506" s="5" t="s">
        <v>27363</v>
      </c>
      <c r="D6506" s="5" t="s">
        <v>27356</v>
      </c>
      <c r="E6506" s="5" t="s">
        <v>27357</v>
      </c>
      <c r="F6506" s="5" t="str">
        <f>HYPERLINK("http://www.canapaligth.it/","www.canapaligth.it")</f>
        <v>www.canapaligth.it</v>
      </c>
    </row>
    <row r="6507" spans="1:6" ht="16.95" customHeight="1" x14ac:dyDescent="0.25">
      <c r="A6507" s="6" t="s">
        <v>27364</v>
      </c>
      <c r="B6507" s="5" t="s">
        <v>27365</v>
      </c>
      <c r="C6507" s="5" t="s">
        <v>27366</v>
      </c>
      <c r="D6507" s="5" t="s">
        <v>27356</v>
      </c>
      <c r="E6507" s="5" t="s">
        <v>27357</v>
      </c>
      <c r="F6507" s="5" t="str">
        <f>HYPERLINK("http://www.agricampus.net/","www.agricampus.net")</f>
        <v>www.agricampus.net</v>
      </c>
    </row>
    <row r="6508" spans="1:6" ht="29.55" customHeight="1" x14ac:dyDescent="0.25">
      <c r="A6508" s="6" t="s">
        <v>27369</v>
      </c>
      <c r="B6508" s="5" t="s">
        <v>27370</v>
      </c>
      <c r="C6508" s="5" t="s">
        <v>27371</v>
      </c>
      <c r="D6508" s="5" t="s">
        <v>27367</v>
      </c>
      <c r="E6508" s="5" t="s">
        <v>27368</v>
      </c>
      <c r="F6508" s="5" t="str">
        <f>HYPERLINK("http://www.gardenville.it/","www.gardenville.it")</f>
        <v>www.gardenville.it</v>
      </c>
    </row>
    <row r="6509" spans="1:6" ht="43.05" customHeight="1" x14ac:dyDescent="0.25">
      <c r="A6509" s="1" t="s">
        <v>27372</v>
      </c>
      <c r="B6509" s="7" t="s">
        <v>27373</v>
      </c>
      <c r="C6509" s="7" t="s">
        <v>27374</v>
      </c>
      <c r="D6509" s="7" t="s">
        <v>27367</v>
      </c>
      <c r="E6509" s="7" t="s">
        <v>27368</v>
      </c>
      <c r="F6509" s="7" t="str">
        <f>HYPERLINK("http://www.nuovaforniture.it/","www.nuovaforniture.it")</f>
        <v>www.nuovaforniture.it</v>
      </c>
    </row>
    <row r="6510" spans="1:6" ht="29.55" customHeight="1" x14ac:dyDescent="0.25">
      <c r="A6510" s="6" t="s">
        <v>27377</v>
      </c>
      <c r="B6510" s="5" t="s">
        <v>27378</v>
      </c>
      <c r="C6510" s="5" t="s">
        <v>27379</v>
      </c>
      <c r="D6510" s="5" t="s">
        <v>27375</v>
      </c>
      <c r="E6510" s="5" t="s">
        <v>27376</v>
      </c>
      <c r="F6510" s="5" t="str">
        <f>HYPERLINK("http://www.paulowniazeroco2.it/","www.paulowniazeroco2.it")</f>
        <v>www.paulowniazeroco2.it</v>
      </c>
    </row>
    <row r="6511" spans="1:6" ht="43.05" customHeight="1" x14ac:dyDescent="0.25">
      <c r="A6511" s="6" t="s">
        <v>27381</v>
      </c>
      <c r="B6511" s="5" t="s">
        <v>27382</v>
      </c>
      <c r="C6511" s="5" t="s">
        <v>27380</v>
      </c>
      <c r="D6511" s="5" t="s">
        <v>27375</v>
      </c>
      <c r="E6511" s="5" t="s">
        <v>27376</v>
      </c>
      <c r="F6511" s="5" t="str">
        <f>HYPERLINK("http://www.agriturismolacampanina.it/","www.agriturismolacampanina.it")</f>
        <v>www.agriturismolacampanina.it</v>
      </c>
    </row>
    <row r="6512" spans="1:6" ht="16.95" customHeight="1" x14ac:dyDescent="0.25">
      <c r="A6512" s="6" t="s">
        <v>27385</v>
      </c>
      <c r="B6512" s="5" t="s">
        <v>27386</v>
      </c>
      <c r="C6512" s="5" t="s">
        <v>27387</v>
      </c>
      <c r="D6512" s="5" t="s">
        <v>27384</v>
      </c>
      <c r="E6512" s="5" t="s">
        <v>27383</v>
      </c>
      <c r="F6512" s="5" t="str">
        <f>HYPERLINK("http://www.avicolacolangelo.com/","www.avicolacolangelo.com")</f>
        <v>www.avicolacolangelo.com</v>
      </c>
    </row>
    <row r="6513" spans="1:6" ht="16.95" customHeight="1" x14ac:dyDescent="0.25">
      <c r="A6513" s="1" t="s">
        <v>27388</v>
      </c>
      <c r="B6513" s="7" t="s">
        <v>27389</v>
      </c>
      <c r="C6513" s="7" t="s">
        <v>27387</v>
      </c>
      <c r="D6513" s="7" t="s">
        <v>27384</v>
      </c>
      <c r="E6513" s="7" t="s">
        <v>27383</v>
      </c>
      <c r="F6513" s="7" t="str">
        <f>HYPERLINK("http://www.ovozecchillo.it/","www.ovozecchillo.it")</f>
        <v>www.ovozecchillo.it</v>
      </c>
    </row>
    <row r="6514" spans="1:6" ht="43.05" customHeight="1" x14ac:dyDescent="0.25">
      <c r="A6514" s="1" t="s">
        <v>27392</v>
      </c>
      <c r="B6514" s="7" t="s">
        <v>27393</v>
      </c>
      <c r="C6514" s="7" t="s">
        <v>27394</v>
      </c>
      <c r="D6514" s="7" t="s">
        <v>27390</v>
      </c>
      <c r="E6514" s="7" t="s">
        <v>27391</v>
      </c>
      <c r="F6514" s="7" t="str">
        <f>HYPERLINK("http://masseriacampito.it/","masseriacampito.it")</f>
        <v>masseriacampito.it</v>
      </c>
    </row>
    <row r="6515" spans="1:6" ht="16.95" customHeight="1" x14ac:dyDescent="0.25">
      <c r="A6515" s="1" t="s">
        <v>27398</v>
      </c>
      <c r="B6515" s="7" t="s">
        <v>27399</v>
      </c>
      <c r="C6515" s="7" t="s">
        <v>27397</v>
      </c>
      <c r="D6515" s="7" t="s">
        <v>27395</v>
      </c>
      <c r="E6515" s="7" t="s">
        <v>27396</v>
      </c>
      <c r="F6515" s="7" t="str">
        <f>HYPERLINK("http://www.consorziomediterrae.it/","www.consorziomediterrae.it")</f>
        <v>www.consorziomediterrae.it</v>
      </c>
    </row>
    <row r="6516" spans="1:6" ht="16.95" customHeight="1" x14ac:dyDescent="0.25">
      <c r="A6516" s="6" t="s">
        <v>27403</v>
      </c>
      <c r="B6516" s="5" t="s">
        <v>27404</v>
      </c>
      <c r="C6516" s="5" t="s">
        <v>27401</v>
      </c>
      <c r="D6516" s="5" t="s">
        <v>27402</v>
      </c>
      <c r="E6516" s="5" t="s">
        <v>27400</v>
      </c>
      <c r="F6516" s="5" t="str">
        <f>HYPERLINK("http://www.italianadiclasse.it/","www.italianadiclasse.it")</f>
        <v>www.italianadiclasse.it</v>
      </c>
    </row>
    <row r="6517" spans="1:6" ht="29.55" customHeight="1" x14ac:dyDescent="0.25">
      <c r="A6517" s="6" t="s">
        <v>27406</v>
      </c>
      <c r="B6517" s="5" t="s">
        <v>27407</v>
      </c>
      <c r="C6517" s="5" t="s">
        <v>27408</v>
      </c>
      <c r="D6517" s="5" t="s">
        <v>27402</v>
      </c>
      <c r="E6517" s="5" t="s">
        <v>27400</v>
      </c>
      <c r="F6517" s="5" t="str">
        <f>HYPERLINK("http://www.galluzzisrl.com/","http://www.galluzzisrl.com")</f>
        <v>http://www.galluzzisrl.com</v>
      </c>
    </row>
    <row r="6518" spans="1:6" ht="16.95" customHeight="1" x14ac:dyDescent="0.25">
      <c r="A6518" s="1" t="s">
        <v>27410</v>
      </c>
      <c r="B6518" s="7" t="s">
        <v>27411</v>
      </c>
      <c r="C6518" s="7" t="s">
        <v>27409</v>
      </c>
      <c r="D6518" s="7" t="s">
        <v>27402</v>
      </c>
      <c r="E6518" s="7" t="s">
        <v>27400</v>
      </c>
      <c r="F6518" s="7" t="str">
        <f>HYPERLINK("http://www.dianaplasticsurgery.com/","www.dianaplasticsurgery.com")</f>
        <v>www.dianaplasticsurgery.com</v>
      </c>
    </row>
    <row r="6519" spans="1:6" ht="43.05" customHeight="1" x14ac:dyDescent="0.25">
      <c r="A6519" s="1" t="s">
        <v>27412</v>
      </c>
      <c r="B6519" s="7" t="s">
        <v>27413</v>
      </c>
      <c r="C6519" s="7" t="s">
        <v>27405</v>
      </c>
      <c r="D6519" s="7" t="s">
        <v>27402</v>
      </c>
      <c r="E6519" s="7" t="s">
        <v>27400</v>
      </c>
      <c r="F6519" s="7" t="str">
        <f>HYPERLINK("http://www.seragri.com/","www.seragri.com")</f>
        <v>www.seragri.com</v>
      </c>
    </row>
    <row r="6520" spans="1:6" ht="55.65" customHeight="1" x14ac:dyDescent="0.25">
      <c r="A6520" s="1" t="s">
        <v>27418</v>
      </c>
      <c r="B6520" s="7" t="s">
        <v>27419</v>
      </c>
      <c r="C6520" s="7" t="s">
        <v>27417</v>
      </c>
      <c r="D6520" s="7" t="s">
        <v>27414</v>
      </c>
      <c r="E6520" s="7" t="s">
        <v>27415</v>
      </c>
      <c r="F6520" s="7" t="str">
        <f>HYPERLINK("http://macchiacupa.it/","macchiacupa.it")</f>
        <v>macchiacupa.it</v>
      </c>
    </row>
    <row r="6521" spans="1:6" ht="29.55" customHeight="1" x14ac:dyDescent="0.25">
      <c r="A6521" s="1" t="s">
        <v>27420</v>
      </c>
      <c r="B6521" s="7" t="s">
        <v>27421</v>
      </c>
      <c r="C6521" s="7" t="s">
        <v>27416</v>
      </c>
      <c r="D6521" s="7" t="s">
        <v>27414</v>
      </c>
      <c r="E6521" s="7" t="s">
        <v>27415</v>
      </c>
      <c r="F6521" s="7" t="str">
        <f>HYPERLINK("http://urciuolovini.com/","urciuolovini.com")</f>
        <v>urciuolovini.com</v>
      </c>
    </row>
    <row r="6522" spans="1:6" ht="29.55" customHeight="1" x14ac:dyDescent="0.25">
      <c r="A6522" s="1" t="s">
        <v>27422</v>
      </c>
      <c r="B6522" s="7" t="s">
        <v>27423</v>
      </c>
      <c r="C6522" s="7" t="s">
        <v>27416</v>
      </c>
      <c r="D6522" s="7" t="s">
        <v>27414</v>
      </c>
      <c r="E6522" s="7" t="s">
        <v>27415</v>
      </c>
      <c r="F6522" s="7" t="str">
        <f>HYPERLINK("http://mitosrl.com/","mitosrl.com")</f>
        <v>mitosrl.com</v>
      </c>
    </row>
    <row r="6523" spans="1:6" ht="29.55" customHeight="1" x14ac:dyDescent="0.25">
      <c r="A6523" s="1" t="s">
        <v>27426</v>
      </c>
      <c r="B6523" s="7" t="s">
        <v>27427</v>
      </c>
      <c r="C6523" s="7" t="s">
        <v>27428</v>
      </c>
      <c r="D6523" s="7" t="s">
        <v>27424</v>
      </c>
      <c r="E6523" s="7" t="s">
        <v>27425</v>
      </c>
      <c r="F6523" s="7" t="str">
        <f>HYPERLINK("http://www.laratro.it/","www.laratro.it")</f>
        <v>www.laratro.it</v>
      </c>
    </row>
    <row r="6524" spans="1:6" ht="43.05" customHeight="1" x14ac:dyDescent="0.25">
      <c r="A6524" s="6" t="s">
        <v>27430</v>
      </c>
      <c r="B6524" s="5" t="s">
        <v>27431</v>
      </c>
      <c r="C6524" s="5" t="s">
        <v>27429</v>
      </c>
      <c r="D6524" s="5" t="s">
        <v>27424</v>
      </c>
      <c r="E6524" s="5" t="s">
        <v>27425</v>
      </c>
      <c r="F6524" s="5" t="str">
        <f>HYPERLINK("http://www.sinecera.it/","www.sinecera.it")</f>
        <v>www.sinecera.it</v>
      </c>
    </row>
    <row r="6525" spans="1:6" ht="16.95" customHeight="1" x14ac:dyDescent="0.25">
      <c r="A6525" s="1" t="s">
        <v>27436</v>
      </c>
      <c r="B6525" s="7" t="s">
        <v>27437</v>
      </c>
      <c r="C6525" s="7" t="s">
        <v>27432</v>
      </c>
      <c r="D6525" s="7" t="s">
        <v>27433</v>
      </c>
      <c r="E6525" s="7" t="s">
        <v>27434</v>
      </c>
      <c r="F6525" s="7" t="str">
        <f>HYPERLINK("http://www.costeditufosrl.it/","www.costeditufosrl.it")</f>
        <v>www.costeditufosrl.it</v>
      </c>
    </row>
    <row r="6526" spans="1:6" ht="16.95" customHeight="1" x14ac:dyDescent="0.25">
      <c r="A6526" s="6" t="s">
        <v>27438</v>
      </c>
      <c r="B6526" s="5" t="s">
        <v>27439</v>
      </c>
      <c r="C6526" s="5" t="s">
        <v>27435</v>
      </c>
      <c r="D6526" s="5" t="s">
        <v>27433</v>
      </c>
      <c r="E6526" s="5" t="s">
        <v>27434</v>
      </c>
      <c r="F6526" s="5" t="str">
        <f>HYPERLINK("http://lafollonella.it/","lafollonella.it")</f>
        <v>lafollonella.it</v>
      </c>
    </row>
    <row r="6527" spans="1:6" ht="43.05" customHeight="1" x14ac:dyDescent="0.25">
      <c r="A6527" s="6" t="s">
        <v>27442</v>
      </c>
      <c r="B6527" s="5" t="s">
        <v>27443</v>
      </c>
      <c r="C6527" s="5" t="s">
        <v>27432</v>
      </c>
      <c r="D6527" s="5" t="s">
        <v>27440</v>
      </c>
      <c r="E6527" s="5" t="s">
        <v>27441</v>
      </c>
      <c r="F6527" s="5" t="str">
        <f>HYPERLINK("http://cascinagilli.it/","cascinagilli.it")</f>
        <v>cascinagilli.it</v>
      </c>
    </row>
    <row r="6528" spans="1:6" ht="16.95" customHeight="1" x14ac:dyDescent="0.25">
      <c r="A6528" s="1" t="s">
        <v>27447</v>
      </c>
      <c r="B6528" s="7" t="s">
        <v>27448</v>
      </c>
      <c r="C6528" s="7" t="s">
        <v>27444</v>
      </c>
      <c r="D6528" s="7" t="s">
        <v>27445</v>
      </c>
      <c r="E6528" s="7" t="s">
        <v>27446</v>
      </c>
      <c r="F6528" s="7" t="str">
        <f>HYPERLINK("http://www.moncucchetto.it/","www.moncucchetto.it")</f>
        <v>www.moncucchetto.it</v>
      </c>
    </row>
    <row r="6529" spans="1:6" ht="29.55" customHeight="1" x14ac:dyDescent="0.25">
      <c r="A6529" s="6" t="s">
        <v>27449</v>
      </c>
      <c r="B6529" s="5" t="s">
        <v>27450</v>
      </c>
      <c r="C6529" s="5" t="s">
        <v>27451</v>
      </c>
      <c r="D6529" s="5" t="s">
        <v>27445</v>
      </c>
      <c r="E6529" s="5" t="s">
        <v>27446</v>
      </c>
      <c r="F6529" s="5" t="str">
        <f>HYPERLINK("http://nizzamonferrato1.tecnorete.it/","nizzamonferrato1.tecnorete.it")</f>
        <v>nizzamonferrato1.tecnorete.it</v>
      </c>
    </row>
    <row r="6530" spans="1:6" ht="132.75" customHeight="1" x14ac:dyDescent="0.25">
      <c r="A6530" s="6" t="s">
        <v>27452</v>
      </c>
      <c r="B6530" s="5" t="s">
        <v>27453</v>
      </c>
      <c r="C6530" s="5" t="s">
        <v>27444</v>
      </c>
      <c r="D6530" s="5" t="s">
        <v>27445</v>
      </c>
      <c r="E6530" s="5" t="s">
        <v>27446</v>
      </c>
      <c r="F6530" s="5" t="str">
        <f>HYPERLINK("http://www.cascinavengore.it/","www.cascinavengore.it")</f>
        <v>www.cascinavengore.it</v>
      </c>
    </row>
    <row r="6531" spans="1:6" ht="29.55" customHeight="1" x14ac:dyDescent="0.25">
      <c r="A6531" s="1" t="s">
        <v>27454</v>
      </c>
      <c r="B6531" s="7" t="s">
        <v>27455</v>
      </c>
      <c r="C6531" s="7" t="s">
        <v>27456</v>
      </c>
      <c r="D6531" s="7" t="s">
        <v>27457</v>
      </c>
      <c r="E6531" s="7" t="s">
        <v>27458</v>
      </c>
      <c r="F6531" s="7" t="str">
        <f>HYPERLINK("http://www.losgrilloshermanos.com/","www.losgrilloshermanos.com")</f>
        <v>www.losgrilloshermanos.com</v>
      </c>
    </row>
    <row r="6532" spans="1:6" ht="16.95" customHeight="1" x14ac:dyDescent="0.25">
      <c r="A6532" s="1" t="s">
        <v>27462</v>
      </c>
      <c r="B6532" s="7" t="s">
        <v>27463</v>
      </c>
      <c r="C6532" s="7" t="s">
        <v>27461</v>
      </c>
      <c r="D6532" s="7" t="s">
        <v>27459</v>
      </c>
      <c r="E6532" s="7" t="s">
        <v>27460</v>
      </c>
      <c r="F6532" s="7" t="str">
        <f>HYPERLINK("http://olionostrum.com/","olionostrum.com")</f>
        <v>olionostrum.com</v>
      </c>
    </row>
    <row r="6533" spans="1:6" ht="16.95" customHeight="1" x14ac:dyDescent="0.25">
      <c r="A6533" s="6" t="s">
        <v>27464</v>
      </c>
      <c r="B6533" s="5" t="s">
        <v>27465</v>
      </c>
      <c r="C6533" s="5" t="s">
        <v>27466</v>
      </c>
      <c r="D6533" s="5" t="s">
        <v>27459</v>
      </c>
      <c r="E6533" s="5" t="s">
        <v>27460</v>
      </c>
      <c r="F6533" s="5" t="str">
        <f>HYPERLINK("http://www.etruscum.it/","www.etruscum.it")</f>
        <v>www.etruscum.it</v>
      </c>
    </row>
    <row r="6534" spans="1:6" ht="29.55" customHeight="1" x14ac:dyDescent="0.25">
      <c r="A6534" s="1" t="s">
        <v>27469</v>
      </c>
      <c r="B6534" s="7" t="s">
        <v>27470</v>
      </c>
      <c r="C6534" s="7" t="s">
        <v>27471</v>
      </c>
      <c r="D6534" s="7" t="s">
        <v>27467</v>
      </c>
      <c r="E6534" s="7" t="s">
        <v>27468</v>
      </c>
      <c r="F6534" s="7" t="str">
        <f>HYPERLINK("http://cuprena.it/","cuprena.it")</f>
        <v>cuprena.it</v>
      </c>
    </row>
    <row r="6535" spans="1:6" ht="29.55" customHeight="1" x14ac:dyDescent="0.25">
      <c r="A6535" s="6" t="s">
        <v>27472</v>
      </c>
      <c r="B6535" s="5" t="s">
        <v>27473</v>
      </c>
      <c r="C6535" s="5" t="s">
        <v>27474</v>
      </c>
      <c r="D6535" s="5" t="s">
        <v>27467</v>
      </c>
      <c r="E6535" s="5" t="s">
        <v>27468</v>
      </c>
      <c r="F6535" s="5" t="str">
        <f>HYPERLINK("http://www.tenutegiommetti.com/","www.tenutegiommetti.com")</f>
        <v>www.tenutegiommetti.com</v>
      </c>
    </row>
    <row r="6536" spans="1:6" ht="55.65" customHeight="1" x14ac:dyDescent="0.25">
      <c r="A6536" s="6" t="s">
        <v>27478</v>
      </c>
      <c r="B6536" s="5" t="s">
        <v>27479</v>
      </c>
      <c r="C6536" s="5" t="s">
        <v>27475</v>
      </c>
      <c r="D6536" s="5" t="s">
        <v>27476</v>
      </c>
      <c r="E6536" s="5" t="s">
        <v>27477</v>
      </c>
      <c r="F6536" s="5" t="str">
        <f>HYPERLINK("http://ilrifugiodellupoallecampitelle.com/","ilrifugiodellupoallecampitelle.com")</f>
        <v>ilrifugiodellupoallecampitelle.com</v>
      </c>
    </row>
    <row r="6537" spans="1:6" ht="29.55" customHeight="1" x14ac:dyDescent="0.25">
      <c r="A6537" s="6" t="s">
        <v>27482</v>
      </c>
      <c r="B6537" s="5" t="s">
        <v>27483</v>
      </c>
      <c r="C6537" s="5" t="s">
        <v>27484</v>
      </c>
      <c r="D6537" s="5" t="s">
        <v>27480</v>
      </c>
      <c r="E6537" s="5" t="s">
        <v>27481</v>
      </c>
      <c r="F6537" s="5" t="str">
        <f>HYPERLINK("http://www.lapiccolafattoriasullaterno.it/","www.lapiccolafattoriasullaterno.it")</f>
        <v>www.lapiccolafattoriasullaterno.it</v>
      </c>
    </row>
    <row r="6538" spans="1:6" ht="29.55" customHeight="1" x14ac:dyDescent="0.25">
      <c r="A6538" s="1" t="s">
        <v>27491</v>
      </c>
      <c r="B6538" s="7" t="s">
        <v>27492</v>
      </c>
      <c r="C6538" s="7" t="s">
        <v>27489</v>
      </c>
      <c r="D6538" s="7" t="s">
        <v>27486</v>
      </c>
      <c r="E6538" s="7" t="s">
        <v>27487</v>
      </c>
      <c r="F6538" s="7" t="str">
        <f>HYPERLINK("http://www.tenutaborgio.it/","www.tenutaborgio.it")</f>
        <v>www.tenutaborgio.it</v>
      </c>
    </row>
    <row r="6539" spans="1:6" ht="29.55" customHeight="1" x14ac:dyDescent="0.25">
      <c r="A6539" s="1" t="s">
        <v>27493</v>
      </c>
      <c r="B6539" s="7" t="s">
        <v>27494</v>
      </c>
      <c r="C6539" s="7" t="s">
        <v>27485</v>
      </c>
      <c r="D6539" s="7" t="s">
        <v>27486</v>
      </c>
      <c r="E6539" s="7" t="s">
        <v>27487</v>
      </c>
      <c r="F6539" s="7" t="str">
        <f>HYPERLINK("http://www.aziendaagricolagionni.it/","www.aziendaagricolagionni.it")</f>
        <v>www.aziendaagricolagionni.it</v>
      </c>
    </row>
    <row r="6540" spans="1:6" ht="29.55" customHeight="1" x14ac:dyDescent="0.25">
      <c r="A6540" s="1" t="s">
        <v>27495</v>
      </c>
      <c r="B6540" s="7" t="s">
        <v>27496</v>
      </c>
      <c r="C6540" s="7" t="s">
        <v>27488</v>
      </c>
      <c r="D6540" s="7" t="s">
        <v>27486</v>
      </c>
      <c r="E6540" s="7" t="s">
        <v>27487</v>
      </c>
      <c r="F6540" s="7" t="str">
        <f>HYPERLINK("http://www.alcantodelgallo.net/","www.alcantodelgallo.net")</f>
        <v>www.alcantodelgallo.net</v>
      </c>
    </row>
    <row r="6541" spans="1:6" ht="29.55" customHeight="1" x14ac:dyDescent="0.25">
      <c r="A6541" s="6" t="s">
        <v>27497</v>
      </c>
      <c r="B6541" s="5" t="s">
        <v>27498</v>
      </c>
      <c r="C6541" s="5" t="s">
        <v>27490</v>
      </c>
      <c r="D6541" s="5" t="s">
        <v>27486</v>
      </c>
      <c r="E6541" s="5" t="s">
        <v>27487</v>
      </c>
      <c r="F6541" s="5" t="str">
        <f>HYPERLINK("http://www.i-calanchi.com/","www.i-calanchi.com")</f>
        <v>www.i-calanchi.com</v>
      </c>
    </row>
    <row r="6542" spans="1:6" ht="29.55" customHeight="1" x14ac:dyDescent="0.25">
      <c r="A6542" s="6" t="s">
        <v>27501</v>
      </c>
      <c r="B6542" s="5" t="s">
        <v>27502</v>
      </c>
      <c r="C6542" s="5" t="s">
        <v>27503</v>
      </c>
      <c r="D6542" s="5" t="s">
        <v>27499</v>
      </c>
      <c r="E6542" s="5" t="s">
        <v>27500</v>
      </c>
      <c r="F6542" s="5" t="str">
        <f>HYPERLINK("http://www.fazibattaglia.it/","www.fazibattaglia.it")</f>
        <v>www.fazibattaglia.it</v>
      </c>
    </row>
    <row r="6543" spans="1:6" ht="16.95" customHeight="1" x14ac:dyDescent="0.25">
      <c r="A6543" s="1" t="s">
        <v>27506</v>
      </c>
      <c r="B6543" s="7" t="s">
        <v>27507</v>
      </c>
      <c r="C6543" s="7" t="s">
        <v>27508</v>
      </c>
      <c r="D6543" s="7" t="s">
        <v>27504</v>
      </c>
      <c r="E6543" s="7" t="s">
        <v>27505</v>
      </c>
      <c r="F6543" s="7" t="str">
        <f>HYPERLINK("http://www.lafornacedialessandria.it/","www.lafornacedialessandria.it")</f>
        <v>www.lafornacedialessandria.it</v>
      </c>
    </row>
    <row r="6544" spans="1:6" ht="43.05" customHeight="1" x14ac:dyDescent="0.25">
      <c r="A6544" s="1" t="s">
        <v>27509</v>
      </c>
      <c r="B6544" s="7" t="s">
        <v>27510</v>
      </c>
      <c r="C6544" s="7" t="s">
        <v>27511</v>
      </c>
      <c r="D6544" s="7" t="s">
        <v>27504</v>
      </c>
      <c r="E6544" s="7" t="s">
        <v>27505</v>
      </c>
      <c r="F6544" s="7" t="str">
        <f>HYPERLINK("http://fattoria.verde-commerce.it/","fattoria.verde-commerce.it")</f>
        <v>fattoria.verde-commerce.it</v>
      </c>
    </row>
    <row r="6545" spans="1:6" ht="29.55" customHeight="1" x14ac:dyDescent="0.25">
      <c r="A6545" s="6" t="s">
        <v>27512</v>
      </c>
      <c r="B6545" s="5" t="s">
        <v>27513</v>
      </c>
      <c r="C6545" s="5" t="s">
        <v>27503</v>
      </c>
      <c r="D6545" s="5" t="s">
        <v>27504</v>
      </c>
      <c r="E6545" s="5" t="s">
        <v>27505</v>
      </c>
      <c r="F6545" s="5" t="str">
        <f>HYPERLINK("http://www.castellaribergaglio.it/","www.castellaribergaglio.it")</f>
        <v>www.castellaribergaglio.it</v>
      </c>
    </row>
    <row r="6546" spans="1:6" ht="81.75" customHeight="1" x14ac:dyDescent="0.25">
      <c r="A6546" s="1" t="s">
        <v>27514</v>
      </c>
      <c r="B6546" s="7" t="s">
        <v>27515</v>
      </c>
      <c r="C6546" s="7" t="s">
        <v>27516</v>
      </c>
      <c r="D6546" s="7" t="s">
        <v>27517</v>
      </c>
      <c r="E6546" s="7" t="s">
        <v>27518</v>
      </c>
      <c r="F6546" s="7" t="str">
        <f>HYPERLINK("http://ohanaranch.wordpress.com/","ohanaranch.wordpress.com")</f>
        <v>ohanaranch.wordpress.com</v>
      </c>
    </row>
    <row r="6547" spans="1:6" ht="29.55" customHeight="1" x14ac:dyDescent="0.25">
      <c r="A6547" s="6" t="s">
        <v>27519</v>
      </c>
      <c r="B6547" s="5" t="s">
        <v>27520</v>
      </c>
      <c r="C6547" s="5" t="s">
        <v>27521</v>
      </c>
      <c r="D6547" s="5" t="s">
        <v>27517</v>
      </c>
      <c r="E6547" s="5" t="s">
        <v>27518</v>
      </c>
      <c r="F6547" s="5" t="str">
        <f>HYPERLINK("http://www.casamargheritaitaly.com/","www.casamargheritaitaly.com")</f>
        <v>www.casamargheritaitaly.com</v>
      </c>
    </row>
    <row r="6548" spans="1:6" ht="29.55" customHeight="1" x14ac:dyDescent="0.25">
      <c r="A6548" s="6" t="s">
        <v>27523</v>
      </c>
      <c r="B6548" s="5" t="s">
        <v>27524</v>
      </c>
      <c r="C6548" s="5" t="s">
        <v>27522</v>
      </c>
      <c r="D6548" s="5" t="s">
        <v>27517</v>
      </c>
      <c r="E6548" s="5" t="s">
        <v>27518</v>
      </c>
      <c r="F6548" s="5" t="str">
        <f>HYPERLINK("http://www.quargnento.cloud/","www.quargnento.cloud")</f>
        <v>www.quargnento.cloud</v>
      </c>
    </row>
    <row r="6549" spans="1:6" ht="43.05" customHeight="1" x14ac:dyDescent="0.25">
      <c r="A6549" s="6" t="s">
        <v>27525</v>
      </c>
      <c r="B6549" s="5" t="s">
        <v>27526</v>
      </c>
      <c r="C6549" s="5" t="s">
        <v>27527</v>
      </c>
      <c r="D6549" s="5" t="s">
        <v>27517</v>
      </c>
      <c r="E6549" s="5" t="s">
        <v>27518</v>
      </c>
      <c r="F6549" s="5" t="str">
        <f>HYPERLINK("http://www.ssasanmartino.it/","www.ssasanmartino.it")</f>
        <v>www.ssasanmartino.it</v>
      </c>
    </row>
    <row r="6550" spans="1:6" ht="29.55" customHeight="1" x14ac:dyDescent="0.25">
      <c r="A6550" s="1" t="s">
        <v>27530</v>
      </c>
      <c r="B6550" s="7" t="s">
        <v>27531</v>
      </c>
      <c r="C6550" s="7" t="s">
        <v>27532</v>
      </c>
      <c r="D6550" s="7" t="s">
        <v>27528</v>
      </c>
      <c r="E6550" s="7" t="s">
        <v>27529</v>
      </c>
      <c r="F6550" s="7" t="str">
        <f>HYPERLINK("http://www.borgobuonanotte.it/","www.borgobuonanotte.it")</f>
        <v>www.borgobuonanotte.it</v>
      </c>
    </row>
    <row r="6551" spans="1:6" ht="43.05" customHeight="1" x14ac:dyDescent="0.25">
      <c r="A6551" s="6" t="s">
        <v>27533</v>
      </c>
      <c r="B6551" s="5" t="s">
        <v>27534</v>
      </c>
      <c r="C6551" s="5" t="s">
        <v>27535</v>
      </c>
      <c r="D6551" s="5" t="s">
        <v>27528</v>
      </c>
      <c r="E6551" s="5" t="s">
        <v>27529</v>
      </c>
      <c r="F6551" s="5" t="str">
        <f>HYPERLINK("http://www.fattoriavalledeitempli.it/","www.fattoriavalledeitempli.it")</f>
        <v>www.fattoriavalledeitempli.it</v>
      </c>
    </row>
    <row r="6552" spans="1:6" ht="43.05" customHeight="1" x14ac:dyDescent="0.25">
      <c r="A6552" s="6" t="s">
        <v>27537</v>
      </c>
      <c r="B6552" s="5" t="s">
        <v>27538</v>
      </c>
      <c r="C6552" s="5" t="s">
        <v>27536</v>
      </c>
      <c r="D6552" s="5" t="s">
        <v>27528</v>
      </c>
      <c r="E6552" s="5" t="s">
        <v>27529</v>
      </c>
      <c r="F6552" s="5" t="str">
        <f>HYPERLINK("http://www.greenroots.it/","www.greenroots.it")</f>
        <v>www.greenroots.it</v>
      </c>
    </row>
    <row r="6553" spans="1:6" ht="29.55" customHeight="1" x14ac:dyDescent="0.25">
      <c r="A6553" s="1" t="s">
        <v>27541</v>
      </c>
      <c r="B6553" s="7" t="s">
        <v>27542</v>
      </c>
      <c r="C6553" s="7" t="s">
        <v>27543</v>
      </c>
      <c r="D6553" s="7" t="s">
        <v>27539</v>
      </c>
      <c r="E6553" s="7" t="s">
        <v>27540</v>
      </c>
      <c r="F6553" s="7" t="str">
        <f>HYPERLINK("http://www.isaporidellamontagna.com/","www.isaporidellamontagna.com")</f>
        <v>www.isaporidellamontagna.com</v>
      </c>
    </row>
  </sheetData>
  <autoFilter ref="A1:F6553" xr:uid="{00000000-0009-0000-0000-000000000000}"/>
  <pageMargins left="0" right="0" top="0" bottom="0"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Risultati</vt:lpstr>
    </vt:vector>
  </TitlesOfParts>
  <Company>Bureau van Dijk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 Orci</dc:creator>
  <cp:lastModifiedBy>ORCI MARTINA</cp:lastModifiedBy>
  <dcterms:created xsi:type="dcterms:W3CDTF">2024-03-19T08:31:04Z</dcterms:created>
  <dcterms:modified xsi:type="dcterms:W3CDTF">2024-03-29T17:26:05Z</dcterms:modified>
</cp:coreProperties>
</file>