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duriarte\Dropbox\BID-GRADE\meta-analisis-whole-sample\data\"/>
    </mc:Choice>
  </mc:AlternateContent>
  <bookViews>
    <workbookView xWindow="0" yWindow="0" windowWidth="15345" windowHeight="4245" tabRatio="589" activeTab="2"/>
  </bookViews>
  <sheets>
    <sheet name="Planning" sheetId="8" r:id="rId1"/>
    <sheet name="Hoja1" sheetId="26" state="hidden" r:id="rId2"/>
    <sheet name="7. Evaluations" sheetId="25" r:id="rId3"/>
    <sheet name="8. Effects" sheetId="14" r:id="rId4"/>
  </sheets>
  <definedNames>
    <definedName name="_xlnm._FilterDatabase" localSheetId="2" hidden="1">'7. Evaluations'!$A$1:$AP$107</definedName>
    <definedName name="_xlnm._FilterDatabase" localSheetId="3" hidden="1">'8. Effects'!$A$1:$AW$1212</definedName>
  </definedNames>
  <calcPr calcId="162913"/>
  <pivotCaches>
    <pivotCache cacheId="0" r:id="rId5"/>
  </pivotCaches>
</workbook>
</file>

<file path=xl/calcChain.xml><?xml version="1.0" encoding="utf-8"?>
<calcChain xmlns="http://schemas.openxmlformats.org/spreadsheetml/2006/main">
  <c r="O644" i="14" l="1"/>
  <c r="P644" i="14"/>
  <c r="S644" i="14"/>
  <c r="AI644" i="14"/>
  <c r="AF1190" i="14" l="1"/>
  <c r="AI1190" i="14" s="1"/>
  <c r="AF1189" i="14"/>
  <c r="AI1189" i="14" s="1"/>
  <c r="AF1188" i="14"/>
  <c r="AI1188" i="14" s="1"/>
  <c r="AF1187" i="14"/>
  <c r="AI1187" i="14" s="1"/>
  <c r="AF1186" i="14"/>
  <c r="AI1186" i="14" s="1"/>
  <c r="AF1185" i="14"/>
  <c r="AI1185" i="14" s="1"/>
  <c r="AI1110" i="14"/>
  <c r="AI1109" i="14"/>
  <c r="AI1108" i="14"/>
  <c r="AI1106" i="14"/>
  <c r="AI1105" i="14"/>
  <c r="AI1104" i="14"/>
  <c r="AI1103" i="14"/>
  <c r="AI1102" i="14"/>
  <c r="AI1101" i="14"/>
  <c r="AI1100" i="14"/>
  <c r="AI1099" i="14"/>
  <c r="AI1098" i="14"/>
  <c r="AI1097" i="14"/>
  <c r="AI1096" i="14"/>
  <c r="AI1095" i="14"/>
  <c r="AI1094" i="14"/>
  <c r="AI1093" i="14"/>
  <c r="AI1092" i="14"/>
  <c r="AI1091" i="14"/>
  <c r="AI1090" i="14"/>
  <c r="AI1089" i="14"/>
  <c r="AI1088" i="14"/>
  <c r="AI1087" i="14"/>
  <c r="AI1086" i="14"/>
  <c r="AI1085" i="14"/>
  <c r="AI1084" i="14"/>
  <c r="AI1083" i="14"/>
  <c r="AI1082" i="14"/>
  <c r="AI1081" i="14"/>
  <c r="AI1080" i="14"/>
  <c r="AI1079" i="14"/>
  <c r="AI1078" i="14"/>
  <c r="AI1077" i="14"/>
  <c r="AI1076" i="14"/>
  <c r="AF1033" i="14"/>
  <c r="AI1033" i="14" s="1"/>
  <c r="AF1032" i="14"/>
  <c r="AI1032" i="14" s="1"/>
  <c r="AF1028" i="14"/>
  <c r="AI1028" i="14" s="1"/>
  <c r="AI1022" i="14"/>
  <c r="AI1021" i="14"/>
  <c r="AI1020" i="14"/>
  <c r="AI1019" i="14"/>
  <c r="AI1018" i="14"/>
  <c r="AI1017" i="14"/>
  <c r="AI1014" i="14"/>
  <c r="AI1011" i="14"/>
  <c r="AI870" i="14"/>
  <c r="AI874" i="14"/>
  <c r="AI1107" i="14" l="1"/>
  <c r="AF1196" i="14"/>
  <c r="AI1196" i="14" s="1"/>
  <c r="AQ1196" i="14" s="1"/>
  <c r="AP1196" i="14" s="1"/>
  <c r="AF1195" i="14"/>
  <c r="AI1195" i="14" s="1"/>
  <c r="AQ1195" i="14" s="1"/>
  <c r="AP1195" i="14" s="1"/>
  <c r="AF1194" i="14"/>
  <c r="AI1194" i="14" s="1"/>
  <c r="AQ1194" i="14" s="1"/>
  <c r="AP1194" i="14" s="1"/>
  <c r="AF1193" i="14"/>
  <c r="AI1193" i="14" s="1"/>
  <c r="AQ1193" i="14" s="1"/>
  <c r="AP1193" i="14" s="1"/>
  <c r="AF1192" i="14"/>
  <c r="AI1192" i="14" s="1"/>
  <c r="AQ1192" i="14" s="1"/>
  <c r="AP1192" i="14" s="1"/>
  <c r="AF1191" i="14"/>
  <c r="AI1191" i="14" s="1"/>
  <c r="AQ1191" i="14" s="1"/>
  <c r="AP1191" i="14" s="1"/>
  <c r="AF1184" i="14"/>
  <c r="AI1184" i="14" s="1"/>
  <c r="AF1182" i="14"/>
  <c r="AI1182" i="14" s="1"/>
  <c r="AF1180" i="14"/>
  <c r="AI1180" i="14" s="1"/>
  <c r="AF1179" i="14"/>
  <c r="AI1179" i="14" s="1"/>
  <c r="AF1178" i="14"/>
  <c r="AI1178" i="14" s="1"/>
  <c r="AF1177" i="14"/>
  <c r="AI1177" i="14" s="1"/>
  <c r="AF1176" i="14"/>
  <c r="AI1176" i="14" s="1"/>
  <c r="AF1170" i="14"/>
  <c r="AI1170" i="14" s="1"/>
  <c r="AF1169" i="14"/>
  <c r="AI1169" i="14" s="1"/>
  <c r="AF1168" i="14"/>
  <c r="AI1168" i="14" s="1"/>
  <c r="AF1167" i="14"/>
  <c r="AI1167" i="14" s="1"/>
  <c r="AF1166" i="14"/>
  <c r="AI1166" i="14" s="1"/>
  <c r="AF1160" i="14"/>
  <c r="AI1160" i="14" s="1"/>
  <c r="AF1159" i="14"/>
  <c r="AI1159" i="14" s="1"/>
  <c r="AF1158" i="14"/>
  <c r="AI1158" i="14" s="1"/>
  <c r="AF1157" i="14"/>
  <c r="AI1157" i="14" s="1"/>
  <c r="AF1156" i="14"/>
  <c r="AI1156" i="14" s="1"/>
  <c r="AF1150" i="14"/>
  <c r="AI1150" i="14" s="1"/>
  <c r="AF1149" i="14"/>
  <c r="AI1149" i="14" s="1"/>
  <c r="AF1148" i="14"/>
  <c r="AI1148" i="14" s="1"/>
  <c r="AF1147" i="14"/>
  <c r="AI1147" i="14" s="1"/>
  <c r="AF1146" i="14"/>
  <c r="AI1146" i="14" s="1"/>
  <c r="AF1140" i="14"/>
  <c r="AI1140" i="14" s="1"/>
  <c r="AF1139" i="14"/>
  <c r="AI1139" i="14" s="1"/>
  <c r="AF1138" i="14"/>
  <c r="AI1138" i="14" s="1"/>
  <c r="AF1137" i="14"/>
  <c r="AI1137" i="14" s="1"/>
  <c r="AF1136" i="14"/>
  <c r="AI1136" i="14" s="1"/>
  <c r="AF1130" i="14"/>
  <c r="AI1130" i="14" s="1"/>
  <c r="AF1129" i="14"/>
  <c r="AI1129" i="14" s="1"/>
  <c r="AF1128" i="14"/>
  <c r="AI1128" i="14" s="1"/>
  <c r="AF1127" i="14"/>
  <c r="AI1127" i="14" s="1"/>
  <c r="AF1126" i="14"/>
  <c r="AI1126" i="14" s="1"/>
  <c r="AF1120" i="14"/>
  <c r="AI1120" i="14" s="1"/>
  <c r="AF1119" i="14"/>
  <c r="AI1119" i="14" s="1"/>
  <c r="AF1118" i="14"/>
  <c r="AI1118" i="14" s="1"/>
  <c r="AF1117" i="14"/>
  <c r="AI1117" i="14" s="1"/>
  <c r="AF1116" i="14"/>
  <c r="AI1116" i="14" s="1"/>
  <c r="AU1196" i="14"/>
  <c r="AV1196" i="14" s="1"/>
  <c r="AU1195" i="14"/>
  <c r="AV1195" i="14" s="1"/>
  <c r="AU1194" i="14"/>
  <c r="AV1194" i="14" s="1"/>
  <c r="AU1193" i="14"/>
  <c r="AV1193" i="14" s="1"/>
  <c r="AU1192" i="14"/>
  <c r="AV1192" i="14" s="1"/>
  <c r="AU1191" i="14"/>
  <c r="AV1191" i="14" s="1"/>
  <c r="AI1054" i="14"/>
  <c r="AI1053" i="14"/>
  <c r="AI1052" i="14"/>
  <c r="AI1051" i="14"/>
  <c r="AI1050" i="14"/>
  <c r="AI1049" i="14"/>
  <c r="AI1048" i="14"/>
  <c r="AI1047" i="14"/>
  <c r="AI1046" i="14"/>
  <c r="AI1045" i="14"/>
  <c r="AI1044" i="14"/>
  <c r="AI1043" i="14"/>
  <c r="AI1042" i="14"/>
  <c r="AI1041" i="14"/>
  <c r="AI1040" i="14"/>
  <c r="AI1039" i="14"/>
  <c r="AI1038" i="14"/>
  <c r="AI1037" i="14"/>
  <c r="AI1036" i="14"/>
  <c r="AU1035" i="14"/>
  <c r="AV1035" i="14" s="1"/>
  <c r="AU1034" i="14"/>
  <c r="AV1034" i="14" s="1"/>
  <c r="AF1035" i="14"/>
  <c r="AI1035" i="14" s="1"/>
  <c r="AF1034" i="14"/>
  <c r="AI1034" i="14" s="1"/>
  <c r="AF1029" i="14"/>
  <c r="AI1029" i="14" s="1"/>
  <c r="AQ1029" i="14" s="1"/>
  <c r="AP1029" i="14" s="1"/>
  <c r="AU1029" i="14"/>
  <c r="AV1029" i="14" s="1"/>
  <c r="AU1027" i="14"/>
  <c r="AV1027" i="14" s="1"/>
  <c r="AI1027" i="14"/>
  <c r="AU1026" i="14"/>
  <c r="AV1026" i="14" s="1"/>
  <c r="AI1026" i="14"/>
  <c r="AU1025" i="14"/>
  <c r="AV1025" i="14" s="1"/>
  <c r="AI1025" i="14"/>
  <c r="AU1024" i="14"/>
  <c r="AV1024" i="14" s="1"/>
  <c r="AI1024" i="14"/>
  <c r="AU1023" i="14"/>
  <c r="AV1023" i="14" s="1"/>
  <c r="AI1023" i="14"/>
  <c r="AI1012" i="14"/>
  <c r="S1212" i="14"/>
  <c r="AF1212" i="14" s="1"/>
  <c r="AI1212" i="14" s="1"/>
  <c r="S1211" i="14"/>
  <c r="AF1211" i="14" s="1"/>
  <c r="AI1211" i="14" s="1"/>
  <c r="S1210" i="14"/>
  <c r="AF1210" i="14" s="1"/>
  <c r="AI1210" i="14" s="1"/>
  <c r="S1209" i="14"/>
  <c r="AF1209" i="14" s="1"/>
  <c r="AI1209" i="14" s="1"/>
  <c r="S1208" i="14"/>
  <c r="AF1208" i="14" s="1"/>
  <c r="AI1208" i="14" s="1"/>
  <c r="S1207" i="14"/>
  <c r="AF1207" i="14" s="1"/>
  <c r="AI1207" i="14" s="1"/>
  <c r="S1206" i="14"/>
  <c r="AF1206" i="14" s="1"/>
  <c r="AI1206" i="14" s="1"/>
  <c r="S1205" i="14"/>
  <c r="AF1205" i="14" s="1"/>
  <c r="AI1205" i="14" s="1"/>
  <c r="S1204" i="14"/>
  <c r="AF1204" i="14" s="1"/>
  <c r="AI1204" i="14" s="1"/>
  <c r="S1203" i="14"/>
  <c r="AF1203" i="14" s="1"/>
  <c r="AI1203" i="14" s="1"/>
  <c r="S1202" i="14"/>
  <c r="AF1202" i="14" s="1"/>
  <c r="AI1202" i="14" s="1"/>
  <c r="S1201" i="14"/>
  <c r="AF1201" i="14" s="1"/>
  <c r="AI1201" i="14" s="1"/>
  <c r="S1200" i="14"/>
  <c r="AF1200" i="14" s="1"/>
  <c r="AI1200" i="14" s="1"/>
  <c r="S1199" i="14"/>
  <c r="AF1199" i="14" s="1"/>
  <c r="AI1199" i="14" s="1"/>
  <c r="S1198" i="14"/>
  <c r="AF1198" i="14" s="1"/>
  <c r="AI1198" i="14" s="1"/>
  <c r="D1198" i="14"/>
  <c r="D1199" i="14" s="1"/>
  <c r="D1200" i="14" s="1"/>
  <c r="D1201" i="14" s="1"/>
  <c r="D1202" i="14" s="1"/>
  <c r="D1203" i="14" s="1"/>
  <c r="D1204" i="14" s="1"/>
  <c r="D1205" i="14" s="1"/>
  <c r="D1206" i="14" s="1"/>
  <c r="D1207" i="14" s="1"/>
  <c r="D1208" i="14" s="1"/>
  <c r="D1209" i="14" s="1"/>
  <c r="D1210" i="14" s="1"/>
  <c r="D1211" i="14" s="1"/>
  <c r="D1212" i="14" s="1"/>
  <c r="S1197" i="14"/>
  <c r="AF1197" i="14" s="1"/>
  <c r="AI1197" i="14" s="1"/>
  <c r="S1184" i="14"/>
  <c r="AU1184" i="14" s="1"/>
  <c r="AV1184" i="14" s="1"/>
  <c r="S1183" i="14"/>
  <c r="AF1183" i="14" s="1"/>
  <c r="AI1183" i="14" s="1"/>
  <c r="S1182" i="14"/>
  <c r="AU1182" i="14" s="1"/>
  <c r="AV1182" i="14" s="1"/>
  <c r="S1181" i="14"/>
  <c r="AF1181" i="14" s="1"/>
  <c r="AI1181" i="14" s="1"/>
  <c r="S1180" i="14"/>
  <c r="AU1180" i="14" s="1"/>
  <c r="AV1180" i="14" s="1"/>
  <c r="S1179" i="14"/>
  <c r="AU1179" i="14" s="1"/>
  <c r="AV1179" i="14" s="1"/>
  <c r="S1178" i="14"/>
  <c r="AU1178" i="14" s="1"/>
  <c r="AV1178" i="14" s="1"/>
  <c r="S1177" i="14"/>
  <c r="AU1177" i="14" s="1"/>
  <c r="AV1177" i="14" s="1"/>
  <c r="S1176" i="14"/>
  <c r="AU1176" i="14" s="1"/>
  <c r="AV1176" i="14" s="1"/>
  <c r="S1175" i="14"/>
  <c r="AF1175" i="14" s="1"/>
  <c r="AI1175" i="14" s="1"/>
  <c r="S1174" i="14"/>
  <c r="AF1174" i="14" s="1"/>
  <c r="AI1174" i="14" s="1"/>
  <c r="S1173" i="14"/>
  <c r="AF1173" i="14" s="1"/>
  <c r="AI1173" i="14" s="1"/>
  <c r="S1172" i="14"/>
  <c r="AF1172" i="14" s="1"/>
  <c r="AI1172" i="14" s="1"/>
  <c r="S1171" i="14"/>
  <c r="AF1171" i="14" s="1"/>
  <c r="AI1171" i="14" s="1"/>
  <c r="S1170" i="14"/>
  <c r="AU1170" i="14" s="1"/>
  <c r="AV1170" i="14" s="1"/>
  <c r="S1169" i="14"/>
  <c r="AU1169" i="14" s="1"/>
  <c r="AV1169" i="14" s="1"/>
  <c r="S1168" i="14"/>
  <c r="AU1168" i="14" s="1"/>
  <c r="AV1168" i="14" s="1"/>
  <c r="S1167" i="14"/>
  <c r="AU1167" i="14" s="1"/>
  <c r="AV1167" i="14" s="1"/>
  <c r="S1166" i="14"/>
  <c r="AU1166" i="14" s="1"/>
  <c r="AV1166" i="14" s="1"/>
  <c r="S1165" i="14"/>
  <c r="AF1165" i="14" s="1"/>
  <c r="AI1165" i="14" s="1"/>
  <c r="S1164" i="14"/>
  <c r="AF1164" i="14" s="1"/>
  <c r="AI1164" i="14" s="1"/>
  <c r="S1163" i="14"/>
  <c r="AF1163" i="14" s="1"/>
  <c r="AI1163" i="14" s="1"/>
  <c r="S1162" i="14"/>
  <c r="AF1162" i="14" s="1"/>
  <c r="AI1162" i="14" s="1"/>
  <c r="S1161" i="14"/>
  <c r="AF1161" i="14" s="1"/>
  <c r="AI1161" i="14" s="1"/>
  <c r="S1160" i="14"/>
  <c r="AU1160" i="14" s="1"/>
  <c r="AV1160" i="14" s="1"/>
  <c r="S1159" i="14"/>
  <c r="AU1159" i="14" s="1"/>
  <c r="AV1159" i="14" s="1"/>
  <c r="S1158" i="14"/>
  <c r="AU1158" i="14" s="1"/>
  <c r="AV1158" i="14" s="1"/>
  <c r="S1157" i="14"/>
  <c r="AU1157" i="14" s="1"/>
  <c r="AV1157" i="14" s="1"/>
  <c r="S1156" i="14"/>
  <c r="AU1156" i="14" s="1"/>
  <c r="AV1156" i="14" s="1"/>
  <c r="S1155" i="14"/>
  <c r="AF1155" i="14" s="1"/>
  <c r="AI1155" i="14" s="1"/>
  <c r="S1154" i="14"/>
  <c r="AF1154" i="14" s="1"/>
  <c r="AI1154" i="14" s="1"/>
  <c r="S1153" i="14"/>
  <c r="AF1153" i="14" s="1"/>
  <c r="AI1153" i="14" s="1"/>
  <c r="S1152" i="14"/>
  <c r="AF1152" i="14" s="1"/>
  <c r="AI1152" i="14" s="1"/>
  <c r="S1151" i="14"/>
  <c r="AF1151" i="14" s="1"/>
  <c r="AI1151" i="14" s="1"/>
  <c r="S1150" i="14"/>
  <c r="AU1150" i="14" s="1"/>
  <c r="AV1150" i="14" s="1"/>
  <c r="S1149" i="14"/>
  <c r="AU1149" i="14" s="1"/>
  <c r="AV1149" i="14" s="1"/>
  <c r="S1148" i="14"/>
  <c r="AU1148" i="14" s="1"/>
  <c r="AV1148" i="14" s="1"/>
  <c r="S1147" i="14"/>
  <c r="AU1147" i="14" s="1"/>
  <c r="AV1147" i="14" s="1"/>
  <c r="S1146" i="14"/>
  <c r="AU1146" i="14" s="1"/>
  <c r="AV1146" i="14" s="1"/>
  <c r="S1145" i="14"/>
  <c r="AF1145" i="14" s="1"/>
  <c r="AI1145" i="14" s="1"/>
  <c r="S1144" i="14"/>
  <c r="AF1144" i="14" s="1"/>
  <c r="AI1144" i="14" s="1"/>
  <c r="S1143" i="14"/>
  <c r="AF1143" i="14" s="1"/>
  <c r="AI1143" i="14" s="1"/>
  <c r="S1142" i="14"/>
  <c r="AF1142" i="14" s="1"/>
  <c r="AI1142" i="14" s="1"/>
  <c r="S1141" i="14"/>
  <c r="AF1141" i="14" s="1"/>
  <c r="AI1141" i="14" s="1"/>
  <c r="S1140" i="14"/>
  <c r="AU1140" i="14" s="1"/>
  <c r="AV1140" i="14" s="1"/>
  <c r="S1139" i="14"/>
  <c r="AU1139" i="14" s="1"/>
  <c r="AV1139" i="14" s="1"/>
  <c r="S1138" i="14"/>
  <c r="AU1138" i="14" s="1"/>
  <c r="AV1138" i="14" s="1"/>
  <c r="S1137" i="14"/>
  <c r="AU1137" i="14" s="1"/>
  <c r="AV1137" i="14" s="1"/>
  <c r="S1136" i="14"/>
  <c r="AU1136" i="14" s="1"/>
  <c r="AV1136" i="14" s="1"/>
  <c r="S1135" i="14"/>
  <c r="AF1135" i="14" s="1"/>
  <c r="AI1135" i="14" s="1"/>
  <c r="S1134" i="14"/>
  <c r="AF1134" i="14" s="1"/>
  <c r="AI1134" i="14" s="1"/>
  <c r="S1133" i="14"/>
  <c r="AF1133" i="14" s="1"/>
  <c r="AI1133" i="14" s="1"/>
  <c r="S1132" i="14"/>
  <c r="AF1132" i="14" s="1"/>
  <c r="AI1132" i="14" s="1"/>
  <c r="S1131" i="14"/>
  <c r="AF1131" i="14" s="1"/>
  <c r="AI1131" i="14" s="1"/>
  <c r="S1130" i="14"/>
  <c r="AU1130" i="14" s="1"/>
  <c r="AV1130" i="14" s="1"/>
  <c r="S1129" i="14"/>
  <c r="AU1129" i="14" s="1"/>
  <c r="AV1129" i="14" s="1"/>
  <c r="S1128" i="14"/>
  <c r="AU1128" i="14" s="1"/>
  <c r="AV1128" i="14" s="1"/>
  <c r="S1127" i="14"/>
  <c r="AU1127" i="14" s="1"/>
  <c r="AV1127" i="14" s="1"/>
  <c r="S1126" i="14"/>
  <c r="AU1126" i="14" s="1"/>
  <c r="AV1126" i="14" s="1"/>
  <c r="S1125" i="14"/>
  <c r="AF1125" i="14" s="1"/>
  <c r="AI1125" i="14" s="1"/>
  <c r="S1124" i="14"/>
  <c r="AF1124" i="14" s="1"/>
  <c r="AI1124" i="14" s="1"/>
  <c r="S1123" i="14"/>
  <c r="AF1123" i="14" s="1"/>
  <c r="AI1123" i="14" s="1"/>
  <c r="S1122" i="14"/>
  <c r="AF1122" i="14" s="1"/>
  <c r="AI1122" i="14" s="1"/>
  <c r="S1121" i="14"/>
  <c r="AF1121" i="14" s="1"/>
  <c r="AI1121" i="14" s="1"/>
  <c r="S1120" i="14"/>
  <c r="AU1120" i="14" s="1"/>
  <c r="AV1120" i="14" s="1"/>
  <c r="S1119" i="14"/>
  <c r="AU1119" i="14" s="1"/>
  <c r="AV1119" i="14" s="1"/>
  <c r="S1118" i="14"/>
  <c r="AU1118" i="14" s="1"/>
  <c r="AV1118" i="14" s="1"/>
  <c r="S1117" i="14"/>
  <c r="AU1117" i="14" s="1"/>
  <c r="AV1117" i="14" s="1"/>
  <c r="S1116" i="14"/>
  <c r="AU1116" i="14" s="1"/>
  <c r="AV1116" i="14" s="1"/>
  <c r="S1115" i="14"/>
  <c r="AF1115" i="14" s="1"/>
  <c r="AI1115" i="14" s="1"/>
  <c r="S1114" i="14"/>
  <c r="AF1114" i="14" s="1"/>
  <c r="AI1114" i="14" s="1"/>
  <c r="S1113" i="14"/>
  <c r="AF1113" i="14" s="1"/>
  <c r="AI1113" i="14" s="1"/>
  <c r="S1112" i="14"/>
  <c r="AF1112" i="14" s="1"/>
  <c r="AI1112" i="14" s="1"/>
  <c r="S1111" i="14"/>
  <c r="AF1111" i="14" s="1"/>
  <c r="AI1111" i="14" s="1"/>
  <c r="U1110" i="14"/>
  <c r="S1110" i="14" s="1"/>
  <c r="U1109" i="14"/>
  <c r="S1109" i="14" s="1"/>
  <c r="U1108" i="14"/>
  <c r="S1108" i="14" s="1"/>
  <c r="U1107" i="14"/>
  <c r="S1107" i="14" s="1"/>
  <c r="AU1107" i="14" s="1"/>
  <c r="AV1107" i="14" s="1"/>
  <c r="U1106" i="14"/>
  <c r="S1106" i="14" s="1"/>
  <c r="S1105" i="14"/>
  <c r="I1105" i="14"/>
  <c r="S1104" i="14"/>
  <c r="I1104" i="14"/>
  <c r="S1103" i="14"/>
  <c r="I1103" i="14"/>
  <c r="S1102" i="14"/>
  <c r="I1102" i="14"/>
  <c r="S1101" i="14"/>
  <c r="I1101" i="14"/>
  <c r="T1100" i="14"/>
  <c r="U1100" i="14" s="1"/>
  <c r="T1099" i="14"/>
  <c r="U1099" i="14" s="1"/>
  <c r="U1098" i="14"/>
  <c r="T1098" i="14"/>
  <c r="S1097" i="14"/>
  <c r="S1096" i="14"/>
  <c r="S1095" i="14"/>
  <c r="S1094" i="14"/>
  <c r="S1093" i="14"/>
  <c r="S1092" i="14"/>
  <c r="S1091" i="14"/>
  <c r="S1090" i="14"/>
  <c r="S1089" i="14"/>
  <c r="S1088" i="14"/>
  <c r="S1087" i="14"/>
  <c r="S1086" i="14"/>
  <c r="S1085" i="14"/>
  <c r="S1084" i="14"/>
  <c r="S1083" i="14"/>
  <c r="S1082" i="14"/>
  <c r="S1081" i="14"/>
  <c r="S1080" i="14"/>
  <c r="S1079" i="14"/>
  <c r="S1078" i="14"/>
  <c r="S1077" i="14"/>
  <c r="S1076" i="14"/>
  <c r="T1075" i="14"/>
  <c r="U1075" i="14" s="1"/>
  <c r="T1074" i="14"/>
  <c r="U1074" i="14" s="1"/>
  <c r="T1073" i="14"/>
  <c r="U1073" i="14" s="1"/>
  <c r="T1072" i="14"/>
  <c r="AF1072" i="14" s="1"/>
  <c r="AI1072" i="14" s="1"/>
  <c r="T1071" i="14"/>
  <c r="U1071" i="14" s="1"/>
  <c r="S1071" i="14" s="1"/>
  <c r="T1070" i="14"/>
  <c r="U1070" i="14" s="1"/>
  <c r="S1070" i="14" s="1"/>
  <c r="AF1070" i="14" s="1"/>
  <c r="AI1070" i="14" s="1"/>
  <c r="T1069" i="14"/>
  <c r="U1069" i="14" s="1"/>
  <c r="T1068" i="14"/>
  <c r="T1067" i="14"/>
  <c r="U1067" i="14" s="1"/>
  <c r="T1066" i="14"/>
  <c r="U1066" i="14" s="1"/>
  <c r="T1065" i="14"/>
  <c r="U1065" i="14" s="1"/>
  <c r="T1064" i="14"/>
  <c r="U1064" i="14" s="1"/>
  <c r="S1064" i="14" s="1"/>
  <c r="AF1064" i="14" s="1"/>
  <c r="AI1064" i="14" s="1"/>
  <c r="T1063" i="14"/>
  <c r="AF1063" i="14" s="1"/>
  <c r="AI1063" i="14" s="1"/>
  <c r="T1062" i="14"/>
  <c r="U1062" i="14" s="1"/>
  <c r="S1062" i="14" s="1"/>
  <c r="T1061" i="14"/>
  <c r="U1061" i="14" s="1"/>
  <c r="T1060" i="14"/>
  <c r="AF1060" i="14" s="1"/>
  <c r="AI1060" i="14" s="1"/>
  <c r="T1059" i="14"/>
  <c r="U1059" i="14" s="1"/>
  <c r="T1058" i="14"/>
  <c r="U1058" i="14" s="1"/>
  <c r="U1057" i="14"/>
  <c r="T1057" i="14"/>
  <c r="AF1057" i="14" s="1"/>
  <c r="AI1057" i="14" s="1"/>
  <c r="T1056" i="14"/>
  <c r="U1056" i="14" s="1"/>
  <c r="S1056" i="14" s="1"/>
  <c r="T1055" i="14"/>
  <c r="U1055" i="14" s="1"/>
  <c r="S1055" i="14" s="1"/>
  <c r="AF1055" i="14" s="1"/>
  <c r="AI1055" i="14" s="1"/>
  <c r="S1054" i="14"/>
  <c r="AU1054" i="14" s="1"/>
  <c r="AV1054" i="14" s="1"/>
  <c r="U1053" i="14"/>
  <c r="T1053" i="14"/>
  <c r="U1052" i="14"/>
  <c r="T1052" i="14"/>
  <c r="U1051" i="14"/>
  <c r="T1051" i="14"/>
  <c r="S1051" i="14" s="1"/>
  <c r="AU1051" i="14" s="1"/>
  <c r="AV1051" i="14" s="1"/>
  <c r="U1050" i="14"/>
  <c r="T1050" i="14"/>
  <c r="U1049" i="14"/>
  <c r="T1049" i="14"/>
  <c r="U1048" i="14"/>
  <c r="T1048" i="14"/>
  <c r="U1047" i="14"/>
  <c r="T1047" i="14"/>
  <c r="S1047" i="14" s="1"/>
  <c r="AU1047" i="14" s="1"/>
  <c r="AV1047" i="14" s="1"/>
  <c r="U1046" i="14"/>
  <c r="T1046" i="14"/>
  <c r="U1045" i="14"/>
  <c r="T1045" i="14"/>
  <c r="S1045" i="14" s="1"/>
  <c r="AU1045" i="14" s="1"/>
  <c r="AV1045" i="14" s="1"/>
  <c r="U1044" i="14"/>
  <c r="T1044" i="14"/>
  <c r="S1044" i="14" s="1"/>
  <c r="AU1044" i="14" s="1"/>
  <c r="AV1044" i="14" s="1"/>
  <c r="U1043" i="14"/>
  <c r="T1043" i="14"/>
  <c r="S1043" i="14" s="1"/>
  <c r="AU1043" i="14" s="1"/>
  <c r="AV1043" i="14" s="1"/>
  <c r="U1042" i="14"/>
  <c r="T1042" i="14"/>
  <c r="U1041" i="14"/>
  <c r="T1041" i="14"/>
  <c r="S1041" i="14" s="1"/>
  <c r="AU1041" i="14" s="1"/>
  <c r="AV1041" i="14" s="1"/>
  <c r="U1040" i="14"/>
  <c r="T1040" i="14"/>
  <c r="U1039" i="14"/>
  <c r="T1039" i="14"/>
  <c r="U1038" i="14"/>
  <c r="T1038" i="14"/>
  <c r="U1037" i="14"/>
  <c r="T1037" i="14"/>
  <c r="U1036" i="14"/>
  <c r="T1036" i="14"/>
  <c r="T1035" i="14"/>
  <c r="U1035" i="14" s="1"/>
  <c r="T1034" i="14"/>
  <c r="U1034" i="14" s="1"/>
  <c r="T1033" i="14"/>
  <c r="U1033" i="14" s="1"/>
  <c r="T1032" i="14"/>
  <c r="U1032" i="14" s="1"/>
  <c r="S1031" i="14"/>
  <c r="AF1031" i="14" s="1"/>
  <c r="AI1031" i="14" s="1"/>
  <c r="AQ1031" i="14" s="1"/>
  <c r="AP1031" i="14" s="1"/>
  <c r="S1030" i="14"/>
  <c r="AF1030" i="14" s="1"/>
  <c r="AI1030" i="14" s="1"/>
  <c r="T1027" i="14"/>
  <c r="U1027" i="14" s="1"/>
  <c r="T1026" i="14"/>
  <c r="U1026" i="14" s="1"/>
  <c r="T1025" i="14"/>
  <c r="U1025" i="14" s="1"/>
  <c r="T1024" i="14"/>
  <c r="U1024" i="14" s="1"/>
  <c r="I1024" i="14"/>
  <c r="T1023" i="14"/>
  <c r="U1023" i="14" s="1"/>
  <c r="T1022" i="14"/>
  <c r="U1022" i="14" s="1"/>
  <c r="T1021" i="14"/>
  <c r="U1021" i="14" s="1"/>
  <c r="T1020" i="14"/>
  <c r="U1020" i="14" s="1"/>
  <c r="T1019" i="14"/>
  <c r="U1019" i="14" s="1"/>
  <c r="I1019" i="14"/>
  <c r="T1018" i="14"/>
  <c r="U1018" i="14" s="1"/>
  <c r="AC94" i="25"/>
  <c r="AA94" i="25"/>
  <c r="AC93" i="25"/>
  <c r="AA93" i="25"/>
  <c r="AA92" i="25"/>
  <c r="AA91" i="25"/>
  <c r="S1048" i="14" l="1"/>
  <c r="AU1048" i="14" s="1"/>
  <c r="AV1048" i="14" s="1"/>
  <c r="S1046" i="14"/>
  <c r="AU1046" i="14" s="1"/>
  <c r="AV1046" i="14" s="1"/>
  <c r="S1040" i="14"/>
  <c r="AU1040" i="14" s="1"/>
  <c r="AV1040" i="14" s="1"/>
  <c r="S1052" i="14"/>
  <c r="AU1052" i="14" s="1"/>
  <c r="AV1052" i="14" s="1"/>
  <c r="U1063" i="14"/>
  <c r="S1063" i="14" s="1"/>
  <c r="AU1063" i="14" s="1"/>
  <c r="AV1063" i="14" s="1"/>
  <c r="S1038" i="14"/>
  <c r="AU1038" i="14" s="1"/>
  <c r="AV1038" i="14" s="1"/>
  <c r="S1049" i="14"/>
  <c r="AU1049" i="14" s="1"/>
  <c r="AV1049" i="14" s="1"/>
  <c r="S1053" i="14"/>
  <c r="AU1053" i="14" s="1"/>
  <c r="AV1053" i="14" s="1"/>
  <c r="S1039" i="14"/>
  <c r="AU1039" i="14" s="1"/>
  <c r="AV1039" i="14" s="1"/>
  <c r="AF1066" i="14"/>
  <c r="AI1066" i="14" s="1"/>
  <c r="AF1069" i="14"/>
  <c r="AI1069" i="14" s="1"/>
  <c r="U1072" i="14"/>
  <c r="S1072" i="14" s="1"/>
  <c r="AU1072" i="14" s="1"/>
  <c r="AV1072" i="14" s="1"/>
  <c r="AF1075" i="14"/>
  <c r="AI1075" i="14" s="1"/>
  <c r="S1036" i="14"/>
  <c r="AU1036" i="14" s="1"/>
  <c r="AV1036" i="14" s="1"/>
  <c r="S1042" i="14"/>
  <c r="AU1042" i="14" s="1"/>
  <c r="AV1042" i="14" s="1"/>
  <c r="S1037" i="14"/>
  <c r="AU1037" i="14" s="1"/>
  <c r="AV1037" i="14" s="1"/>
  <c r="S1050" i="14"/>
  <c r="AU1050" i="14" s="1"/>
  <c r="AV1050" i="14" s="1"/>
  <c r="AS1029" i="14"/>
  <c r="AQ1027" i="14"/>
  <c r="AP1027" i="14" s="1"/>
  <c r="AS1027" i="14" s="1"/>
  <c r="AQ1024" i="14"/>
  <c r="AP1024" i="14" s="1"/>
  <c r="AS1024" i="14" s="1"/>
  <c r="AQ1046" i="14"/>
  <c r="AP1046" i="14" s="1"/>
  <c r="AS1046" i="14" s="1"/>
  <c r="AQ1054" i="14"/>
  <c r="AP1054" i="14" s="1"/>
  <c r="AS1054" i="14" s="1"/>
  <c r="AQ1034" i="14"/>
  <c r="AP1034" i="14" s="1"/>
  <c r="AS1034" i="14" s="1"/>
  <c r="AQ1025" i="14"/>
  <c r="AP1025" i="14" s="1"/>
  <c r="AS1025" i="14" s="1"/>
  <c r="AU1031" i="14"/>
  <c r="AV1031" i="14" s="1"/>
  <c r="AQ1047" i="14"/>
  <c r="AP1047" i="14" s="1"/>
  <c r="AS1047" i="14" s="1"/>
  <c r="AQ1026" i="14"/>
  <c r="AP1026" i="14" s="1"/>
  <c r="AS1026" i="14" s="1"/>
  <c r="AS1195" i="14"/>
  <c r="AQ1118" i="14"/>
  <c r="AP1118" i="14" s="1"/>
  <c r="AS1118" i="14" s="1"/>
  <c r="AQ1167" i="14"/>
  <c r="AP1167" i="14" s="1"/>
  <c r="AS1167" i="14" s="1"/>
  <c r="AQ1180" i="14"/>
  <c r="AP1180" i="14" s="1"/>
  <c r="AS1180" i="14" s="1"/>
  <c r="AQ1035" i="14"/>
  <c r="AP1035" i="14" s="1"/>
  <c r="AS1035" i="14" s="1"/>
  <c r="AQ1039" i="14"/>
  <c r="AP1039" i="14" s="1"/>
  <c r="AQ1120" i="14"/>
  <c r="AP1120" i="14" s="1"/>
  <c r="AS1120" i="14" s="1"/>
  <c r="AQ1156" i="14"/>
  <c r="AP1156" i="14" s="1"/>
  <c r="AS1156" i="14" s="1"/>
  <c r="AQ1169" i="14"/>
  <c r="AP1169" i="14" s="1"/>
  <c r="AS1169" i="14" s="1"/>
  <c r="AS1191" i="14"/>
  <c r="AQ1136" i="14"/>
  <c r="AP1136" i="14" s="1"/>
  <c r="AS1136" i="14" s="1"/>
  <c r="AQ1149" i="14"/>
  <c r="AP1149" i="14" s="1"/>
  <c r="AS1149" i="14" s="1"/>
  <c r="AQ1044" i="14"/>
  <c r="AP1044" i="14" s="1"/>
  <c r="AS1044" i="14" s="1"/>
  <c r="AQ1051" i="14"/>
  <c r="AP1051" i="14" s="1"/>
  <c r="AS1051" i="14" s="1"/>
  <c r="AQ1119" i="14"/>
  <c r="AP1119" i="14" s="1"/>
  <c r="AS1119" i="14" s="1"/>
  <c r="AQ1137" i="14"/>
  <c r="AP1137" i="14" s="1"/>
  <c r="AS1137" i="14" s="1"/>
  <c r="AQ1150" i="14"/>
  <c r="AP1150" i="14" s="1"/>
  <c r="AS1150" i="14" s="1"/>
  <c r="AQ1168" i="14"/>
  <c r="AP1168" i="14" s="1"/>
  <c r="AS1168" i="14" s="1"/>
  <c r="AQ1182" i="14"/>
  <c r="AP1182" i="14" s="1"/>
  <c r="AS1182" i="14" s="1"/>
  <c r="AQ1045" i="14"/>
  <c r="AP1045" i="14" s="1"/>
  <c r="AS1045" i="14" s="1"/>
  <c r="AQ1052" i="14"/>
  <c r="AP1052" i="14" s="1"/>
  <c r="AS1052" i="14" s="1"/>
  <c r="AQ1126" i="14"/>
  <c r="AP1126" i="14" s="1"/>
  <c r="AS1126" i="14" s="1"/>
  <c r="AQ1139" i="14"/>
  <c r="AP1139" i="14" s="1"/>
  <c r="AS1139" i="14" s="1"/>
  <c r="AQ1157" i="14"/>
  <c r="AP1157" i="14" s="1"/>
  <c r="AS1157" i="14" s="1"/>
  <c r="AQ1170" i="14"/>
  <c r="AP1170" i="14" s="1"/>
  <c r="AS1170" i="14" s="1"/>
  <c r="AQ1041" i="14"/>
  <c r="AP1041" i="14" s="1"/>
  <c r="AS1041" i="14" s="1"/>
  <c r="AQ1138" i="14"/>
  <c r="AP1138" i="14" s="1"/>
  <c r="AS1138" i="14" s="1"/>
  <c r="AQ1184" i="14"/>
  <c r="AP1184" i="14" s="1"/>
  <c r="AS1184" i="14" s="1"/>
  <c r="AQ1023" i="14"/>
  <c r="AP1023" i="14" s="1"/>
  <c r="AS1023" i="14" s="1"/>
  <c r="AQ1107" i="14"/>
  <c r="AP1107" i="14" s="1"/>
  <c r="AS1107" i="14" s="1"/>
  <c r="AQ1127" i="14"/>
  <c r="AP1127" i="14" s="1"/>
  <c r="AS1127" i="14" s="1"/>
  <c r="AQ1140" i="14"/>
  <c r="AP1140" i="14" s="1"/>
  <c r="AS1140" i="14" s="1"/>
  <c r="AQ1158" i="14"/>
  <c r="AP1158" i="14" s="1"/>
  <c r="AS1158" i="14" s="1"/>
  <c r="AQ1176" i="14"/>
  <c r="AP1176" i="14" s="1"/>
  <c r="AS1176" i="14" s="1"/>
  <c r="AQ1128" i="14"/>
  <c r="AP1128" i="14" s="1"/>
  <c r="AS1128" i="14" s="1"/>
  <c r="AQ1146" i="14"/>
  <c r="AP1146" i="14" s="1"/>
  <c r="AS1146" i="14" s="1"/>
  <c r="AQ1159" i="14"/>
  <c r="AP1159" i="14" s="1"/>
  <c r="AS1159" i="14" s="1"/>
  <c r="AQ1177" i="14"/>
  <c r="AP1177" i="14" s="1"/>
  <c r="AS1177" i="14" s="1"/>
  <c r="AQ1116" i="14"/>
  <c r="AP1116" i="14" s="1"/>
  <c r="AS1116" i="14" s="1"/>
  <c r="AQ1129" i="14"/>
  <c r="AP1129" i="14" s="1"/>
  <c r="AS1129" i="14" s="1"/>
  <c r="AQ1147" i="14"/>
  <c r="AP1147" i="14" s="1"/>
  <c r="AS1147" i="14" s="1"/>
  <c r="AQ1160" i="14"/>
  <c r="AP1160" i="14" s="1"/>
  <c r="AS1160" i="14" s="1"/>
  <c r="AQ1178" i="14"/>
  <c r="AP1178" i="14" s="1"/>
  <c r="AS1178" i="14" s="1"/>
  <c r="AQ1043" i="14"/>
  <c r="AP1043" i="14" s="1"/>
  <c r="AS1043" i="14" s="1"/>
  <c r="AQ1117" i="14"/>
  <c r="AP1117" i="14" s="1"/>
  <c r="AS1117" i="14" s="1"/>
  <c r="AQ1130" i="14"/>
  <c r="AP1130" i="14" s="1"/>
  <c r="AS1130" i="14" s="1"/>
  <c r="AQ1148" i="14"/>
  <c r="AP1148" i="14" s="1"/>
  <c r="AS1148" i="14" s="1"/>
  <c r="AQ1166" i="14"/>
  <c r="AP1166" i="14" s="1"/>
  <c r="AS1166" i="14" s="1"/>
  <c r="AQ1179" i="14"/>
  <c r="AP1179" i="14" s="1"/>
  <c r="AS1179" i="14" s="1"/>
  <c r="AS1193" i="14"/>
  <c r="AS1192" i="14"/>
  <c r="AS1196" i="14"/>
  <c r="AS1194" i="14"/>
  <c r="S1057" i="14"/>
  <c r="AU1057" i="14" s="1"/>
  <c r="AV1057" i="14" s="1"/>
  <c r="S1073" i="14"/>
  <c r="AF1073" i="14" s="1"/>
  <c r="AI1073" i="14" s="1"/>
  <c r="S1065" i="14"/>
  <c r="S1058" i="14"/>
  <c r="AF1058" i="14" s="1"/>
  <c r="AI1058" i="14" s="1"/>
  <c r="U1060" i="14"/>
  <c r="S1060" i="14" s="1"/>
  <c r="AU1060" i="14" s="1"/>
  <c r="AV1060" i="14" s="1"/>
  <c r="S1066" i="14"/>
  <c r="AU1066" i="14" s="1"/>
  <c r="AV1066" i="14" s="1"/>
  <c r="U1068" i="14"/>
  <c r="S1068" i="14" s="1"/>
  <c r="S1074" i="14"/>
  <c r="S1061" i="14"/>
  <c r="AF1061" i="14" s="1"/>
  <c r="AI1061" i="14" s="1"/>
  <c r="S1069" i="14"/>
  <c r="AU1069" i="14" s="1"/>
  <c r="AV1069" i="14" s="1"/>
  <c r="S1059" i="14"/>
  <c r="S1067" i="14"/>
  <c r="AF1067" i="14" s="1"/>
  <c r="AI1067" i="14" s="1"/>
  <c r="S1075" i="14"/>
  <c r="AU1075" i="14" s="1"/>
  <c r="AV1075" i="14" s="1"/>
  <c r="AA90" i="25"/>
  <c r="AB90" i="25"/>
  <c r="AC90" i="25"/>
  <c r="AD90" i="25" s="1"/>
  <c r="AQ1049" i="14" l="1"/>
  <c r="AP1049" i="14" s="1"/>
  <c r="AS1049" i="14" s="1"/>
  <c r="AQ1036" i="14"/>
  <c r="AP1036" i="14" s="1"/>
  <c r="AS1036" i="14" s="1"/>
  <c r="AQ1053" i="14"/>
  <c r="AP1053" i="14" s="1"/>
  <c r="AS1053" i="14" s="1"/>
  <c r="AQ1038" i="14"/>
  <c r="AP1038" i="14" s="1"/>
  <c r="AS1038" i="14" s="1"/>
  <c r="AQ1048" i="14"/>
  <c r="AP1048" i="14" s="1"/>
  <c r="AS1048" i="14" s="1"/>
  <c r="AS1039" i="14"/>
  <c r="AQ1072" i="14"/>
  <c r="AP1072" i="14" s="1"/>
  <c r="AS1072" i="14" s="1"/>
  <c r="AQ1040" i="14"/>
  <c r="AP1040" i="14" s="1"/>
  <c r="AS1040" i="14" s="1"/>
  <c r="AQ1063" i="14"/>
  <c r="AP1063" i="14" s="1"/>
  <c r="AS1063" i="14" s="1"/>
  <c r="AQ1042" i="14"/>
  <c r="AP1042" i="14" s="1"/>
  <c r="AS1042" i="14" s="1"/>
  <c r="AQ1050" i="14"/>
  <c r="AP1050" i="14" s="1"/>
  <c r="AS1050" i="14" s="1"/>
  <c r="AQ1037" i="14"/>
  <c r="AP1037" i="14" s="1"/>
  <c r="AS1037" i="14" s="1"/>
  <c r="AS1031" i="14"/>
  <c r="AQ1060" i="14"/>
  <c r="AP1060" i="14" s="1"/>
  <c r="AS1060" i="14" s="1"/>
  <c r="AQ1075" i="14"/>
  <c r="AP1075" i="14" s="1"/>
  <c r="AS1075" i="14" s="1"/>
  <c r="AQ1057" i="14"/>
  <c r="AP1057" i="14" s="1"/>
  <c r="AS1057" i="14" s="1"/>
  <c r="AQ1066" i="14"/>
  <c r="AP1066" i="14" s="1"/>
  <c r="AS1066" i="14" s="1"/>
  <c r="AQ1069" i="14"/>
  <c r="AP1069" i="14" s="1"/>
  <c r="AS1069" i="14" s="1"/>
  <c r="AU1012" i="14"/>
  <c r="AV1012" i="14" s="1"/>
  <c r="AU1010" i="14"/>
  <c r="AV1010" i="14" s="1"/>
  <c r="AI1016" i="14"/>
  <c r="AI1015" i="14"/>
  <c r="AI1013" i="14"/>
  <c r="AQ1012" i="14"/>
  <c r="AP1012" i="14" s="1"/>
  <c r="AI1010" i="14"/>
  <c r="AQ1010" i="14" s="1"/>
  <c r="AP1010" i="14" s="1"/>
  <c r="S1017" i="14"/>
  <c r="I1017" i="14"/>
  <c r="S1016" i="14"/>
  <c r="AU1016" i="14" s="1"/>
  <c r="AV1016" i="14" s="1"/>
  <c r="I1016" i="14"/>
  <c r="S1015" i="14"/>
  <c r="AU1015" i="14" s="1"/>
  <c r="AV1015" i="14" s="1"/>
  <c r="S1014" i="14"/>
  <c r="S1013" i="14"/>
  <c r="I1012" i="14"/>
  <c r="I1011" i="14"/>
  <c r="I1010" i="14"/>
  <c r="AQ1013" i="14" l="1"/>
  <c r="AP1013" i="14" s="1"/>
  <c r="AQ1016" i="14"/>
  <c r="AP1016" i="14" s="1"/>
  <c r="AS1016" i="14" s="1"/>
  <c r="AS1010" i="14"/>
  <c r="AQ1015" i="14"/>
  <c r="AP1015" i="14" s="1"/>
  <c r="AS1015" i="14" s="1"/>
  <c r="AU1013" i="14"/>
  <c r="AV1013" i="14" s="1"/>
  <c r="AS1012" i="14"/>
  <c r="AC75" i="25"/>
  <c r="AC74" i="25"/>
  <c r="AC73" i="25"/>
  <c r="AS1013" i="14" l="1"/>
  <c r="AE85" i="25"/>
  <c r="AC85" i="25"/>
  <c r="AE84" i="25"/>
  <c r="AD84" i="25"/>
  <c r="AC84" i="25"/>
  <c r="AC76" i="25"/>
  <c r="AC72" i="25"/>
  <c r="AD61" i="25"/>
  <c r="AE60" i="25"/>
  <c r="AD60" i="25"/>
  <c r="AC60" i="25"/>
  <c r="AB60" i="25"/>
  <c r="AC52" i="25"/>
  <c r="AB52" i="25"/>
  <c r="G52" i="25"/>
  <c r="AC51" i="25"/>
  <c r="AB51" i="25" s="1"/>
  <c r="G51" i="25"/>
  <c r="AC50" i="25"/>
  <c r="AB50" i="25" s="1"/>
  <c r="G50" i="25"/>
  <c r="AD48" i="25"/>
  <c r="AB48" i="25"/>
  <c r="AB28" i="25" l="1"/>
  <c r="AB45" i="25" l="1"/>
  <c r="AB38" i="25"/>
  <c r="AC38" i="25" s="1"/>
  <c r="AC7" i="25"/>
  <c r="AB10" i="25"/>
  <c r="AD10" i="25" s="1"/>
  <c r="AD15" i="25"/>
  <c r="AF16" i="25"/>
  <c r="AC4" i="25"/>
  <c r="AC27" i="25"/>
  <c r="AC47" i="25"/>
  <c r="AB24" i="25"/>
  <c r="AE5" i="25"/>
  <c r="AC5" i="25"/>
  <c r="I946" i="14" l="1"/>
  <c r="I945" i="14"/>
  <c r="I944" i="14"/>
  <c r="I943" i="14"/>
  <c r="I942" i="14"/>
  <c r="I941" i="14"/>
  <c r="I940" i="14"/>
  <c r="I938" i="14"/>
  <c r="I937" i="14"/>
  <c r="I936" i="14"/>
  <c r="I935" i="14"/>
  <c r="I934" i="14"/>
  <c r="I933" i="14"/>
  <c r="I932" i="14"/>
  <c r="I900" i="14" l="1"/>
  <c r="I899" i="14"/>
  <c r="I898" i="14"/>
  <c r="I897" i="14"/>
  <c r="I896" i="14"/>
  <c r="I895" i="14"/>
  <c r="I879" i="14"/>
  <c r="I878" i="14"/>
  <c r="I877" i="14"/>
  <c r="I875" i="14"/>
  <c r="I874" i="14"/>
  <c r="I873" i="14"/>
  <c r="I965" i="14" l="1"/>
  <c r="I964" i="14"/>
  <c r="I963" i="14"/>
  <c r="I975" i="14"/>
  <c r="I974" i="14"/>
  <c r="I973" i="14"/>
  <c r="I972" i="14"/>
  <c r="I971" i="14"/>
  <c r="I970" i="14"/>
  <c r="I969" i="14"/>
  <c r="I968" i="14"/>
  <c r="I967" i="14"/>
  <c r="I966" i="14"/>
  <c r="AU979" i="14" l="1"/>
  <c r="AV979" i="14" s="1"/>
  <c r="AU978" i="14"/>
  <c r="AV978" i="14" s="1"/>
  <c r="AU977" i="14"/>
  <c r="AV977" i="14" s="1"/>
  <c r="AU976" i="14"/>
  <c r="AV976" i="14" s="1"/>
  <c r="AI977" i="14"/>
  <c r="AI978" i="14"/>
  <c r="AI979" i="14"/>
  <c r="AI976" i="14"/>
  <c r="AF979" i="14"/>
  <c r="AF976" i="14"/>
  <c r="AF977" i="14"/>
  <c r="AF978" i="14"/>
  <c r="AI965" i="14"/>
  <c r="AI963" i="14"/>
  <c r="AI932" i="14"/>
  <c r="AI933" i="14"/>
  <c r="AI934" i="14"/>
  <c r="AI935" i="14"/>
  <c r="AI936" i="14"/>
  <c r="AI937" i="14"/>
  <c r="AI938" i="14"/>
  <c r="AI939" i="14"/>
  <c r="AI940" i="14"/>
  <c r="AI941" i="14"/>
  <c r="AI942" i="14"/>
  <c r="AI943" i="14"/>
  <c r="AI944" i="14"/>
  <c r="AI945" i="14"/>
  <c r="AI946" i="14"/>
  <c r="AI931" i="14"/>
  <c r="AU931" i="14"/>
  <c r="AV931" i="14" s="1"/>
  <c r="AU932" i="14"/>
  <c r="AV932" i="14" s="1"/>
  <c r="AU933" i="14"/>
  <c r="AV933" i="14" s="1"/>
  <c r="AU934" i="14"/>
  <c r="AV934" i="14" s="1"/>
  <c r="AU935" i="14"/>
  <c r="AV935" i="14" s="1"/>
  <c r="AU936" i="14"/>
  <c r="AV936" i="14" s="1"/>
  <c r="AU937" i="14"/>
  <c r="AV937" i="14" s="1"/>
  <c r="AU938" i="14"/>
  <c r="AV938" i="14" s="1"/>
  <c r="AU939" i="14"/>
  <c r="AV939" i="14" s="1"/>
  <c r="AU940" i="14"/>
  <c r="AV940" i="14" s="1"/>
  <c r="AU941" i="14"/>
  <c r="AV941" i="14" s="1"/>
  <c r="AU942" i="14"/>
  <c r="AV942" i="14" s="1"/>
  <c r="AU943" i="14"/>
  <c r="AV943" i="14" s="1"/>
  <c r="AU944" i="14"/>
  <c r="AV944" i="14" s="1"/>
  <c r="AU945" i="14"/>
  <c r="AV945" i="14" s="1"/>
  <c r="AU946" i="14"/>
  <c r="AV946" i="14" s="1"/>
  <c r="AU930" i="14"/>
  <c r="AV930" i="14" s="1"/>
  <c r="AU929" i="14"/>
  <c r="AV929" i="14" s="1"/>
  <c r="AU927" i="14"/>
  <c r="AV927" i="14" s="1"/>
  <c r="AU926" i="14"/>
  <c r="AU925" i="14"/>
  <c r="AV925" i="14" s="1"/>
  <c r="AU924" i="14"/>
  <c r="AV924" i="14" s="1"/>
  <c r="AU923" i="14"/>
  <c r="AV923" i="14" s="1"/>
  <c r="AU922" i="14"/>
  <c r="AV922" i="14" s="1"/>
  <c r="AU921" i="14"/>
  <c r="AV921" i="14" s="1"/>
  <c r="AU920" i="14"/>
  <c r="AV920" i="14" s="1"/>
  <c r="AU913" i="14"/>
  <c r="AV913" i="14" s="1"/>
  <c r="AU910" i="14"/>
  <c r="AV910" i="14" s="1"/>
  <c r="AU907" i="14"/>
  <c r="AV907" i="14" s="1"/>
  <c r="AU904" i="14"/>
  <c r="AV904" i="14" s="1"/>
  <c r="AU901" i="14"/>
  <c r="AV901" i="14" s="1"/>
  <c r="AU900" i="14"/>
  <c r="AV900" i="14" s="1"/>
  <c r="AU899" i="14"/>
  <c r="AV899" i="14" s="1"/>
  <c r="AU898" i="14"/>
  <c r="AV898" i="14" s="1"/>
  <c r="AU897" i="14"/>
  <c r="AV897" i="14" s="1"/>
  <c r="AU896" i="14"/>
  <c r="AV896" i="14" s="1"/>
  <c r="AU895" i="14"/>
  <c r="AV895" i="14" s="1"/>
  <c r="AU884" i="14"/>
  <c r="AV884" i="14" s="1"/>
  <c r="AU883" i="14"/>
  <c r="AV883" i="14" s="1"/>
  <c r="AU880" i="14"/>
  <c r="AV880" i="14" s="1"/>
  <c r="AU879" i="14"/>
  <c r="AV879" i="14" s="1"/>
  <c r="AU876" i="14"/>
  <c r="AV876" i="14" s="1"/>
  <c r="W875" i="14"/>
  <c r="AI875" i="14" s="1"/>
  <c r="AF930" i="14"/>
  <c r="AI930" i="14" s="1"/>
  <c r="AF929" i="14"/>
  <c r="AI929" i="14" s="1"/>
  <c r="AI927" i="14"/>
  <c r="AI926" i="14"/>
  <c r="AI925" i="14"/>
  <c r="AI924" i="14"/>
  <c r="AI923" i="14"/>
  <c r="AI922" i="14"/>
  <c r="AI921" i="14"/>
  <c r="AI920" i="14"/>
  <c r="AI917" i="14"/>
  <c r="AI916" i="14"/>
  <c r="AI915" i="14"/>
  <c r="AI914" i="14"/>
  <c r="AI913" i="14"/>
  <c r="AI912" i="14"/>
  <c r="AI911" i="14"/>
  <c r="AI910" i="14"/>
  <c r="AI909" i="14"/>
  <c r="AI908" i="14"/>
  <c r="AI907" i="14"/>
  <c r="AI906" i="14"/>
  <c r="AI905" i="14"/>
  <c r="AI904" i="14"/>
  <c r="AI903" i="14"/>
  <c r="AI902" i="14"/>
  <c r="AI901" i="14"/>
  <c r="AQ901" i="14" s="1"/>
  <c r="AP901" i="14" s="1"/>
  <c r="AI900" i="14"/>
  <c r="AI899" i="14"/>
  <c r="AI898" i="14"/>
  <c r="AI897" i="14"/>
  <c r="AI896" i="14"/>
  <c r="AQ896" i="14" s="1"/>
  <c r="AP896" i="14" s="1"/>
  <c r="AI895" i="14"/>
  <c r="AQ895" i="14" s="1"/>
  <c r="AP895" i="14" s="1"/>
  <c r="AI894" i="14"/>
  <c r="AI893" i="14"/>
  <c r="AI892" i="14"/>
  <c r="AI891" i="14"/>
  <c r="AI884" i="14"/>
  <c r="AI883" i="14"/>
  <c r="AU875" i="14"/>
  <c r="AV875" i="14" s="1"/>
  <c r="AS901" i="14" l="1"/>
  <c r="AS896" i="14"/>
  <c r="AS895" i="14"/>
  <c r="AV926" i="14"/>
  <c r="AF928" i="14" l="1"/>
  <c r="AI928" i="14" s="1"/>
  <c r="AI918" i="14"/>
  <c r="AI919" i="14"/>
  <c r="AI964" i="14"/>
  <c r="AI962" i="14"/>
  <c r="AI961" i="14"/>
  <c r="AI960" i="14"/>
  <c r="AI959" i="14"/>
  <c r="AI886" i="14"/>
  <c r="AI885" i="14"/>
  <c r="AI881" i="14"/>
  <c r="AI878" i="14"/>
  <c r="S1009" i="14" l="1"/>
  <c r="AF1009" i="14" s="1"/>
  <c r="AI1009" i="14" s="1"/>
  <c r="Q1009" i="14"/>
  <c r="P1009" i="14"/>
  <c r="O1009" i="14"/>
  <c r="S1008" i="14"/>
  <c r="Q1008" i="14"/>
  <c r="P1008" i="14"/>
  <c r="O1008" i="14"/>
  <c r="S1007" i="14"/>
  <c r="AF1007" i="14" s="1"/>
  <c r="AI1007" i="14" s="1"/>
  <c r="Q1007" i="14"/>
  <c r="P1007" i="14"/>
  <c r="O1007" i="14"/>
  <c r="S1006" i="14"/>
  <c r="Q1006" i="14"/>
  <c r="P1006" i="14"/>
  <c r="O1006" i="14"/>
  <c r="S1005" i="14"/>
  <c r="AF1005" i="14" s="1"/>
  <c r="AI1005" i="14" s="1"/>
  <c r="Q1005" i="14"/>
  <c r="P1005" i="14"/>
  <c r="O1005" i="14"/>
  <c r="S1004" i="14"/>
  <c r="AF1004" i="14" s="1"/>
  <c r="AI1004" i="14" s="1"/>
  <c r="Q1004" i="14"/>
  <c r="P1004" i="14"/>
  <c r="O1004" i="14"/>
  <c r="S1003" i="14"/>
  <c r="Q1003" i="14"/>
  <c r="P1003" i="14"/>
  <c r="O1003" i="14"/>
  <c r="S1002" i="14"/>
  <c r="AF1002" i="14" s="1"/>
  <c r="AI1002" i="14" s="1"/>
  <c r="Q1002" i="14"/>
  <c r="P1002" i="14"/>
  <c r="O1002" i="14"/>
  <c r="S1001" i="14"/>
  <c r="Q1001" i="14"/>
  <c r="P1001" i="14"/>
  <c r="O1001" i="14"/>
  <c r="S1000" i="14"/>
  <c r="AF1000" i="14" s="1"/>
  <c r="AI1000" i="14" s="1"/>
  <c r="Q1000" i="14"/>
  <c r="P1000" i="14"/>
  <c r="O1000" i="14"/>
  <c r="S999" i="14"/>
  <c r="AF999" i="14" s="1"/>
  <c r="AI999" i="14" s="1"/>
  <c r="Q999" i="14"/>
  <c r="P999" i="14"/>
  <c r="O999" i="14"/>
  <c r="S998" i="14"/>
  <c r="Q998" i="14"/>
  <c r="P998" i="14"/>
  <c r="O998" i="14"/>
  <c r="S997" i="14"/>
  <c r="AF997" i="14" s="1"/>
  <c r="AI997" i="14" s="1"/>
  <c r="Q997" i="14"/>
  <c r="P997" i="14"/>
  <c r="O997" i="14"/>
  <c r="S996" i="14"/>
  <c r="Q996" i="14"/>
  <c r="P996" i="14"/>
  <c r="O996" i="14"/>
  <c r="S995" i="14"/>
  <c r="AF995" i="14" s="1"/>
  <c r="AI995" i="14" s="1"/>
  <c r="Q995" i="14"/>
  <c r="P995" i="14"/>
  <c r="O995" i="14"/>
  <c r="S994" i="14"/>
  <c r="AF994" i="14" s="1"/>
  <c r="AI994" i="14" s="1"/>
  <c r="Q994" i="14"/>
  <c r="P994" i="14"/>
  <c r="O994" i="14"/>
  <c r="S993" i="14"/>
  <c r="Q993" i="14"/>
  <c r="P993" i="14"/>
  <c r="O993" i="14"/>
  <c r="S992" i="14"/>
  <c r="AF992" i="14" s="1"/>
  <c r="AI992" i="14" s="1"/>
  <c r="Q992" i="14"/>
  <c r="P992" i="14"/>
  <c r="O992" i="14"/>
  <c r="S991" i="14"/>
  <c r="Q991" i="14"/>
  <c r="P991" i="14"/>
  <c r="O991" i="14"/>
  <c r="S990" i="14"/>
  <c r="AF990" i="14" s="1"/>
  <c r="AI990" i="14" s="1"/>
  <c r="Q990" i="14"/>
  <c r="P990" i="14"/>
  <c r="O990" i="14"/>
  <c r="S989" i="14"/>
  <c r="AF989" i="14" s="1"/>
  <c r="AI989" i="14" s="1"/>
  <c r="Q989" i="14"/>
  <c r="P989" i="14"/>
  <c r="O989" i="14"/>
  <c r="S988" i="14"/>
  <c r="Q988" i="14"/>
  <c r="P988" i="14"/>
  <c r="O988" i="14"/>
  <c r="S987" i="14"/>
  <c r="AF987" i="14" s="1"/>
  <c r="AI987" i="14" s="1"/>
  <c r="Q987" i="14"/>
  <c r="P987" i="14"/>
  <c r="O987" i="14"/>
  <c r="S986" i="14"/>
  <c r="Q986" i="14"/>
  <c r="P986" i="14"/>
  <c r="O986" i="14"/>
  <c r="S985" i="14"/>
  <c r="AF985" i="14" s="1"/>
  <c r="AI985" i="14" s="1"/>
  <c r="Q985" i="14"/>
  <c r="P985" i="14"/>
  <c r="O985" i="14"/>
  <c r="S984" i="14"/>
  <c r="AF984" i="14" s="1"/>
  <c r="AI984" i="14" s="1"/>
  <c r="Q984" i="14"/>
  <c r="P984" i="14"/>
  <c r="O984" i="14"/>
  <c r="S983" i="14"/>
  <c r="Q983" i="14"/>
  <c r="P983" i="14"/>
  <c r="O983" i="14"/>
  <c r="S982" i="14"/>
  <c r="AF982" i="14" s="1"/>
  <c r="AI982" i="14" s="1"/>
  <c r="Q982" i="14"/>
  <c r="P982" i="14"/>
  <c r="O982" i="14"/>
  <c r="S981" i="14"/>
  <c r="Q981" i="14"/>
  <c r="P981" i="14"/>
  <c r="O981" i="14"/>
  <c r="D981" i="14"/>
  <c r="D982" i="14" s="1"/>
  <c r="D983" i="14" s="1"/>
  <c r="D984" i="14" s="1"/>
  <c r="D985" i="14" s="1"/>
  <c r="D986" i="14" s="1"/>
  <c r="D987" i="14" s="1"/>
  <c r="D988" i="14" s="1"/>
  <c r="D989" i="14" s="1"/>
  <c r="D990" i="14" s="1"/>
  <c r="D991" i="14" s="1"/>
  <c r="D992" i="14" s="1"/>
  <c r="D993" i="14" s="1"/>
  <c r="D994" i="14" s="1"/>
  <c r="D995" i="14" s="1"/>
  <c r="D996" i="14" s="1"/>
  <c r="D997" i="14" s="1"/>
  <c r="D998" i="14" s="1"/>
  <c r="D999" i="14" s="1"/>
  <c r="D1000" i="14" s="1"/>
  <c r="D1001" i="14" s="1"/>
  <c r="D1002" i="14" s="1"/>
  <c r="D1003" i="14" s="1"/>
  <c r="D1004" i="14" s="1"/>
  <c r="D1005" i="14" s="1"/>
  <c r="D1006" i="14" s="1"/>
  <c r="D1007" i="14" s="1"/>
  <c r="D1008" i="14" s="1"/>
  <c r="D1009" i="14" s="1"/>
  <c r="S980" i="14"/>
  <c r="AF980" i="14" s="1"/>
  <c r="AI980" i="14" s="1"/>
  <c r="Q980" i="14"/>
  <c r="P980" i="14"/>
  <c r="O980" i="14"/>
  <c r="T979" i="14"/>
  <c r="T978" i="14"/>
  <c r="T977" i="14"/>
  <c r="T976" i="14"/>
  <c r="S975" i="14"/>
  <c r="S974" i="14"/>
  <c r="S973" i="14"/>
  <c r="S972" i="14"/>
  <c r="S971" i="14"/>
  <c r="S970" i="14"/>
  <c r="AF970" i="14" s="1"/>
  <c r="AI970" i="14" s="1"/>
  <c r="S969" i="14"/>
  <c r="AF969" i="14" s="1"/>
  <c r="AI969" i="14" s="1"/>
  <c r="S968" i="14"/>
  <c r="AF968" i="14" s="1"/>
  <c r="AI968" i="14" s="1"/>
  <c r="S967" i="14"/>
  <c r="AF967" i="14" s="1"/>
  <c r="AI967" i="14" s="1"/>
  <c r="D967" i="14"/>
  <c r="D968" i="14" s="1"/>
  <c r="D969" i="14" s="1"/>
  <c r="D970" i="14" s="1"/>
  <c r="D971" i="14" s="1"/>
  <c r="D972" i="14" s="1"/>
  <c r="D973" i="14" s="1"/>
  <c r="D974" i="14" s="1"/>
  <c r="D975" i="14" s="1"/>
  <c r="S966" i="14"/>
  <c r="AF966" i="14" s="1"/>
  <c r="AI966" i="14" s="1"/>
  <c r="V965" i="14"/>
  <c r="S965" i="14"/>
  <c r="V964" i="14"/>
  <c r="S964" i="14"/>
  <c r="D964" i="14"/>
  <c r="D965" i="14" s="1"/>
  <c r="V963" i="14"/>
  <c r="S963" i="14"/>
  <c r="V962" i="14"/>
  <c r="U962" i="14"/>
  <c r="T962" i="14"/>
  <c r="V961" i="14"/>
  <c r="U961" i="14"/>
  <c r="T961" i="14"/>
  <c r="S961" i="14" s="1"/>
  <c r="V960" i="14"/>
  <c r="U960" i="14"/>
  <c r="T960" i="14"/>
  <c r="V959" i="14"/>
  <c r="U959" i="14"/>
  <c r="T959" i="14"/>
  <c r="V958" i="14"/>
  <c r="S958" i="14"/>
  <c r="AF958" i="14" s="1"/>
  <c r="V957" i="14"/>
  <c r="S957" i="14"/>
  <c r="AF957" i="14" s="1"/>
  <c r="V956" i="14"/>
  <c r="S956" i="14"/>
  <c r="D956" i="14"/>
  <c r="D957" i="14" s="1"/>
  <c r="D958" i="14" s="1"/>
  <c r="V955" i="14"/>
  <c r="S955" i="14"/>
  <c r="V954" i="14"/>
  <c r="S954" i="14"/>
  <c r="AF954" i="14" s="1"/>
  <c r="V953" i="14"/>
  <c r="S953" i="14"/>
  <c r="AF953" i="14" s="1"/>
  <c r="V952" i="14"/>
  <c r="S952" i="14"/>
  <c r="D952" i="14"/>
  <c r="D953" i="14" s="1"/>
  <c r="D954" i="14" s="1"/>
  <c r="V951" i="14"/>
  <c r="S951" i="14"/>
  <c r="V950" i="14"/>
  <c r="S950" i="14"/>
  <c r="AF950" i="14" s="1"/>
  <c r="V949" i="14"/>
  <c r="S949" i="14"/>
  <c r="AF949" i="14" s="1"/>
  <c r="V948" i="14"/>
  <c r="S948" i="14"/>
  <c r="D948" i="14"/>
  <c r="D949" i="14" s="1"/>
  <c r="D950" i="14" s="1"/>
  <c r="V947" i="14"/>
  <c r="S947" i="14"/>
  <c r="T946" i="14"/>
  <c r="T945" i="14"/>
  <c r="T944" i="14"/>
  <c r="T943" i="14"/>
  <c r="T942" i="14"/>
  <c r="T941" i="14"/>
  <c r="T940" i="14"/>
  <c r="T939" i="14"/>
  <c r="T938" i="14"/>
  <c r="T937" i="14"/>
  <c r="T936" i="14"/>
  <c r="T935" i="14"/>
  <c r="T934" i="14"/>
  <c r="T933" i="14"/>
  <c r="T932" i="14"/>
  <c r="D932" i="14"/>
  <c r="D933" i="14" s="1"/>
  <c r="D934" i="14" s="1"/>
  <c r="D935" i="14" s="1"/>
  <c r="D936" i="14" s="1"/>
  <c r="D937" i="14" s="1"/>
  <c r="D938" i="14" s="1"/>
  <c r="D939" i="14" s="1"/>
  <c r="D940" i="14" s="1"/>
  <c r="D941" i="14" s="1"/>
  <c r="D942" i="14" s="1"/>
  <c r="D943" i="14" s="1"/>
  <c r="D944" i="14" s="1"/>
  <c r="D945" i="14" s="1"/>
  <c r="D946" i="14" s="1"/>
  <c r="T931" i="14"/>
  <c r="U930" i="14"/>
  <c r="AQ930" i="14" s="1"/>
  <c r="AP930" i="14" s="1"/>
  <c r="AS930" i="14" s="1"/>
  <c r="U929" i="14"/>
  <c r="AQ929" i="14" s="1"/>
  <c r="AP929" i="14" s="1"/>
  <c r="AS929" i="14" s="1"/>
  <c r="U928" i="14"/>
  <c r="U927" i="14"/>
  <c r="T927" i="14"/>
  <c r="U926" i="14"/>
  <c r="T926" i="14"/>
  <c r="U925" i="14"/>
  <c r="T925" i="14"/>
  <c r="U924" i="14"/>
  <c r="T924" i="14"/>
  <c r="U923" i="14"/>
  <c r="T923" i="14"/>
  <c r="U922" i="14"/>
  <c r="T922" i="14"/>
  <c r="U921" i="14"/>
  <c r="T921" i="14"/>
  <c r="U920" i="14"/>
  <c r="T920" i="14"/>
  <c r="S919" i="14"/>
  <c r="S918" i="14"/>
  <c r="S917" i="14"/>
  <c r="S916" i="14"/>
  <c r="S915" i="14"/>
  <c r="Y914" i="14"/>
  <c r="S914" i="14"/>
  <c r="Y913" i="14"/>
  <c r="U913" i="14"/>
  <c r="T913" i="14" s="1"/>
  <c r="AQ913" i="14" s="1"/>
  <c r="AP913" i="14" s="1"/>
  <c r="AS913" i="14" s="1"/>
  <c r="Y912" i="14"/>
  <c r="S912" i="14"/>
  <c r="Y911" i="14"/>
  <c r="S911" i="14"/>
  <c r="AU911" i="14" s="1"/>
  <c r="AV911" i="14" s="1"/>
  <c r="Y910" i="14"/>
  <c r="U910" i="14"/>
  <c r="T910" i="14" s="1"/>
  <c r="AQ910" i="14" s="1"/>
  <c r="AP910" i="14" s="1"/>
  <c r="AS910" i="14" s="1"/>
  <c r="Y909" i="14"/>
  <c r="S909" i="14"/>
  <c r="Y908" i="14"/>
  <c r="S908" i="14"/>
  <c r="Y907" i="14"/>
  <c r="U907" i="14"/>
  <c r="T907" i="14" s="1"/>
  <c r="AQ907" i="14" s="1"/>
  <c r="AP907" i="14" s="1"/>
  <c r="AS907" i="14" s="1"/>
  <c r="Y906" i="14"/>
  <c r="S906" i="14"/>
  <c r="Y905" i="14"/>
  <c r="S905" i="14"/>
  <c r="AU905" i="14" s="1"/>
  <c r="AV905" i="14" s="1"/>
  <c r="Y904" i="14"/>
  <c r="U904" i="14"/>
  <c r="T904" i="14" s="1"/>
  <c r="AQ904" i="14" s="1"/>
  <c r="AP904" i="14" s="1"/>
  <c r="AS904" i="14" s="1"/>
  <c r="Y903" i="14"/>
  <c r="S903" i="14"/>
  <c r="Y902" i="14"/>
  <c r="S902" i="14"/>
  <c r="Y901" i="14"/>
  <c r="T900" i="14"/>
  <c r="T899" i="14"/>
  <c r="T898" i="14"/>
  <c r="T897" i="14"/>
  <c r="I894" i="14"/>
  <c r="U893" i="14"/>
  <c r="T893" i="14"/>
  <c r="I893" i="14"/>
  <c r="U892" i="14"/>
  <c r="U894" i="14" s="1"/>
  <c r="T892" i="14"/>
  <c r="I892" i="14"/>
  <c r="S891" i="14"/>
  <c r="I891" i="14"/>
  <c r="U890" i="14"/>
  <c r="T890" i="14"/>
  <c r="I890" i="14"/>
  <c r="S889" i="14"/>
  <c r="I889" i="14"/>
  <c r="T888" i="14"/>
  <c r="U888" i="14" s="1"/>
  <c r="I888" i="14"/>
  <c r="T887" i="14"/>
  <c r="U887" i="14" s="1"/>
  <c r="I887" i="14"/>
  <c r="T886" i="14"/>
  <c r="U886" i="14" s="1"/>
  <c r="I886" i="14"/>
  <c r="T885" i="14"/>
  <c r="U885" i="14" s="1"/>
  <c r="I885" i="14"/>
  <c r="T884" i="14"/>
  <c r="P884" i="14"/>
  <c r="T883" i="14"/>
  <c r="P883" i="14"/>
  <c r="T882" i="14"/>
  <c r="U882" i="14" s="1"/>
  <c r="P882" i="14"/>
  <c r="T881" i="14"/>
  <c r="U881" i="14" s="1"/>
  <c r="P881" i="14"/>
  <c r="W880" i="14"/>
  <c r="AI880" i="14" s="1"/>
  <c r="V880" i="14"/>
  <c r="U880" i="14"/>
  <c r="W879" i="14"/>
  <c r="AI879" i="14" s="1"/>
  <c r="V879" i="14"/>
  <c r="U879" i="14"/>
  <c r="U878" i="14"/>
  <c r="U877" i="14"/>
  <c r="W876" i="14"/>
  <c r="AI876" i="14" s="1"/>
  <c r="V876" i="14"/>
  <c r="U876" i="14"/>
  <c r="V875" i="14"/>
  <c r="U875" i="14"/>
  <c r="AQ875" i="14" s="1"/>
  <c r="U874" i="14"/>
  <c r="U873" i="14"/>
  <c r="AF991" i="14" l="1"/>
  <c r="AI991" i="14" s="1"/>
  <c r="AQ991" i="14" s="1"/>
  <c r="AP991" i="14" s="1"/>
  <c r="AU991" i="14"/>
  <c r="AV991" i="14" s="1"/>
  <c r="AQ876" i="14"/>
  <c r="AP876" i="14" s="1"/>
  <c r="AS876" i="14" s="1"/>
  <c r="AQ880" i="14"/>
  <c r="AP880" i="14" s="1"/>
  <c r="AS880" i="14" s="1"/>
  <c r="AQ879" i="14"/>
  <c r="AP879" i="14" s="1"/>
  <c r="AS879" i="14" s="1"/>
  <c r="AP875" i="14"/>
  <c r="AS875" i="14" s="1"/>
  <c r="AQ922" i="14"/>
  <c r="AP922" i="14" s="1"/>
  <c r="AS922" i="14" s="1"/>
  <c r="AQ926" i="14"/>
  <c r="AP926" i="14" s="1"/>
  <c r="AS926" i="14" s="1"/>
  <c r="AQ921" i="14"/>
  <c r="AP921" i="14" s="1"/>
  <c r="AS921" i="14" s="1"/>
  <c r="AQ923" i="14"/>
  <c r="AP923" i="14" s="1"/>
  <c r="AS923" i="14" s="1"/>
  <c r="AQ925" i="14"/>
  <c r="AP925" i="14" s="1"/>
  <c r="AS925" i="14" s="1"/>
  <c r="AQ927" i="14"/>
  <c r="AP927" i="14" s="1"/>
  <c r="AS927" i="14" s="1"/>
  <c r="AI957" i="14"/>
  <c r="U900" i="14"/>
  <c r="AQ900" i="14" s="1"/>
  <c r="AP900" i="14" s="1"/>
  <c r="AS900" i="14" s="1"/>
  <c r="U909" i="14"/>
  <c r="T909" i="14" s="1"/>
  <c r="AQ909" i="14" s="1"/>
  <c r="AP909" i="14" s="1"/>
  <c r="AU909" i="14"/>
  <c r="AV909" i="14" s="1"/>
  <c r="U933" i="14"/>
  <c r="AQ933" i="14" s="1"/>
  <c r="AP933" i="14" s="1"/>
  <c r="AS933" i="14" s="1"/>
  <c r="U940" i="14"/>
  <c r="AQ940" i="14" s="1"/>
  <c r="AP940" i="14" s="1"/>
  <c r="AS940" i="14" s="1"/>
  <c r="AF951" i="14"/>
  <c r="AU951" i="14"/>
  <c r="AV951" i="14" s="1"/>
  <c r="AF973" i="14"/>
  <c r="AI973" i="14" s="1"/>
  <c r="AQ973" i="14" s="1"/>
  <c r="AP973" i="14" s="1"/>
  <c r="AU973" i="14"/>
  <c r="AV973" i="14" s="1"/>
  <c r="AQ920" i="14"/>
  <c r="AP920" i="14" s="1"/>
  <c r="AS920" i="14" s="1"/>
  <c r="AQ924" i="14"/>
  <c r="AP924" i="14" s="1"/>
  <c r="AS924" i="14" s="1"/>
  <c r="U934" i="14"/>
  <c r="AQ934" i="14" s="1"/>
  <c r="AP934" i="14" s="1"/>
  <c r="AS934" i="14" s="1"/>
  <c r="U941" i="14"/>
  <c r="AQ941" i="14" s="1"/>
  <c r="AP941" i="14" s="1"/>
  <c r="AS941" i="14" s="1"/>
  <c r="AI951" i="14"/>
  <c r="AQ951" i="14" s="1"/>
  <c r="AP951" i="14" s="1"/>
  <c r="AU955" i="14"/>
  <c r="AV955" i="14" s="1"/>
  <c r="AF955" i="14"/>
  <c r="AI955" i="14" s="1"/>
  <c r="AQ955" i="14" s="1"/>
  <c r="AP955" i="14" s="1"/>
  <c r="AU974" i="14"/>
  <c r="AV974" i="14" s="1"/>
  <c r="AF974" i="14"/>
  <c r="AI974" i="14" s="1"/>
  <c r="AQ974" i="14" s="1"/>
  <c r="AP974" i="14" s="1"/>
  <c r="U902" i="14"/>
  <c r="T902" i="14" s="1"/>
  <c r="AQ902" i="14" s="1"/>
  <c r="AP902" i="14" s="1"/>
  <c r="AU902" i="14"/>
  <c r="AV902" i="14" s="1"/>
  <c r="U906" i="14"/>
  <c r="T906" i="14" s="1"/>
  <c r="AQ906" i="14" s="1"/>
  <c r="AP906" i="14" s="1"/>
  <c r="AU906" i="14"/>
  <c r="AV906" i="14" s="1"/>
  <c r="U914" i="14"/>
  <c r="T914" i="14" s="1"/>
  <c r="AQ914" i="14" s="1"/>
  <c r="AP914" i="14" s="1"/>
  <c r="AU914" i="14"/>
  <c r="AV914" i="14" s="1"/>
  <c r="U935" i="14"/>
  <c r="AQ935" i="14" s="1"/>
  <c r="AP935" i="14" s="1"/>
  <c r="AS935" i="14" s="1"/>
  <c r="U942" i="14"/>
  <c r="AQ942" i="14" s="1"/>
  <c r="AP942" i="14" s="1"/>
  <c r="AS942" i="14" s="1"/>
  <c r="AU948" i="14"/>
  <c r="AV948" i="14" s="1"/>
  <c r="AF948" i="14"/>
  <c r="AI948" i="14" s="1"/>
  <c r="AQ948" i="14" s="1"/>
  <c r="AP948" i="14" s="1"/>
  <c r="AF975" i="14"/>
  <c r="AI975" i="14" s="1"/>
  <c r="AQ975" i="14" s="1"/>
  <c r="AP975" i="14" s="1"/>
  <c r="AU975" i="14"/>
  <c r="AV975" i="14" s="1"/>
  <c r="U976" i="14"/>
  <c r="AQ976" i="14" s="1"/>
  <c r="AP976" i="14" s="1"/>
  <c r="AS976" i="14" s="1"/>
  <c r="AF986" i="14"/>
  <c r="AI986" i="14" s="1"/>
  <c r="AQ986" i="14" s="1"/>
  <c r="AP986" i="14" s="1"/>
  <c r="AU986" i="14"/>
  <c r="AV986" i="14" s="1"/>
  <c r="AU988" i="14"/>
  <c r="AV988" i="14" s="1"/>
  <c r="AF988" i="14"/>
  <c r="AI988" i="14" s="1"/>
  <c r="AQ988" i="14" s="1"/>
  <c r="AP988" i="14" s="1"/>
  <c r="AF1006" i="14"/>
  <c r="AI1006" i="14" s="1"/>
  <c r="AQ1006" i="14" s="1"/>
  <c r="AP1006" i="14" s="1"/>
  <c r="AU1006" i="14"/>
  <c r="AV1006" i="14" s="1"/>
  <c r="AU1008" i="14"/>
  <c r="AV1008" i="14" s="1"/>
  <c r="AF1008" i="14"/>
  <c r="U899" i="14"/>
  <c r="AQ899" i="14" s="1"/>
  <c r="AP899" i="14" s="1"/>
  <c r="AS899" i="14" s="1"/>
  <c r="U932" i="14"/>
  <c r="AQ932" i="14" s="1"/>
  <c r="AP932" i="14" s="1"/>
  <c r="AS932" i="14" s="1"/>
  <c r="AU947" i="14"/>
  <c r="AV947" i="14" s="1"/>
  <c r="AF947" i="14"/>
  <c r="AI947" i="14" s="1"/>
  <c r="AQ947" i="14" s="1"/>
  <c r="AP947" i="14" s="1"/>
  <c r="AU998" i="14"/>
  <c r="AV998" i="14" s="1"/>
  <c r="AF998" i="14"/>
  <c r="AI998" i="14" s="1"/>
  <c r="AQ998" i="14" s="1"/>
  <c r="AP998" i="14" s="1"/>
  <c r="U883" i="14"/>
  <c r="AQ883" i="14" s="1"/>
  <c r="AP883" i="14" s="1"/>
  <c r="AS883" i="14" s="1"/>
  <c r="U903" i="14"/>
  <c r="T903" i="14" s="1"/>
  <c r="AQ903" i="14" s="1"/>
  <c r="AP903" i="14" s="1"/>
  <c r="AU903" i="14"/>
  <c r="AV903" i="14" s="1"/>
  <c r="AU915" i="14"/>
  <c r="AV915" i="14" s="1"/>
  <c r="AQ915" i="14"/>
  <c r="AP915" i="14" s="1"/>
  <c r="U931" i="14"/>
  <c r="AQ931" i="14" s="1"/>
  <c r="AP931" i="14" s="1"/>
  <c r="AS931" i="14" s="1"/>
  <c r="U937" i="14"/>
  <c r="AQ937" i="14" s="1"/>
  <c r="AP937" i="14" s="1"/>
  <c r="AS937" i="14" s="1"/>
  <c r="U944" i="14"/>
  <c r="AQ944" i="14" s="1"/>
  <c r="AP944" i="14" s="1"/>
  <c r="AS944" i="14" s="1"/>
  <c r="AF956" i="14"/>
  <c r="AI956" i="14" s="1"/>
  <c r="AQ956" i="14" s="1"/>
  <c r="AP956" i="14" s="1"/>
  <c r="AU956" i="14"/>
  <c r="AV956" i="14" s="1"/>
  <c r="U977" i="14"/>
  <c r="AQ977" i="14" s="1"/>
  <c r="AP977" i="14" s="1"/>
  <c r="AS977" i="14" s="1"/>
  <c r="AU963" i="14"/>
  <c r="AV963" i="14" s="1"/>
  <c r="AQ963" i="14"/>
  <c r="AP963" i="14" s="1"/>
  <c r="AF972" i="14"/>
  <c r="AI972" i="14" s="1"/>
  <c r="AQ972" i="14" s="1"/>
  <c r="AP972" i="14" s="1"/>
  <c r="AU972" i="14"/>
  <c r="AV972" i="14" s="1"/>
  <c r="AU981" i="14"/>
  <c r="AV981" i="14" s="1"/>
  <c r="AF981" i="14"/>
  <c r="AI981" i="14" s="1"/>
  <c r="AQ981" i="14" s="1"/>
  <c r="AP981" i="14" s="1"/>
  <c r="AU983" i="14"/>
  <c r="AV983" i="14" s="1"/>
  <c r="AF983" i="14"/>
  <c r="AI983" i="14" s="1"/>
  <c r="AQ983" i="14" s="1"/>
  <c r="AP983" i="14" s="1"/>
  <c r="AU993" i="14"/>
  <c r="AV993" i="14" s="1"/>
  <c r="AF993" i="14"/>
  <c r="AI993" i="14" s="1"/>
  <c r="AQ993" i="14" s="1"/>
  <c r="AP993" i="14" s="1"/>
  <c r="U936" i="14"/>
  <c r="AQ936" i="14" s="1"/>
  <c r="AP936" i="14" s="1"/>
  <c r="AS936" i="14" s="1"/>
  <c r="U943" i="14"/>
  <c r="AQ943" i="14" s="1"/>
  <c r="AP943" i="14" s="1"/>
  <c r="AS943" i="14" s="1"/>
  <c r="AF952" i="14"/>
  <c r="AI952" i="14" s="1"/>
  <c r="AQ952" i="14" s="1"/>
  <c r="AP952" i="14" s="1"/>
  <c r="AU952" i="14"/>
  <c r="AV952" i="14" s="1"/>
  <c r="AU996" i="14"/>
  <c r="AV996" i="14" s="1"/>
  <c r="AF996" i="14"/>
  <c r="AI996" i="14" s="1"/>
  <c r="AQ996" i="14" s="1"/>
  <c r="AP996" i="14" s="1"/>
  <c r="AU891" i="14"/>
  <c r="AV891" i="14" s="1"/>
  <c r="AQ891" i="14"/>
  <c r="AP891" i="14" s="1"/>
  <c r="U897" i="14"/>
  <c r="AQ897" i="14" s="1"/>
  <c r="AP897" i="14" s="1"/>
  <c r="AS897" i="14" s="1"/>
  <c r="AU916" i="14"/>
  <c r="AV916" i="14" s="1"/>
  <c r="AQ916" i="14"/>
  <c r="AP916" i="14" s="1"/>
  <c r="U938" i="14"/>
  <c r="AQ938" i="14" s="1"/>
  <c r="AP938" i="14" s="1"/>
  <c r="AS938" i="14" s="1"/>
  <c r="U945" i="14"/>
  <c r="AQ945" i="14" s="1"/>
  <c r="AP945" i="14" s="1"/>
  <c r="AS945" i="14" s="1"/>
  <c r="U978" i="14"/>
  <c r="AQ978" i="14" s="1"/>
  <c r="AP978" i="14" s="1"/>
  <c r="AS978" i="14" s="1"/>
  <c r="U884" i="14"/>
  <c r="AQ884" i="14" s="1"/>
  <c r="AP884" i="14" s="1"/>
  <c r="AS884" i="14" s="1"/>
  <c r="U898" i="14"/>
  <c r="AQ898" i="14" s="1"/>
  <c r="AP898" i="14" s="1"/>
  <c r="AS898" i="14" s="1"/>
  <c r="U908" i="14"/>
  <c r="T908" i="14" s="1"/>
  <c r="AQ908" i="14" s="1"/>
  <c r="AP908" i="14" s="1"/>
  <c r="AU908" i="14"/>
  <c r="AV908" i="14" s="1"/>
  <c r="U912" i="14"/>
  <c r="T912" i="14" s="1"/>
  <c r="AQ912" i="14" s="1"/>
  <c r="AP912" i="14" s="1"/>
  <c r="AU912" i="14"/>
  <c r="AV912" i="14" s="1"/>
  <c r="AQ917" i="14"/>
  <c r="AP917" i="14" s="1"/>
  <c r="AU917" i="14"/>
  <c r="AV917" i="14" s="1"/>
  <c r="U939" i="14"/>
  <c r="AQ939" i="14" s="1"/>
  <c r="AP939" i="14" s="1"/>
  <c r="AS939" i="14" s="1"/>
  <c r="U946" i="14"/>
  <c r="AQ946" i="14" s="1"/>
  <c r="AP946" i="14" s="1"/>
  <c r="AS946" i="14" s="1"/>
  <c r="AU965" i="14"/>
  <c r="AV965" i="14" s="1"/>
  <c r="AQ965" i="14"/>
  <c r="AP965" i="14" s="1"/>
  <c r="AF971" i="14"/>
  <c r="AI971" i="14" s="1"/>
  <c r="AQ971" i="14" s="1"/>
  <c r="AP971" i="14" s="1"/>
  <c r="AU971" i="14"/>
  <c r="AV971" i="14" s="1"/>
  <c r="U979" i="14"/>
  <c r="AQ979" i="14" s="1"/>
  <c r="AP979" i="14" s="1"/>
  <c r="AS979" i="14" s="1"/>
  <c r="AU1001" i="14"/>
  <c r="AV1001" i="14" s="1"/>
  <c r="AF1001" i="14"/>
  <c r="AI1001" i="14" s="1"/>
  <c r="AQ1001" i="14" s="1"/>
  <c r="AP1001" i="14" s="1"/>
  <c r="AF1003" i="14"/>
  <c r="AI1003" i="14" s="1"/>
  <c r="AQ1003" i="14" s="1"/>
  <c r="AP1003" i="14" s="1"/>
  <c r="AU1003" i="14"/>
  <c r="AV1003" i="14" s="1"/>
  <c r="AI950" i="14"/>
  <c r="AI954" i="14"/>
  <c r="AI949" i="14"/>
  <c r="AI958" i="14"/>
  <c r="AI953" i="14"/>
  <c r="S892" i="14"/>
  <c r="AU892" i="14" s="1"/>
  <c r="AV892" i="14" s="1"/>
  <c r="S960" i="14"/>
  <c r="S959" i="14"/>
  <c r="S890" i="14"/>
  <c r="S893" i="14"/>
  <c r="AU893" i="14" s="1"/>
  <c r="AV893" i="14" s="1"/>
  <c r="U905" i="14"/>
  <c r="T905" i="14" s="1"/>
  <c r="AQ905" i="14" s="1"/>
  <c r="AP905" i="14" s="1"/>
  <c r="AS905" i="14" s="1"/>
  <c r="U911" i="14"/>
  <c r="T911" i="14" s="1"/>
  <c r="AQ911" i="14" s="1"/>
  <c r="AP911" i="14" s="1"/>
  <c r="AS911" i="14" s="1"/>
  <c r="S962" i="14"/>
  <c r="T894" i="14"/>
  <c r="AI645" i="14"/>
  <c r="AI646" i="14"/>
  <c r="AI647" i="14"/>
  <c r="AI648" i="14"/>
  <c r="AI643" i="14"/>
  <c r="AS991" i="14" l="1"/>
  <c r="AI1008" i="14"/>
  <c r="AQ1008" i="14" s="1"/>
  <c r="AP1008" i="14" s="1"/>
  <c r="AS1008" i="14" s="1"/>
  <c r="AS983" i="14"/>
  <c r="AS906" i="14"/>
  <c r="AS988" i="14"/>
  <c r="AS956" i="14"/>
  <c r="AS1006" i="14"/>
  <c r="AS986" i="14"/>
  <c r="AS914" i="14"/>
  <c r="AS902" i="14"/>
  <c r="AS998" i="14"/>
  <c r="AS974" i="14"/>
  <c r="AS971" i="14"/>
  <c r="AS1001" i="14"/>
  <c r="AS951" i="14"/>
  <c r="AS996" i="14"/>
  <c r="AS993" i="14"/>
  <c r="AS963" i="14"/>
  <c r="AS965" i="14"/>
  <c r="AS947" i="14"/>
  <c r="AS952" i="14"/>
  <c r="AS916" i="14"/>
  <c r="AS915" i="14"/>
  <c r="AS1003" i="14"/>
  <c r="AS891" i="14"/>
  <c r="AS973" i="14"/>
  <c r="AS948" i="14"/>
  <c r="AS908" i="14"/>
  <c r="AS981" i="14"/>
  <c r="AS912" i="14"/>
  <c r="S894" i="14"/>
  <c r="AU894" i="14" s="1"/>
  <c r="AV894" i="14" s="1"/>
  <c r="AS975" i="14"/>
  <c r="AQ893" i="14"/>
  <c r="AP893" i="14" s="1"/>
  <c r="AS893" i="14" s="1"/>
  <c r="AS909" i="14"/>
  <c r="AS972" i="14"/>
  <c r="AS903" i="14"/>
  <c r="AS917" i="14"/>
  <c r="AS955" i="14"/>
  <c r="AQ892" i="14"/>
  <c r="AP892" i="14" s="1"/>
  <c r="AS892" i="14" s="1"/>
  <c r="V6" i="14"/>
  <c r="AI6" i="14" s="1"/>
  <c r="AQ6" i="14" s="1"/>
  <c r="AQ894" i="14" l="1"/>
  <c r="AP894" i="14" s="1"/>
  <c r="AS894" i="14" s="1"/>
  <c r="AI10" i="14"/>
  <c r="AQ10" i="14" s="1"/>
  <c r="AI11" i="14"/>
  <c r="AI12" i="14"/>
  <c r="AQ12" i="14" s="1"/>
  <c r="AI13" i="14"/>
  <c r="AQ13" i="14" s="1"/>
  <c r="AI364" i="14"/>
  <c r="AI363" i="14"/>
  <c r="AI362" i="14"/>
  <c r="AI361" i="14"/>
  <c r="AU618" i="14"/>
  <c r="AV618" i="14" s="1"/>
  <c r="U298" i="14"/>
  <c r="T295" i="14"/>
  <c r="U284" i="14"/>
  <c r="T284" i="14"/>
  <c r="S284" i="14"/>
  <c r="AU284" i="14" s="1"/>
  <c r="AV284" i="14" s="1"/>
  <c r="U283" i="14"/>
  <c r="T283" i="14"/>
  <c r="U282" i="14"/>
  <c r="T282" i="14"/>
  <c r="U281" i="14"/>
  <c r="T281" i="14"/>
  <c r="U280" i="14"/>
  <c r="T280" i="14"/>
  <c r="S280" i="14"/>
  <c r="AU280" i="14" s="1"/>
  <c r="AV280" i="14" s="1"/>
  <c r="U279" i="14"/>
  <c r="U295" i="14" s="1"/>
  <c r="T279" i="14"/>
  <c r="T298" i="14" s="1"/>
  <c r="AU872" i="14"/>
  <c r="AV872" i="14" s="1"/>
  <c r="AU871" i="14"/>
  <c r="AV871" i="14" s="1"/>
  <c r="AU868" i="14"/>
  <c r="AV868" i="14" s="1"/>
  <c r="AU867" i="14"/>
  <c r="AV867" i="14" s="1"/>
  <c r="AU864" i="14"/>
  <c r="AV864" i="14" s="1"/>
  <c r="AU863" i="14"/>
  <c r="AV863" i="14" s="1"/>
  <c r="AU834" i="14"/>
  <c r="AV834" i="14" s="1"/>
  <c r="AU833" i="14"/>
  <c r="AV833" i="14" s="1"/>
  <c r="AU832" i="14"/>
  <c r="AV832" i="14" s="1"/>
  <c r="AU831" i="14"/>
  <c r="AV831" i="14" s="1"/>
  <c r="AU830" i="14"/>
  <c r="AV830" i="14" s="1"/>
  <c r="AU829" i="14"/>
  <c r="AV829" i="14" s="1"/>
  <c r="AU781" i="14"/>
  <c r="AV781" i="14" s="1"/>
  <c r="AU780" i="14"/>
  <c r="AV780" i="14" s="1"/>
  <c r="AU779" i="14"/>
  <c r="AV779" i="14" s="1"/>
  <c r="AU767" i="14"/>
  <c r="AV767" i="14" s="1"/>
  <c r="AU766" i="14"/>
  <c r="AV766" i="14" s="1"/>
  <c r="AU765" i="14"/>
  <c r="AV765" i="14" s="1"/>
  <c r="AU764" i="14"/>
  <c r="AV764" i="14" s="1"/>
  <c r="AU746" i="14"/>
  <c r="AV746" i="14" s="1"/>
  <c r="AU616" i="14"/>
  <c r="AV616" i="14" s="1"/>
  <c r="AU615" i="14"/>
  <c r="AV615" i="14" s="1"/>
  <c r="AU614" i="14"/>
  <c r="AV614" i="14" s="1"/>
  <c r="AU613" i="14"/>
  <c r="AV613" i="14" s="1"/>
  <c r="AU612" i="14"/>
  <c r="AV612" i="14" s="1"/>
  <c r="AU610" i="14"/>
  <c r="AV610" i="14" s="1"/>
  <c r="AU609" i="14"/>
  <c r="AV609" i="14" s="1"/>
  <c r="AU608" i="14"/>
  <c r="AV608" i="14" s="1"/>
  <c r="AU607" i="14"/>
  <c r="AV607" i="14" s="1"/>
  <c r="AU606" i="14"/>
  <c r="AV606" i="14" s="1"/>
  <c r="AU604" i="14"/>
  <c r="AV604" i="14" s="1"/>
  <c r="AU603" i="14"/>
  <c r="AV603" i="14" s="1"/>
  <c r="AU602" i="14"/>
  <c r="AV602" i="14" s="1"/>
  <c r="AU601" i="14"/>
  <c r="AV601" i="14" s="1"/>
  <c r="AU600" i="14"/>
  <c r="AV600" i="14" s="1"/>
  <c r="AU598" i="14"/>
  <c r="AV598" i="14" s="1"/>
  <c r="AU597" i="14"/>
  <c r="AV597" i="14" s="1"/>
  <c r="AU596" i="14"/>
  <c r="AV596" i="14" s="1"/>
  <c r="AU595" i="14"/>
  <c r="AV595" i="14" s="1"/>
  <c r="AU594" i="14"/>
  <c r="AV594" i="14" s="1"/>
  <c r="AU584" i="14"/>
  <c r="AV584" i="14" s="1"/>
  <c r="AU582" i="14"/>
  <c r="AV582" i="14" s="1"/>
  <c r="AU580" i="14"/>
  <c r="AV580" i="14" s="1"/>
  <c r="AU578" i="14"/>
  <c r="AV578" i="14" s="1"/>
  <c r="AU572" i="14"/>
  <c r="AV572" i="14" s="1"/>
  <c r="AQ572" i="14"/>
  <c r="AP572" i="14" s="1"/>
  <c r="AU571" i="14"/>
  <c r="AQ571" i="14"/>
  <c r="AP571" i="14" s="1"/>
  <c r="AU568" i="14"/>
  <c r="AV568" i="14" s="1"/>
  <c r="AQ568" i="14"/>
  <c r="AP568" i="14" s="1"/>
  <c r="AU567" i="14"/>
  <c r="AQ567" i="14"/>
  <c r="AP567" i="14" s="1"/>
  <c r="AU559" i="14"/>
  <c r="AV559" i="14" s="1"/>
  <c r="AU558" i="14"/>
  <c r="AV558" i="14" s="1"/>
  <c r="AU555" i="14"/>
  <c r="AV555" i="14" s="1"/>
  <c r="AU554" i="14"/>
  <c r="AV554" i="14" s="1"/>
  <c r="AU551" i="14"/>
  <c r="AV551" i="14" s="1"/>
  <c r="AU550" i="14"/>
  <c r="AV550" i="14" s="1"/>
  <c r="AU547" i="14"/>
  <c r="AV547" i="14" s="1"/>
  <c r="AU546" i="14"/>
  <c r="AV546" i="14" s="1"/>
  <c r="AU543" i="14"/>
  <c r="AV543" i="14" s="1"/>
  <c r="AQ543" i="14"/>
  <c r="AP543" i="14" s="1"/>
  <c r="AU542" i="14"/>
  <c r="AQ542" i="14"/>
  <c r="AP542" i="14" s="1"/>
  <c r="AU539" i="14"/>
  <c r="AV539" i="14" s="1"/>
  <c r="AU538" i="14"/>
  <c r="AV538" i="14" s="1"/>
  <c r="AU535" i="14"/>
  <c r="AV535" i="14" s="1"/>
  <c r="AU534" i="14"/>
  <c r="AV534" i="14" s="1"/>
  <c r="AU531" i="14"/>
  <c r="AV531" i="14" s="1"/>
  <c r="AU530" i="14"/>
  <c r="AV530" i="14" s="1"/>
  <c r="AU527" i="14"/>
  <c r="AV527" i="14" s="1"/>
  <c r="AU524" i="14"/>
  <c r="AV524" i="14" s="1"/>
  <c r="AU523" i="14"/>
  <c r="AV523" i="14" s="1"/>
  <c r="AU506" i="14"/>
  <c r="AV506" i="14" s="1"/>
  <c r="AU503" i="14"/>
  <c r="AV503" i="14" s="1"/>
  <c r="AU500" i="14"/>
  <c r="AV500" i="14" s="1"/>
  <c r="AU499" i="14"/>
  <c r="AV499" i="14" s="1"/>
  <c r="AU449" i="14"/>
  <c r="AV449" i="14" s="1"/>
  <c r="AU448" i="14"/>
  <c r="AV448" i="14" s="1"/>
  <c r="AU447" i="14"/>
  <c r="AV447" i="14" s="1"/>
  <c r="AU446" i="14"/>
  <c r="AV446" i="14" s="1"/>
  <c r="AU445" i="14"/>
  <c r="AV445" i="14" s="1"/>
  <c r="AU444" i="14"/>
  <c r="AV444" i="14" s="1"/>
  <c r="AU443" i="14"/>
  <c r="AV443" i="14" s="1"/>
  <c r="AU442" i="14"/>
  <c r="AV442" i="14" s="1"/>
  <c r="AU441" i="14"/>
  <c r="AV441" i="14" s="1"/>
  <c r="AU440" i="14"/>
  <c r="AV440" i="14" s="1"/>
  <c r="AU439" i="14"/>
  <c r="AV439" i="14" s="1"/>
  <c r="AU438" i="14"/>
  <c r="AV438" i="14" s="1"/>
  <c r="AU437" i="14"/>
  <c r="AV437" i="14" s="1"/>
  <c r="AU436" i="14"/>
  <c r="AV436" i="14" s="1"/>
  <c r="AU435" i="14"/>
  <c r="AV435" i="14" s="1"/>
  <c r="AU434" i="14"/>
  <c r="AV434" i="14" s="1"/>
  <c r="AU433" i="14"/>
  <c r="AV433" i="14" s="1"/>
  <c r="AU432" i="14"/>
  <c r="AV432" i="14" s="1"/>
  <c r="AU431" i="14"/>
  <c r="AV431" i="14" s="1"/>
  <c r="AU430" i="14"/>
  <c r="AV430" i="14" s="1"/>
  <c r="AU429" i="14"/>
  <c r="AV429" i="14" s="1"/>
  <c r="AU428" i="14"/>
  <c r="AV428" i="14" s="1"/>
  <c r="AU427" i="14"/>
  <c r="AV427" i="14" s="1"/>
  <c r="AU426" i="14"/>
  <c r="AV426" i="14" s="1"/>
  <c r="AU425" i="14"/>
  <c r="AV425" i="14" s="1"/>
  <c r="AU424" i="14"/>
  <c r="AV424" i="14" s="1"/>
  <c r="AU423" i="14"/>
  <c r="AV423" i="14" s="1"/>
  <c r="AU422" i="14"/>
  <c r="AV422" i="14" s="1"/>
  <c r="AU421" i="14"/>
  <c r="AV421" i="14" s="1"/>
  <c r="AU420" i="14"/>
  <c r="AV420" i="14" s="1"/>
  <c r="AU419" i="14"/>
  <c r="AV419" i="14" s="1"/>
  <c r="AU418" i="14"/>
  <c r="AV418" i="14" s="1"/>
  <c r="AU417" i="14"/>
  <c r="AV417" i="14" s="1"/>
  <c r="AU416" i="14"/>
  <c r="AV416" i="14" s="1"/>
  <c r="AU415" i="14"/>
  <c r="AV415" i="14" s="1"/>
  <c r="AU414" i="14"/>
  <c r="AV414" i="14" s="1"/>
  <c r="AU413" i="14"/>
  <c r="AV413" i="14" s="1"/>
  <c r="AU412" i="14"/>
  <c r="AV412" i="14" s="1"/>
  <c r="AU411" i="14"/>
  <c r="AV411" i="14" s="1"/>
  <c r="AU410" i="14"/>
  <c r="AV410" i="14" s="1"/>
  <c r="AU409" i="14"/>
  <c r="AV409" i="14" s="1"/>
  <c r="AU408" i="14"/>
  <c r="AV408" i="14" s="1"/>
  <c r="AU407" i="14"/>
  <c r="AV407" i="14" s="1"/>
  <c r="AU406" i="14"/>
  <c r="AV406" i="14" s="1"/>
  <c r="AU405" i="14"/>
  <c r="AV405" i="14" s="1"/>
  <c r="AU404" i="14"/>
  <c r="AV404" i="14" s="1"/>
  <c r="AU403" i="14"/>
  <c r="AV403" i="14" s="1"/>
  <c r="AU402" i="14"/>
  <c r="AV402" i="14" s="1"/>
  <c r="AU360" i="14"/>
  <c r="AV360" i="14" s="1"/>
  <c r="AU359" i="14"/>
  <c r="AV359" i="14" s="1"/>
  <c r="AU358" i="14"/>
  <c r="AV358" i="14" s="1"/>
  <c r="AU357" i="14"/>
  <c r="AV357" i="14" s="1"/>
  <c r="AU356" i="14"/>
  <c r="AV356" i="14" s="1"/>
  <c r="AU333" i="14"/>
  <c r="AV333" i="14" s="1"/>
  <c r="AQ333" i="14"/>
  <c r="AP333" i="14" s="1"/>
  <c r="AU332" i="14"/>
  <c r="AV332" i="14" s="1"/>
  <c r="AQ332" i="14"/>
  <c r="AP332" i="14" s="1"/>
  <c r="AU317" i="14"/>
  <c r="AV317" i="14" s="1"/>
  <c r="AQ317" i="14"/>
  <c r="AP317" i="14" s="1"/>
  <c r="AU308" i="14"/>
  <c r="AQ308" i="14"/>
  <c r="AP308" i="14" s="1"/>
  <c r="AU307" i="14"/>
  <c r="AV307" i="14" s="1"/>
  <c r="AQ307" i="14"/>
  <c r="AP307" i="14" s="1"/>
  <c r="AU306" i="14"/>
  <c r="AV306" i="14" s="1"/>
  <c r="AQ306" i="14"/>
  <c r="AP306" i="14" s="1"/>
  <c r="AU305" i="14"/>
  <c r="AV305" i="14" s="1"/>
  <c r="AQ305" i="14"/>
  <c r="AP305" i="14" s="1"/>
  <c r="AU304" i="14"/>
  <c r="AV304" i="14" s="1"/>
  <c r="AQ304" i="14"/>
  <c r="AP304" i="14" s="1"/>
  <c r="AU303" i="14"/>
  <c r="AV303" i="14" s="1"/>
  <c r="AQ303" i="14"/>
  <c r="AP303" i="14" s="1"/>
  <c r="AU302" i="14"/>
  <c r="AV302" i="14" s="1"/>
  <c r="AQ302" i="14"/>
  <c r="AP302" i="14" s="1"/>
  <c r="AU301" i="14"/>
  <c r="AV301" i="14" s="1"/>
  <c r="AQ301" i="14"/>
  <c r="AP301" i="14" s="1"/>
  <c r="AU300" i="14"/>
  <c r="AV300" i="14" s="1"/>
  <c r="AQ300" i="14"/>
  <c r="AP300" i="14" s="1"/>
  <c r="AU293" i="14"/>
  <c r="AV293" i="14" s="1"/>
  <c r="AQ293" i="14"/>
  <c r="AP293" i="14" s="1"/>
  <c r="AU292" i="14"/>
  <c r="AV292" i="14" s="1"/>
  <c r="AQ292" i="14"/>
  <c r="AP292" i="14" s="1"/>
  <c r="AU291" i="14"/>
  <c r="AV291" i="14" s="1"/>
  <c r="AQ291" i="14"/>
  <c r="AP291" i="14" s="1"/>
  <c r="AU290" i="14"/>
  <c r="AQ290" i="14"/>
  <c r="AP290" i="14" s="1"/>
  <c r="AU289" i="14"/>
  <c r="AV289" i="14" s="1"/>
  <c r="AQ289" i="14"/>
  <c r="AP289" i="14" s="1"/>
  <c r="AU288" i="14"/>
  <c r="AV288" i="14" s="1"/>
  <c r="AQ288" i="14"/>
  <c r="AP288" i="14" s="1"/>
  <c r="AU287" i="14"/>
  <c r="AV287" i="14" s="1"/>
  <c r="AQ287" i="14"/>
  <c r="AP287" i="14" s="1"/>
  <c r="AU286" i="14"/>
  <c r="AV286" i="14" s="1"/>
  <c r="AQ286" i="14"/>
  <c r="AP286" i="14" s="1"/>
  <c r="AU285" i="14"/>
  <c r="AV285" i="14" s="1"/>
  <c r="AQ285" i="14"/>
  <c r="AP285" i="14" s="1"/>
  <c r="AU278" i="14"/>
  <c r="AV278" i="14" s="1"/>
  <c r="AQ278" i="14"/>
  <c r="AP278" i="14" s="1"/>
  <c r="AU277" i="14"/>
  <c r="AV277" i="14" s="1"/>
  <c r="AQ277" i="14"/>
  <c r="AP277" i="14" s="1"/>
  <c r="AU276" i="14"/>
  <c r="AV276" i="14" s="1"/>
  <c r="AQ276" i="14"/>
  <c r="AP276" i="14" s="1"/>
  <c r="AU275" i="14"/>
  <c r="AV275" i="14" s="1"/>
  <c r="AQ275" i="14"/>
  <c r="AP275" i="14" s="1"/>
  <c r="AU274" i="14"/>
  <c r="AV274" i="14" s="1"/>
  <c r="AQ274" i="14"/>
  <c r="AP274" i="14" s="1"/>
  <c r="AU273" i="14"/>
  <c r="AV273" i="14" s="1"/>
  <c r="AQ273" i="14"/>
  <c r="AP273" i="14" s="1"/>
  <c r="AU272" i="14"/>
  <c r="AV272" i="14" s="1"/>
  <c r="AQ272" i="14"/>
  <c r="AP272" i="14" s="1"/>
  <c r="AU271" i="14"/>
  <c r="AV271" i="14" s="1"/>
  <c r="AQ271" i="14"/>
  <c r="AP271" i="14" s="1"/>
  <c r="AU270" i="14"/>
  <c r="AV270" i="14" s="1"/>
  <c r="AQ270" i="14"/>
  <c r="AP270" i="14" s="1"/>
  <c r="AU239" i="14"/>
  <c r="AV239" i="14" s="1"/>
  <c r="AU238" i="14"/>
  <c r="AV238" i="14" s="1"/>
  <c r="AU237" i="14"/>
  <c r="AV237" i="14" s="1"/>
  <c r="AU236" i="14"/>
  <c r="AV236" i="14" s="1"/>
  <c r="AU60" i="14"/>
  <c r="AV60" i="14" s="1"/>
  <c r="AU58" i="14"/>
  <c r="AV58" i="14" s="1"/>
  <c r="AU56" i="14"/>
  <c r="AV56" i="14" s="1"/>
  <c r="AU46" i="14"/>
  <c r="AV46" i="14" s="1"/>
  <c r="AU44" i="14"/>
  <c r="AV44" i="14" s="1"/>
  <c r="AU42" i="14"/>
  <c r="AV42" i="14" s="1"/>
  <c r="AQ42" i="14"/>
  <c r="AP42" i="14" s="1"/>
  <c r="AU41" i="14"/>
  <c r="AV41" i="14" s="1"/>
  <c r="AQ41" i="14"/>
  <c r="AP41" i="14" s="1"/>
  <c r="AU32" i="14"/>
  <c r="AV32" i="14" s="1"/>
  <c r="AV26" i="14"/>
  <c r="AI822" i="14"/>
  <c r="AI821" i="14"/>
  <c r="AI820" i="14"/>
  <c r="AI819" i="14"/>
  <c r="AI818" i="14"/>
  <c r="AI817" i="14"/>
  <c r="AI815" i="14"/>
  <c r="AI814" i="14"/>
  <c r="AI813" i="14"/>
  <c r="AI812" i="14"/>
  <c r="AF813" i="14"/>
  <c r="AI872" i="14"/>
  <c r="AI871" i="14"/>
  <c r="AI869" i="14"/>
  <c r="AI868" i="14"/>
  <c r="AI867" i="14"/>
  <c r="AI866" i="14"/>
  <c r="AI865" i="14"/>
  <c r="AI864" i="14"/>
  <c r="AI863" i="14"/>
  <c r="AI862" i="14"/>
  <c r="AI861" i="14"/>
  <c r="AI860" i="14"/>
  <c r="AI859" i="14"/>
  <c r="AI858" i="14"/>
  <c r="AI857" i="14"/>
  <c r="AI856" i="14"/>
  <c r="AI855" i="14"/>
  <c r="AI854" i="14"/>
  <c r="AI853" i="14"/>
  <c r="AI852" i="14"/>
  <c r="AI851" i="14"/>
  <c r="AI850" i="14"/>
  <c r="AI849" i="14"/>
  <c r="AI848" i="14"/>
  <c r="AI847" i="14"/>
  <c r="AI846" i="14"/>
  <c r="AI845" i="14"/>
  <c r="AI844" i="14"/>
  <c r="AI843" i="14"/>
  <c r="AI842" i="14"/>
  <c r="AI841" i="14"/>
  <c r="AI840" i="14"/>
  <c r="AI839" i="14"/>
  <c r="AI838" i="14"/>
  <c r="AI837" i="14"/>
  <c r="AI836" i="14"/>
  <c r="AI835" i="14"/>
  <c r="AI834" i="14"/>
  <c r="AI833" i="14"/>
  <c r="AI832" i="14"/>
  <c r="AI831" i="14"/>
  <c r="AI830" i="14"/>
  <c r="AI829" i="14"/>
  <c r="AI828" i="14"/>
  <c r="AI827" i="14"/>
  <c r="AI826" i="14"/>
  <c r="AI825" i="14"/>
  <c r="AI824" i="14"/>
  <c r="AI823" i="14"/>
  <c r="AK815" i="14"/>
  <c r="AI811" i="14"/>
  <c r="AI810" i="14"/>
  <c r="AI809" i="14"/>
  <c r="AI808" i="14"/>
  <c r="AI807" i="14"/>
  <c r="AI806" i="14"/>
  <c r="AI805" i="14"/>
  <c r="AI804" i="14"/>
  <c r="AI803" i="14"/>
  <c r="AI802" i="14"/>
  <c r="AI801" i="14"/>
  <c r="AI800" i="14"/>
  <c r="AI799" i="14"/>
  <c r="AI798" i="14"/>
  <c r="AI797" i="14"/>
  <c r="AI796" i="14"/>
  <c r="AI795" i="14"/>
  <c r="AI794" i="14"/>
  <c r="AI793" i="14"/>
  <c r="AI792" i="14"/>
  <c r="AI791" i="14"/>
  <c r="AI790" i="14"/>
  <c r="AI789" i="14"/>
  <c r="AI788" i="14"/>
  <c r="AI787" i="14"/>
  <c r="AI786" i="14"/>
  <c r="AI785" i="14"/>
  <c r="AI784" i="14"/>
  <c r="AI783" i="14"/>
  <c r="AI782" i="14"/>
  <c r="AI781" i="14"/>
  <c r="AQ781" i="14" s="1"/>
  <c r="AP781" i="14" s="1"/>
  <c r="AI780" i="14"/>
  <c r="AQ780" i="14" s="1"/>
  <c r="AP780" i="14" s="1"/>
  <c r="AI779" i="14"/>
  <c r="AQ779" i="14" s="1"/>
  <c r="AP779" i="14" s="1"/>
  <c r="AI778" i="14"/>
  <c r="AI777" i="14"/>
  <c r="AI776" i="14"/>
  <c r="AI775" i="14"/>
  <c r="AI774" i="14"/>
  <c r="AI773" i="14"/>
  <c r="AI772" i="14"/>
  <c r="AI771" i="14"/>
  <c r="AI770" i="14"/>
  <c r="AI769" i="14"/>
  <c r="AI768" i="14"/>
  <c r="AI767" i="14"/>
  <c r="AQ767" i="14" s="1"/>
  <c r="AP767" i="14" s="1"/>
  <c r="AI766" i="14"/>
  <c r="AQ766" i="14" s="1"/>
  <c r="AP766" i="14" s="1"/>
  <c r="AS766" i="14" s="1"/>
  <c r="AI765" i="14"/>
  <c r="AQ765" i="14" s="1"/>
  <c r="AP765" i="14" s="1"/>
  <c r="AI764" i="14"/>
  <c r="AQ764" i="14" s="1"/>
  <c r="AP764" i="14" s="1"/>
  <c r="AI763" i="14"/>
  <c r="AI762" i="14"/>
  <c r="AI761" i="14"/>
  <c r="AI760" i="14"/>
  <c r="AI759" i="14"/>
  <c r="AI758" i="14"/>
  <c r="AI757" i="14"/>
  <c r="AI756" i="14"/>
  <c r="AI755" i="14"/>
  <c r="AI754" i="14"/>
  <c r="AI753" i="14"/>
  <c r="AI752" i="14"/>
  <c r="AI751" i="14"/>
  <c r="AI750" i="14"/>
  <c r="AI749" i="14"/>
  <c r="AI748" i="14"/>
  <c r="AI747" i="14"/>
  <c r="AI746" i="14"/>
  <c r="AQ746" i="14" s="1"/>
  <c r="AP746" i="14" s="1"/>
  <c r="AI618" i="14"/>
  <c r="AI617" i="14"/>
  <c r="AF616" i="14"/>
  <c r="AI616" i="14" s="1"/>
  <c r="AF615" i="14"/>
  <c r="AI615" i="14" s="1"/>
  <c r="AF614" i="14"/>
  <c r="AI614" i="14" s="1"/>
  <c r="AF613" i="14"/>
  <c r="AI613" i="14" s="1"/>
  <c r="AF612" i="14"/>
  <c r="AI612" i="14" s="1"/>
  <c r="AF611" i="14"/>
  <c r="AI611" i="14" s="1"/>
  <c r="AF610" i="14"/>
  <c r="AI610" i="14" s="1"/>
  <c r="AF609" i="14"/>
  <c r="AI609" i="14" s="1"/>
  <c r="AF608" i="14"/>
  <c r="AI608" i="14" s="1"/>
  <c r="AF607" i="14"/>
  <c r="AI607" i="14" s="1"/>
  <c r="AF606" i="14"/>
  <c r="AI606" i="14" s="1"/>
  <c r="AF605" i="14"/>
  <c r="AI605" i="14" s="1"/>
  <c r="AF604" i="14"/>
  <c r="AI604" i="14" s="1"/>
  <c r="AF603" i="14"/>
  <c r="AI603" i="14" s="1"/>
  <c r="AF602" i="14"/>
  <c r="AI602" i="14" s="1"/>
  <c r="AF601" i="14"/>
  <c r="AI601" i="14" s="1"/>
  <c r="AF600" i="14"/>
  <c r="AI600" i="14" s="1"/>
  <c r="AF599" i="14"/>
  <c r="AI599" i="14" s="1"/>
  <c r="AF598" i="14"/>
  <c r="AI598" i="14" s="1"/>
  <c r="AF597" i="14"/>
  <c r="AI597" i="14" s="1"/>
  <c r="AF596" i="14"/>
  <c r="AI596" i="14" s="1"/>
  <c r="AF595" i="14"/>
  <c r="AI595" i="14" s="1"/>
  <c r="AF594" i="14"/>
  <c r="AI594" i="14" s="1"/>
  <c r="AF593" i="14"/>
  <c r="AI593" i="14" s="1"/>
  <c r="AF584" i="14"/>
  <c r="AI584" i="14" s="1"/>
  <c r="AF583" i="14"/>
  <c r="AI583" i="14" s="1"/>
  <c r="AF582" i="14"/>
  <c r="AI582" i="14" s="1"/>
  <c r="AF581" i="14"/>
  <c r="AI581" i="14" s="1"/>
  <c r="AF580" i="14"/>
  <c r="AI580" i="14" s="1"/>
  <c r="AF579" i="14"/>
  <c r="AI579" i="14" s="1"/>
  <c r="AF578" i="14"/>
  <c r="AI578" i="14" s="1"/>
  <c r="AF577" i="14"/>
  <c r="AI577" i="14" s="1"/>
  <c r="AI572" i="14"/>
  <c r="AI571" i="14"/>
  <c r="AI570" i="14"/>
  <c r="AI569" i="14"/>
  <c r="AI568" i="14"/>
  <c r="AI567" i="14"/>
  <c r="AI566" i="14"/>
  <c r="AI565" i="14"/>
  <c r="AI564" i="14"/>
  <c r="AI563" i="14"/>
  <c r="AI562" i="14"/>
  <c r="AI561" i="14"/>
  <c r="AI559" i="14"/>
  <c r="AI558" i="14"/>
  <c r="AI557" i="14"/>
  <c r="AI556" i="14"/>
  <c r="AI555" i="14"/>
  <c r="AI554" i="14"/>
  <c r="AI553" i="14"/>
  <c r="AI552" i="14"/>
  <c r="AI551" i="14"/>
  <c r="AI550" i="14"/>
  <c r="AI549" i="14"/>
  <c r="AI548" i="14"/>
  <c r="AI547" i="14"/>
  <c r="AI546" i="14"/>
  <c r="AI545" i="14"/>
  <c r="AI544" i="14"/>
  <c r="AI543" i="14"/>
  <c r="AI542" i="14"/>
  <c r="AI541" i="14"/>
  <c r="AI540" i="14"/>
  <c r="AI539" i="14"/>
  <c r="AI538" i="14"/>
  <c r="AI537" i="14"/>
  <c r="AI536" i="14"/>
  <c r="AI535" i="14"/>
  <c r="AI534" i="14"/>
  <c r="AI533" i="14"/>
  <c r="AI532" i="14"/>
  <c r="AI531" i="14"/>
  <c r="AI530" i="14"/>
  <c r="AI529" i="14"/>
  <c r="AI528" i="14"/>
  <c r="AI527" i="14"/>
  <c r="AI526" i="14"/>
  <c r="AI525" i="14"/>
  <c r="AI524" i="14"/>
  <c r="AI523" i="14"/>
  <c r="AI522" i="14"/>
  <c r="AI521" i="14"/>
  <c r="AI520" i="14"/>
  <c r="AI519" i="14"/>
  <c r="AI518" i="14"/>
  <c r="AI517" i="14"/>
  <c r="AI516" i="14"/>
  <c r="AI515" i="14"/>
  <c r="AI514" i="14"/>
  <c r="AI513" i="14"/>
  <c r="AI512" i="14"/>
  <c r="AI511" i="14"/>
  <c r="AI510" i="14"/>
  <c r="AI509" i="14"/>
  <c r="AI508" i="14"/>
  <c r="AI507" i="14"/>
  <c r="AI506" i="14"/>
  <c r="AI505" i="14"/>
  <c r="AI504" i="14"/>
  <c r="AI503" i="14"/>
  <c r="AI502" i="14"/>
  <c r="AI501" i="14"/>
  <c r="AI500" i="14"/>
  <c r="AI499" i="14"/>
  <c r="AI478" i="14"/>
  <c r="AI477" i="14"/>
  <c r="AI476" i="14"/>
  <c r="AI475" i="14"/>
  <c r="AI474" i="14"/>
  <c r="AI473" i="14"/>
  <c r="AI472" i="14"/>
  <c r="AI471" i="14"/>
  <c r="AI470" i="14"/>
  <c r="AF469" i="14"/>
  <c r="AF468" i="14"/>
  <c r="AF467" i="14"/>
  <c r="AF466" i="14"/>
  <c r="AF465" i="14"/>
  <c r="AF464" i="14"/>
  <c r="AF463" i="14"/>
  <c r="AF462" i="14"/>
  <c r="AF461" i="14"/>
  <c r="AF460" i="14"/>
  <c r="AF459" i="14"/>
  <c r="AF458" i="14"/>
  <c r="AF457" i="14"/>
  <c r="AF456" i="14"/>
  <c r="AF455" i="14"/>
  <c r="AF454" i="14"/>
  <c r="AF453" i="14"/>
  <c r="AF452" i="14"/>
  <c r="AF451" i="14"/>
  <c r="AF450" i="14"/>
  <c r="AI449" i="14"/>
  <c r="AQ449" i="14" s="1"/>
  <c r="AI448" i="14"/>
  <c r="AQ448" i="14" s="1"/>
  <c r="AI447" i="14"/>
  <c r="AQ447" i="14" s="1"/>
  <c r="AI446" i="14"/>
  <c r="AQ446" i="14" s="1"/>
  <c r="AI445" i="14"/>
  <c r="AQ445" i="14" s="1"/>
  <c r="AI444" i="14"/>
  <c r="AQ444" i="14" s="1"/>
  <c r="AI443" i="14"/>
  <c r="AQ443" i="14" s="1"/>
  <c r="AI442" i="14"/>
  <c r="AQ442" i="14" s="1"/>
  <c r="AI441" i="14"/>
  <c r="AQ441" i="14" s="1"/>
  <c r="AI440" i="14"/>
  <c r="AQ440" i="14" s="1"/>
  <c r="AI439" i="14"/>
  <c r="AQ439" i="14" s="1"/>
  <c r="AI438" i="14"/>
  <c r="AQ438" i="14" s="1"/>
  <c r="AI437" i="14"/>
  <c r="AQ437" i="14" s="1"/>
  <c r="AI436" i="14"/>
  <c r="AQ436" i="14" s="1"/>
  <c r="AI435" i="14"/>
  <c r="AQ435" i="14" s="1"/>
  <c r="AI434" i="14"/>
  <c r="AQ434" i="14" s="1"/>
  <c r="AI433" i="14"/>
  <c r="AQ433" i="14" s="1"/>
  <c r="AI432" i="14"/>
  <c r="AQ432" i="14" s="1"/>
  <c r="AI431" i="14"/>
  <c r="AQ431" i="14" s="1"/>
  <c r="AI430" i="14"/>
  <c r="AQ430" i="14" s="1"/>
  <c r="AF429" i="14"/>
  <c r="AI429" i="14" s="1"/>
  <c r="AF428" i="14"/>
  <c r="AI428" i="14" s="1"/>
  <c r="AF427" i="14"/>
  <c r="AI427" i="14" s="1"/>
  <c r="AF426" i="14"/>
  <c r="AI426" i="14" s="1"/>
  <c r="AF425" i="14"/>
  <c r="AI425" i="14" s="1"/>
  <c r="AF424" i="14"/>
  <c r="AI424" i="14" s="1"/>
  <c r="AF423" i="14"/>
  <c r="AI423" i="14" s="1"/>
  <c r="AF422" i="14"/>
  <c r="AI422" i="14" s="1"/>
  <c r="AF421" i="14"/>
  <c r="AI421" i="14" s="1"/>
  <c r="AF420" i="14"/>
  <c r="AI420" i="14" s="1"/>
  <c r="AF419" i="14"/>
  <c r="AI419" i="14" s="1"/>
  <c r="AF418" i="14"/>
  <c r="AI418" i="14" s="1"/>
  <c r="AF417" i="14"/>
  <c r="AI417" i="14" s="1"/>
  <c r="AF416" i="14"/>
  <c r="AI416" i="14" s="1"/>
  <c r="AF415" i="14"/>
  <c r="AI415" i="14" s="1"/>
  <c r="AF414" i="14"/>
  <c r="AI414" i="14" s="1"/>
  <c r="AF413" i="14"/>
  <c r="AI413" i="14" s="1"/>
  <c r="AF412" i="14"/>
  <c r="AI412" i="14" s="1"/>
  <c r="AF411" i="14"/>
  <c r="AI411" i="14" s="1"/>
  <c r="AF410" i="14"/>
  <c r="AI410" i="14" s="1"/>
  <c r="AF409" i="14"/>
  <c r="AI409" i="14" s="1"/>
  <c r="AF408" i="14"/>
  <c r="AI408" i="14" s="1"/>
  <c r="AF407" i="14"/>
  <c r="AI407" i="14" s="1"/>
  <c r="AF406" i="14"/>
  <c r="AI406" i="14" s="1"/>
  <c r="AF405" i="14"/>
  <c r="AI405" i="14" s="1"/>
  <c r="AF404" i="14"/>
  <c r="AI404" i="14" s="1"/>
  <c r="AF403" i="14"/>
  <c r="AI403" i="14" s="1"/>
  <c r="AF402" i="14"/>
  <c r="AI402" i="14" s="1"/>
  <c r="AF401" i="14"/>
  <c r="AI401" i="14" s="1"/>
  <c r="AF400" i="14"/>
  <c r="AI400" i="14" s="1"/>
  <c r="AF399" i="14"/>
  <c r="AI399" i="14" s="1"/>
  <c r="AF398" i="14"/>
  <c r="AI398" i="14" s="1"/>
  <c r="AF397" i="14"/>
  <c r="AI397" i="14" s="1"/>
  <c r="AF396" i="14"/>
  <c r="AI396" i="14" s="1"/>
  <c r="AF395" i="14"/>
  <c r="AI395" i="14" s="1"/>
  <c r="AI370" i="14"/>
  <c r="AI369" i="14"/>
  <c r="AI368" i="14"/>
  <c r="AI367" i="14"/>
  <c r="AI366" i="14"/>
  <c r="AI365" i="14"/>
  <c r="AI360" i="14"/>
  <c r="AI359" i="14"/>
  <c r="AI358" i="14"/>
  <c r="AI357" i="14"/>
  <c r="AI356" i="14"/>
  <c r="AI355" i="14"/>
  <c r="AI354" i="14"/>
  <c r="AI353" i="14"/>
  <c r="AI352" i="14"/>
  <c r="AI351" i="14"/>
  <c r="AI350" i="14"/>
  <c r="AI349" i="14"/>
  <c r="AI348" i="14"/>
  <c r="AI347" i="14"/>
  <c r="AI346" i="14"/>
  <c r="AI345" i="14"/>
  <c r="AI344" i="14"/>
  <c r="AI343" i="14"/>
  <c r="AI342" i="14"/>
  <c r="AI341" i="14"/>
  <c r="AI340" i="14"/>
  <c r="AI339" i="14"/>
  <c r="AI338" i="14"/>
  <c r="AI337" i="14"/>
  <c r="AI336" i="14"/>
  <c r="AI335" i="14"/>
  <c r="AI333" i="14"/>
  <c r="AI332" i="14"/>
  <c r="AI331" i="14"/>
  <c r="AI330" i="14"/>
  <c r="AI329" i="14"/>
  <c r="AI328" i="14"/>
  <c r="AI327" i="14"/>
  <c r="AI326" i="14"/>
  <c r="AI325" i="14"/>
  <c r="AI334" i="14"/>
  <c r="AI318" i="14"/>
  <c r="AI324" i="14"/>
  <c r="AI323" i="14"/>
  <c r="AI322" i="14"/>
  <c r="AI321" i="14"/>
  <c r="AI320" i="14"/>
  <c r="AI319" i="14"/>
  <c r="AI317" i="14"/>
  <c r="AI316" i="14"/>
  <c r="AI315" i="14"/>
  <c r="AI314" i="14"/>
  <c r="AI313" i="14"/>
  <c r="AI312" i="14"/>
  <c r="AI311" i="14"/>
  <c r="AI310" i="14"/>
  <c r="AI309" i="14"/>
  <c r="AI308" i="14"/>
  <c r="AI307" i="14"/>
  <c r="AI306" i="14"/>
  <c r="AI305" i="14"/>
  <c r="AI304" i="14"/>
  <c r="AI303" i="14"/>
  <c r="AI302" i="14"/>
  <c r="AI301" i="14"/>
  <c r="AI300" i="14"/>
  <c r="AI299" i="14"/>
  <c r="AI298" i="14"/>
  <c r="AI297" i="14"/>
  <c r="AI296" i="14"/>
  <c r="AI295" i="14"/>
  <c r="AI294" i="14"/>
  <c r="AI293" i="14"/>
  <c r="AI292" i="14"/>
  <c r="AI291" i="14"/>
  <c r="AI290" i="14"/>
  <c r="AI289" i="14"/>
  <c r="AI288" i="14"/>
  <c r="AI287" i="14"/>
  <c r="AI286" i="14"/>
  <c r="AI285" i="14"/>
  <c r="AI284" i="14"/>
  <c r="AI283" i="14"/>
  <c r="AI282" i="14"/>
  <c r="AI281" i="14"/>
  <c r="AI280" i="14"/>
  <c r="AI279" i="14"/>
  <c r="AI278" i="14"/>
  <c r="AI277" i="14"/>
  <c r="AI276" i="14"/>
  <c r="AI275" i="14"/>
  <c r="AI274" i="14"/>
  <c r="AI273" i="14"/>
  <c r="AI272" i="14"/>
  <c r="AI271" i="14"/>
  <c r="AI270" i="14"/>
  <c r="AI269" i="14"/>
  <c r="AI268" i="14"/>
  <c r="AI267" i="14"/>
  <c r="AI266" i="14"/>
  <c r="AI265" i="14"/>
  <c r="AI264" i="14"/>
  <c r="AI263" i="14"/>
  <c r="AI262" i="14"/>
  <c r="AI261" i="14"/>
  <c r="AI260" i="14"/>
  <c r="AI259" i="14"/>
  <c r="AI258" i="14"/>
  <c r="AI257" i="14"/>
  <c r="AI256" i="14"/>
  <c r="AI255" i="14"/>
  <c r="AI254" i="14"/>
  <c r="AI253" i="14"/>
  <c r="AI252" i="14"/>
  <c r="AI251" i="14"/>
  <c r="AI250" i="14"/>
  <c r="AI249" i="14"/>
  <c r="AI248" i="14"/>
  <c r="AI247" i="14"/>
  <c r="AI246" i="14"/>
  <c r="AI245" i="14"/>
  <c r="AI244" i="14"/>
  <c r="AI243" i="14"/>
  <c r="AI242" i="14"/>
  <c r="AI241" i="14"/>
  <c r="AI240" i="14"/>
  <c r="AI239" i="14"/>
  <c r="AI238" i="14"/>
  <c r="AI237" i="14"/>
  <c r="AI236" i="14"/>
  <c r="AI235" i="14"/>
  <c r="AI234" i="14"/>
  <c r="AI233" i="14"/>
  <c r="AI227" i="14"/>
  <c r="AI232" i="14"/>
  <c r="AI226" i="14"/>
  <c r="AI231" i="14"/>
  <c r="AI225" i="14"/>
  <c r="AI230" i="14"/>
  <c r="AI224" i="14"/>
  <c r="AI229" i="14"/>
  <c r="AI223" i="14"/>
  <c r="AI228" i="14"/>
  <c r="AI222" i="14"/>
  <c r="AI221" i="14"/>
  <c r="AI220" i="14"/>
  <c r="AI219" i="14"/>
  <c r="AI218" i="14"/>
  <c r="AI217" i="14"/>
  <c r="AI216" i="14"/>
  <c r="AI215" i="14"/>
  <c r="AI214" i="14"/>
  <c r="AI213" i="14"/>
  <c r="AI212" i="14"/>
  <c r="AI211" i="14"/>
  <c r="AI210" i="14"/>
  <c r="AI209" i="14"/>
  <c r="AI208" i="14"/>
  <c r="AI207" i="14"/>
  <c r="AI206" i="14"/>
  <c r="AI205" i="14"/>
  <c r="AI204" i="14"/>
  <c r="AI203" i="14"/>
  <c r="AI202" i="14"/>
  <c r="AI201" i="14"/>
  <c r="AI156" i="14"/>
  <c r="AI155" i="14"/>
  <c r="AI154" i="14"/>
  <c r="AI153" i="14"/>
  <c r="AI152" i="14"/>
  <c r="AI151" i="14"/>
  <c r="AI150" i="14"/>
  <c r="AI149" i="14"/>
  <c r="AI148" i="14"/>
  <c r="AI147" i="14"/>
  <c r="AI146" i="14"/>
  <c r="AI145" i="14"/>
  <c r="AI144" i="14"/>
  <c r="AI143" i="14"/>
  <c r="AI142" i="14"/>
  <c r="AI141" i="14"/>
  <c r="AI140" i="14"/>
  <c r="AI139" i="14"/>
  <c r="AI138" i="14"/>
  <c r="AI137" i="14"/>
  <c r="AI136" i="14"/>
  <c r="AI135" i="14"/>
  <c r="AI134" i="14"/>
  <c r="AI133" i="14"/>
  <c r="AI132" i="14"/>
  <c r="AI131" i="14"/>
  <c r="AI130" i="14"/>
  <c r="AI129" i="14"/>
  <c r="AI128" i="14"/>
  <c r="AI127" i="14"/>
  <c r="AI126" i="14"/>
  <c r="AI125" i="14"/>
  <c r="AI124" i="14"/>
  <c r="AI123" i="14"/>
  <c r="AI122" i="14"/>
  <c r="AI121" i="14"/>
  <c r="AI120" i="14"/>
  <c r="AI119" i="14"/>
  <c r="AI118" i="14"/>
  <c r="AI117" i="14"/>
  <c r="AI116" i="14"/>
  <c r="AI115" i="14"/>
  <c r="AI114" i="14"/>
  <c r="AI113" i="14"/>
  <c r="AI112" i="14"/>
  <c r="AI111" i="14"/>
  <c r="AI110" i="14"/>
  <c r="AI109" i="14"/>
  <c r="AI108" i="14"/>
  <c r="AI107" i="14"/>
  <c r="AI106" i="14"/>
  <c r="AI105" i="14"/>
  <c r="AI104" i="14"/>
  <c r="AI103" i="14"/>
  <c r="AI102" i="14"/>
  <c r="AI101" i="14"/>
  <c r="AI100" i="14"/>
  <c r="AI99" i="14"/>
  <c r="AI98" i="14"/>
  <c r="AI97" i="14"/>
  <c r="AI96" i="14"/>
  <c r="AI95" i="14"/>
  <c r="AI94" i="14"/>
  <c r="AI93" i="14"/>
  <c r="AI92" i="14"/>
  <c r="AI91" i="14"/>
  <c r="AI90" i="14"/>
  <c r="AI89" i="14"/>
  <c r="AI88" i="14"/>
  <c r="AI87" i="14"/>
  <c r="AI86" i="14"/>
  <c r="AI85" i="14"/>
  <c r="AI84" i="14"/>
  <c r="AI83" i="14"/>
  <c r="AI82" i="14"/>
  <c r="AI81" i="14"/>
  <c r="AI80" i="14"/>
  <c r="AK79" i="14"/>
  <c r="AI79" i="14" s="1"/>
  <c r="AQ79" i="14" s="1"/>
  <c r="AK78" i="14"/>
  <c r="AI78" i="14" s="1"/>
  <c r="AQ78" i="14" s="1"/>
  <c r="AK77" i="14"/>
  <c r="AI77" i="14" s="1"/>
  <c r="AQ77" i="14" s="1"/>
  <c r="AK76" i="14"/>
  <c r="AI76" i="14" s="1"/>
  <c r="AQ76" i="14" s="1"/>
  <c r="AK75" i="14"/>
  <c r="AK74" i="14"/>
  <c r="AK73" i="14"/>
  <c r="AK72" i="14"/>
  <c r="AK71" i="14"/>
  <c r="AI71" i="14" s="1"/>
  <c r="AQ71" i="14" s="1"/>
  <c r="AK70" i="14"/>
  <c r="AI70" i="14" s="1"/>
  <c r="AQ70" i="14" s="1"/>
  <c r="AK69" i="14"/>
  <c r="AI69" i="14" s="1"/>
  <c r="AQ69" i="14" s="1"/>
  <c r="AK68" i="14"/>
  <c r="AI68" i="14" s="1"/>
  <c r="AQ68" i="14" s="1"/>
  <c r="AK67" i="14"/>
  <c r="AK66" i="14"/>
  <c r="AK65" i="14"/>
  <c r="AK64" i="14"/>
  <c r="AK61" i="14"/>
  <c r="AI60" i="14"/>
  <c r="AI59" i="14"/>
  <c r="AI58" i="14"/>
  <c r="AI57" i="14"/>
  <c r="AI56" i="14"/>
  <c r="AI55" i="14"/>
  <c r="AI54" i="14"/>
  <c r="AI53" i="14"/>
  <c r="AI52" i="14"/>
  <c r="AI51" i="14"/>
  <c r="AI50" i="14"/>
  <c r="AI49" i="14"/>
  <c r="AI48" i="14"/>
  <c r="AI47" i="14"/>
  <c r="AI46" i="14"/>
  <c r="AI45" i="14"/>
  <c r="AI44" i="14"/>
  <c r="AI43" i="14"/>
  <c r="AI42" i="14"/>
  <c r="AI41" i="14"/>
  <c r="AI40" i="14"/>
  <c r="AI39" i="14"/>
  <c r="AI38" i="14"/>
  <c r="AI37" i="14"/>
  <c r="AI36" i="14"/>
  <c r="AI35" i="14"/>
  <c r="AI34" i="14"/>
  <c r="AI33" i="14"/>
  <c r="AI32" i="14"/>
  <c r="AI31" i="14"/>
  <c r="AI30" i="14"/>
  <c r="AI29" i="14"/>
  <c r="AI28" i="14"/>
  <c r="AI25" i="14"/>
  <c r="AI24" i="14"/>
  <c r="AI27" i="14"/>
  <c r="AI26" i="14"/>
  <c r="AI23" i="14"/>
  <c r="AI22" i="14"/>
  <c r="AI21" i="14"/>
  <c r="AI20" i="14"/>
  <c r="AI17" i="14"/>
  <c r="AI16" i="14"/>
  <c r="AI19" i="14"/>
  <c r="AI18" i="14"/>
  <c r="AI15" i="14"/>
  <c r="AI14" i="14"/>
  <c r="AQ11" i="14"/>
  <c r="AI5" i="14"/>
  <c r="AI4" i="14"/>
  <c r="AI3" i="14"/>
  <c r="AI2" i="14"/>
  <c r="Z233" i="14"/>
  <c r="Z232" i="14"/>
  <c r="X233" i="14"/>
  <c r="X232" i="14"/>
  <c r="Z231" i="14"/>
  <c r="Z230" i="14"/>
  <c r="X231" i="14"/>
  <c r="X230" i="14"/>
  <c r="Z229" i="14"/>
  <c r="X229" i="14"/>
  <c r="V9" i="14"/>
  <c r="AI9" i="14" s="1"/>
  <c r="AQ9" i="14" s="1"/>
  <c r="V8" i="14"/>
  <c r="AI8" i="14" s="1"/>
  <c r="AQ8" i="14" s="1"/>
  <c r="V7" i="14"/>
  <c r="S663" i="14"/>
  <c r="AF663" i="14" s="1"/>
  <c r="AI663" i="14" s="1"/>
  <c r="AQ663" i="14" s="1"/>
  <c r="AP663" i="14" s="1"/>
  <c r="S662" i="14"/>
  <c r="AF662" i="14" s="1"/>
  <c r="AI662" i="14" s="1"/>
  <c r="AQ662" i="14" s="1"/>
  <c r="AP662" i="14" s="1"/>
  <c r="S661" i="14"/>
  <c r="AF661" i="14" s="1"/>
  <c r="AI661" i="14" s="1"/>
  <c r="AQ661" i="14" s="1"/>
  <c r="AP661" i="14" s="1"/>
  <c r="S660" i="14"/>
  <c r="AF660" i="14" s="1"/>
  <c r="AI660" i="14" s="1"/>
  <c r="AQ660" i="14" s="1"/>
  <c r="AP660" i="14" s="1"/>
  <c r="S659" i="14"/>
  <c r="AU659" i="14" s="1"/>
  <c r="AV659" i="14" s="1"/>
  <c r="S658" i="14"/>
  <c r="AU658" i="14" s="1"/>
  <c r="AV658" i="14" s="1"/>
  <c r="S657" i="14"/>
  <c r="AU657" i="14" s="1"/>
  <c r="AV657" i="14" s="1"/>
  <c r="S656" i="14"/>
  <c r="AF656" i="14" s="1"/>
  <c r="AI656" i="14" s="1"/>
  <c r="AQ656" i="14" s="1"/>
  <c r="AP656" i="14" s="1"/>
  <c r="S655" i="14"/>
  <c r="AU655" i="14" s="1"/>
  <c r="AV655" i="14" s="1"/>
  <c r="S654" i="14"/>
  <c r="AU654" i="14" s="1"/>
  <c r="AV654" i="14" s="1"/>
  <c r="S653" i="14"/>
  <c r="AF653" i="14" s="1"/>
  <c r="AI653" i="14" s="1"/>
  <c r="AQ653" i="14" s="1"/>
  <c r="AP653" i="14" s="1"/>
  <c r="S652" i="14"/>
  <c r="AF652" i="14" s="1"/>
  <c r="AI652" i="14" s="1"/>
  <c r="AQ652" i="14" s="1"/>
  <c r="AP652" i="14" s="1"/>
  <c r="S591" i="14"/>
  <c r="AU591" i="14" s="1"/>
  <c r="AV591" i="14" s="1"/>
  <c r="S590" i="14"/>
  <c r="AF590" i="14" s="1"/>
  <c r="AI590" i="14" s="1"/>
  <c r="AQ590" i="14" s="1"/>
  <c r="AP590" i="14" s="1"/>
  <c r="S589" i="14"/>
  <c r="AU589" i="14" s="1"/>
  <c r="AV589" i="14" s="1"/>
  <c r="S588" i="14"/>
  <c r="AU588" i="14" s="1"/>
  <c r="AV588" i="14" s="1"/>
  <c r="S587" i="14"/>
  <c r="AF587" i="14" s="1"/>
  <c r="AI587" i="14" s="1"/>
  <c r="AQ587" i="14" s="1"/>
  <c r="AP587" i="14" s="1"/>
  <c r="S586" i="14"/>
  <c r="AF586" i="14" s="1"/>
  <c r="AI586" i="14" s="1"/>
  <c r="AQ586" i="14" s="1"/>
  <c r="AP586" i="14" s="1"/>
  <c r="S574" i="14"/>
  <c r="AU574" i="14" s="1"/>
  <c r="AV574" i="14" s="1"/>
  <c r="S200" i="14"/>
  <c r="AF200" i="14" s="1"/>
  <c r="AI200" i="14" s="1"/>
  <c r="S199" i="14"/>
  <c r="AT199" i="14" s="1"/>
  <c r="S198" i="14"/>
  <c r="AF198" i="14" s="1"/>
  <c r="AI198" i="14" s="1"/>
  <c r="S197" i="14"/>
  <c r="AT197" i="14" s="1"/>
  <c r="S196" i="14"/>
  <c r="AF196" i="14" s="1"/>
  <c r="AI196" i="14" s="1"/>
  <c r="S195" i="14"/>
  <c r="AF195" i="14" s="1"/>
  <c r="AI195" i="14" s="1"/>
  <c r="S194" i="14"/>
  <c r="AF194" i="14" s="1"/>
  <c r="AI194" i="14" s="1"/>
  <c r="S193" i="14"/>
  <c r="AF193" i="14" s="1"/>
  <c r="AI193" i="14" s="1"/>
  <c r="S192" i="14"/>
  <c r="AF192" i="14" s="1"/>
  <c r="AI192" i="14" s="1"/>
  <c r="S191" i="14"/>
  <c r="S190" i="14"/>
  <c r="AT190" i="14" s="1"/>
  <c r="S189" i="14"/>
  <c r="AF189" i="14" s="1"/>
  <c r="AI189" i="14" s="1"/>
  <c r="S172" i="14"/>
  <c r="AF172" i="14" s="1"/>
  <c r="AI172" i="14" s="1"/>
  <c r="S171" i="14"/>
  <c r="AF171" i="14" s="1"/>
  <c r="AI171" i="14" s="1"/>
  <c r="S170" i="14"/>
  <c r="AF170" i="14" s="1"/>
  <c r="AI170" i="14" s="1"/>
  <c r="S169" i="14"/>
  <c r="AF169" i="14" s="1"/>
  <c r="AI169" i="14" s="1"/>
  <c r="S168" i="14"/>
  <c r="AF168" i="14" s="1"/>
  <c r="AI168" i="14" s="1"/>
  <c r="S167" i="14"/>
  <c r="AF167" i="14" s="1"/>
  <c r="AI167" i="14" s="1"/>
  <c r="S166" i="14"/>
  <c r="AF166" i="14" s="1"/>
  <c r="AI166" i="14" s="1"/>
  <c r="S165" i="14"/>
  <c r="AF165" i="14" s="1"/>
  <c r="AI165" i="14" s="1"/>
  <c r="S164" i="14"/>
  <c r="AF164" i="14" s="1"/>
  <c r="AI164" i="14" s="1"/>
  <c r="S163" i="14"/>
  <c r="AF163" i="14" s="1"/>
  <c r="AI163" i="14" s="1"/>
  <c r="S162" i="14"/>
  <c r="AT162" i="14" s="1"/>
  <c r="S161" i="14"/>
  <c r="AT161" i="14" s="1"/>
  <c r="S160" i="14"/>
  <c r="AF160" i="14" s="1"/>
  <c r="AI160" i="14" s="1"/>
  <c r="S159" i="14"/>
  <c r="AF159" i="14" s="1"/>
  <c r="AI159" i="14" s="1"/>
  <c r="S158" i="14"/>
  <c r="AF158" i="14" s="1"/>
  <c r="AI158" i="14" s="1"/>
  <c r="S157" i="14"/>
  <c r="AT157" i="14" s="1"/>
  <c r="T63" i="14"/>
  <c r="U63" i="14"/>
  <c r="AK63" i="14" s="1"/>
  <c r="T62" i="14"/>
  <c r="U62" i="14"/>
  <c r="AK62" i="14" s="1"/>
  <c r="V462" i="14"/>
  <c r="V469" i="14"/>
  <c r="V468" i="14"/>
  <c r="V467" i="14"/>
  <c r="V466" i="14"/>
  <c r="V465" i="14"/>
  <c r="V464" i="14"/>
  <c r="V463" i="14"/>
  <c r="V461" i="14"/>
  <c r="V460" i="14"/>
  <c r="V459" i="14"/>
  <c r="V458" i="14"/>
  <c r="V457" i="14"/>
  <c r="V456" i="14"/>
  <c r="V455" i="14"/>
  <c r="V454" i="14"/>
  <c r="V453" i="14"/>
  <c r="V452" i="14"/>
  <c r="V451" i="14"/>
  <c r="V450" i="14"/>
  <c r="V449" i="14"/>
  <c r="V448" i="14"/>
  <c r="V447" i="14"/>
  <c r="V446" i="14"/>
  <c r="V445" i="14"/>
  <c r="V444" i="14"/>
  <c r="V443" i="14"/>
  <c r="V442" i="14"/>
  <c r="V441" i="14"/>
  <c r="V440" i="14"/>
  <c r="V439" i="14"/>
  <c r="V438" i="14"/>
  <c r="V437" i="14"/>
  <c r="V436" i="14"/>
  <c r="V435" i="14"/>
  <c r="V434" i="14"/>
  <c r="V433" i="14"/>
  <c r="V432" i="14"/>
  <c r="V431" i="14"/>
  <c r="V430" i="14"/>
  <c r="D650" i="14"/>
  <c r="D651" i="14" s="1"/>
  <c r="X44" i="14"/>
  <c r="X43" i="14"/>
  <c r="X37" i="14"/>
  <c r="Y37" i="14"/>
  <c r="X36" i="14"/>
  <c r="Y36" i="14"/>
  <c r="S233" i="14"/>
  <c r="AU233" i="14" s="1"/>
  <c r="AV233" i="14" s="1"/>
  <c r="S232" i="14"/>
  <c r="AQ232" i="14" s="1"/>
  <c r="AP232" i="14" s="1"/>
  <c r="S231" i="14"/>
  <c r="S230" i="14"/>
  <c r="AU230" i="14" s="1"/>
  <c r="AV230" i="14" s="1"/>
  <c r="S229" i="14"/>
  <c r="AQ229" i="14" s="1"/>
  <c r="AP229" i="14" s="1"/>
  <c r="S228" i="14"/>
  <c r="AU228" i="14" s="1"/>
  <c r="AV228" i="14" s="1"/>
  <c r="S227" i="14"/>
  <c r="AU227" i="14" s="1"/>
  <c r="AV227" i="14" s="1"/>
  <c r="S226" i="14"/>
  <c r="AQ226" i="14" s="1"/>
  <c r="AP226" i="14" s="1"/>
  <c r="S225" i="14"/>
  <c r="AU225" i="14" s="1"/>
  <c r="AV225" i="14" s="1"/>
  <c r="S224" i="14"/>
  <c r="AU224" i="14" s="1"/>
  <c r="AV224" i="14" s="1"/>
  <c r="S223" i="14"/>
  <c r="S222" i="14"/>
  <c r="S221" i="14"/>
  <c r="S220" i="14"/>
  <c r="S219" i="14"/>
  <c r="S218" i="14"/>
  <c r="S217" i="14"/>
  <c r="S216" i="14"/>
  <c r="T616" i="14"/>
  <c r="U616" i="14" s="1"/>
  <c r="O616" i="14"/>
  <c r="T615" i="14"/>
  <c r="U615" i="14" s="1"/>
  <c r="O615" i="14"/>
  <c r="T614" i="14"/>
  <c r="O614" i="14"/>
  <c r="T613" i="14"/>
  <c r="U613" i="14" s="1"/>
  <c r="O613" i="14"/>
  <c r="T612" i="14"/>
  <c r="O612" i="14"/>
  <c r="T611" i="14"/>
  <c r="U611" i="14" s="1"/>
  <c r="O611" i="14"/>
  <c r="T610" i="14"/>
  <c r="O610" i="14"/>
  <c r="T609" i="14"/>
  <c r="U609" i="14" s="1"/>
  <c r="O609" i="14"/>
  <c r="T608" i="14"/>
  <c r="U608" i="14" s="1"/>
  <c r="O608" i="14"/>
  <c r="T607" i="14"/>
  <c r="U607" i="14" s="1"/>
  <c r="O607" i="14"/>
  <c r="T606" i="14"/>
  <c r="O606" i="14"/>
  <c r="T605" i="14"/>
  <c r="U605" i="14" s="1"/>
  <c r="O605" i="14"/>
  <c r="S648" i="14"/>
  <c r="AQ648" i="14" s="1"/>
  <c r="AP648" i="14" s="1"/>
  <c r="P648" i="14"/>
  <c r="O648" i="14"/>
  <c r="S646" i="14"/>
  <c r="AQ646" i="14" s="1"/>
  <c r="AP646" i="14" s="1"/>
  <c r="P646" i="14"/>
  <c r="O646" i="14"/>
  <c r="S647" i="14"/>
  <c r="AQ647" i="14" s="1"/>
  <c r="AP647" i="14" s="1"/>
  <c r="P647" i="14"/>
  <c r="O647" i="14"/>
  <c r="S645" i="14"/>
  <c r="P645" i="14"/>
  <c r="O645" i="14"/>
  <c r="P643" i="14"/>
  <c r="O643" i="14"/>
  <c r="S643" i="14"/>
  <c r="U811" i="14"/>
  <c r="T811" i="14"/>
  <c r="U810" i="14"/>
  <c r="T810" i="14"/>
  <c r="U809" i="14"/>
  <c r="T809" i="14"/>
  <c r="U808" i="14"/>
  <c r="T808" i="14"/>
  <c r="U807" i="14"/>
  <c r="T807" i="14"/>
  <c r="U806" i="14"/>
  <c r="T806" i="14"/>
  <c r="U805" i="14"/>
  <c r="T805" i="14"/>
  <c r="U804" i="14"/>
  <c r="T804" i="14"/>
  <c r="U803" i="14"/>
  <c r="T803" i="14"/>
  <c r="U802" i="14"/>
  <c r="T802" i="14"/>
  <c r="U801" i="14"/>
  <c r="T801" i="14"/>
  <c r="U800" i="14"/>
  <c r="T800" i="14"/>
  <c r="U799" i="14"/>
  <c r="T799" i="14"/>
  <c r="U798" i="14"/>
  <c r="T798" i="14"/>
  <c r="U797" i="14"/>
  <c r="T797" i="14"/>
  <c r="U796" i="14"/>
  <c r="T796" i="14"/>
  <c r="U795" i="14"/>
  <c r="T795" i="14"/>
  <c r="U794" i="14"/>
  <c r="T794" i="14"/>
  <c r="U793" i="14"/>
  <c r="T793" i="14"/>
  <c r="U792" i="14"/>
  <c r="T792" i="14"/>
  <c r="U791" i="14"/>
  <c r="T791" i="14"/>
  <c r="P791" i="14"/>
  <c r="O791" i="14"/>
  <c r="U790" i="14"/>
  <c r="T790" i="14"/>
  <c r="P790" i="14"/>
  <c r="O790" i="14"/>
  <c r="S786" i="14"/>
  <c r="S785" i="14"/>
  <c r="S784" i="14"/>
  <c r="S783" i="14"/>
  <c r="S782" i="14"/>
  <c r="I779" i="14"/>
  <c r="S778" i="14"/>
  <c r="S777" i="14"/>
  <c r="AU777" i="14" s="1"/>
  <c r="AV777" i="14" s="1"/>
  <c r="S776" i="14"/>
  <c r="AU776" i="14" s="1"/>
  <c r="AV776" i="14" s="1"/>
  <c r="S775" i="14"/>
  <c r="AU775" i="14" s="1"/>
  <c r="AV775" i="14" s="1"/>
  <c r="S774" i="14"/>
  <c r="AU774" i="14" s="1"/>
  <c r="AV774" i="14" s="1"/>
  <c r="S773" i="14"/>
  <c r="P773" i="14"/>
  <c r="O773" i="14"/>
  <c r="S772" i="14"/>
  <c r="P772" i="14"/>
  <c r="O772" i="14"/>
  <c r="S771" i="14"/>
  <c r="P771" i="14"/>
  <c r="O771" i="14"/>
  <c r="S770" i="14"/>
  <c r="AU770" i="14" s="1"/>
  <c r="AV770" i="14" s="1"/>
  <c r="P770" i="14"/>
  <c r="O770" i="14"/>
  <c r="S769" i="14"/>
  <c r="AU769" i="14" s="1"/>
  <c r="AV769" i="14" s="1"/>
  <c r="P769" i="14"/>
  <c r="O769" i="14"/>
  <c r="S768" i="14"/>
  <c r="P768" i="14"/>
  <c r="O768" i="14"/>
  <c r="S763" i="14"/>
  <c r="P763" i="14"/>
  <c r="O763" i="14"/>
  <c r="S762" i="14"/>
  <c r="P762" i="14"/>
  <c r="O762" i="14"/>
  <c r="S761" i="14"/>
  <c r="P761" i="14"/>
  <c r="O761" i="14"/>
  <c r="S760" i="14"/>
  <c r="P760" i="14"/>
  <c r="O760" i="14"/>
  <c r="S759" i="14"/>
  <c r="P759" i="14"/>
  <c r="O759" i="14"/>
  <c r="S758" i="14"/>
  <c r="P758" i="14"/>
  <c r="O758" i="14"/>
  <c r="S757" i="14"/>
  <c r="P757" i="14"/>
  <c r="O757" i="14"/>
  <c r="S756" i="14"/>
  <c r="P756" i="14"/>
  <c r="O756" i="14"/>
  <c r="S755" i="14"/>
  <c r="AU755" i="14" s="1"/>
  <c r="AV755" i="14" s="1"/>
  <c r="P755" i="14"/>
  <c r="O755" i="14"/>
  <c r="S754" i="14"/>
  <c r="AU754" i="14" s="1"/>
  <c r="AV754" i="14" s="1"/>
  <c r="P754" i="14"/>
  <c r="O754" i="14"/>
  <c r="S753" i="14"/>
  <c r="AU753" i="14" s="1"/>
  <c r="AV753" i="14" s="1"/>
  <c r="P753" i="14"/>
  <c r="O753" i="14"/>
  <c r="S752" i="14"/>
  <c r="P752" i="14"/>
  <c r="O752" i="14"/>
  <c r="S751" i="14"/>
  <c r="AU751" i="14" s="1"/>
  <c r="AV751" i="14" s="1"/>
  <c r="P751" i="14"/>
  <c r="O751" i="14"/>
  <c r="S750" i="14"/>
  <c r="AU750" i="14" s="1"/>
  <c r="AV750" i="14" s="1"/>
  <c r="P750" i="14"/>
  <c r="O750" i="14"/>
  <c r="S749" i="14"/>
  <c r="AU749" i="14" s="1"/>
  <c r="AV749" i="14" s="1"/>
  <c r="P749" i="14"/>
  <c r="O749" i="14"/>
  <c r="S748" i="14"/>
  <c r="AU748" i="14" s="1"/>
  <c r="AV748" i="14" s="1"/>
  <c r="P748" i="14"/>
  <c r="O748" i="14"/>
  <c r="D747" i="14"/>
  <c r="D748" i="14" s="1"/>
  <c r="D749" i="14" s="1"/>
  <c r="D750" i="14" s="1"/>
  <c r="D751" i="14" s="1"/>
  <c r="D752" i="14" s="1"/>
  <c r="D753" i="14" s="1"/>
  <c r="D754" i="14" s="1"/>
  <c r="D755" i="14" s="1"/>
  <c r="D756" i="14" s="1"/>
  <c r="D757" i="14" s="1"/>
  <c r="D758" i="14" s="1"/>
  <c r="D759" i="14" s="1"/>
  <c r="D760" i="14" s="1"/>
  <c r="D761" i="14" s="1"/>
  <c r="D762" i="14" s="1"/>
  <c r="D763" i="14" s="1"/>
  <c r="D764" i="14" s="1"/>
  <c r="D765" i="14" s="1"/>
  <c r="D766" i="14" s="1"/>
  <c r="D767" i="14" s="1"/>
  <c r="D768" i="14" s="1"/>
  <c r="D769" i="14" s="1"/>
  <c r="D770" i="14" s="1"/>
  <c r="D771" i="14" s="1"/>
  <c r="D772" i="14" s="1"/>
  <c r="D773" i="14" s="1"/>
  <c r="D774" i="14" s="1"/>
  <c r="D775" i="14" s="1"/>
  <c r="D776" i="14" s="1"/>
  <c r="D777" i="14" s="1"/>
  <c r="D778" i="14" s="1"/>
  <c r="D779" i="14" s="1"/>
  <c r="D780" i="14" s="1"/>
  <c r="D781" i="14" s="1"/>
  <c r="D782" i="14" s="1"/>
  <c r="D783" i="14" s="1"/>
  <c r="D784" i="14" s="1"/>
  <c r="D785" i="14" s="1"/>
  <c r="D786" i="14" s="1"/>
  <c r="D787" i="14" s="1"/>
  <c r="D788" i="14" s="1"/>
  <c r="D789" i="14" s="1"/>
  <c r="D790" i="14" s="1"/>
  <c r="D791" i="14" s="1"/>
  <c r="D792" i="14" s="1"/>
  <c r="D793" i="14" s="1"/>
  <c r="D794" i="14" s="1"/>
  <c r="D795" i="14" s="1"/>
  <c r="D796" i="14" s="1"/>
  <c r="D797" i="14" s="1"/>
  <c r="D798" i="14" s="1"/>
  <c r="D799" i="14" s="1"/>
  <c r="D800" i="14" s="1"/>
  <c r="D801" i="14" s="1"/>
  <c r="D802" i="14" s="1"/>
  <c r="D803" i="14" s="1"/>
  <c r="D804" i="14" s="1"/>
  <c r="D805" i="14" s="1"/>
  <c r="D806" i="14" s="1"/>
  <c r="D807" i="14" s="1"/>
  <c r="D808" i="14" s="1"/>
  <c r="D809" i="14" s="1"/>
  <c r="D810" i="14" s="1"/>
  <c r="D811" i="14" s="1"/>
  <c r="S860" i="14"/>
  <c r="S859" i="14"/>
  <c r="AU859" i="14" s="1"/>
  <c r="AV859" i="14" s="1"/>
  <c r="S858" i="14"/>
  <c r="AU858" i="14" s="1"/>
  <c r="AV858" i="14" s="1"/>
  <c r="S857" i="14"/>
  <c r="AU857" i="14" s="1"/>
  <c r="AV857" i="14" s="1"/>
  <c r="S856" i="14"/>
  <c r="AU856" i="14" s="1"/>
  <c r="AV856" i="14" s="1"/>
  <c r="S855" i="14"/>
  <c r="S854" i="14"/>
  <c r="AU854" i="14" s="1"/>
  <c r="AV854" i="14" s="1"/>
  <c r="S853" i="14"/>
  <c r="AU853" i="14" s="1"/>
  <c r="AV853" i="14" s="1"/>
  <c r="S852" i="14"/>
  <c r="S851" i="14"/>
  <c r="AU851" i="14" s="1"/>
  <c r="AV851" i="14" s="1"/>
  <c r="S850" i="14"/>
  <c r="AU850" i="14" s="1"/>
  <c r="AV850" i="14" s="1"/>
  <c r="S849" i="14"/>
  <c r="AU849" i="14" s="1"/>
  <c r="AV849" i="14" s="1"/>
  <c r="I849" i="14"/>
  <c r="I850" i="14" s="1"/>
  <c r="I851" i="14" s="1"/>
  <c r="I852" i="14" s="1"/>
  <c r="I853" i="14" s="1"/>
  <c r="I854" i="14" s="1"/>
  <c r="I855" i="14" s="1"/>
  <c r="I856" i="14" s="1"/>
  <c r="I857" i="14" s="1"/>
  <c r="I858" i="14" s="1"/>
  <c r="I859" i="14" s="1"/>
  <c r="I860" i="14" s="1"/>
  <c r="S848" i="14"/>
  <c r="AU848" i="14" s="1"/>
  <c r="AV848" i="14" s="1"/>
  <c r="S847" i="14"/>
  <c r="AU847" i="14" s="1"/>
  <c r="AV847" i="14" s="1"/>
  <c r="S846" i="14"/>
  <c r="S845" i="14"/>
  <c r="S844" i="14"/>
  <c r="AU844" i="14" s="1"/>
  <c r="AV844" i="14" s="1"/>
  <c r="S843" i="14"/>
  <c r="AU843" i="14" s="1"/>
  <c r="AV843" i="14" s="1"/>
  <c r="S842" i="14"/>
  <c r="AU842" i="14" s="1"/>
  <c r="AV842" i="14" s="1"/>
  <c r="S841" i="14"/>
  <c r="AU841" i="14" s="1"/>
  <c r="AV841" i="14" s="1"/>
  <c r="S840" i="14"/>
  <c r="AU840" i="14" s="1"/>
  <c r="AV840" i="14" s="1"/>
  <c r="S839" i="14"/>
  <c r="AU839" i="14" s="1"/>
  <c r="AV839" i="14" s="1"/>
  <c r="S838" i="14"/>
  <c r="AU838" i="14" s="1"/>
  <c r="AV838" i="14" s="1"/>
  <c r="S837" i="14"/>
  <c r="AU837" i="14" s="1"/>
  <c r="AV837" i="14" s="1"/>
  <c r="S836" i="14"/>
  <c r="AU836" i="14" s="1"/>
  <c r="AV836" i="14" s="1"/>
  <c r="I836" i="14"/>
  <c r="I837" i="14" s="1"/>
  <c r="I838" i="14" s="1"/>
  <c r="I839" i="14" s="1"/>
  <c r="I840" i="14" s="1"/>
  <c r="I841" i="14" s="1"/>
  <c r="I842" i="14" s="1"/>
  <c r="I843" i="14" s="1"/>
  <c r="I844" i="14" s="1"/>
  <c r="I845" i="14" s="1"/>
  <c r="I846" i="14" s="1"/>
  <c r="I847" i="14" s="1"/>
  <c r="D836" i="14"/>
  <c r="D837" i="14" s="1"/>
  <c r="D838" i="14" s="1"/>
  <c r="D839" i="14" s="1"/>
  <c r="D840" i="14" s="1"/>
  <c r="D841" i="14" s="1"/>
  <c r="D842" i="14" s="1"/>
  <c r="D843" i="14" s="1"/>
  <c r="D844" i="14" s="1"/>
  <c r="D845" i="14" s="1"/>
  <c r="D846" i="14" s="1"/>
  <c r="D847" i="14" s="1"/>
  <c r="D848" i="14" s="1"/>
  <c r="D849" i="14" s="1"/>
  <c r="D850" i="14" s="1"/>
  <c r="D851" i="14" s="1"/>
  <c r="D852" i="14" s="1"/>
  <c r="D853" i="14" s="1"/>
  <c r="D854" i="14" s="1"/>
  <c r="D855" i="14" s="1"/>
  <c r="D856" i="14" s="1"/>
  <c r="D857" i="14" s="1"/>
  <c r="D858" i="14" s="1"/>
  <c r="D859" i="14" s="1"/>
  <c r="D860" i="14" s="1"/>
  <c r="S835" i="14"/>
  <c r="AU835" i="14" s="1"/>
  <c r="AV835" i="14" s="1"/>
  <c r="S822" i="14"/>
  <c r="S819" i="14"/>
  <c r="S820" i="14"/>
  <c r="S821" i="14"/>
  <c r="AU821" i="14" s="1"/>
  <c r="AV821" i="14" s="1"/>
  <c r="S818" i="14"/>
  <c r="AU818" i="14" s="1"/>
  <c r="AV818" i="14" s="1"/>
  <c r="S817" i="14"/>
  <c r="S813" i="14"/>
  <c r="AU813" i="14" s="1"/>
  <c r="AV813" i="14" s="1"/>
  <c r="S814" i="14"/>
  <c r="S815" i="14"/>
  <c r="S816" i="14"/>
  <c r="AU816" i="14" s="1"/>
  <c r="AV816" i="14" s="1"/>
  <c r="S812" i="14"/>
  <c r="D813" i="14"/>
  <c r="D814" i="14" s="1"/>
  <c r="D815" i="14" s="1"/>
  <c r="D431" i="14"/>
  <c r="D432" i="14" s="1"/>
  <c r="D433" i="14" s="1"/>
  <c r="D434" i="14" s="1"/>
  <c r="D435" i="14" s="1"/>
  <c r="D436" i="14" s="1"/>
  <c r="D437" i="14" s="1"/>
  <c r="D438" i="14" s="1"/>
  <c r="D439" i="14" s="1"/>
  <c r="D440" i="14" s="1"/>
  <c r="D441" i="14" s="1"/>
  <c r="D442" i="14" s="1"/>
  <c r="D443" i="14" s="1"/>
  <c r="D444" i="14" s="1"/>
  <c r="D445" i="14" s="1"/>
  <c r="D446" i="14" s="1"/>
  <c r="D447" i="14" s="1"/>
  <c r="D448" i="14" s="1"/>
  <c r="D449" i="14" s="1"/>
  <c r="D450" i="14" s="1"/>
  <c r="D451" i="14" s="1"/>
  <c r="D452" i="14" s="1"/>
  <c r="D453" i="14" s="1"/>
  <c r="D454" i="14" s="1"/>
  <c r="D455" i="14" s="1"/>
  <c r="D456" i="14" s="1"/>
  <c r="D457" i="14" s="1"/>
  <c r="D458" i="14" s="1"/>
  <c r="D459" i="14" s="1"/>
  <c r="D460" i="14" s="1"/>
  <c r="D461" i="14" s="1"/>
  <c r="D462" i="14" s="1"/>
  <c r="D463" i="14" s="1"/>
  <c r="D464" i="14" s="1"/>
  <c r="D465" i="14" s="1"/>
  <c r="D466" i="14" s="1"/>
  <c r="D467" i="14" s="1"/>
  <c r="D468" i="14" s="1"/>
  <c r="D469" i="14" s="1"/>
  <c r="S642" i="14"/>
  <c r="AU642" i="14" s="1"/>
  <c r="AV642" i="14" s="1"/>
  <c r="S641" i="14"/>
  <c r="P642" i="14"/>
  <c r="P641" i="14"/>
  <c r="O642" i="14"/>
  <c r="O641" i="14"/>
  <c r="T862" i="14"/>
  <c r="U862" i="14" s="1"/>
  <c r="T863" i="14"/>
  <c r="T864" i="14"/>
  <c r="U864" i="14" s="1"/>
  <c r="T865" i="14"/>
  <c r="U865" i="14" s="1"/>
  <c r="T866" i="14"/>
  <c r="U866" i="14" s="1"/>
  <c r="T867" i="14"/>
  <c r="U867" i="14" s="1"/>
  <c r="T868" i="14"/>
  <c r="U868" i="14" s="1"/>
  <c r="T869" i="14"/>
  <c r="U869" i="14" s="1"/>
  <c r="T870" i="14"/>
  <c r="U870" i="14" s="1"/>
  <c r="T871" i="14"/>
  <c r="U871" i="14" s="1"/>
  <c r="T872" i="14"/>
  <c r="U872" i="14" s="1"/>
  <c r="T861" i="14"/>
  <c r="U861" i="14" s="1"/>
  <c r="D642" i="14"/>
  <c r="P872" i="14"/>
  <c r="O872" i="14"/>
  <c r="P871" i="14"/>
  <c r="O871" i="14"/>
  <c r="P870" i="14"/>
  <c r="O870" i="14"/>
  <c r="P869" i="14"/>
  <c r="O869" i="14"/>
  <c r="P868" i="14"/>
  <c r="O868" i="14"/>
  <c r="P867" i="14"/>
  <c r="O867" i="14"/>
  <c r="P866" i="14"/>
  <c r="O866" i="14"/>
  <c r="P865" i="14"/>
  <c r="O865" i="14"/>
  <c r="P862" i="14"/>
  <c r="P863" i="14"/>
  <c r="P864" i="14"/>
  <c r="P861" i="14"/>
  <c r="O862" i="14"/>
  <c r="O863" i="14"/>
  <c r="O864" i="14"/>
  <c r="O861" i="14"/>
  <c r="D862" i="14"/>
  <c r="D863" i="14" s="1"/>
  <c r="D864" i="14" s="1"/>
  <c r="D865" i="14" s="1"/>
  <c r="D866" i="14" s="1"/>
  <c r="D867" i="14" s="1"/>
  <c r="D868" i="14" s="1"/>
  <c r="D869" i="14" s="1"/>
  <c r="D870" i="14" s="1"/>
  <c r="D871" i="14" s="1"/>
  <c r="D872" i="14" s="1"/>
  <c r="U834" i="14"/>
  <c r="T834" i="14"/>
  <c r="U832" i="14"/>
  <c r="T832" i="14"/>
  <c r="O824" i="14"/>
  <c r="O825" i="14"/>
  <c r="O826" i="14"/>
  <c r="O827" i="14"/>
  <c r="O828" i="14"/>
  <c r="O829" i="14"/>
  <c r="O830" i="14"/>
  <c r="O831" i="14"/>
  <c r="O832" i="14"/>
  <c r="O833" i="14"/>
  <c r="O834" i="14"/>
  <c r="O823" i="14"/>
  <c r="T833" i="14"/>
  <c r="U833" i="14"/>
  <c r="T824" i="14"/>
  <c r="U824" i="14"/>
  <c r="T825" i="14"/>
  <c r="U825" i="14"/>
  <c r="T826" i="14"/>
  <c r="U826" i="14"/>
  <c r="T827" i="14"/>
  <c r="U827" i="14"/>
  <c r="T828" i="14"/>
  <c r="U828" i="14"/>
  <c r="T829" i="14"/>
  <c r="U829" i="14"/>
  <c r="T830" i="14"/>
  <c r="U830" i="14"/>
  <c r="T831" i="14"/>
  <c r="U831" i="14"/>
  <c r="U823" i="14"/>
  <c r="T823" i="14"/>
  <c r="D824" i="14"/>
  <c r="D825" i="14" s="1"/>
  <c r="D826" i="14" s="1"/>
  <c r="D827" i="14" s="1"/>
  <c r="D828" i="14" s="1"/>
  <c r="D829" i="14" s="1"/>
  <c r="D830" i="14" s="1"/>
  <c r="D831" i="14" s="1"/>
  <c r="D832" i="14" s="1"/>
  <c r="D833" i="14" s="1"/>
  <c r="D834" i="14" s="1"/>
  <c r="D653" i="14"/>
  <c r="D654" i="14" s="1"/>
  <c r="D655" i="14" s="1"/>
  <c r="D656" i="14" s="1"/>
  <c r="D657" i="14" s="1"/>
  <c r="D658" i="14" s="1"/>
  <c r="D659" i="14" s="1"/>
  <c r="D660" i="14" s="1"/>
  <c r="D661" i="14" s="1"/>
  <c r="D662" i="14" s="1"/>
  <c r="D663" i="14" s="1"/>
  <c r="S639" i="14"/>
  <c r="S637" i="14"/>
  <c r="S635" i="14"/>
  <c r="AQ635" i="14" s="1"/>
  <c r="AP635" i="14" s="1"/>
  <c r="S640" i="14"/>
  <c r="S638" i="14"/>
  <c r="S636" i="14"/>
  <c r="AQ636" i="14" s="1"/>
  <c r="AP636" i="14" s="1"/>
  <c r="S634" i="14"/>
  <c r="AU634" i="14" s="1"/>
  <c r="AV634" i="14" s="1"/>
  <c r="S633" i="14"/>
  <c r="AU633" i="14" s="1"/>
  <c r="AV633" i="14" s="1"/>
  <c r="AC635" i="14"/>
  <c r="AC634" i="14"/>
  <c r="AC633" i="14"/>
  <c r="AC636" i="14"/>
  <c r="S628" i="14"/>
  <c r="S629" i="14"/>
  <c r="S630" i="14"/>
  <c r="S631" i="14"/>
  <c r="S632" i="14"/>
  <c r="S627" i="14"/>
  <c r="AQ627" i="14" s="1"/>
  <c r="AP627" i="14" s="1"/>
  <c r="S626" i="14"/>
  <c r="AU626" i="14" s="1"/>
  <c r="AV626" i="14" s="1"/>
  <c r="S625" i="14"/>
  <c r="AQ625" i="14" s="1"/>
  <c r="AP625" i="14" s="1"/>
  <c r="AC622" i="14"/>
  <c r="AC621" i="14"/>
  <c r="AC628" i="14"/>
  <c r="AC627" i="14"/>
  <c r="AC626" i="14"/>
  <c r="AC625" i="14"/>
  <c r="S622" i="14"/>
  <c r="AU622" i="14" s="1"/>
  <c r="AV622" i="14" s="1"/>
  <c r="S623" i="14"/>
  <c r="S624" i="14"/>
  <c r="S621" i="14"/>
  <c r="AQ621" i="14" s="1"/>
  <c r="AP621" i="14" s="1"/>
  <c r="D622" i="14"/>
  <c r="D623" i="14" s="1"/>
  <c r="D624" i="14" s="1"/>
  <c r="D625" i="14" s="1"/>
  <c r="D626" i="14" s="1"/>
  <c r="D627" i="14" s="1"/>
  <c r="D628" i="14" s="1"/>
  <c r="D629" i="14" s="1"/>
  <c r="D630" i="14" s="1"/>
  <c r="D631" i="14" s="1"/>
  <c r="D632" i="14" s="1"/>
  <c r="D633" i="14" s="1"/>
  <c r="D634" i="14" s="1"/>
  <c r="D635" i="14" s="1"/>
  <c r="D636" i="14" s="1"/>
  <c r="D637" i="14" s="1"/>
  <c r="D638" i="14" s="1"/>
  <c r="D639" i="14" s="1"/>
  <c r="D640" i="14" s="1"/>
  <c r="U618" i="14"/>
  <c r="T618" i="14"/>
  <c r="D618" i="14"/>
  <c r="T617" i="14"/>
  <c r="U617" i="14" s="1"/>
  <c r="T370" i="14"/>
  <c r="U370" i="14" s="1"/>
  <c r="T369" i="14"/>
  <c r="U369" i="14" s="1"/>
  <c r="T366" i="14"/>
  <c r="U366" i="14" s="1"/>
  <c r="T367" i="14"/>
  <c r="U367" i="14" s="1"/>
  <c r="T368" i="14"/>
  <c r="U368" i="14" s="1"/>
  <c r="T365" i="14"/>
  <c r="U365" i="14" s="1"/>
  <c r="D366" i="14"/>
  <c r="D367" i="14" s="1"/>
  <c r="D368" i="14" s="1"/>
  <c r="D369" i="14" s="1"/>
  <c r="D370" i="14" s="1"/>
  <c r="T238" i="14"/>
  <c r="U238" i="14"/>
  <c r="T239" i="14"/>
  <c r="U239" i="14"/>
  <c r="O238" i="14"/>
  <c r="O239" i="14"/>
  <c r="T235" i="14"/>
  <c r="U235" i="14"/>
  <c r="T236" i="14"/>
  <c r="U236" i="14"/>
  <c r="T237" i="14"/>
  <c r="U237" i="14"/>
  <c r="U234" i="14"/>
  <c r="T234" i="14"/>
  <c r="O237" i="14"/>
  <c r="O236" i="14"/>
  <c r="O235" i="14"/>
  <c r="O234" i="14"/>
  <c r="D235" i="14"/>
  <c r="D236" i="14" s="1"/>
  <c r="D237" i="14" s="1"/>
  <c r="U100" i="14"/>
  <c r="S100" i="14" s="1"/>
  <c r="AU100" i="14" s="1"/>
  <c r="AV100" i="14" s="1"/>
  <c r="U99" i="14"/>
  <c r="S99" i="14" s="1"/>
  <c r="AU99" i="14" s="1"/>
  <c r="AV99" i="14" s="1"/>
  <c r="U98" i="14"/>
  <c r="S98" i="14" s="1"/>
  <c r="AU98" i="14" s="1"/>
  <c r="AV98" i="14" s="1"/>
  <c r="U97" i="14"/>
  <c r="S97" i="14" s="1"/>
  <c r="AU97" i="14" s="1"/>
  <c r="AV97" i="14" s="1"/>
  <c r="U94" i="14"/>
  <c r="S94" i="14" s="1"/>
  <c r="AU94" i="14" s="1"/>
  <c r="AV94" i="14" s="1"/>
  <c r="U93" i="14"/>
  <c r="S93" i="14" s="1"/>
  <c r="AU93" i="14" s="1"/>
  <c r="AV93" i="14" s="1"/>
  <c r="U92" i="14"/>
  <c r="S92" i="14" s="1"/>
  <c r="AU92" i="14" s="1"/>
  <c r="AV92" i="14" s="1"/>
  <c r="U91" i="14"/>
  <c r="S91" i="14" s="1"/>
  <c r="AU91" i="14" s="1"/>
  <c r="AV91" i="14" s="1"/>
  <c r="I86" i="14"/>
  <c r="U102" i="14"/>
  <c r="T102" i="14"/>
  <c r="I102" i="14"/>
  <c r="U101" i="14"/>
  <c r="T101" i="14"/>
  <c r="I101" i="14"/>
  <c r="I100" i="14"/>
  <c r="I99" i="14"/>
  <c r="I98" i="14"/>
  <c r="I97" i="14"/>
  <c r="U96" i="14"/>
  <c r="T96" i="14"/>
  <c r="I96" i="14"/>
  <c r="U95" i="14"/>
  <c r="T95" i="14"/>
  <c r="I95" i="14"/>
  <c r="I94" i="14"/>
  <c r="I93" i="14"/>
  <c r="I92" i="14"/>
  <c r="I91" i="14"/>
  <c r="S90" i="14"/>
  <c r="AQ90" i="14" s="1"/>
  <c r="AP90" i="14" s="1"/>
  <c r="I90" i="14"/>
  <c r="S89" i="14"/>
  <c r="S88" i="14"/>
  <c r="AQ88" i="14" s="1"/>
  <c r="AP88" i="14" s="1"/>
  <c r="S87" i="14"/>
  <c r="AQ87" i="14" s="1"/>
  <c r="AP87" i="14" s="1"/>
  <c r="S86" i="14"/>
  <c r="AQ86" i="14" s="1"/>
  <c r="AP86" i="14" s="1"/>
  <c r="D86" i="14"/>
  <c r="D87" i="14" s="1"/>
  <c r="D88" i="14" s="1"/>
  <c r="D89" i="14" s="1"/>
  <c r="D90" i="14" s="1"/>
  <c r="D91" i="14" s="1"/>
  <c r="D92" i="14" s="1"/>
  <c r="D93" i="14" s="1"/>
  <c r="D94" i="14" s="1"/>
  <c r="D95" i="14" s="1"/>
  <c r="D96" i="14" s="1"/>
  <c r="D97" i="14" s="1"/>
  <c r="D98" i="14" s="1"/>
  <c r="D99" i="14" s="1"/>
  <c r="D100" i="14" s="1"/>
  <c r="D101" i="14" s="1"/>
  <c r="D102" i="14" s="1"/>
  <c r="S85" i="14"/>
  <c r="AU85" i="14" s="1"/>
  <c r="AV85" i="14" s="1"/>
  <c r="I85" i="14"/>
  <c r="P84" i="14"/>
  <c r="P83" i="14"/>
  <c r="P82" i="14"/>
  <c r="P81" i="14"/>
  <c r="P80" i="14"/>
  <c r="T84" i="14"/>
  <c r="U84" i="14" s="1"/>
  <c r="T83" i="14"/>
  <c r="U83" i="14" s="1"/>
  <c r="T82" i="14"/>
  <c r="U82" i="14" s="1"/>
  <c r="T81" i="14"/>
  <c r="U81" i="14" s="1"/>
  <c r="D81" i="14"/>
  <c r="D82" i="14" s="1"/>
  <c r="D83" i="14" s="1"/>
  <c r="D84" i="14" s="1"/>
  <c r="V80" i="14"/>
  <c r="S80" i="14"/>
  <c r="D665" i="14"/>
  <c r="D666" i="14" s="1"/>
  <c r="D667" i="14" s="1"/>
  <c r="D668" i="14" s="1"/>
  <c r="D669" i="14" s="1"/>
  <c r="D670" i="14" s="1"/>
  <c r="D671" i="14" s="1"/>
  <c r="D672" i="14" s="1"/>
  <c r="D673" i="14" s="1"/>
  <c r="D674" i="14" s="1"/>
  <c r="D675" i="14" s="1"/>
  <c r="D676" i="14" s="1"/>
  <c r="D677" i="14" s="1"/>
  <c r="D678" i="14" s="1"/>
  <c r="D679" i="14" s="1"/>
  <c r="D680" i="14" s="1"/>
  <c r="D681" i="14" s="1"/>
  <c r="D682" i="14" s="1"/>
  <c r="D683" i="14" s="1"/>
  <c r="D684" i="14" s="1"/>
  <c r="D685" i="14" s="1"/>
  <c r="D686" i="14" s="1"/>
  <c r="D687" i="14" s="1"/>
  <c r="D688" i="14" s="1"/>
  <c r="D689" i="14" s="1"/>
  <c r="D690" i="14" s="1"/>
  <c r="D691" i="14" s="1"/>
  <c r="D692" i="14" s="1"/>
  <c r="D693" i="14" s="1"/>
  <c r="D694" i="14" s="1"/>
  <c r="D695" i="14" s="1"/>
  <c r="D696" i="14" s="1"/>
  <c r="D697" i="14" s="1"/>
  <c r="D698" i="14" s="1"/>
  <c r="D699" i="14" s="1"/>
  <c r="D700" i="14" s="1"/>
  <c r="D701" i="14" s="1"/>
  <c r="D702" i="14" s="1"/>
  <c r="D703" i="14" s="1"/>
  <c r="D704" i="14" s="1"/>
  <c r="D705" i="14" s="1"/>
  <c r="D706" i="14" s="1"/>
  <c r="D707" i="14" s="1"/>
  <c r="D708" i="14" s="1"/>
  <c r="D709" i="14" s="1"/>
  <c r="D710" i="14" s="1"/>
  <c r="D711" i="14" s="1"/>
  <c r="D712" i="14" s="1"/>
  <c r="D713" i="14" s="1"/>
  <c r="D714" i="14" s="1"/>
  <c r="D715" i="14" s="1"/>
  <c r="D716" i="14" s="1"/>
  <c r="D717" i="14" s="1"/>
  <c r="D718" i="14" s="1"/>
  <c r="D719" i="14" s="1"/>
  <c r="D720" i="14" s="1"/>
  <c r="D721" i="14" s="1"/>
  <c r="D722" i="14" s="1"/>
  <c r="D723" i="14" s="1"/>
  <c r="D724" i="14" s="1"/>
  <c r="D725" i="14" s="1"/>
  <c r="D726" i="14" s="1"/>
  <c r="D727" i="14" s="1"/>
  <c r="D728" i="14" s="1"/>
  <c r="D729" i="14" s="1"/>
  <c r="D730" i="14" s="1"/>
  <c r="D731" i="14" s="1"/>
  <c r="D732" i="14" s="1"/>
  <c r="D733" i="14" s="1"/>
  <c r="D734" i="14" s="1"/>
  <c r="D735" i="14" s="1"/>
  <c r="D736" i="14" s="1"/>
  <c r="D737" i="14" s="1"/>
  <c r="D738" i="14" s="1"/>
  <c r="D739" i="14" s="1"/>
  <c r="D740" i="14" s="1"/>
  <c r="D741" i="14" s="1"/>
  <c r="D742" i="14" s="1"/>
  <c r="D743" i="14" s="1"/>
  <c r="D744" i="14" s="1"/>
  <c r="D745" i="14" s="1"/>
  <c r="S745" i="14"/>
  <c r="AF745" i="14" s="1"/>
  <c r="AI745" i="14" s="1"/>
  <c r="S744" i="14"/>
  <c r="AF744" i="14" s="1"/>
  <c r="AI744" i="14" s="1"/>
  <c r="S743" i="14"/>
  <c r="AF743" i="14" s="1"/>
  <c r="AI743" i="14" s="1"/>
  <c r="S742" i="14"/>
  <c r="AF742" i="14" s="1"/>
  <c r="AI742" i="14" s="1"/>
  <c r="S741" i="14"/>
  <c r="AF741" i="14" s="1"/>
  <c r="AI741" i="14" s="1"/>
  <c r="S740" i="14"/>
  <c r="AF740" i="14" s="1"/>
  <c r="AI740" i="14" s="1"/>
  <c r="S739" i="14"/>
  <c r="AF739" i="14" s="1"/>
  <c r="AI739" i="14" s="1"/>
  <c r="S738" i="14"/>
  <c r="AF738" i="14" s="1"/>
  <c r="AI738" i="14" s="1"/>
  <c r="S737" i="14"/>
  <c r="AF737" i="14" s="1"/>
  <c r="AI737" i="14" s="1"/>
  <c r="S736" i="14"/>
  <c r="AF736" i="14" s="1"/>
  <c r="AI736" i="14" s="1"/>
  <c r="AQ736" i="14" s="1"/>
  <c r="AP736" i="14" s="1"/>
  <c r="S735" i="14"/>
  <c r="S734" i="14"/>
  <c r="AF734" i="14" s="1"/>
  <c r="AI734" i="14" s="1"/>
  <c r="AQ734" i="14" s="1"/>
  <c r="AP734" i="14" s="1"/>
  <c r="S733" i="14"/>
  <c r="AF733" i="14" s="1"/>
  <c r="AI733" i="14" s="1"/>
  <c r="AQ733" i="14" s="1"/>
  <c r="AP733" i="14" s="1"/>
  <c r="S732" i="14"/>
  <c r="AF732" i="14" s="1"/>
  <c r="AI732" i="14" s="1"/>
  <c r="AQ732" i="14" s="1"/>
  <c r="AP732" i="14" s="1"/>
  <c r="S731" i="14"/>
  <c r="AF731" i="14" s="1"/>
  <c r="AI731" i="14" s="1"/>
  <c r="AQ731" i="14" s="1"/>
  <c r="AP731" i="14" s="1"/>
  <c r="S730" i="14"/>
  <c r="AF730" i="14" s="1"/>
  <c r="AI730" i="14" s="1"/>
  <c r="AQ730" i="14" s="1"/>
  <c r="AP730" i="14" s="1"/>
  <c r="S729" i="14"/>
  <c r="AF729" i="14" s="1"/>
  <c r="AI729" i="14" s="1"/>
  <c r="S728" i="14"/>
  <c r="AF728" i="14" s="1"/>
  <c r="AI728" i="14" s="1"/>
  <c r="S727" i="14"/>
  <c r="AF727" i="14" s="1"/>
  <c r="AI727" i="14" s="1"/>
  <c r="S726" i="14"/>
  <c r="AF726" i="14" s="1"/>
  <c r="AI726" i="14" s="1"/>
  <c r="S725" i="14"/>
  <c r="AF725" i="14" s="1"/>
  <c r="AI725" i="14" s="1"/>
  <c r="S724" i="14"/>
  <c r="AF724" i="14" s="1"/>
  <c r="AI724" i="14" s="1"/>
  <c r="S723" i="14"/>
  <c r="AF723" i="14" s="1"/>
  <c r="AI723" i="14" s="1"/>
  <c r="S722" i="14"/>
  <c r="AF722" i="14" s="1"/>
  <c r="AI722" i="14" s="1"/>
  <c r="S721" i="14"/>
  <c r="AF721" i="14" s="1"/>
  <c r="AI721" i="14" s="1"/>
  <c r="S720" i="14"/>
  <c r="AU720" i="14" s="1"/>
  <c r="AV720" i="14" s="1"/>
  <c r="S719" i="14"/>
  <c r="AF719" i="14" s="1"/>
  <c r="AI719" i="14" s="1"/>
  <c r="AQ719" i="14" s="1"/>
  <c r="AP719" i="14" s="1"/>
  <c r="S718" i="14"/>
  <c r="AU718" i="14" s="1"/>
  <c r="AV718" i="14" s="1"/>
  <c r="S717" i="14"/>
  <c r="AU717" i="14" s="1"/>
  <c r="AV717" i="14" s="1"/>
  <c r="S716" i="14"/>
  <c r="AF716" i="14" s="1"/>
  <c r="AI716" i="14" s="1"/>
  <c r="AQ716" i="14" s="1"/>
  <c r="AP716" i="14" s="1"/>
  <c r="S715" i="14"/>
  <c r="AU715" i="14" s="1"/>
  <c r="AV715" i="14" s="1"/>
  <c r="S714" i="14"/>
  <c r="S713" i="14"/>
  <c r="AF713" i="14" s="1"/>
  <c r="AI713" i="14" s="1"/>
  <c r="S712" i="14"/>
  <c r="AF712" i="14" s="1"/>
  <c r="AI712" i="14" s="1"/>
  <c r="S711" i="14"/>
  <c r="AF711" i="14" s="1"/>
  <c r="AI711" i="14" s="1"/>
  <c r="S710" i="14"/>
  <c r="AF710" i="14" s="1"/>
  <c r="AI710" i="14" s="1"/>
  <c r="S709" i="14"/>
  <c r="AF709" i="14" s="1"/>
  <c r="AI709" i="14" s="1"/>
  <c r="S708" i="14"/>
  <c r="AF708" i="14" s="1"/>
  <c r="AI708" i="14" s="1"/>
  <c r="S707" i="14"/>
  <c r="AF707" i="14" s="1"/>
  <c r="AI707" i="14" s="1"/>
  <c r="S706" i="14"/>
  <c r="AF706" i="14" s="1"/>
  <c r="AI706" i="14" s="1"/>
  <c r="S705" i="14"/>
  <c r="AF705" i="14" s="1"/>
  <c r="AI705" i="14" s="1"/>
  <c r="S704" i="14"/>
  <c r="AU704" i="14" s="1"/>
  <c r="AV704" i="14" s="1"/>
  <c r="S703" i="14"/>
  <c r="AU703" i="14" s="1"/>
  <c r="AV703" i="14" s="1"/>
  <c r="S702" i="14"/>
  <c r="AF702" i="14" s="1"/>
  <c r="AI702" i="14" s="1"/>
  <c r="AQ702" i="14" s="1"/>
  <c r="AP702" i="14" s="1"/>
  <c r="S701" i="14"/>
  <c r="S700" i="14"/>
  <c r="AF700" i="14" s="1"/>
  <c r="AI700" i="14" s="1"/>
  <c r="AQ700" i="14" s="1"/>
  <c r="AP700" i="14" s="1"/>
  <c r="S699" i="14"/>
  <c r="AF699" i="14" s="1"/>
  <c r="AI699" i="14" s="1"/>
  <c r="AQ699" i="14" s="1"/>
  <c r="AP699" i="14" s="1"/>
  <c r="S698" i="14"/>
  <c r="AU698" i="14" s="1"/>
  <c r="AV698" i="14" s="1"/>
  <c r="S697" i="14"/>
  <c r="AF697" i="14" s="1"/>
  <c r="AI697" i="14" s="1"/>
  <c r="S696" i="14"/>
  <c r="AF696" i="14" s="1"/>
  <c r="AI696" i="14" s="1"/>
  <c r="S695" i="14"/>
  <c r="AF695" i="14" s="1"/>
  <c r="AI695" i="14" s="1"/>
  <c r="S694" i="14"/>
  <c r="AF694" i="14" s="1"/>
  <c r="AI694" i="14" s="1"/>
  <c r="S693" i="14"/>
  <c r="AF693" i="14" s="1"/>
  <c r="AI693" i="14" s="1"/>
  <c r="S692" i="14"/>
  <c r="AF692" i="14" s="1"/>
  <c r="AI692" i="14" s="1"/>
  <c r="S691" i="14"/>
  <c r="AF691" i="14" s="1"/>
  <c r="AI691" i="14" s="1"/>
  <c r="S690" i="14"/>
  <c r="AF690" i="14" s="1"/>
  <c r="AI690" i="14" s="1"/>
  <c r="S689" i="14"/>
  <c r="AF689" i="14" s="1"/>
  <c r="AI689" i="14" s="1"/>
  <c r="S688" i="14"/>
  <c r="AF688" i="14" s="1"/>
  <c r="AI688" i="14" s="1"/>
  <c r="AQ688" i="14" s="1"/>
  <c r="AP688" i="14" s="1"/>
  <c r="S687" i="14"/>
  <c r="AF687" i="14" s="1"/>
  <c r="AI687" i="14" s="1"/>
  <c r="AQ687" i="14" s="1"/>
  <c r="AP687" i="14" s="1"/>
  <c r="S686" i="14"/>
  <c r="AF686" i="14" s="1"/>
  <c r="AI686" i="14" s="1"/>
  <c r="AQ686" i="14" s="1"/>
  <c r="AP686" i="14" s="1"/>
  <c r="S685" i="14"/>
  <c r="S684" i="14"/>
  <c r="AU684" i="14" s="1"/>
  <c r="AV684" i="14" s="1"/>
  <c r="S683" i="14"/>
  <c r="AU683" i="14" s="1"/>
  <c r="AV683" i="14" s="1"/>
  <c r="S682" i="14"/>
  <c r="AU682" i="14" s="1"/>
  <c r="AV682" i="14" s="1"/>
  <c r="S681" i="14"/>
  <c r="AF681" i="14" s="1"/>
  <c r="AI681" i="14" s="1"/>
  <c r="S680" i="14"/>
  <c r="AF680" i="14" s="1"/>
  <c r="AI680" i="14" s="1"/>
  <c r="S679" i="14"/>
  <c r="AF679" i="14" s="1"/>
  <c r="AI679" i="14" s="1"/>
  <c r="S678" i="14"/>
  <c r="AF678" i="14" s="1"/>
  <c r="AI678" i="14" s="1"/>
  <c r="S677" i="14"/>
  <c r="AF677" i="14" s="1"/>
  <c r="AI677" i="14" s="1"/>
  <c r="S676" i="14"/>
  <c r="AF676" i="14" s="1"/>
  <c r="AI676" i="14" s="1"/>
  <c r="S675" i="14"/>
  <c r="AF675" i="14" s="1"/>
  <c r="AI675" i="14" s="1"/>
  <c r="S674" i="14"/>
  <c r="AF674" i="14" s="1"/>
  <c r="AI674" i="14" s="1"/>
  <c r="S673" i="14"/>
  <c r="AF673" i="14" s="1"/>
  <c r="AI673" i="14" s="1"/>
  <c r="S672" i="14"/>
  <c r="AF672" i="14" s="1"/>
  <c r="AI672" i="14" s="1"/>
  <c r="AQ672" i="14" s="1"/>
  <c r="AP672" i="14" s="1"/>
  <c r="S671" i="14"/>
  <c r="AU671" i="14" s="1"/>
  <c r="AV671" i="14" s="1"/>
  <c r="S670" i="14"/>
  <c r="AF670" i="14" s="1"/>
  <c r="AI670" i="14" s="1"/>
  <c r="AQ670" i="14" s="1"/>
  <c r="AP670" i="14" s="1"/>
  <c r="S669" i="14"/>
  <c r="AU669" i="14" s="1"/>
  <c r="AV669" i="14" s="1"/>
  <c r="S668" i="14"/>
  <c r="AU668" i="14" s="1"/>
  <c r="AV668" i="14" s="1"/>
  <c r="S667" i="14"/>
  <c r="AU667" i="14" s="1"/>
  <c r="AV667" i="14" s="1"/>
  <c r="S666" i="14"/>
  <c r="AU666" i="14" s="1"/>
  <c r="AV666" i="14" s="1"/>
  <c r="S665" i="14"/>
  <c r="AF665" i="14" s="1"/>
  <c r="AI665" i="14" s="1"/>
  <c r="S664" i="14"/>
  <c r="AF664" i="14" s="1"/>
  <c r="AI664" i="14" s="1"/>
  <c r="AQ664" i="14" s="1"/>
  <c r="AP664" i="14" s="1"/>
  <c r="S651" i="14"/>
  <c r="S650" i="14"/>
  <c r="AQ650" i="14" s="1"/>
  <c r="AP650" i="14" s="1"/>
  <c r="S649" i="14"/>
  <c r="S620" i="14"/>
  <c r="AU620" i="14" s="1"/>
  <c r="AV620" i="14" s="1"/>
  <c r="D620" i="14"/>
  <c r="S619" i="14"/>
  <c r="AQ619" i="14" s="1"/>
  <c r="AP619" i="14" s="1"/>
  <c r="T604" i="14"/>
  <c r="O604" i="14"/>
  <c r="T603" i="14"/>
  <c r="U603" i="14" s="1"/>
  <c r="O603" i="14"/>
  <c r="T602" i="14"/>
  <c r="U602" i="14" s="1"/>
  <c r="O602" i="14"/>
  <c r="T601" i="14"/>
  <c r="U601" i="14" s="1"/>
  <c r="O601" i="14"/>
  <c r="T600" i="14"/>
  <c r="U600" i="14" s="1"/>
  <c r="O600" i="14"/>
  <c r="T599" i="14"/>
  <c r="U599" i="14" s="1"/>
  <c r="O599" i="14"/>
  <c r="T598" i="14"/>
  <c r="U598" i="14" s="1"/>
  <c r="O598" i="14"/>
  <c r="T597" i="14"/>
  <c r="U597" i="14" s="1"/>
  <c r="O597" i="14"/>
  <c r="T596" i="14"/>
  <c r="U596" i="14" s="1"/>
  <c r="O596" i="14"/>
  <c r="T595" i="14"/>
  <c r="O595" i="14"/>
  <c r="T594" i="14"/>
  <c r="O594" i="14"/>
  <c r="T593" i="14"/>
  <c r="U593" i="14" s="1"/>
  <c r="O593" i="14"/>
  <c r="S592" i="14"/>
  <c r="AF592" i="14" s="1"/>
  <c r="AI592" i="14" s="1"/>
  <c r="O592" i="14"/>
  <c r="D592" i="14"/>
  <c r="D593" i="14" s="1"/>
  <c r="D594" i="14" s="1"/>
  <c r="D595" i="14" s="1"/>
  <c r="D596" i="14" s="1"/>
  <c r="D597" i="14" s="1"/>
  <c r="D598" i="14" s="1"/>
  <c r="D599" i="14" s="1"/>
  <c r="D600" i="14" s="1"/>
  <c r="D601" i="14" s="1"/>
  <c r="D602" i="14" s="1"/>
  <c r="D603" i="14" s="1"/>
  <c r="D604" i="14" s="1"/>
  <c r="D605" i="14" s="1"/>
  <c r="D606" i="14" s="1"/>
  <c r="D607" i="14" s="1"/>
  <c r="D608" i="14" s="1"/>
  <c r="D609" i="14" s="1"/>
  <c r="D610" i="14" s="1"/>
  <c r="D611" i="14" s="1"/>
  <c r="D612" i="14" s="1"/>
  <c r="D613" i="14" s="1"/>
  <c r="D614" i="14" s="1"/>
  <c r="D615" i="14" s="1"/>
  <c r="D616" i="14" s="1"/>
  <c r="O591" i="14"/>
  <c r="O590" i="14"/>
  <c r="O589" i="14"/>
  <c r="O588" i="14"/>
  <c r="O587" i="14"/>
  <c r="O586" i="14"/>
  <c r="D586" i="14"/>
  <c r="D587" i="14" s="1"/>
  <c r="D588" i="14" s="1"/>
  <c r="D589" i="14" s="1"/>
  <c r="D590" i="14" s="1"/>
  <c r="S585" i="14"/>
  <c r="AF585" i="14" s="1"/>
  <c r="AI585" i="14" s="1"/>
  <c r="O585" i="14"/>
  <c r="T584" i="14"/>
  <c r="U584" i="14" s="1"/>
  <c r="O584" i="14"/>
  <c r="T583" i="14"/>
  <c r="U583" i="14" s="1"/>
  <c r="O583" i="14"/>
  <c r="T582" i="14"/>
  <c r="U582" i="14" s="1"/>
  <c r="O582" i="14"/>
  <c r="T581" i="14"/>
  <c r="U581" i="14" s="1"/>
  <c r="O581" i="14"/>
  <c r="T580" i="14"/>
  <c r="U580" i="14" s="1"/>
  <c r="O580" i="14"/>
  <c r="T579" i="14"/>
  <c r="U579" i="14" s="1"/>
  <c r="O579" i="14"/>
  <c r="T578" i="14"/>
  <c r="U578" i="14" s="1"/>
  <c r="O578" i="14"/>
  <c r="T577" i="14"/>
  <c r="U577" i="14" s="1"/>
  <c r="O577" i="14"/>
  <c r="S576" i="14"/>
  <c r="AF576" i="14" s="1"/>
  <c r="AI576" i="14" s="1"/>
  <c r="O576" i="14"/>
  <c r="V575" i="14"/>
  <c r="S575" i="14"/>
  <c r="AF575" i="14" s="1"/>
  <c r="O575" i="14"/>
  <c r="O574" i="14"/>
  <c r="D574" i="14"/>
  <c r="D575" i="14" s="1"/>
  <c r="D576" i="14" s="1"/>
  <c r="D577" i="14" s="1"/>
  <c r="D578" i="14" s="1"/>
  <c r="D579" i="14" s="1"/>
  <c r="D580" i="14" s="1"/>
  <c r="D581" i="14" s="1"/>
  <c r="D582" i="14" s="1"/>
  <c r="D583" i="14" s="1"/>
  <c r="D584" i="14" s="1"/>
  <c r="S573" i="14"/>
  <c r="AF573" i="14" s="1"/>
  <c r="AI573" i="14" s="1"/>
  <c r="O573" i="14"/>
  <c r="T559" i="14"/>
  <c r="U559" i="14" s="1"/>
  <c r="AQ559" i="14" s="1"/>
  <c r="AP559" i="14" s="1"/>
  <c r="O559" i="14"/>
  <c r="T558" i="14"/>
  <c r="U558" i="14" s="1"/>
  <c r="O558" i="14"/>
  <c r="T557" i="14"/>
  <c r="U557" i="14" s="1"/>
  <c r="O557" i="14"/>
  <c r="T556" i="14"/>
  <c r="U556" i="14" s="1"/>
  <c r="O556" i="14"/>
  <c r="T555" i="14"/>
  <c r="U555" i="14" s="1"/>
  <c r="O555" i="14"/>
  <c r="T554" i="14"/>
  <c r="U554" i="14" s="1"/>
  <c r="AQ554" i="14" s="1"/>
  <c r="AP554" i="14" s="1"/>
  <c r="O554" i="14"/>
  <c r="T553" i="14"/>
  <c r="U553" i="14" s="1"/>
  <c r="O553" i="14"/>
  <c r="T552" i="14"/>
  <c r="U552" i="14" s="1"/>
  <c r="O552" i="14"/>
  <c r="T551" i="14"/>
  <c r="O551" i="14"/>
  <c r="T550" i="14"/>
  <c r="U550" i="14" s="1"/>
  <c r="AQ550" i="14" s="1"/>
  <c r="AP550" i="14" s="1"/>
  <c r="O550" i="14"/>
  <c r="T549" i="14"/>
  <c r="U549" i="14" s="1"/>
  <c r="O549" i="14"/>
  <c r="T548" i="14"/>
  <c r="U548" i="14" s="1"/>
  <c r="O548" i="14"/>
  <c r="T547" i="14"/>
  <c r="U547" i="14" s="1"/>
  <c r="AQ547" i="14" s="1"/>
  <c r="AP547" i="14" s="1"/>
  <c r="O547" i="14"/>
  <c r="T546" i="14"/>
  <c r="O546" i="14"/>
  <c r="T545" i="14"/>
  <c r="U545" i="14" s="1"/>
  <c r="O545" i="14"/>
  <c r="T544" i="14"/>
  <c r="U544" i="14" s="1"/>
  <c r="O544" i="14"/>
  <c r="O543" i="14"/>
  <c r="O542" i="14"/>
  <c r="O541" i="14"/>
  <c r="D541" i="14"/>
  <c r="D542" i="14" s="1"/>
  <c r="D543" i="14" s="1"/>
  <c r="D544" i="14" s="1"/>
  <c r="D545" i="14" s="1"/>
  <c r="D546" i="14" s="1"/>
  <c r="D547" i="14" s="1"/>
  <c r="D548" i="14" s="1"/>
  <c r="D549" i="14" s="1"/>
  <c r="D550" i="14" s="1"/>
  <c r="D551" i="14" s="1"/>
  <c r="D552" i="14" s="1"/>
  <c r="D553" i="14" s="1"/>
  <c r="D554" i="14" s="1"/>
  <c r="D555" i="14" s="1"/>
  <c r="D556" i="14" s="1"/>
  <c r="D557" i="14" s="1"/>
  <c r="D558" i="14" s="1"/>
  <c r="D559" i="14" s="1"/>
  <c r="O540" i="14"/>
  <c r="U539" i="14"/>
  <c r="T539" i="14" s="1"/>
  <c r="AQ539" i="14" s="1"/>
  <c r="AP539" i="14" s="1"/>
  <c r="U538" i="14"/>
  <c r="T538" i="14" s="1"/>
  <c r="AQ538" i="14" s="1"/>
  <c r="AP538" i="14" s="1"/>
  <c r="U537" i="14"/>
  <c r="T537" i="14" s="1"/>
  <c r="U536" i="14"/>
  <c r="T536" i="14" s="1"/>
  <c r="U535" i="14"/>
  <c r="T535" i="14" s="1"/>
  <c r="AQ535" i="14" s="1"/>
  <c r="AP535" i="14" s="1"/>
  <c r="U534" i="14"/>
  <c r="T534" i="14" s="1"/>
  <c r="AQ534" i="14" s="1"/>
  <c r="AP534" i="14" s="1"/>
  <c r="U533" i="14"/>
  <c r="T533" i="14" s="1"/>
  <c r="U532" i="14"/>
  <c r="T532" i="14" s="1"/>
  <c r="U531" i="14"/>
  <c r="T531" i="14" s="1"/>
  <c r="AQ531" i="14" s="1"/>
  <c r="AP531" i="14" s="1"/>
  <c r="U530" i="14"/>
  <c r="T530" i="14" s="1"/>
  <c r="AQ530" i="14" s="1"/>
  <c r="AP530" i="14" s="1"/>
  <c r="U529" i="14"/>
  <c r="T529" i="14" s="1"/>
  <c r="U528" i="14"/>
  <c r="T528" i="14" s="1"/>
  <c r="S564" i="14"/>
  <c r="AU564" i="14" s="1"/>
  <c r="AV564" i="14" s="1"/>
  <c r="D564" i="14"/>
  <c r="S563" i="14"/>
  <c r="S561" i="14"/>
  <c r="AU561" i="14" s="1"/>
  <c r="AV561" i="14" s="1"/>
  <c r="D561" i="14"/>
  <c r="S560" i="14"/>
  <c r="S562" i="14"/>
  <c r="O520" i="14"/>
  <c r="O519" i="14"/>
  <c r="O527" i="14"/>
  <c r="O526" i="14"/>
  <c r="O525" i="14"/>
  <c r="U527" i="14"/>
  <c r="T527" i="14"/>
  <c r="U526" i="14"/>
  <c r="T526" i="14"/>
  <c r="U525" i="14"/>
  <c r="T525" i="14"/>
  <c r="D525" i="14"/>
  <c r="D526" i="14" s="1"/>
  <c r="D527" i="14" s="1"/>
  <c r="U520" i="14"/>
  <c r="T520" i="14"/>
  <c r="U519" i="14"/>
  <c r="T519" i="14"/>
  <c r="T501" i="14"/>
  <c r="U501" i="14" s="1"/>
  <c r="O501" i="14"/>
  <c r="T500" i="14"/>
  <c r="U500" i="14" s="1"/>
  <c r="AQ500" i="14" s="1"/>
  <c r="AP500" i="14" s="1"/>
  <c r="T499" i="14"/>
  <c r="U499" i="14" s="1"/>
  <c r="AQ499" i="14" s="1"/>
  <c r="AP499" i="14" s="1"/>
  <c r="U150" i="14"/>
  <c r="S150" i="14" s="1"/>
  <c r="AU150" i="14" s="1"/>
  <c r="AV150" i="14" s="1"/>
  <c r="U149" i="14"/>
  <c r="S149" i="14" s="1"/>
  <c r="AU149" i="14" s="1"/>
  <c r="AV149" i="14" s="1"/>
  <c r="U148" i="14"/>
  <c r="U147" i="14"/>
  <c r="S147" i="14" s="1"/>
  <c r="AU147" i="14" s="1"/>
  <c r="AV147" i="14" s="1"/>
  <c r="U146" i="14"/>
  <c r="S146" i="14" s="1"/>
  <c r="AU146" i="14" s="1"/>
  <c r="AV146" i="14" s="1"/>
  <c r="U145" i="14"/>
  <c r="S145" i="14" s="1"/>
  <c r="AU145" i="14" s="1"/>
  <c r="AV145" i="14" s="1"/>
  <c r="U144" i="14"/>
  <c r="S144" i="14" s="1"/>
  <c r="AU144" i="14" s="1"/>
  <c r="AV144" i="14" s="1"/>
  <c r="U143" i="14"/>
  <c r="S143" i="14" s="1"/>
  <c r="AU143" i="14" s="1"/>
  <c r="AV143" i="14" s="1"/>
  <c r="U142" i="14"/>
  <c r="S142" i="14" s="1"/>
  <c r="AU142" i="14" s="1"/>
  <c r="AV142" i="14" s="1"/>
  <c r="U141" i="14"/>
  <c r="S141" i="14" s="1"/>
  <c r="AU141" i="14" s="1"/>
  <c r="AV141" i="14" s="1"/>
  <c r="U140" i="14"/>
  <c r="S140" i="14" s="1"/>
  <c r="AU140" i="14" s="1"/>
  <c r="AV140" i="14" s="1"/>
  <c r="U139" i="14"/>
  <c r="S139" i="14" s="1"/>
  <c r="AU139" i="14" s="1"/>
  <c r="AV139" i="14" s="1"/>
  <c r="U138" i="14"/>
  <c r="S138" i="14" s="1"/>
  <c r="AU138" i="14" s="1"/>
  <c r="AV138" i="14" s="1"/>
  <c r="U137" i="14"/>
  <c r="S137" i="14" s="1"/>
  <c r="AU137" i="14" s="1"/>
  <c r="AV137" i="14" s="1"/>
  <c r="U136" i="14"/>
  <c r="S136" i="14" s="1"/>
  <c r="AU136" i="14" s="1"/>
  <c r="AV136" i="14" s="1"/>
  <c r="U135" i="14"/>
  <c r="S135" i="14" s="1"/>
  <c r="AU135" i="14" s="1"/>
  <c r="AV135" i="14" s="1"/>
  <c r="U134" i="14"/>
  <c r="S134" i="14" s="1"/>
  <c r="AU134" i="14" s="1"/>
  <c r="AV134" i="14" s="1"/>
  <c r="U133" i="14"/>
  <c r="S133" i="14" s="1"/>
  <c r="AU133" i="14" s="1"/>
  <c r="AV133" i="14" s="1"/>
  <c r="U132" i="14"/>
  <c r="S132" i="14" s="1"/>
  <c r="AU132" i="14" s="1"/>
  <c r="AV132" i="14" s="1"/>
  <c r="U131" i="14"/>
  <c r="S131" i="14" s="1"/>
  <c r="AU131" i="14" s="1"/>
  <c r="AV131" i="14" s="1"/>
  <c r="U130" i="14"/>
  <c r="S130" i="14" s="1"/>
  <c r="AU130" i="14" s="1"/>
  <c r="AV130" i="14" s="1"/>
  <c r="U129" i="14"/>
  <c r="U128" i="14"/>
  <c r="S128" i="14" s="1"/>
  <c r="AU128" i="14" s="1"/>
  <c r="AV128" i="14" s="1"/>
  <c r="U127" i="14"/>
  <c r="S127" i="14" s="1"/>
  <c r="AU127" i="14" s="1"/>
  <c r="AV127" i="14" s="1"/>
  <c r="U126" i="14"/>
  <c r="S126" i="14" s="1"/>
  <c r="U125" i="14"/>
  <c r="S125" i="14" s="1"/>
  <c r="U124" i="14"/>
  <c r="S124" i="14" s="1"/>
  <c r="U123" i="14"/>
  <c r="S123" i="14" s="1"/>
  <c r="U122" i="14"/>
  <c r="S122" i="14" s="1"/>
  <c r="U121" i="14"/>
  <c r="S121" i="14" s="1"/>
  <c r="U120" i="14"/>
  <c r="S120" i="14" s="1"/>
  <c r="U119" i="14"/>
  <c r="S119" i="14" s="1"/>
  <c r="U118" i="14"/>
  <c r="S118" i="14" s="1"/>
  <c r="U117" i="14"/>
  <c r="S117" i="14" s="1"/>
  <c r="U116" i="14"/>
  <c r="S116" i="14" s="1"/>
  <c r="U115" i="14"/>
  <c r="S115" i="14" s="1"/>
  <c r="U114" i="14"/>
  <c r="S114" i="14" s="1"/>
  <c r="U113" i="14"/>
  <c r="S113" i="14" s="1"/>
  <c r="U112" i="14"/>
  <c r="S112" i="14" s="1"/>
  <c r="U111" i="14"/>
  <c r="S111" i="14" s="1"/>
  <c r="U110" i="14"/>
  <c r="S110" i="14" s="1"/>
  <c r="U109" i="14"/>
  <c r="S109" i="14" s="1"/>
  <c r="U108" i="14"/>
  <c r="S108" i="14" s="1"/>
  <c r="U107" i="14"/>
  <c r="S107" i="14" s="1"/>
  <c r="U106" i="14"/>
  <c r="S106" i="14" s="1"/>
  <c r="U105" i="14"/>
  <c r="S105" i="14" s="1"/>
  <c r="U104" i="14"/>
  <c r="S104" i="14" s="1"/>
  <c r="D104" i="14"/>
  <c r="D105" i="14" s="1"/>
  <c r="D106" i="14" s="1"/>
  <c r="D107" i="14" s="1"/>
  <c r="D108" i="14" s="1"/>
  <c r="D109" i="14" s="1"/>
  <c r="D110" i="14" s="1"/>
  <c r="D111" i="14" s="1"/>
  <c r="D112" i="14" s="1"/>
  <c r="D113" i="14" s="1"/>
  <c r="D114" i="14" s="1"/>
  <c r="D115" i="14" s="1"/>
  <c r="D116" i="14" s="1"/>
  <c r="D117" i="14" s="1"/>
  <c r="D118" i="14" s="1"/>
  <c r="D119" i="14" s="1"/>
  <c r="D120" i="14" s="1"/>
  <c r="D121" i="14" s="1"/>
  <c r="D122" i="14" s="1"/>
  <c r="D123" i="14" s="1"/>
  <c r="D124" i="14" s="1"/>
  <c r="D125" i="14" s="1"/>
  <c r="D126" i="14" s="1"/>
  <c r="D127" i="14" s="1"/>
  <c r="D128" i="14" s="1"/>
  <c r="D129" i="14" s="1"/>
  <c r="D130" i="14" s="1"/>
  <c r="D131" i="14" s="1"/>
  <c r="D132" i="14" s="1"/>
  <c r="D133" i="14" s="1"/>
  <c r="D134" i="14" s="1"/>
  <c r="D135" i="14" s="1"/>
  <c r="D136" i="14" s="1"/>
  <c r="D137" i="14" s="1"/>
  <c r="D138" i="14" s="1"/>
  <c r="D139" i="14" s="1"/>
  <c r="D140" i="14" s="1"/>
  <c r="D141" i="14" s="1"/>
  <c r="D142" i="14" s="1"/>
  <c r="D143" i="14" s="1"/>
  <c r="D144" i="14" s="1"/>
  <c r="D145" i="14" s="1"/>
  <c r="D146" i="14" s="1"/>
  <c r="D147" i="14" s="1"/>
  <c r="D148" i="14" s="1"/>
  <c r="D149" i="14" s="1"/>
  <c r="D150" i="14" s="1"/>
  <c r="U103" i="14"/>
  <c r="S103" i="14" s="1"/>
  <c r="T524" i="14"/>
  <c r="U524" i="14" s="1"/>
  <c r="AQ524" i="14" s="1"/>
  <c r="AP524" i="14" s="1"/>
  <c r="T523" i="14"/>
  <c r="U523" i="14" s="1"/>
  <c r="AQ523" i="14" s="1"/>
  <c r="AP523" i="14" s="1"/>
  <c r="T522" i="14"/>
  <c r="U522" i="14" s="1"/>
  <c r="T521" i="14"/>
  <c r="U521" i="14" s="1"/>
  <c r="O524" i="14"/>
  <c r="O523" i="14"/>
  <c r="O522" i="14"/>
  <c r="O521" i="14"/>
  <c r="S498" i="14"/>
  <c r="AF498" i="14" s="1"/>
  <c r="AI498" i="14" s="1"/>
  <c r="AQ498" i="14" s="1"/>
  <c r="AP498" i="14" s="1"/>
  <c r="S497" i="14"/>
  <c r="AF497" i="14" s="1"/>
  <c r="AI497" i="14" s="1"/>
  <c r="AQ497" i="14" s="1"/>
  <c r="AP497" i="14" s="1"/>
  <c r="S496" i="14"/>
  <c r="AF496" i="14" s="1"/>
  <c r="AI496" i="14" s="1"/>
  <c r="AQ496" i="14" s="1"/>
  <c r="AP496" i="14" s="1"/>
  <c r="S495" i="14"/>
  <c r="AF495" i="14" s="1"/>
  <c r="AI495" i="14" s="1"/>
  <c r="AQ495" i="14" s="1"/>
  <c r="AP495" i="14" s="1"/>
  <c r="S494" i="14"/>
  <c r="AF494" i="14" s="1"/>
  <c r="AI494" i="14" s="1"/>
  <c r="AQ494" i="14" s="1"/>
  <c r="AP494" i="14" s="1"/>
  <c r="S493" i="14"/>
  <c r="AF493" i="14" s="1"/>
  <c r="AI493" i="14" s="1"/>
  <c r="AQ493" i="14" s="1"/>
  <c r="AP493" i="14" s="1"/>
  <c r="S492" i="14"/>
  <c r="AU492" i="14" s="1"/>
  <c r="AV492" i="14" s="1"/>
  <c r="S491" i="14"/>
  <c r="AU491" i="14" s="1"/>
  <c r="AV491" i="14" s="1"/>
  <c r="S490" i="14"/>
  <c r="AU490" i="14" s="1"/>
  <c r="AV490" i="14" s="1"/>
  <c r="S489" i="14"/>
  <c r="AU489" i="14" s="1"/>
  <c r="AV489" i="14" s="1"/>
  <c r="S488" i="14"/>
  <c r="AF488" i="14" s="1"/>
  <c r="AI488" i="14" s="1"/>
  <c r="S487" i="14"/>
  <c r="AU487" i="14" s="1"/>
  <c r="AV487" i="14" s="1"/>
  <c r="S486" i="14"/>
  <c r="AF486" i="14" s="1"/>
  <c r="AI486" i="14" s="1"/>
  <c r="AQ486" i="14" s="1"/>
  <c r="AP486" i="14" s="1"/>
  <c r="S485" i="14"/>
  <c r="AF485" i="14" s="1"/>
  <c r="AI485" i="14" s="1"/>
  <c r="S484" i="14"/>
  <c r="S483" i="14"/>
  <c r="AU483" i="14" s="1"/>
  <c r="AV483" i="14" s="1"/>
  <c r="S482" i="14"/>
  <c r="AF482" i="14" s="1"/>
  <c r="AI482" i="14" s="1"/>
  <c r="S481" i="14"/>
  <c r="AF481" i="14" s="1"/>
  <c r="AI481" i="14" s="1"/>
  <c r="AQ481" i="14" s="1"/>
  <c r="AP481" i="14" s="1"/>
  <c r="S480" i="14"/>
  <c r="AF480" i="14" s="1"/>
  <c r="AI480" i="14" s="1"/>
  <c r="AQ480" i="14" s="1"/>
  <c r="AP480" i="14" s="1"/>
  <c r="S479" i="14"/>
  <c r="AF479" i="14" s="1"/>
  <c r="AI479" i="14" s="1"/>
  <c r="D189" i="14"/>
  <c r="D190" i="14" s="1"/>
  <c r="D191" i="14" s="1"/>
  <c r="D192" i="14" s="1"/>
  <c r="D193" i="14" s="1"/>
  <c r="D194" i="14" s="1"/>
  <c r="D195" i="14" s="1"/>
  <c r="D196" i="14" s="1"/>
  <c r="D197" i="14" s="1"/>
  <c r="D198" i="14" s="1"/>
  <c r="D199" i="14" s="1"/>
  <c r="D200" i="14" s="1"/>
  <c r="D316" i="14"/>
  <c r="D321" i="14"/>
  <c r="D322" i="14" s="1"/>
  <c r="D323" i="14" s="1"/>
  <c r="D336" i="14"/>
  <c r="D337" i="14" s="1"/>
  <c r="D338" i="14" s="1"/>
  <c r="D339" i="14" s="1"/>
  <c r="D340" i="14" s="1"/>
  <c r="D341" i="14" s="1"/>
  <c r="D342" i="14" s="1"/>
  <c r="D343" i="14" s="1"/>
  <c r="D344" i="14" s="1"/>
  <c r="D345" i="14" s="1"/>
  <c r="D346" i="14" s="1"/>
  <c r="D347" i="14" s="1"/>
  <c r="D348" i="14" s="1"/>
  <c r="D349" i="14" s="1"/>
  <c r="D350" i="14" s="1"/>
  <c r="D351" i="14" s="1"/>
  <c r="D352" i="14" s="1"/>
  <c r="D353" i="14" s="1"/>
  <c r="D354" i="14" s="1"/>
  <c r="D355" i="14" s="1"/>
  <c r="D362" i="14"/>
  <c r="D363" i="14" s="1"/>
  <c r="D364" i="14" s="1"/>
  <c r="D357" i="14"/>
  <c r="D358" i="14" s="1"/>
  <c r="D359" i="14" s="1"/>
  <c r="D360" i="14" s="1"/>
  <c r="D471" i="14"/>
  <c r="D472" i="14" s="1"/>
  <c r="D473" i="14" s="1"/>
  <c r="D474" i="14" s="1"/>
  <c r="D475" i="14" s="1"/>
  <c r="D476" i="14" s="1"/>
  <c r="D477" i="14" s="1"/>
  <c r="D478" i="14" s="1"/>
  <c r="D62" i="14"/>
  <c r="D63" i="14" s="1"/>
  <c r="D64" i="14" s="1"/>
  <c r="D65" i="14" s="1"/>
  <c r="D66" i="14" s="1"/>
  <c r="D67" i="14" s="1"/>
  <c r="D68" i="14" s="1"/>
  <c r="D69" i="14" s="1"/>
  <c r="D70" i="14" s="1"/>
  <c r="D71" i="14" s="1"/>
  <c r="D72" i="14" s="1"/>
  <c r="D73" i="14" s="1"/>
  <c r="D74" i="14" s="1"/>
  <c r="D75" i="14" s="1"/>
  <c r="D76" i="14" s="1"/>
  <c r="D77" i="14" s="1"/>
  <c r="D78" i="14" s="1"/>
  <c r="D79" i="14" s="1"/>
  <c r="D152" i="14"/>
  <c r="D153" i="14" s="1"/>
  <c r="D154" i="14" s="1"/>
  <c r="D155" i="14" s="1"/>
  <c r="D156" i="14" s="1"/>
  <c r="P478" i="14"/>
  <c r="P477" i="14"/>
  <c r="P476" i="14"/>
  <c r="P475" i="14"/>
  <c r="P474" i="14"/>
  <c r="P473" i="14"/>
  <c r="P472" i="14"/>
  <c r="P471" i="14"/>
  <c r="P470" i="14"/>
  <c r="S373" i="14"/>
  <c r="AF373" i="14" s="1"/>
  <c r="AI373" i="14" s="1"/>
  <c r="S372" i="14"/>
  <c r="AU372" i="14" s="1"/>
  <c r="AV372" i="14" s="1"/>
  <c r="T429" i="14"/>
  <c r="T428" i="14"/>
  <c r="T427" i="14"/>
  <c r="T426" i="14"/>
  <c r="T425" i="14"/>
  <c r="T424" i="14"/>
  <c r="T423" i="14"/>
  <c r="T422" i="14"/>
  <c r="T421" i="14"/>
  <c r="T420" i="14"/>
  <c r="T419" i="14"/>
  <c r="T418" i="14"/>
  <c r="T417" i="14"/>
  <c r="T416" i="14"/>
  <c r="T415" i="14"/>
  <c r="T414" i="14"/>
  <c r="T413" i="14"/>
  <c r="T412" i="14"/>
  <c r="T411" i="14"/>
  <c r="T410" i="14"/>
  <c r="T409" i="14"/>
  <c r="T408" i="14"/>
  <c r="T407" i="14"/>
  <c r="T406" i="14"/>
  <c r="T405" i="14"/>
  <c r="T404" i="14"/>
  <c r="T403" i="14"/>
  <c r="T402" i="14"/>
  <c r="T401" i="14"/>
  <c r="T400" i="14"/>
  <c r="T399" i="14"/>
  <c r="T398" i="14"/>
  <c r="T397" i="14"/>
  <c r="T396" i="14"/>
  <c r="T395" i="14"/>
  <c r="S394" i="14"/>
  <c r="AU394" i="14" s="1"/>
  <c r="AV394" i="14" s="1"/>
  <c r="S393" i="14"/>
  <c r="AU393" i="14" s="1"/>
  <c r="AV393" i="14" s="1"/>
  <c r="S392" i="14"/>
  <c r="AF392" i="14" s="1"/>
  <c r="AI392" i="14" s="1"/>
  <c r="AQ392" i="14" s="1"/>
  <c r="AP392" i="14" s="1"/>
  <c r="S391" i="14"/>
  <c r="S390" i="14"/>
  <c r="AF390" i="14" s="1"/>
  <c r="AI390" i="14" s="1"/>
  <c r="AQ390" i="14" s="1"/>
  <c r="AP390" i="14" s="1"/>
  <c r="S389" i="14"/>
  <c r="AU389" i="14" s="1"/>
  <c r="AV389" i="14" s="1"/>
  <c r="S388" i="14"/>
  <c r="AU388" i="14" s="1"/>
  <c r="AV388" i="14" s="1"/>
  <c r="S387" i="14"/>
  <c r="AF387" i="14" s="1"/>
  <c r="AI387" i="14" s="1"/>
  <c r="AQ387" i="14" s="1"/>
  <c r="AP387" i="14" s="1"/>
  <c r="S386" i="14"/>
  <c r="AU386" i="14" s="1"/>
  <c r="AV386" i="14" s="1"/>
  <c r="S385" i="14"/>
  <c r="AF385" i="14" s="1"/>
  <c r="AI385" i="14" s="1"/>
  <c r="AQ385" i="14" s="1"/>
  <c r="AP385" i="14" s="1"/>
  <c r="S384" i="14"/>
  <c r="AF384" i="14" s="1"/>
  <c r="AI384" i="14" s="1"/>
  <c r="AQ384" i="14" s="1"/>
  <c r="AP384" i="14" s="1"/>
  <c r="S383" i="14"/>
  <c r="S382" i="14"/>
  <c r="AF382" i="14" s="1"/>
  <c r="AI382" i="14" s="1"/>
  <c r="AQ382" i="14" s="1"/>
  <c r="AP382" i="14" s="1"/>
  <c r="S381" i="14"/>
  <c r="AF381" i="14" s="1"/>
  <c r="AI381" i="14" s="1"/>
  <c r="AQ381" i="14" s="1"/>
  <c r="AP381" i="14" s="1"/>
  <c r="S380" i="14"/>
  <c r="AU380" i="14" s="1"/>
  <c r="AV380" i="14" s="1"/>
  <c r="S379" i="14"/>
  <c r="AF379" i="14" s="1"/>
  <c r="AI379" i="14" s="1"/>
  <c r="AQ379" i="14" s="1"/>
  <c r="AP379" i="14" s="1"/>
  <c r="S378" i="14"/>
  <c r="AU378" i="14" s="1"/>
  <c r="AV378" i="14" s="1"/>
  <c r="S377" i="14"/>
  <c r="AU377" i="14" s="1"/>
  <c r="AV377" i="14" s="1"/>
  <c r="S376" i="14"/>
  <c r="AU376" i="14" s="1"/>
  <c r="AV376" i="14" s="1"/>
  <c r="S375" i="14"/>
  <c r="S374" i="14"/>
  <c r="AF374" i="14" s="1"/>
  <c r="AI374" i="14" s="1"/>
  <c r="AQ374" i="14" s="1"/>
  <c r="AP374" i="14" s="1"/>
  <c r="U156" i="14"/>
  <c r="T156" i="14"/>
  <c r="U155" i="14"/>
  <c r="T155" i="14"/>
  <c r="U154" i="14"/>
  <c r="T154" i="14"/>
  <c r="U153" i="14"/>
  <c r="T153" i="14"/>
  <c r="U152" i="14"/>
  <c r="T152" i="14"/>
  <c r="U151" i="14"/>
  <c r="T151" i="14"/>
  <c r="S61" i="14"/>
  <c r="S65" i="14"/>
  <c r="S66" i="14"/>
  <c r="S67" i="14"/>
  <c r="S68" i="14"/>
  <c r="AT68" i="14" s="1"/>
  <c r="S69" i="14"/>
  <c r="AT69" i="14" s="1"/>
  <c r="S70" i="14"/>
  <c r="AT70" i="14" s="1"/>
  <c r="S71" i="14"/>
  <c r="AT71" i="14" s="1"/>
  <c r="S72" i="14"/>
  <c r="S73" i="14"/>
  <c r="S74" i="14"/>
  <c r="S75" i="14"/>
  <c r="S76" i="14"/>
  <c r="AT76" i="14" s="1"/>
  <c r="S77" i="14"/>
  <c r="AT77" i="14" s="1"/>
  <c r="S78" i="14"/>
  <c r="AT78" i="14" s="1"/>
  <c r="S79" i="14"/>
  <c r="AT79" i="14" s="1"/>
  <c r="S64" i="14"/>
  <c r="U478" i="14"/>
  <c r="T478" i="14"/>
  <c r="U477" i="14"/>
  <c r="T477" i="14"/>
  <c r="U475" i="14"/>
  <c r="T475" i="14"/>
  <c r="U474" i="14"/>
  <c r="T474" i="14"/>
  <c r="U472" i="14"/>
  <c r="T472" i="14"/>
  <c r="U471" i="14"/>
  <c r="T471" i="14"/>
  <c r="U476" i="14"/>
  <c r="T476" i="14"/>
  <c r="U473" i="14"/>
  <c r="T473" i="14"/>
  <c r="U470" i="14"/>
  <c r="T470" i="14"/>
  <c r="O478" i="14"/>
  <c r="O475" i="14"/>
  <c r="O472" i="14"/>
  <c r="O477" i="14"/>
  <c r="O474" i="14"/>
  <c r="O471" i="14"/>
  <c r="O476" i="14"/>
  <c r="O473" i="14"/>
  <c r="O470" i="14"/>
  <c r="T360" i="14"/>
  <c r="U360" i="14" s="1"/>
  <c r="AQ360" i="14" s="1"/>
  <c r="AP360" i="14" s="1"/>
  <c r="P360" i="14"/>
  <c r="O360" i="14"/>
  <c r="T359" i="14"/>
  <c r="U359" i="14" s="1"/>
  <c r="AQ359" i="14" s="1"/>
  <c r="AP359" i="14" s="1"/>
  <c r="P359" i="14"/>
  <c r="O359" i="14"/>
  <c r="T358" i="14"/>
  <c r="U358" i="14" s="1"/>
  <c r="AQ358" i="14" s="1"/>
  <c r="AP358" i="14" s="1"/>
  <c r="P358" i="14"/>
  <c r="O358" i="14"/>
  <c r="T357" i="14"/>
  <c r="U357" i="14" s="1"/>
  <c r="AQ357" i="14" s="1"/>
  <c r="AP357" i="14" s="1"/>
  <c r="P357" i="14"/>
  <c r="O357" i="14"/>
  <c r="T356" i="14"/>
  <c r="P356" i="14"/>
  <c r="O356" i="14"/>
  <c r="S371" i="14"/>
  <c r="AF371" i="14" s="1"/>
  <c r="AI371" i="14" s="1"/>
  <c r="AQ371" i="14" s="1"/>
  <c r="AP371" i="14" s="1"/>
  <c r="U362" i="14"/>
  <c r="S362" i="14" s="1"/>
  <c r="AU362" i="14" s="1"/>
  <c r="AV362" i="14" s="1"/>
  <c r="U364" i="14"/>
  <c r="S364" i="14" s="1"/>
  <c r="U363" i="14"/>
  <c r="S363" i="14" s="1"/>
  <c r="U361" i="14"/>
  <c r="S361" i="14" s="1"/>
  <c r="U351" i="14"/>
  <c r="T351" i="14"/>
  <c r="U350" i="14"/>
  <c r="T350" i="14"/>
  <c r="U345" i="14"/>
  <c r="T345" i="14"/>
  <c r="U344" i="14"/>
  <c r="T344" i="14"/>
  <c r="U355" i="14"/>
  <c r="T355" i="14"/>
  <c r="U354" i="14"/>
  <c r="T354" i="14"/>
  <c r="U353" i="14"/>
  <c r="T353" i="14"/>
  <c r="U352" i="14"/>
  <c r="T352" i="14"/>
  <c r="U349" i="14"/>
  <c r="T349" i="14"/>
  <c r="U348" i="14"/>
  <c r="T348" i="14"/>
  <c r="U347" i="14"/>
  <c r="T347" i="14"/>
  <c r="U346" i="14"/>
  <c r="T346" i="14"/>
  <c r="U343" i="14"/>
  <c r="T343" i="14"/>
  <c r="U342" i="14"/>
  <c r="T342" i="14"/>
  <c r="U341" i="14"/>
  <c r="T341" i="14"/>
  <c r="U340" i="14"/>
  <c r="T340" i="14"/>
  <c r="U339" i="14"/>
  <c r="T339" i="14"/>
  <c r="U338" i="14"/>
  <c r="T338" i="14"/>
  <c r="S337" i="14"/>
  <c r="S336" i="14"/>
  <c r="AU336" i="14" s="1"/>
  <c r="AV336" i="14" s="1"/>
  <c r="S335" i="14"/>
  <c r="AU335" i="14" s="1"/>
  <c r="AV335" i="14" s="1"/>
  <c r="S329" i="14"/>
  <c r="S328" i="14"/>
  <c r="S327" i="14"/>
  <c r="T327" i="14" s="1"/>
  <c r="U327" i="14" s="1"/>
  <c r="S326" i="14"/>
  <c r="T326" i="14" s="1"/>
  <c r="U326" i="14" s="1"/>
  <c r="U334" i="14"/>
  <c r="S334" i="14"/>
  <c r="AU334" i="14" s="1"/>
  <c r="AV334" i="14" s="1"/>
  <c r="U325" i="14"/>
  <c r="S325" i="14"/>
  <c r="U321" i="14"/>
  <c r="S321" i="14"/>
  <c r="AU321" i="14" s="1"/>
  <c r="AV321" i="14" s="1"/>
  <c r="S318" i="14"/>
  <c r="AU318" i="14" s="1"/>
  <c r="AV318" i="14" s="1"/>
  <c r="T60" i="14"/>
  <c r="AQ60" i="14" s="1"/>
  <c r="AP60" i="14" s="1"/>
  <c r="T59" i="14"/>
  <c r="T58" i="14"/>
  <c r="AQ58" i="14" s="1"/>
  <c r="AP58" i="14" s="1"/>
  <c r="T57" i="14"/>
  <c r="T56" i="14"/>
  <c r="AQ56" i="14" s="1"/>
  <c r="AP56" i="14" s="1"/>
  <c r="T55" i="14"/>
  <c r="D55" i="14"/>
  <c r="D56" i="14" s="1"/>
  <c r="D57" i="14" s="1"/>
  <c r="D58" i="14" s="1"/>
  <c r="D59" i="14" s="1"/>
  <c r="D60" i="14" s="1"/>
  <c r="U323" i="14"/>
  <c r="U324" i="14"/>
  <c r="U322" i="14"/>
  <c r="U320" i="14"/>
  <c r="U319" i="14"/>
  <c r="S324" i="14"/>
  <c r="S323" i="14"/>
  <c r="S322" i="14"/>
  <c r="S320" i="14"/>
  <c r="S319" i="14"/>
  <c r="P200" i="14"/>
  <c r="O200" i="14"/>
  <c r="P199" i="14"/>
  <c r="O199" i="14"/>
  <c r="P198" i="14"/>
  <c r="O198" i="14"/>
  <c r="P197" i="14"/>
  <c r="O197" i="14"/>
  <c r="P196" i="14"/>
  <c r="O196" i="14"/>
  <c r="P195" i="14"/>
  <c r="O195" i="14"/>
  <c r="P194" i="14"/>
  <c r="O194" i="14"/>
  <c r="P193" i="14"/>
  <c r="O193" i="14"/>
  <c r="P192" i="14"/>
  <c r="O192" i="14"/>
  <c r="P191" i="14"/>
  <c r="O191" i="14"/>
  <c r="P190" i="14"/>
  <c r="O190" i="14"/>
  <c r="P189" i="14"/>
  <c r="O189" i="14"/>
  <c r="S188" i="14"/>
  <c r="AF188" i="14" s="1"/>
  <c r="AI188" i="14" s="1"/>
  <c r="P188" i="14"/>
  <c r="O188" i="14"/>
  <c r="S187" i="14"/>
  <c r="AF187" i="14" s="1"/>
  <c r="AI187" i="14" s="1"/>
  <c r="P187" i="14"/>
  <c r="O187" i="14"/>
  <c r="S186" i="14"/>
  <c r="AF186" i="14" s="1"/>
  <c r="AI186" i="14" s="1"/>
  <c r="P186" i="14"/>
  <c r="O186" i="14"/>
  <c r="S185" i="14"/>
  <c r="AF185" i="14" s="1"/>
  <c r="AI185" i="14" s="1"/>
  <c r="P185" i="14"/>
  <c r="O185" i="14"/>
  <c r="S184" i="14"/>
  <c r="AF184" i="14" s="1"/>
  <c r="AI184" i="14" s="1"/>
  <c r="P184" i="14"/>
  <c r="O184" i="14"/>
  <c r="S183" i="14"/>
  <c r="AF183" i="14" s="1"/>
  <c r="AI183" i="14" s="1"/>
  <c r="P183" i="14"/>
  <c r="O183" i="14"/>
  <c r="S182" i="14"/>
  <c r="AF182" i="14" s="1"/>
  <c r="AI182" i="14" s="1"/>
  <c r="P182" i="14"/>
  <c r="O182" i="14"/>
  <c r="S181" i="14"/>
  <c r="AF181" i="14" s="1"/>
  <c r="AI181" i="14" s="1"/>
  <c r="P181" i="14"/>
  <c r="O181" i="14"/>
  <c r="S180" i="14"/>
  <c r="AF180" i="14" s="1"/>
  <c r="AI180" i="14" s="1"/>
  <c r="P180" i="14"/>
  <c r="O180" i="14"/>
  <c r="S179" i="14"/>
  <c r="AF179" i="14" s="1"/>
  <c r="AI179" i="14" s="1"/>
  <c r="P179" i="14"/>
  <c r="O179" i="14"/>
  <c r="S178" i="14"/>
  <c r="AF178" i="14" s="1"/>
  <c r="AI178" i="14" s="1"/>
  <c r="P178" i="14"/>
  <c r="O178" i="14"/>
  <c r="S177" i="14"/>
  <c r="AF177" i="14" s="1"/>
  <c r="AI177" i="14" s="1"/>
  <c r="P177" i="14"/>
  <c r="O177" i="14"/>
  <c r="S176" i="14"/>
  <c r="AF176" i="14" s="1"/>
  <c r="AI176" i="14" s="1"/>
  <c r="P176" i="14"/>
  <c r="O176" i="14"/>
  <c r="S175" i="14"/>
  <c r="AF175" i="14" s="1"/>
  <c r="AI175" i="14" s="1"/>
  <c r="P175" i="14"/>
  <c r="O175" i="14"/>
  <c r="S174" i="14"/>
  <c r="AF174" i="14" s="1"/>
  <c r="AI174" i="14" s="1"/>
  <c r="P174" i="14"/>
  <c r="O174" i="14"/>
  <c r="S173" i="14"/>
  <c r="AF173" i="14" s="1"/>
  <c r="AI173" i="14" s="1"/>
  <c r="P173" i="14"/>
  <c r="O173" i="14"/>
  <c r="P172" i="14"/>
  <c r="O172" i="14"/>
  <c r="P171" i="14"/>
  <c r="O171" i="14"/>
  <c r="P170" i="14"/>
  <c r="O170" i="14"/>
  <c r="P169" i="14"/>
  <c r="O169" i="14"/>
  <c r="P168" i="14"/>
  <c r="O168" i="14"/>
  <c r="P167" i="14"/>
  <c r="O167" i="14"/>
  <c r="P166" i="14"/>
  <c r="O166" i="14"/>
  <c r="P165" i="14"/>
  <c r="O165" i="14"/>
  <c r="P164" i="14"/>
  <c r="O164" i="14"/>
  <c r="P163" i="14"/>
  <c r="O163" i="14"/>
  <c r="P162" i="14"/>
  <c r="O162" i="14"/>
  <c r="P161" i="14"/>
  <c r="O161" i="14"/>
  <c r="P160" i="14"/>
  <c r="O160" i="14"/>
  <c r="P159" i="14"/>
  <c r="O159" i="14"/>
  <c r="P158" i="14"/>
  <c r="O158" i="14"/>
  <c r="P157" i="14"/>
  <c r="O157" i="14"/>
  <c r="U54" i="14"/>
  <c r="S54" i="14"/>
  <c r="U53" i="14"/>
  <c r="S53" i="14"/>
  <c r="AU53" i="14" s="1"/>
  <c r="AV53" i="14" s="1"/>
  <c r="U52" i="14"/>
  <c r="S52" i="14"/>
  <c r="U51" i="14"/>
  <c r="S51" i="14"/>
  <c r="AU51" i="14" s="1"/>
  <c r="AV51" i="14" s="1"/>
  <c r="U50" i="14"/>
  <c r="S50" i="14"/>
  <c r="U49" i="14"/>
  <c r="S49" i="14"/>
  <c r="S37" i="14"/>
  <c r="AQ37" i="14" s="1"/>
  <c r="AP37" i="14" s="1"/>
  <c r="P37" i="14"/>
  <c r="O37" i="14"/>
  <c r="S36" i="14"/>
  <c r="AU36" i="14" s="1"/>
  <c r="AV36" i="14" s="1"/>
  <c r="P36" i="14"/>
  <c r="O36" i="14"/>
  <c r="S35" i="14"/>
  <c r="P35" i="14"/>
  <c r="O35" i="14"/>
  <c r="S34" i="14"/>
  <c r="P34" i="14"/>
  <c r="O34" i="14"/>
  <c r="O33" i="14"/>
  <c r="T32" i="14"/>
  <c r="O32" i="14"/>
  <c r="T31" i="14"/>
  <c r="U31" i="14" s="1"/>
  <c r="O31" i="14"/>
  <c r="S30" i="14"/>
  <c r="AU30" i="14" s="1"/>
  <c r="AV30" i="14" s="1"/>
  <c r="S13" i="14"/>
  <c r="AT13" i="14" s="1"/>
  <c r="O13" i="14"/>
  <c r="S12" i="14"/>
  <c r="AT12" i="14" s="1"/>
  <c r="O12" i="14"/>
  <c r="S11" i="14"/>
  <c r="AT11" i="14" s="1"/>
  <c r="O11" i="14"/>
  <c r="S10" i="14"/>
  <c r="AT10" i="14" s="1"/>
  <c r="O10" i="14"/>
  <c r="S9" i="14"/>
  <c r="AT9" i="14" s="1"/>
  <c r="O9" i="14"/>
  <c r="S8" i="14"/>
  <c r="AT8" i="14" s="1"/>
  <c r="O8" i="14"/>
  <c r="S7" i="14"/>
  <c r="AT7" i="14" s="1"/>
  <c r="O7" i="14"/>
  <c r="S6" i="14"/>
  <c r="AT6" i="14" s="1"/>
  <c r="AP6" i="14" s="1"/>
  <c r="O6" i="14"/>
  <c r="S5" i="14"/>
  <c r="O5" i="14"/>
  <c r="S4" i="14"/>
  <c r="O4" i="14"/>
  <c r="S3" i="14"/>
  <c r="O3" i="14"/>
  <c r="D3" i="14"/>
  <c r="D4" i="14" s="1"/>
  <c r="D5" i="14" s="1"/>
  <c r="D6" i="14" s="1"/>
  <c r="D7" i="14" s="1"/>
  <c r="D8" i="14" s="1"/>
  <c r="D9" i="14" s="1"/>
  <c r="D10" i="14" s="1"/>
  <c r="D11" i="14" s="1"/>
  <c r="D12" i="14" s="1"/>
  <c r="D13" i="14" s="1"/>
  <c r="S2" i="14"/>
  <c r="O2" i="14"/>
  <c r="D241" i="14"/>
  <c r="D242" i="14" s="1"/>
  <c r="D243" i="14" s="1"/>
  <c r="D244" i="14" s="1"/>
  <c r="D245" i="14" s="1"/>
  <c r="D246" i="14" s="1"/>
  <c r="D247" i="14" s="1"/>
  <c r="D248" i="14" s="1"/>
  <c r="D249" i="14" s="1"/>
  <c r="D250" i="14" s="1"/>
  <c r="D251" i="14" s="1"/>
  <c r="D252" i="14" s="1"/>
  <c r="D253" i="14" s="1"/>
  <c r="D254" i="14" s="1"/>
  <c r="D255" i="14" s="1"/>
  <c r="D256" i="14" s="1"/>
  <c r="D257" i="14" s="1"/>
  <c r="D258" i="14" s="1"/>
  <c r="D259" i="14" s="1"/>
  <c r="D260" i="14" s="1"/>
  <c r="D261" i="14" s="1"/>
  <c r="D262" i="14" s="1"/>
  <c r="D263" i="14" s="1"/>
  <c r="D264" i="14" s="1"/>
  <c r="D265" i="14" s="1"/>
  <c r="D266" i="14" s="1"/>
  <c r="D267" i="14" s="1"/>
  <c r="D268" i="14" s="1"/>
  <c r="D269" i="14" s="1"/>
  <c r="D270" i="14" s="1"/>
  <c r="D271" i="14" s="1"/>
  <c r="D272" i="14" s="1"/>
  <c r="D273" i="14" s="1"/>
  <c r="D274" i="14" s="1"/>
  <c r="D275" i="14" s="1"/>
  <c r="D276" i="14" s="1"/>
  <c r="D277" i="14" s="1"/>
  <c r="D278" i="14" s="1"/>
  <c r="D279" i="14" s="1"/>
  <c r="D280" i="14" s="1"/>
  <c r="D281" i="14" s="1"/>
  <c r="D282" i="14" s="1"/>
  <c r="D283" i="14" s="1"/>
  <c r="D284" i="14" s="1"/>
  <c r="D285" i="14" s="1"/>
  <c r="D286" i="14" s="1"/>
  <c r="D287" i="14" s="1"/>
  <c r="D288" i="14" s="1"/>
  <c r="D289" i="14" s="1"/>
  <c r="D290" i="14" s="1"/>
  <c r="D291" i="14" s="1"/>
  <c r="D292" i="14" s="1"/>
  <c r="D293" i="14" s="1"/>
  <c r="D294" i="14" s="1"/>
  <c r="D295" i="14" s="1"/>
  <c r="D296" i="14" s="1"/>
  <c r="D297" i="14" s="1"/>
  <c r="D298" i="14" s="1"/>
  <c r="D299" i="14" s="1"/>
  <c r="D300" i="14" s="1"/>
  <c r="D301" i="14" s="1"/>
  <c r="D302" i="14" s="1"/>
  <c r="D303" i="14" s="1"/>
  <c r="D304" i="14" s="1"/>
  <c r="D305" i="14" s="1"/>
  <c r="D306" i="14" s="1"/>
  <c r="D307" i="14" s="1"/>
  <c r="D308" i="14" s="1"/>
  <c r="D309" i="14" s="1"/>
  <c r="D310" i="14" s="1"/>
  <c r="D311" i="14" s="1"/>
  <c r="D312" i="14" s="1"/>
  <c r="D313" i="14" s="1"/>
  <c r="D314" i="14" s="1"/>
  <c r="U215" i="14"/>
  <c r="T215" i="14"/>
  <c r="O215" i="14"/>
  <c r="U214" i="14"/>
  <c r="T214" i="14"/>
  <c r="O214" i="14"/>
  <c r="U213" i="14"/>
  <c r="T213" i="14"/>
  <c r="O213" i="14"/>
  <c r="U212" i="14"/>
  <c r="T212" i="14"/>
  <c r="O212" i="14"/>
  <c r="U211" i="14"/>
  <c r="T211" i="14"/>
  <c r="O211" i="14"/>
  <c r="U210" i="14"/>
  <c r="T210" i="14"/>
  <c r="O210" i="14"/>
  <c r="S209" i="14"/>
  <c r="AU209" i="14" s="1"/>
  <c r="AV209" i="14" s="1"/>
  <c r="O209" i="14"/>
  <c r="S208" i="14"/>
  <c r="AU208" i="14" s="1"/>
  <c r="AV208" i="14" s="1"/>
  <c r="O208" i="14"/>
  <c r="S207" i="14"/>
  <c r="O207" i="14"/>
  <c r="S206" i="14"/>
  <c r="AQ206" i="14" s="1"/>
  <c r="AP206" i="14" s="1"/>
  <c r="O206" i="14"/>
  <c r="S205" i="14"/>
  <c r="AU205" i="14" s="1"/>
  <c r="AV205" i="14" s="1"/>
  <c r="O205" i="14"/>
  <c r="S204" i="14"/>
  <c r="S281" i="14" s="1"/>
  <c r="AU281" i="14" s="1"/>
  <c r="AV281" i="14" s="1"/>
  <c r="O204" i="14"/>
  <c r="S203" i="14"/>
  <c r="AQ203" i="14" s="1"/>
  <c r="AP203" i="14" s="1"/>
  <c r="O203" i="14"/>
  <c r="S202" i="14"/>
  <c r="AQ202" i="14" s="1"/>
  <c r="AP202" i="14" s="1"/>
  <c r="O202" i="14"/>
  <c r="D202" i="14"/>
  <c r="D203" i="14" s="1"/>
  <c r="D204" i="14" s="1"/>
  <c r="D205" i="14" s="1"/>
  <c r="D206" i="14" s="1"/>
  <c r="D207" i="14" s="1"/>
  <c r="D208" i="14" s="1"/>
  <c r="D209" i="14" s="1"/>
  <c r="D210" i="14" s="1"/>
  <c r="D211" i="14" s="1"/>
  <c r="D212" i="14" s="1"/>
  <c r="D213" i="14" s="1"/>
  <c r="D214" i="14" s="1"/>
  <c r="D215" i="14" s="1"/>
  <c r="S201" i="14"/>
  <c r="O201" i="14"/>
  <c r="D39" i="14"/>
  <c r="D40" i="14" s="1"/>
  <c r="D41" i="14" s="1"/>
  <c r="D42" i="14" s="1"/>
  <c r="S29" i="14"/>
  <c r="U29" i="14" s="1"/>
  <c r="T29" i="14" s="1"/>
  <c r="AQ29" i="14" s="1"/>
  <c r="AP29" i="14" s="1"/>
  <c r="S28" i="14"/>
  <c r="U28" i="14" s="1"/>
  <c r="S25" i="14"/>
  <c r="S24" i="14"/>
  <c r="U24" i="14" s="1"/>
  <c r="T24" i="14" s="1"/>
  <c r="S27" i="14"/>
  <c r="U27" i="14" s="1"/>
  <c r="T27" i="14" s="1"/>
  <c r="AQ27" i="14" s="1"/>
  <c r="AP27" i="14" s="1"/>
  <c r="S26" i="14"/>
  <c r="U26" i="14" s="1"/>
  <c r="T26" i="14" s="1"/>
  <c r="AQ26" i="14" s="1"/>
  <c r="AP26" i="14" s="1"/>
  <c r="S23" i="14"/>
  <c r="U23" i="14" s="1"/>
  <c r="T23" i="14" s="1"/>
  <c r="S22" i="14"/>
  <c r="U22" i="14" s="1"/>
  <c r="T22" i="14" s="1"/>
  <c r="S21" i="14"/>
  <c r="AU21" i="14" s="1"/>
  <c r="AV21" i="14" s="1"/>
  <c r="S20" i="14"/>
  <c r="U20" i="14" s="1"/>
  <c r="T20" i="14" s="1"/>
  <c r="AQ20" i="14" s="1"/>
  <c r="AP20" i="14" s="1"/>
  <c r="S17" i="14"/>
  <c r="U17" i="14" s="1"/>
  <c r="T17" i="14" s="1"/>
  <c r="S16" i="14"/>
  <c r="U16" i="14" s="1"/>
  <c r="T16" i="14" s="1"/>
  <c r="S19" i="14"/>
  <c r="S18" i="14"/>
  <c r="S15" i="14"/>
  <c r="U15" i="14"/>
  <c r="T15" i="14" s="1"/>
  <c r="S14" i="14"/>
  <c r="U14" i="14" s="1"/>
  <c r="T14" i="14" s="1"/>
  <c r="S518" i="14"/>
  <c r="U518" i="14" s="1"/>
  <c r="T518" i="14" s="1"/>
  <c r="S517" i="14"/>
  <c r="AU517" i="14" s="1"/>
  <c r="AV517" i="14" s="1"/>
  <c r="S516" i="14"/>
  <c r="U516" i="14" s="1"/>
  <c r="T516" i="14" s="1"/>
  <c r="S515" i="14"/>
  <c r="U515" i="14" s="1"/>
  <c r="T515" i="14" s="1"/>
  <c r="S514" i="14"/>
  <c r="S513" i="14"/>
  <c r="U513" i="14" s="1"/>
  <c r="T513" i="14" s="1"/>
  <c r="S512" i="14"/>
  <c r="S511" i="14"/>
  <c r="U511" i="14" s="1"/>
  <c r="S510" i="14"/>
  <c r="U510" i="14" s="1"/>
  <c r="T510" i="14" s="1"/>
  <c r="S509" i="14"/>
  <c r="U509" i="14" s="1"/>
  <c r="S508" i="14"/>
  <c r="U508" i="14" s="1"/>
  <c r="T508" i="14" s="1"/>
  <c r="AQ508" i="14" s="1"/>
  <c r="AP508" i="14" s="1"/>
  <c r="S507" i="14"/>
  <c r="U507" i="14" s="1"/>
  <c r="T507" i="14" s="1"/>
  <c r="U506" i="14"/>
  <c r="T506" i="14" s="1"/>
  <c r="AQ506" i="14" s="1"/>
  <c r="AP506" i="14" s="1"/>
  <c r="U505" i="14"/>
  <c r="T505" i="14" s="1"/>
  <c r="U504" i="14"/>
  <c r="T504" i="14" s="1"/>
  <c r="U503" i="14"/>
  <c r="T503" i="14" s="1"/>
  <c r="AQ503" i="14" s="1"/>
  <c r="AP503" i="14" s="1"/>
  <c r="D503" i="14"/>
  <c r="D504" i="14" s="1"/>
  <c r="D505" i="14" s="1"/>
  <c r="D506" i="14" s="1"/>
  <c r="D507" i="14" s="1"/>
  <c r="D508" i="14" s="1"/>
  <c r="D509" i="14" s="1"/>
  <c r="D510" i="14" s="1"/>
  <c r="D511" i="14" s="1"/>
  <c r="D512" i="14" s="1"/>
  <c r="D513" i="14" s="1"/>
  <c r="D514" i="14" s="1"/>
  <c r="D515" i="14" s="1"/>
  <c r="D516" i="14" s="1"/>
  <c r="D517" i="14" s="1"/>
  <c r="D518" i="14" s="1"/>
  <c r="U502" i="14"/>
  <c r="T502" i="14" s="1"/>
  <c r="O572" i="14"/>
  <c r="O571" i="14"/>
  <c r="O570" i="14"/>
  <c r="O569" i="14"/>
  <c r="O568" i="14"/>
  <c r="O567" i="14"/>
  <c r="O566" i="14"/>
  <c r="D566" i="14"/>
  <c r="D567" i="14" s="1"/>
  <c r="D568" i="14" s="1"/>
  <c r="D569" i="14" s="1"/>
  <c r="D570" i="14" s="1"/>
  <c r="D571" i="14" s="1"/>
  <c r="D572" i="14" s="1"/>
  <c r="O565" i="14"/>
  <c r="U48" i="14"/>
  <c r="T48" i="14" s="1"/>
  <c r="U47" i="14"/>
  <c r="T47" i="14" s="1"/>
  <c r="U46" i="14"/>
  <c r="T46" i="14" s="1"/>
  <c r="AQ46" i="14" s="1"/>
  <c r="AP46" i="14" s="1"/>
  <c r="U45" i="14"/>
  <c r="T45" i="14" s="1"/>
  <c r="U44" i="14"/>
  <c r="T44" i="14" s="1"/>
  <c r="AQ44" i="14" s="1"/>
  <c r="AP44" i="14" s="1"/>
  <c r="D44" i="14"/>
  <c r="D45" i="14" s="1"/>
  <c r="D46" i="14" s="1"/>
  <c r="D47" i="14" s="1"/>
  <c r="D48" i="14" s="1"/>
  <c r="U43" i="14"/>
  <c r="T43" i="14" s="1"/>
  <c r="T321" i="14" l="1"/>
  <c r="AQ321" i="14" s="1"/>
  <c r="AP321" i="14" s="1"/>
  <c r="S473" i="14"/>
  <c r="S96" i="14"/>
  <c r="AQ96" i="14" s="1"/>
  <c r="AP96" i="14" s="1"/>
  <c r="S794" i="14"/>
  <c r="AU794" i="14" s="1"/>
  <c r="AV794" i="14" s="1"/>
  <c r="S798" i="14"/>
  <c r="S802" i="14"/>
  <c r="AU802" i="14" s="1"/>
  <c r="AV802" i="14" s="1"/>
  <c r="S806" i="14"/>
  <c r="AU806" i="14" s="1"/>
  <c r="AV806" i="14" s="1"/>
  <c r="S810" i="14"/>
  <c r="AU810" i="14" s="1"/>
  <c r="AV810" i="14" s="1"/>
  <c r="S340" i="14"/>
  <c r="AU340" i="14" s="1"/>
  <c r="AV340" i="14" s="1"/>
  <c r="S792" i="14"/>
  <c r="AU792" i="14" s="1"/>
  <c r="AV792" i="14" s="1"/>
  <c r="S796" i="14"/>
  <c r="AU796" i="14" s="1"/>
  <c r="AV796" i="14" s="1"/>
  <c r="S808" i="14"/>
  <c r="AU808" i="14" s="1"/>
  <c r="AV808" i="14" s="1"/>
  <c r="AI62" i="14"/>
  <c r="AQ62" i="14" s="1"/>
  <c r="S95" i="14"/>
  <c r="AU95" i="14" s="1"/>
  <c r="AV95" i="14" s="1"/>
  <c r="S101" i="14"/>
  <c r="AQ101" i="14" s="1"/>
  <c r="AP101" i="14" s="1"/>
  <c r="AS535" i="14"/>
  <c r="AS503" i="14"/>
  <c r="S795" i="14"/>
  <c r="AU795" i="14" s="1"/>
  <c r="AV795" i="14" s="1"/>
  <c r="S799" i="14"/>
  <c r="AU799" i="14" s="1"/>
  <c r="AV799" i="14" s="1"/>
  <c r="S803" i="14"/>
  <c r="AU803" i="14" s="1"/>
  <c r="AV803" i="14" s="1"/>
  <c r="T323" i="14"/>
  <c r="T319" i="14"/>
  <c r="S470" i="14"/>
  <c r="S355" i="14"/>
  <c r="S476" i="14"/>
  <c r="AQ476" i="14" s="1"/>
  <c r="AP476" i="14" s="1"/>
  <c r="AU508" i="14"/>
  <c r="AV508" i="14" s="1"/>
  <c r="T50" i="14"/>
  <c r="AQ419" i="14"/>
  <c r="AP419" i="14" s="1"/>
  <c r="AS419" i="14" s="1"/>
  <c r="S279" i="14"/>
  <c r="AU279" i="14" s="1"/>
  <c r="AV279" i="14" s="1"/>
  <c r="S283" i="14"/>
  <c r="AU283" i="14" s="1"/>
  <c r="AV283" i="14" s="1"/>
  <c r="S282" i="14"/>
  <c r="AU282" i="14" s="1"/>
  <c r="AV282" i="14" s="1"/>
  <c r="D816" i="14"/>
  <c r="D817" i="14" s="1"/>
  <c r="D818" i="14" s="1"/>
  <c r="D819" i="14" s="1"/>
  <c r="D820" i="14" s="1"/>
  <c r="D821" i="14" s="1"/>
  <c r="D822" i="14" s="1"/>
  <c r="AQ616" i="14"/>
  <c r="AP616" i="14" s="1"/>
  <c r="AS616" i="14" s="1"/>
  <c r="AS746" i="14"/>
  <c r="AP435" i="14"/>
  <c r="AS435" i="14" s="1"/>
  <c r="AP443" i="14"/>
  <c r="AS443" i="14" s="1"/>
  <c r="AI451" i="14"/>
  <c r="AI459" i="14"/>
  <c r="AU28" i="14"/>
  <c r="AV28" i="14" s="1"/>
  <c r="S210" i="14"/>
  <c r="S477" i="14"/>
  <c r="AU477" i="14" s="1"/>
  <c r="AV477" i="14" s="1"/>
  <c r="S63" i="14"/>
  <c r="AT63" i="14" s="1"/>
  <c r="AU511" i="14"/>
  <c r="AV511" i="14" s="1"/>
  <c r="S102" i="14"/>
  <c r="AU102" i="14" s="1"/>
  <c r="AV102" i="14" s="1"/>
  <c r="S352" i="14"/>
  <c r="U21" i="14"/>
  <c r="T21" i="14" s="1"/>
  <c r="AQ21" i="14" s="1"/>
  <c r="AP21" i="14" s="1"/>
  <c r="AS21" i="14" s="1"/>
  <c r="S347" i="14"/>
  <c r="AU347" i="14" s="1"/>
  <c r="AV347" i="14" s="1"/>
  <c r="S353" i="14"/>
  <c r="T51" i="14"/>
  <c r="AQ51" i="14" s="1"/>
  <c r="AP51" i="14" s="1"/>
  <c r="AS51" i="14" s="1"/>
  <c r="AU27" i="14"/>
  <c r="AV27" i="14" s="1"/>
  <c r="S339" i="14"/>
  <c r="AU339" i="14" s="1"/>
  <c r="AV339" i="14" s="1"/>
  <c r="AQ598" i="14"/>
  <c r="AP598" i="14" s="1"/>
  <c r="AS598" i="14" s="1"/>
  <c r="S807" i="14"/>
  <c r="AU807" i="14" s="1"/>
  <c r="AV807" i="14" s="1"/>
  <c r="S346" i="14"/>
  <c r="AU346" i="14" s="1"/>
  <c r="AV346" i="14" s="1"/>
  <c r="S478" i="14"/>
  <c r="AU478" i="14" s="1"/>
  <c r="AV478" i="14" s="1"/>
  <c r="S62" i="14"/>
  <c r="AT62" i="14" s="1"/>
  <c r="S215" i="14"/>
  <c r="AQ215" i="14" s="1"/>
  <c r="AP215" i="14" s="1"/>
  <c r="T54" i="14"/>
  <c r="S344" i="14"/>
  <c r="AU344" i="14" s="1"/>
  <c r="AV344" i="14" s="1"/>
  <c r="S801" i="14"/>
  <c r="AU801" i="14" s="1"/>
  <c r="AV801" i="14" s="1"/>
  <c r="S809" i="14"/>
  <c r="AU809" i="14" s="1"/>
  <c r="AV809" i="14" s="1"/>
  <c r="AI63" i="14"/>
  <c r="AQ63" i="14" s="1"/>
  <c r="S338" i="14"/>
  <c r="AQ338" i="14" s="1"/>
  <c r="AP338" i="14" s="1"/>
  <c r="S212" i="14"/>
  <c r="AQ212" i="14" s="1"/>
  <c r="AP212" i="14" s="1"/>
  <c r="AI468" i="14"/>
  <c r="AU29" i="14"/>
  <c r="AV29" i="14" s="1"/>
  <c r="S342" i="14"/>
  <c r="AQ342" i="14" s="1"/>
  <c r="AP342" i="14" s="1"/>
  <c r="S472" i="14"/>
  <c r="S790" i="14"/>
  <c r="AU790" i="14" s="1"/>
  <c r="AV790" i="14" s="1"/>
  <c r="S793" i="14"/>
  <c r="AU793" i="14" s="1"/>
  <c r="AV793" i="14" s="1"/>
  <c r="S797" i="14"/>
  <c r="AU797" i="14" s="1"/>
  <c r="AV797" i="14" s="1"/>
  <c r="S800" i="14"/>
  <c r="AU800" i="14" s="1"/>
  <c r="AV800" i="14" s="1"/>
  <c r="S804" i="14"/>
  <c r="AU804" i="14" s="1"/>
  <c r="AV804" i="14" s="1"/>
  <c r="S811" i="14"/>
  <c r="AU811" i="14" s="1"/>
  <c r="AV811" i="14" s="1"/>
  <c r="T53" i="14"/>
  <c r="AQ53" i="14" s="1"/>
  <c r="AP53" i="14" s="1"/>
  <c r="AS53" i="14" s="1"/>
  <c r="S213" i="14"/>
  <c r="T322" i="14"/>
  <c r="S354" i="14"/>
  <c r="S474" i="14"/>
  <c r="S805" i="14"/>
  <c r="AU805" i="14" s="1"/>
  <c r="AV805" i="14" s="1"/>
  <c r="AT163" i="14"/>
  <c r="S214" i="14"/>
  <c r="AU214" i="14" s="1"/>
  <c r="AV214" i="14" s="1"/>
  <c r="T52" i="14"/>
  <c r="T320" i="14"/>
  <c r="T334" i="14"/>
  <c r="AQ334" i="14" s="1"/>
  <c r="AP334" i="14" s="1"/>
  <c r="AS334" i="14" s="1"/>
  <c r="S349" i="14"/>
  <c r="AQ349" i="14" s="1"/>
  <c r="AP349" i="14" s="1"/>
  <c r="S350" i="14"/>
  <c r="S475" i="14"/>
  <c r="S791" i="14"/>
  <c r="AU791" i="14" s="1"/>
  <c r="AV791" i="14" s="1"/>
  <c r="AF655" i="14"/>
  <c r="AI655" i="14" s="1"/>
  <c r="AQ655" i="14" s="1"/>
  <c r="AP655" i="14" s="1"/>
  <c r="AS655" i="14" s="1"/>
  <c r="AF589" i="14"/>
  <c r="AI589" i="14" s="1"/>
  <c r="AQ589" i="14" s="1"/>
  <c r="AP589" i="14" s="1"/>
  <c r="AS589" i="14" s="1"/>
  <c r="AF657" i="14"/>
  <c r="AI657" i="14" s="1"/>
  <c r="AQ657" i="14" s="1"/>
  <c r="AP657" i="14" s="1"/>
  <c r="AS657" i="14" s="1"/>
  <c r="AU619" i="14"/>
  <c r="AV619" i="14" s="1"/>
  <c r="AS619" i="14" s="1"/>
  <c r="AF197" i="14"/>
  <c r="AI197" i="14" s="1"/>
  <c r="AQ197" i="14" s="1"/>
  <c r="AP197" i="14" s="1"/>
  <c r="AR197" i="14" s="1"/>
  <c r="AT189" i="14"/>
  <c r="AT165" i="14"/>
  <c r="AQ230" i="14"/>
  <c r="AP230" i="14" s="1"/>
  <c r="AS230" i="14" s="1"/>
  <c r="AF718" i="14"/>
  <c r="AI718" i="14" s="1"/>
  <c r="AQ718" i="14" s="1"/>
  <c r="AP718" i="14" s="1"/>
  <c r="AS718" i="14" s="1"/>
  <c r="AQ755" i="14"/>
  <c r="AP755" i="14" s="1"/>
  <c r="AS755" i="14" s="1"/>
  <c r="AU702" i="14"/>
  <c r="AV702" i="14" s="1"/>
  <c r="AU625" i="14"/>
  <c r="AV625" i="14" s="1"/>
  <c r="AU656" i="14"/>
  <c r="AV656" i="14" s="1"/>
  <c r="AU575" i="14"/>
  <c r="AV575" i="14" s="1"/>
  <c r="AF161" i="14"/>
  <c r="AI161" i="14" s="1"/>
  <c r="AQ161" i="14" s="1"/>
  <c r="AP161" i="14" s="1"/>
  <c r="AR161" i="14" s="1"/>
  <c r="AS559" i="14"/>
  <c r="AT164" i="14"/>
  <c r="AF588" i="14"/>
  <c r="AI588" i="14" s="1"/>
  <c r="AQ588" i="14" s="1"/>
  <c r="AP588" i="14" s="1"/>
  <c r="AS588" i="14" s="1"/>
  <c r="AF483" i="14"/>
  <c r="AI483" i="14" s="1"/>
  <c r="AQ483" i="14" s="1"/>
  <c r="AP483" i="14" s="1"/>
  <c r="AS483" i="14" s="1"/>
  <c r="AU229" i="14"/>
  <c r="AV229" i="14" s="1"/>
  <c r="AT196" i="14"/>
  <c r="AF491" i="14"/>
  <c r="AI491" i="14" s="1"/>
  <c r="AQ491" i="14" s="1"/>
  <c r="AP491" i="14" s="1"/>
  <c r="AS491" i="14" s="1"/>
  <c r="AT172" i="14"/>
  <c r="AQ856" i="14"/>
  <c r="AP856" i="14" s="1"/>
  <c r="AS856" i="14" s="1"/>
  <c r="AP77" i="14"/>
  <c r="AR77" i="14" s="1"/>
  <c r="AQ405" i="14"/>
  <c r="AP405" i="14" s="1"/>
  <c r="AS405" i="14" s="1"/>
  <c r="AQ413" i="14"/>
  <c r="AP413" i="14" s="1"/>
  <c r="AS413" i="14" s="1"/>
  <c r="AQ527" i="14"/>
  <c r="AP527" i="14" s="1"/>
  <c r="AS527" i="14" s="1"/>
  <c r="AQ849" i="14"/>
  <c r="AP849" i="14" s="1"/>
  <c r="AS849" i="14" s="1"/>
  <c r="AQ857" i="14"/>
  <c r="AP857" i="14" s="1"/>
  <c r="AS857" i="14" s="1"/>
  <c r="S296" i="14"/>
  <c r="AU296" i="14" s="1"/>
  <c r="AV296" i="14" s="1"/>
  <c r="T296" i="14"/>
  <c r="S299" i="14"/>
  <c r="AU299" i="14" s="1"/>
  <c r="AV299" i="14" s="1"/>
  <c r="S294" i="14"/>
  <c r="U296" i="14"/>
  <c r="T299" i="14"/>
  <c r="AU493" i="14"/>
  <c r="AV493" i="14" s="1"/>
  <c r="T294" i="14"/>
  <c r="S297" i="14"/>
  <c r="AU297" i="14" s="1"/>
  <c r="AV297" i="14" s="1"/>
  <c r="U299" i="14"/>
  <c r="U294" i="14"/>
  <c r="T297" i="14"/>
  <c r="AF671" i="14"/>
  <c r="AI671" i="14" s="1"/>
  <c r="AQ671" i="14" s="1"/>
  <c r="AP671" i="14" s="1"/>
  <c r="AS671" i="14" s="1"/>
  <c r="AF703" i="14"/>
  <c r="AI703" i="14" s="1"/>
  <c r="AQ703" i="14" s="1"/>
  <c r="AP703" i="14" s="1"/>
  <c r="AS703" i="14" s="1"/>
  <c r="S295" i="14"/>
  <c r="AU295" i="14" s="1"/>
  <c r="AV295" i="14" s="1"/>
  <c r="U297" i="14"/>
  <c r="AQ634" i="14"/>
  <c r="AP634" i="14" s="1"/>
  <c r="AS634" i="14" s="1"/>
  <c r="S298" i="14"/>
  <c r="AU298" i="14" s="1"/>
  <c r="AV298" i="14" s="1"/>
  <c r="AQ412" i="14"/>
  <c r="AP412" i="14" s="1"/>
  <c r="AS412" i="14" s="1"/>
  <c r="AQ420" i="14"/>
  <c r="AP420" i="14" s="1"/>
  <c r="AS420" i="14" s="1"/>
  <c r="AQ428" i="14"/>
  <c r="AP428" i="14" s="1"/>
  <c r="AS428" i="14" s="1"/>
  <c r="AQ601" i="14"/>
  <c r="AP601" i="14" s="1"/>
  <c r="AS601" i="14" s="1"/>
  <c r="AU636" i="14"/>
  <c r="AV636" i="14" s="1"/>
  <c r="AF720" i="14"/>
  <c r="AI720" i="14" s="1"/>
  <c r="AQ720" i="14" s="1"/>
  <c r="AP720" i="14" s="1"/>
  <c r="AS720" i="14" s="1"/>
  <c r="AQ205" i="14"/>
  <c r="AP205" i="14" s="1"/>
  <c r="AS205" i="14" s="1"/>
  <c r="AF372" i="14"/>
  <c r="AI372" i="14" s="1"/>
  <c r="AQ372" i="14" s="1"/>
  <c r="AP372" i="14" s="1"/>
  <c r="AS372" i="14" s="1"/>
  <c r="AU646" i="14"/>
  <c r="AV646" i="14" s="1"/>
  <c r="AQ237" i="14"/>
  <c r="AP237" i="14" s="1"/>
  <c r="AS237" i="14" s="1"/>
  <c r="AQ871" i="14"/>
  <c r="AP871" i="14" s="1"/>
  <c r="AS871" i="14" s="1"/>
  <c r="AU688" i="14"/>
  <c r="AV688" i="14" s="1"/>
  <c r="AU621" i="14"/>
  <c r="AV621" i="14" s="1"/>
  <c r="AQ239" i="14"/>
  <c r="AP239" i="14" s="1"/>
  <c r="AS239" i="14" s="1"/>
  <c r="AQ642" i="14"/>
  <c r="AP642" i="14" s="1"/>
  <c r="AS642" i="14" s="1"/>
  <c r="AQ100" i="14"/>
  <c r="AP100" i="14" s="1"/>
  <c r="AS100" i="14" s="1"/>
  <c r="AU736" i="14"/>
  <c r="AV736" i="14" s="1"/>
  <c r="AF816" i="14"/>
  <c r="AI816" i="14" s="1"/>
  <c r="AQ816" i="14" s="1"/>
  <c r="AP816" i="14" s="1"/>
  <c r="AS816" i="14" s="1"/>
  <c r="AU371" i="14"/>
  <c r="AV371" i="14" s="1"/>
  <c r="AQ340" i="14"/>
  <c r="AP340" i="14" s="1"/>
  <c r="AS340" i="14" s="1"/>
  <c r="AU732" i="14"/>
  <c r="AV732" i="14" s="1"/>
  <c r="AU90" i="14"/>
  <c r="AV90" i="14" s="1"/>
  <c r="AP440" i="14"/>
  <c r="AS440" i="14" s="1"/>
  <c r="AU385" i="14"/>
  <c r="AV385" i="14" s="1"/>
  <c r="S154" i="14"/>
  <c r="AQ154" i="14" s="1"/>
  <c r="AP154" i="14" s="1"/>
  <c r="AQ165" i="14"/>
  <c r="AF199" i="14"/>
  <c r="AI199" i="14" s="1"/>
  <c r="AQ199" i="14" s="1"/>
  <c r="AP199" i="14" s="1"/>
  <c r="AR199" i="14" s="1"/>
  <c r="AI464" i="14"/>
  <c r="AQ160" i="14"/>
  <c r="AQ168" i="14"/>
  <c r="AQ192" i="14"/>
  <c r="AQ200" i="14"/>
  <c r="AQ843" i="14"/>
  <c r="AP843" i="14" s="1"/>
  <c r="AS843" i="14" s="1"/>
  <c r="AQ859" i="14"/>
  <c r="AP859" i="14" s="1"/>
  <c r="AS859" i="14" s="1"/>
  <c r="AF698" i="14"/>
  <c r="AI698" i="14" s="1"/>
  <c r="AQ698" i="14" s="1"/>
  <c r="AP698" i="14" s="1"/>
  <c r="AS698" i="14" s="1"/>
  <c r="AU481" i="14"/>
  <c r="AV481" i="14" s="1"/>
  <c r="AQ224" i="14"/>
  <c r="AP224" i="14" s="1"/>
  <c r="AS224" i="14" s="1"/>
  <c r="AU650" i="14"/>
  <c r="AV650" i="14" s="1"/>
  <c r="AF380" i="14"/>
  <c r="AI380" i="14" s="1"/>
  <c r="AQ380" i="14" s="1"/>
  <c r="AP380" i="14" s="1"/>
  <c r="AS380" i="14" s="1"/>
  <c r="AF591" i="14"/>
  <c r="AI591" i="14" s="1"/>
  <c r="AQ591" i="14" s="1"/>
  <c r="AP591" i="14" s="1"/>
  <c r="AS591" i="14" s="1"/>
  <c r="AT167" i="14"/>
  <c r="AP436" i="14"/>
  <c r="AS436" i="14" s="1"/>
  <c r="AP444" i="14"/>
  <c r="AS444" i="14" s="1"/>
  <c r="AF682" i="14"/>
  <c r="AI682" i="14" s="1"/>
  <c r="AQ682" i="14" s="1"/>
  <c r="AP682" i="14" s="1"/>
  <c r="AS682" i="14" s="1"/>
  <c r="AU497" i="14"/>
  <c r="AV497" i="14" s="1"/>
  <c r="AQ236" i="14"/>
  <c r="AP236" i="14" s="1"/>
  <c r="AS236" i="14" s="1"/>
  <c r="AQ238" i="14"/>
  <c r="AP238" i="14" s="1"/>
  <c r="AS238" i="14" s="1"/>
  <c r="AU232" i="14"/>
  <c r="AV232" i="14" s="1"/>
  <c r="AF666" i="14"/>
  <c r="AI666" i="14" s="1"/>
  <c r="AQ666" i="14" s="1"/>
  <c r="AP666" i="14" s="1"/>
  <c r="AS666" i="14" s="1"/>
  <c r="AF659" i="14"/>
  <c r="AI659" i="14" s="1"/>
  <c r="AQ659" i="14" s="1"/>
  <c r="AP659" i="14" s="1"/>
  <c r="AS659" i="14" s="1"/>
  <c r="AU627" i="14"/>
  <c r="AV627" i="14" s="1"/>
  <c r="AQ853" i="14"/>
  <c r="AP853" i="14" s="1"/>
  <c r="AS853" i="14" s="1"/>
  <c r="AF394" i="14"/>
  <c r="AI394" i="14" s="1"/>
  <c r="AQ394" i="14" s="1"/>
  <c r="AP394" i="14" s="1"/>
  <c r="AS394" i="14" s="1"/>
  <c r="AF658" i="14"/>
  <c r="AI658" i="14" s="1"/>
  <c r="AQ658" i="14" s="1"/>
  <c r="AP658" i="14" s="1"/>
  <c r="AS658" i="14" s="1"/>
  <c r="AQ837" i="14"/>
  <c r="AP837" i="14" s="1"/>
  <c r="AS837" i="14" s="1"/>
  <c r="AT159" i="14"/>
  <c r="AU730" i="14"/>
  <c r="AV730" i="14" s="1"/>
  <c r="AF378" i="14"/>
  <c r="AI378" i="14" s="1"/>
  <c r="AQ378" i="14" s="1"/>
  <c r="AP378" i="14" s="1"/>
  <c r="AS378" i="14" s="1"/>
  <c r="AQ209" i="14"/>
  <c r="AP209" i="14" s="1"/>
  <c r="AS209" i="14" s="1"/>
  <c r="AF489" i="14"/>
  <c r="AI489" i="14" s="1"/>
  <c r="AQ489" i="14" s="1"/>
  <c r="AP489" i="14" s="1"/>
  <c r="AS489" i="14" s="1"/>
  <c r="AQ336" i="14"/>
  <c r="AP336" i="14" s="1"/>
  <c r="AS336" i="14" s="1"/>
  <c r="AQ424" i="14"/>
  <c r="AP424" i="14" s="1"/>
  <c r="AS424" i="14" s="1"/>
  <c r="AQ609" i="14"/>
  <c r="AP609" i="14" s="1"/>
  <c r="AS609" i="14" s="1"/>
  <c r="AP431" i="14"/>
  <c r="AS431" i="14" s="1"/>
  <c r="AS539" i="14"/>
  <c r="AP447" i="14"/>
  <c r="AS447" i="14" s="1"/>
  <c r="AP433" i="14"/>
  <c r="AS433" i="14" s="1"/>
  <c r="AP449" i="14"/>
  <c r="AS449" i="14" s="1"/>
  <c r="AQ844" i="14"/>
  <c r="AP844" i="14" s="1"/>
  <c r="AS844" i="14" s="1"/>
  <c r="AS523" i="14"/>
  <c r="AF389" i="14"/>
  <c r="AI389" i="14" s="1"/>
  <c r="AQ389" i="14" s="1"/>
  <c r="AP389" i="14" s="1"/>
  <c r="AS389" i="14" s="1"/>
  <c r="AI456" i="14"/>
  <c r="AU381" i="14"/>
  <c r="AV381" i="14" s="1"/>
  <c r="AQ774" i="14"/>
  <c r="AP774" i="14" s="1"/>
  <c r="AS774" i="14" s="1"/>
  <c r="AQ166" i="14"/>
  <c r="S156" i="14"/>
  <c r="AU156" i="14" s="1"/>
  <c r="AV156" i="14" s="1"/>
  <c r="AI463" i="14"/>
  <c r="AQ362" i="14"/>
  <c r="AP362" i="14" s="1"/>
  <c r="AS362" i="14" s="1"/>
  <c r="AI455" i="14"/>
  <c r="AQ423" i="14"/>
  <c r="AP423" i="14" s="1"/>
  <c r="AS423" i="14" s="1"/>
  <c r="AQ847" i="14"/>
  <c r="AP847" i="14" s="1"/>
  <c r="AS847" i="14" s="1"/>
  <c r="AS357" i="14"/>
  <c r="AI65" i="14"/>
  <c r="AQ416" i="14"/>
  <c r="AP416" i="14" s="1"/>
  <c r="AS416" i="14" s="1"/>
  <c r="AQ578" i="14"/>
  <c r="AP578" i="14" s="1"/>
  <c r="AS578" i="14" s="1"/>
  <c r="AQ792" i="14"/>
  <c r="AP792" i="14" s="1"/>
  <c r="AS792" i="14" s="1"/>
  <c r="AQ808" i="14"/>
  <c r="AP808" i="14" s="1"/>
  <c r="AS808" i="14" s="1"/>
  <c r="AQ850" i="14"/>
  <c r="AP850" i="14" s="1"/>
  <c r="AS850" i="14" s="1"/>
  <c r="AQ858" i="14"/>
  <c r="AP858" i="14" s="1"/>
  <c r="AS858" i="14" s="1"/>
  <c r="AQ821" i="14"/>
  <c r="AP821" i="14" s="1"/>
  <c r="AS821" i="14" s="1"/>
  <c r="AQ748" i="14"/>
  <c r="AP748" i="14" s="1"/>
  <c r="AS748" i="14" s="1"/>
  <c r="AU86" i="14"/>
  <c r="AV86" i="14" s="1"/>
  <c r="AQ750" i="14"/>
  <c r="AP750" i="14" s="1"/>
  <c r="AS750" i="14" s="1"/>
  <c r="AU480" i="14"/>
  <c r="AV480" i="14" s="1"/>
  <c r="AU87" i="14"/>
  <c r="AV87" i="14" s="1"/>
  <c r="AQ409" i="14"/>
  <c r="AP409" i="14" s="1"/>
  <c r="AS409" i="14" s="1"/>
  <c r="AS499" i="14"/>
  <c r="AQ813" i="14"/>
  <c r="AP813" i="14" s="1"/>
  <c r="AS813" i="14" s="1"/>
  <c r="AQ149" i="14"/>
  <c r="AP149" i="14" s="1"/>
  <c r="AS149" i="14" s="1"/>
  <c r="AF684" i="14"/>
  <c r="AI684" i="14" s="1"/>
  <c r="AQ684" i="14" s="1"/>
  <c r="AP684" i="14" s="1"/>
  <c r="AS684" i="14" s="1"/>
  <c r="AU379" i="14"/>
  <c r="AV379" i="14" s="1"/>
  <c r="AS379" i="14" s="1"/>
  <c r="AU700" i="14"/>
  <c r="AV700" i="14" s="1"/>
  <c r="AQ839" i="14"/>
  <c r="AP839" i="14" s="1"/>
  <c r="AS839" i="14" s="1"/>
  <c r="AS500" i="14"/>
  <c r="AS304" i="14"/>
  <c r="AT198" i="14"/>
  <c r="AQ864" i="14"/>
  <c r="AP864" i="14" s="1"/>
  <c r="AS864" i="14" s="1"/>
  <c r="AF667" i="14"/>
  <c r="AI667" i="14" s="1"/>
  <c r="AQ667" i="14" s="1"/>
  <c r="AP667" i="14" s="1"/>
  <c r="AS667" i="14" s="1"/>
  <c r="AQ93" i="14"/>
  <c r="AP93" i="14" s="1"/>
  <c r="AS93" i="14" s="1"/>
  <c r="AQ868" i="14"/>
  <c r="AP868" i="14" s="1"/>
  <c r="AS868" i="14" s="1"/>
  <c r="AS547" i="14"/>
  <c r="AQ818" i="14"/>
  <c r="AP818" i="14" s="1"/>
  <c r="AS818" i="14" s="1"/>
  <c r="AQ85" i="14"/>
  <c r="AP85" i="14" s="1"/>
  <c r="AS85" i="14" s="1"/>
  <c r="AQ582" i="14"/>
  <c r="AP582" i="14" s="1"/>
  <c r="AS582" i="14" s="1"/>
  <c r="AQ836" i="14"/>
  <c r="AP836" i="14" s="1"/>
  <c r="AS836" i="14" s="1"/>
  <c r="AU734" i="14"/>
  <c r="AV734" i="14" s="1"/>
  <c r="AU96" i="14"/>
  <c r="AV96" i="14" s="1"/>
  <c r="AQ403" i="14"/>
  <c r="AP403" i="14" s="1"/>
  <c r="AS403" i="14" s="1"/>
  <c r="AU670" i="14"/>
  <c r="AV670" i="14" s="1"/>
  <c r="AU37" i="14"/>
  <c r="AV37" i="14" s="1"/>
  <c r="AF393" i="14"/>
  <c r="AI393" i="14" s="1"/>
  <c r="AQ393" i="14" s="1"/>
  <c r="AP393" i="14" s="1"/>
  <c r="AS393" i="14" s="1"/>
  <c r="AF377" i="14"/>
  <c r="AI377" i="14" s="1"/>
  <c r="AQ377" i="14" s="1"/>
  <c r="AP377" i="14" s="1"/>
  <c r="AS377" i="14" s="1"/>
  <c r="AI457" i="14"/>
  <c r="AQ127" i="14"/>
  <c r="AP127" i="14" s="1"/>
  <c r="AS127" i="14" s="1"/>
  <c r="AF717" i="14"/>
  <c r="AI717" i="14" s="1"/>
  <c r="AQ717" i="14" s="1"/>
  <c r="AP717" i="14" s="1"/>
  <c r="AS717" i="14" s="1"/>
  <c r="AQ600" i="14"/>
  <c r="AP600" i="14" s="1"/>
  <c r="AS600" i="14" s="1"/>
  <c r="AQ335" i="14"/>
  <c r="AP335" i="14" s="1"/>
  <c r="AS335" i="14" s="1"/>
  <c r="AU476" i="14"/>
  <c r="AV476" i="14" s="1"/>
  <c r="AU202" i="14"/>
  <c r="AV202" i="14" s="1"/>
  <c r="AT171" i="14"/>
  <c r="AU648" i="14"/>
  <c r="AV648" i="14" s="1"/>
  <c r="AU206" i="14"/>
  <c r="AV206" i="14" s="1"/>
  <c r="AS206" i="14" s="1"/>
  <c r="AU647" i="14"/>
  <c r="AV647" i="14" s="1"/>
  <c r="AF490" i="14"/>
  <c r="AI490" i="14" s="1"/>
  <c r="AQ490" i="14" s="1"/>
  <c r="AP490" i="14" s="1"/>
  <c r="AS490" i="14" s="1"/>
  <c r="AU699" i="14"/>
  <c r="AV699" i="14" s="1"/>
  <c r="AF715" i="14"/>
  <c r="AI715" i="14" s="1"/>
  <c r="AQ715" i="14" s="1"/>
  <c r="AP715" i="14" s="1"/>
  <c r="AS715" i="14" s="1"/>
  <c r="AQ132" i="14"/>
  <c r="AP132" i="14" s="1"/>
  <c r="AS132" i="14" s="1"/>
  <c r="AQ597" i="14"/>
  <c r="AP597" i="14" s="1"/>
  <c r="AS597" i="14" s="1"/>
  <c r="AF683" i="14"/>
  <c r="AI683" i="14" s="1"/>
  <c r="AQ683" i="14" s="1"/>
  <c r="AP683" i="14" s="1"/>
  <c r="AS683" i="14" s="1"/>
  <c r="AQ36" i="14"/>
  <c r="AP36" i="14" s="1"/>
  <c r="AS36" i="14" s="1"/>
  <c r="AQ138" i="14"/>
  <c r="AP138" i="14" s="1"/>
  <c r="AS138" i="14" s="1"/>
  <c r="AQ555" i="14"/>
  <c r="AP555" i="14" s="1"/>
  <c r="AS555" i="14" s="1"/>
  <c r="AF162" i="14"/>
  <c r="AI162" i="14" s="1"/>
  <c r="AQ162" i="14" s="1"/>
  <c r="AP162" i="14" s="1"/>
  <c r="AR162" i="14" s="1"/>
  <c r="AU384" i="14"/>
  <c r="AV384" i="14" s="1"/>
  <c r="AF654" i="14"/>
  <c r="AI654" i="14" s="1"/>
  <c r="AQ654" i="14" s="1"/>
  <c r="AP654" i="14" s="1"/>
  <c r="AS654" i="14" s="1"/>
  <c r="AQ622" i="14"/>
  <c r="AP622" i="14" s="1"/>
  <c r="AS622" i="14" s="1"/>
  <c r="AU498" i="14"/>
  <c r="AV498" i="14" s="1"/>
  <c r="AU586" i="14"/>
  <c r="AV586" i="14" s="1"/>
  <c r="AU496" i="14"/>
  <c r="AV496" i="14" s="1"/>
  <c r="AQ98" i="14"/>
  <c r="AP98" i="14" s="1"/>
  <c r="AS98" i="14" s="1"/>
  <c r="AQ417" i="14"/>
  <c r="AP417" i="14" s="1"/>
  <c r="AS417" i="14" s="1"/>
  <c r="AQ171" i="14"/>
  <c r="AQ195" i="14"/>
  <c r="AS287" i="14"/>
  <c r="AQ754" i="14"/>
  <c r="AP754" i="14" s="1"/>
  <c r="AS754" i="14" s="1"/>
  <c r="AF376" i="14"/>
  <c r="AI376" i="14" s="1"/>
  <c r="AQ376" i="14" s="1"/>
  <c r="AP376" i="14" s="1"/>
  <c r="AS376" i="14" s="1"/>
  <c r="AQ402" i="14"/>
  <c r="AP402" i="14" s="1"/>
  <c r="AS402" i="14" s="1"/>
  <c r="AQ410" i="14"/>
  <c r="AP410" i="14" s="1"/>
  <c r="AS410" i="14" s="1"/>
  <c r="AQ425" i="14"/>
  <c r="AP425" i="14" s="1"/>
  <c r="AS425" i="14" s="1"/>
  <c r="AQ141" i="14"/>
  <c r="AP141" i="14" s="1"/>
  <c r="AS141" i="14" s="1"/>
  <c r="AT194" i="14"/>
  <c r="AF492" i="14"/>
  <c r="AI492" i="14" s="1"/>
  <c r="AQ492" i="14" s="1"/>
  <c r="AP492" i="14" s="1"/>
  <c r="AS492" i="14" s="1"/>
  <c r="AQ840" i="14"/>
  <c r="AP840" i="14" s="1"/>
  <c r="AS840" i="14" s="1"/>
  <c r="AS358" i="14"/>
  <c r="AQ208" i="14"/>
  <c r="AP208" i="14" s="1"/>
  <c r="AS208" i="14" s="1"/>
  <c r="AQ163" i="14"/>
  <c r="AQ561" i="14"/>
  <c r="AP561" i="14" s="1"/>
  <c r="AS561" i="14" s="1"/>
  <c r="AT170" i="14"/>
  <c r="AU88" i="14"/>
  <c r="AV88" i="14" s="1"/>
  <c r="AU733" i="14"/>
  <c r="AV733" i="14" s="1"/>
  <c r="AU662" i="14"/>
  <c r="AV662" i="14" s="1"/>
  <c r="AQ143" i="14"/>
  <c r="AP143" i="14" s="1"/>
  <c r="AS143" i="14" s="1"/>
  <c r="AU392" i="14"/>
  <c r="AV392" i="14" s="1"/>
  <c r="AQ848" i="14"/>
  <c r="AP848" i="14" s="1"/>
  <c r="AS848" i="14" s="1"/>
  <c r="AS44" i="14"/>
  <c r="AI74" i="14"/>
  <c r="AI465" i="14"/>
  <c r="AQ228" i="14"/>
  <c r="AP228" i="14" s="1"/>
  <c r="AS228" i="14" s="1"/>
  <c r="AQ633" i="14"/>
  <c r="AP633" i="14" s="1"/>
  <c r="AS633" i="14" s="1"/>
  <c r="AU587" i="14"/>
  <c r="AV587" i="14" s="1"/>
  <c r="AU374" i="14"/>
  <c r="AV374" i="14" s="1"/>
  <c r="S129" i="14"/>
  <c r="AU129" i="14" s="1"/>
  <c r="AV129" i="14" s="1"/>
  <c r="S152" i="14"/>
  <c r="AQ150" i="14"/>
  <c r="AP150" i="14" s="1"/>
  <c r="AS150" i="14" s="1"/>
  <c r="AQ799" i="14"/>
  <c r="AP799" i="14" s="1"/>
  <c r="AS799" i="14" s="1"/>
  <c r="AS524" i="14"/>
  <c r="AI575" i="14"/>
  <c r="AQ575" i="14" s="1"/>
  <c r="AP575" i="14" s="1"/>
  <c r="AU687" i="14"/>
  <c r="AV687" i="14" s="1"/>
  <c r="AQ196" i="14"/>
  <c r="AQ318" i="14"/>
  <c r="AP318" i="14" s="1"/>
  <c r="AS318" i="14" s="1"/>
  <c r="AS359" i="14"/>
  <c r="AI75" i="14"/>
  <c r="AI67" i="14"/>
  <c r="AP11" i="14"/>
  <c r="AR11" i="14" s="1"/>
  <c r="AQ838" i="14"/>
  <c r="AP838" i="14" s="1"/>
  <c r="AS838" i="14" s="1"/>
  <c r="AQ133" i="14"/>
  <c r="AP133" i="14" s="1"/>
  <c r="AS133" i="14" s="1"/>
  <c r="AQ145" i="14"/>
  <c r="AP145" i="14" s="1"/>
  <c r="AS145" i="14" s="1"/>
  <c r="AU663" i="14"/>
  <c r="AV663" i="14" s="1"/>
  <c r="AQ564" i="14"/>
  <c r="AP564" i="14" s="1"/>
  <c r="AS564" i="14" s="1"/>
  <c r="AQ749" i="14"/>
  <c r="AP749" i="14" s="1"/>
  <c r="AS749" i="14" s="1"/>
  <c r="AT195" i="14"/>
  <c r="AU719" i="14"/>
  <c r="AV719" i="14" s="1"/>
  <c r="AQ172" i="14"/>
  <c r="AQ99" i="14"/>
  <c r="AP99" i="14" s="1"/>
  <c r="AS99" i="14" s="1"/>
  <c r="AQ803" i="14"/>
  <c r="AP803" i="14" s="1"/>
  <c r="AS803" i="14" s="1"/>
  <c r="AU664" i="14"/>
  <c r="AV664" i="14" s="1"/>
  <c r="AS767" i="14"/>
  <c r="AQ164" i="14"/>
  <c r="AQ841" i="14"/>
  <c r="AP841" i="14" s="1"/>
  <c r="AS841" i="14" s="1"/>
  <c r="AQ753" i="14"/>
  <c r="AP753" i="14" s="1"/>
  <c r="AS753" i="14" s="1"/>
  <c r="AP78" i="14"/>
  <c r="AR78" i="14" s="1"/>
  <c r="AI453" i="14"/>
  <c r="AI461" i="14"/>
  <c r="AQ602" i="14"/>
  <c r="AP602" i="14" s="1"/>
  <c r="AS602" i="14" s="1"/>
  <c r="AQ851" i="14"/>
  <c r="AP851" i="14" s="1"/>
  <c r="AS851" i="14" s="1"/>
  <c r="AU590" i="14"/>
  <c r="AV590" i="14" s="1"/>
  <c r="AS781" i="14"/>
  <c r="AQ97" i="14"/>
  <c r="AP97" i="14" s="1"/>
  <c r="AS97" i="14" s="1"/>
  <c r="AF669" i="14"/>
  <c r="AI669" i="14" s="1"/>
  <c r="AQ669" i="14" s="1"/>
  <c r="AP669" i="14" s="1"/>
  <c r="AS669" i="14" s="1"/>
  <c r="AQ167" i="14"/>
  <c r="AF190" i="14"/>
  <c r="AI190" i="14" s="1"/>
  <c r="AQ190" i="14" s="1"/>
  <c r="AP190" i="14" s="1"/>
  <c r="AR190" i="14" s="1"/>
  <c r="AU635" i="14"/>
  <c r="AV635" i="14" s="1"/>
  <c r="AQ406" i="14"/>
  <c r="AP406" i="14" s="1"/>
  <c r="AS406" i="14" s="1"/>
  <c r="AQ280" i="14"/>
  <c r="AP280" i="14" s="1"/>
  <c r="AS280" i="14" s="1"/>
  <c r="AU731" i="14"/>
  <c r="AV731" i="14" s="1"/>
  <c r="AF388" i="14"/>
  <c r="AI388" i="14" s="1"/>
  <c r="AQ388" i="14" s="1"/>
  <c r="AP388" i="14" s="1"/>
  <c r="AS388" i="14" s="1"/>
  <c r="AT158" i="14"/>
  <c r="AU486" i="14"/>
  <c r="AV486" i="14" s="1"/>
  <c r="AT166" i="14"/>
  <c r="AU494" i="14"/>
  <c r="AV494" i="14" s="1"/>
  <c r="AQ829" i="14"/>
  <c r="AP829" i="14" s="1"/>
  <c r="AS829" i="14" s="1"/>
  <c r="AU203" i="14"/>
  <c r="AV203" i="14" s="1"/>
  <c r="AU716" i="14"/>
  <c r="AV716" i="14" s="1"/>
  <c r="AS716" i="14" s="1"/>
  <c r="AF386" i="14"/>
  <c r="AI386" i="14" s="1"/>
  <c r="AQ386" i="14" s="1"/>
  <c r="AP386" i="14" s="1"/>
  <c r="AS386" i="14" s="1"/>
  <c r="AQ626" i="14"/>
  <c r="AP626" i="14" s="1"/>
  <c r="AS626" i="14" s="1"/>
  <c r="AS531" i="14"/>
  <c r="AI467" i="14"/>
  <c r="AQ281" i="14"/>
  <c r="AP281" i="14" s="1"/>
  <c r="AS281" i="14" s="1"/>
  <c r="AP12" i="14"/>
  <c r="AR12" i="14" s="1"/>
  <c r="AQ580" i="14"/>
  <c r="AP580" i="14" s="1"/>
  <c r="AS580" i="14" s="1"/>
  <c r="AQ169" i="14"/>
  <c r="AQ193" i="14"/>
  <c r="AQ415" i="14"/>
  <c r="AP415" i="14" s="1"/>
  <c r="AS415" i="14" s="1"/>
  <c r="AI462" i="14"/>
  <c r="AQ607" i="14"/>
  <c r="AP607" i="14" s="1"/>
  <c r="AS607" i="14" s="1"/>
  <c r="AQ615" i="14"/>
  <c r="AP615" i="14" s="1"/>
  <c r="AS615" i="14" s="1"/>
  <c r="AU495" i="14"/>
  <c r="AV495" i="14" s="1"/>
  <c r="AQ233" i="14"/>
  <c r="AP233" i="14" s="1"/>
  <c r="AS233" i="14" s="1"/>
  <c r="AU652" i="14"/>
  <c r="AV652" i="14" s="1"/>
  <c r="AT192" i="14"/>
  <c r="AT160" i="14"/>
  <c r="AF704" i="14"/>
  <c r="AI704" i="14" s="1"/>
  <c r="AQ704" i="14" s="1"/>
  <c r="AP704" i="14" s="1"/>
  <c r="AS704" i="14" s="1"/>
  <c r="AU390" i="14"/>
  <c r="AV390" i="14" s="1"/>
  <c r="AQ407" i="14"/>
  <c r="AP407" i="14" s="1"/>
  <c r="AS407" i="14" s="1"/>
  <c r="AP439" i="14"/>
  <c r="AS439" i="14" s="1"/>
  <c r="AQ842" i="14"/>
  <c r="AP842" i="14" s="1"/>
  <c r="AS842" i="14" s="1"/>
  <c r="AQ775" i="14"/>
  <c r="AP775" i="14" s="1"/>
  <c r="AS775" i="14" s="1"/>
  <c r="AQ584" i="14"/>
  <c r="AP584" i="14" s="1"/>
  <c r="AS584" i="14" s="1"/>
  <c r="AP10" i="14"/>
  <c r="AR10" i="14" s="1"/>
  <c r="AI61" i="14"/>
  <c r="AQ429" i="14"/>
  <c r="AP429" i="14" s="1"/>
  <c r="AS429" i="14" s="1"/>
  <c r="AQ225" i="14"/>
  <c r="AP225" i="14" s="1"/>
  <c r="AS225" i="14" s="1"/>
  <c r="AP79" i="14"/>
  <c r="AR79" i="14" s="1"/>
  <c r="AP71" i="14"/>
  <c r="AR71" i="14" s="1"/>
  <c r="AQ140" i="14"/>
  <c r="AP140" i="14" s="1"/>
  <c r="AS140" i="14" s="1"/>
  <c r="AF668" i="14"/>
  <c r="AI668" i="14" s="1"/>
  <c r="AQ668" i="14" s="1"/>
  <c r="AP668" i="14" s="1"/>
  <c r="AS668" i="14" s="1"/>
  <c r="AU660" i="14"/>
  <c r="AV660" i="14" s="1"/>
  <c r="AU382" i="14"/>
  <c r="AV382" i="14" s="1"/>
  <c r="AI469" i="14"/>
  <c r="AQ189" i="14"/>
  <c r="AP68" i="14"/>
  <c r="AR68" i="14" s="1"/>
  <c r="AP434" i="14"/>
  <c r="AS434" i="14" s="1"/>
  <c r="AI458" i="14"/>
  <c r="AQ603" i="14"/>
  <c r="AP603" i="14" s="1"/>
  <c r="AS603" i="14" s="1"/>
  <c r="AQ835" i="14"/>
  <c r="AP835" i="14" s="1"/>
  <c r="AS835" i="14" s="1"/>
  <c r="AF487" i="14"/>
  <c r="AI487" i="14" s="1"/>
  <c r="AQ487" i="14" s="1"/>
  <c r="AP487" i="14" s="1"/>
  <c r="AS487" i="14" s="1"/>
  <c r="AT200" i="14"/>
  <c r="AT168" i="14"/>
  <c r="AQ872" i="14"/>
  <c r="AP872" i="14" s="1"/>
  <c r="AS872" i="14" s="1"/>
  <c r="AQ618" i="14"/>
  <c r="AP618" i="14" s="1"/>
  <c r="AS618" i="14" s="1"/>
  <c r="AQ608" i="14"/>
  <c r="AP608" i="14" s="1"/>
  <c r="AS608" i="14" s="1"/>
  <c r="AP437" i="14"/>
  <c r="AS437" i="14" s="1"/>
  <c r="AQ139" i="14"/>
  <c r="AP139" i="14" s="1"/>
  <c r="AS139" i="14" s="1"/>
  <c r="AS779" i="14"/>
  <c r="AU855" i="14"/>
  <c r="AV855" i="14" s="1"/>
  <c r="AQ855" i="14"/>
  <c r="AP855" i="14" s="1"/>
  <c r="AU645" i="14"/>
  <c r="AV645" i="14" s="1"/>
  <c r="AQ645" i="14"/>
  <c r="AP645" i="14" s="1"/>
  <c r="AU222" i="14"/>
  <c r="AV222" i="14" s="1"/>
  <c r="AQ222" i="14"/>
  <c r="AP222" i="14" s="1"/>
  <c r="AI7" i="14"/>
  <c r="AQ7" i="14" s="1"/>
  <c r="AP7" i="14" s="1"/>
  <c r="AR7" i="14" s="1"/>
  <c r="AU661" i="14"/>
  <c r="AV661" i="14" s="1"/>
  <c r="AU653" i="14"/>
  <c r="AV653" i="14" s="1"/>
  <c r="AT193" i="14"/>
  <c r="AU686" i="14"/>
  <c r="AV686" i="14" s="1"/>
  <c r="AQ170" i="14"/>
  <c r="AQ158" i="14"/>
  <c r="AQ628" i="14"/>
  <c r="AP628" i="14" s="1"/>
  <c r="AU628" i="14"/>
  <c r="AV628" i="14" s="1"/>
  <c r="U863" i="14"/>
  <c r="AQ863" i="14" s="1"/>
  <c r="AP863" i="14" s="1"/>
  <c r="AS863" i="14" s="1"/>
  <c r="AU798" i="14"/>
  <c r="AV798" i="14" s="1"/>
  <c r="AQ798" i="14"/>
  <c r="AP798" i="14" s="1"/>
  <c r="U610" i="14"/>
  <c r="AQ610" i="14" s="1"/>
  <c r="AP610" i="14" s="1"/>
  <c r="AS610" i="14" s="1"/>
  <c r="U612" i="14"/>
  <c r="AQ612" i="14" s="1"/>
  <c r="AP612" i="14" s="1"/>
  <c r="AS612" i="14" s="1"/>
  <c r="U614" i="14"/>
  <c r="AQ614" i="14" s="1"/>
  <c r="AP614" i="14" s="1"/>
  <c r="AS614" i="14" s="1"/>
  <c r="AU223" i="14"/>
  <c r="AV223" i="14" s="1"/>
  <c r="AQ223" i="14"/>
  <c r="AP223" i="14" s="1"/>
  <c r="AQ231" i="14"/>
  <c r="AP231" i="14" s="1"/>
  <c r="AU231" i="14"/>
  <c r="AV231" i="14" s="1"/>
  <c r="AQ134" i="14"/>
  <c r="AP134" i="14" s="1"/>
  <c r="AS134" i="14" s="1"/>
  <c r="AQ94" i="14"/>
  <c r="AP94" i="14" s="1"/>
  <c r="AS94" i="14" s="1"/>
  <c r="AQ770" i="14"/>
  <c r="AP770" i="14" s="1"/>
  <c r="AS770" i="14" s="1"/>
  <c r="AQ596" i="14"/>
  <c r="AP596" i="14" s="1"/>
  <c r="AS596" i="14" s="1"/>
  <c r="AF574" i="14"/>
  <c r="AI574" i="14" s="1"/>
  <c r="AQ574" i="14" s="1"/>
  <c r="AP574" i="14" s="1"/>
  <c r="AS574" i="14" s="1"/>
  <c r="AT169" i="14"/>
  <c r="AF157" i="14"/>
  <c r="AI157" i="14" s="1"/>
  <c r="S148" i="14"/>
  <c r="AU148" i="14" s="1"/>
  <c r="AV148" i="14" s="1"/>
  <c r="AQ620" i="14"/>
  <c r="AP620" i="14" s="1"/>
  <c r="AS620" i="14" s="1"/>
  <c r="AQ227" i="14"/>
  <c r="AP227" i="14" s="1"/>
  <c r="AS227" i="14" s="1"/>
  <c r="AQ769" i="14"/>
  <c r="AP769" i="14" s="1"/>
  <c r="AS769" i="14" s="1"/>
  <c r="AS58" i="14"/>
  <c r="AQ89" i="14"/>
  <c r="AP89" i="14" s="1"/>
  <c r="AU89" i="14"/>
  <c r="AV89" i="14" s="1"/>
  <c r="AU752" i="14"/>
  <c r="AV752" i="14" s="1"/>
  <c r="AQ752" i="14"/>
  <c r="AP752" i="14" s="1"/>
  <c r="AU846" i="14"/>
  <c r="AV846" i="14" s="1"/>
  <c r="AQ846" i="14"/>
  <c r="AP846" i="14" s="1"/>
  <c r="U606" i="14"/>
  <c r="AQ606" i="14" s="1"/>
  <c r="AP606" i="14" s="1"/>
  <c r="AS606" i="14" s="1"/>
  <c r="AQ198" i="14"/>
  <c r="AQ776" i="14"/>
  <c r="AP776" i="14" s="1"/>
  <c r="AS776" i="14" s="1"/>
  <c r="AS530" i="14"/>
  <c r="AQ137" i="14"/>
  <c r="AP137" i="14" s="1"/>
  <c r="AS137" i="14" s="1"/>
  <c r="AQ867" i="14"/>
  <c r="AP867" i="14" s="1"/>
  <c r="AS867" i="14" s="1"/>
  <c r="AU226" i="14"/>
  <c r="AV226" i="14" s="1"/>
  <c r="AU672" i="14"/>
  <c r="AV672" i="14" s="1"/>
  <c r="AQ795" i="14"/>
  <c r="AP795" i="14" s="1"/>
  <c r="AS795" i="14" s="1"/>
  <c r="AQ796" i="14"/>
  <c r="AP796" i="14" s="1"/>
  <c r="AS796" i="14" s="1"/>
  <c r="AQ777" i="14"/>
  <c r="AP777" i="14" s="1"/>
  <c r="AS777" i="14" s="1"/>
  <c r="AS506" i="14"/>
  <c r="AU685" i="14"/>
  <c r="AV685" i="14" s="1"/>
  <c r="AF685" i="14"/>
  <c r="AI685" i="14" s="1"/>
  <c r="AQ685" i="14" s="1"/>
  <c r="AP685" i="14" s="1"/>
  <c r="AU701" i="14"/>
  <c r="AV701" i="14" s="1"/>
  <c r="AF701" i="14"/>
  <c r="AI701" i="14" s="1"/>
  <c r="AQ701" i="14" s="1"/>
  <c r="AP701" i="14" s="1"/>
  <c r="AF735" i="14"/>
  <c r="AI735" i="14" s="1"/>
  <c r="AQ735" i="14" s="1"/>
  <c r="AP735" i="14" s="1"/>
  <c r="AU735" i="14"/>
  <c r="AV735" i="14" s="1"/>
  <c r="AI466" i="14"/>
  <c r="AP8" i="14"/>
  <c r="AR8" i="14" s="1"/>
  <c r="AQ427" i="14"/>
  <c r="AP427" i="14" s="1"/>
  <c r="AS427" i="14" s="1"/>
  <c r="AQ194" i="14"/>
  <c r="AI64" i="14"/>
  <c r="AP76" i="14"/>
  <c r="AR76" i="14" s="1"/>
  <c r="AS534" i="14"/>
  <c r="AS550" i="14"/>
  <c r="AS554" i="14"/>
  <c r="AQ558" i="14"/>
  <c r="AP558" i="14" s="1"/>
  <c r="AS558" i="14" s="1"/>
  <c r="U604" i="14"/>
  <c r="AQ604" i="14" s="1"/>
  <c r="AP604" i="14" s="1"/>
  <c r="AS604" i="14" s="1"/>
  <c r="AU768" i="14"/>
  <c r="AV768" i="14" s="1"/>
  <c r="AQ768" i="14"/>
  <c r="AP768" i="14" s="1"/>
  <c r="AP438" i="14"/>
  <c r="AS438" i="14" s="1"/>
  <c r="AI450" i="14"/>
  <c r="AI454" i="14"/>
  <c r="AQ159" i="14"/>
  <c r="AT191" i="14"/>
  <c r="AF191" i="14"/>
  <c r="AI191" i="14" s="1"/>
  <c r="AQ191" i="14" s="1"/>
  <c r="AS46" i="14"/>
  <c r="T511" i="14"/>
  <c r="AQ511" i="14" s="1"/>
  <c r="AP511" i="14" s="1"/>
  <c r="AQ832" i="14"/>
  <c r="AP832" i="14" s="1"/>
  <c r="AS832" i="14" s="1"/>
  <c r="AU845" i="14"/>
  <c r="AV845" i="14" s="1"/>
  <c r="AQ845" i="14"/>
  <c r="AP845" i="14" s="1"/>
  <c r="AP441" i="14"/>
  <c r="AS441" i="14" s="1"/>
  <c r="AP445" i="14"/>
  <c r="AS445" i="14" s="1"/>
  <c r="AQ830" i="14"/>
  <c r="AP830" i="14" s="1"/>
  <c r="AS830" i="14" s="1"/>
  <c r="AQ834" i="14"/>
  <c r="AP834" i="14" s="1"/>
  <c r="AS834" i="14" s="1"/>
  <c r="AQ854" i="14"/>
  <c r="AP854" i="14" s="1"/>
  <c r="AS854" i="14" s="1"/>
  <c r="AP13" i="14"/>
  <c r="AR13" i="14" s="1"/>
  <c r="AQ421" i="14"/>
  <c r="AP421" i="14" s="1"/>
  <c r="AS421" i="14" s="1"/>
  <c r="AQ833" i="14"/>
  <c r="AP833" i="14" s="1"/>
  <c r="AS833" i="14" s="1"/>
  <c r="AS302" i="14"/>
  <c r="AP432" i="14"/>
  <c r="AS432" i="14" s="1"/>
  <c r="AP448" i="14"/>
  <c r="AS448" i="14" s="1"/>
  <c r="AI452" i="14"/>
  <c r="AI460" i="14"/>
  <c r="AS764" i="14"/>
  <c r="AU364" i="14"/>
  <c r="AV364" i="14" s="1"/>
  <c r="AQ364" i="14"/>
  <c r="AP364" i="14" s="1"/>
  <c r="AQ146" i="14"/>
  <c r="AP146" i="14" s="1"/>
  <c r="AS146" i="14" s="1"/>
  <c r="AQ794" i="14"/>
  <c r="AP794" i="14" s="1"/>
  <c r="AS794" i="14" s="1"/>
  <c r="AQ751" i="14"/>
  <c r="AP751" i="14" s="1"/>
  <c r="AS751" i="14" s="1"/>
  <c r="AU778" i="14"/>
  <c r="AV778" i="14" s="1"/>
  <c r="AQ778" i="14"/>
  <c r="AP778" i="14" s="1"/>
  <c r="AP430" i="14"/>
  <c r="AS430" i="14" s="1"/>
  <c r="AQ831" i="14"/>
  <c r="AP831" i="14" s="1"/>
  <c r="AS831" i="14" s="1"/>
  <c r="AQ144" i="14"/>
  <c r="AP144" i="14" s="1"/>
  <c r="AS144" i="14" s="1"/>
  <c r="AQ92" i="14"/>
  <c r="AP92" i="14" s="1"/>
  <c r="AS92" i="14" s="1"/>
  <c r="AQ136" i="14"/>
  <c r="AP136" i="14" s="1"/>
  <c r="AS136" i="14" s="1"/>
  <c r="AQ613" i="14"/>
  <c r="AP613" i="14" s="1"/>
  <c r="AS613" i="14" s="1"/>
  <c r="AV290" i="14"/>
  <c r="AS290" i="14" s="1"/>
  <c r="AQ91" i="14"/>
  <c r="AP91" i="14" s="1"/>
  <c r="AS91" i="14" s="1"/>
  <c r="AQ404" i="14"/>
  <c r="AP404" i="14" s="1"/>
  <c r="AS404" i="14" s="1"/>
  <c r="AQ422" i="14"/>
  <c r="AP422" i="14" s="1"/>
  <c r="AS422" i="14" s="1"/>
  <c r="U594" i="14"/>
  <c r="AQ594" i="14" s="1"/>
  <c r="AP594" i="14" s="1"/>
  <c r="AS594" i="14" s="1"/>
  <c r="AS56" i="14"/>
  <c r="AP70" i="14"/>
  <c r="AR70" i="14" s="1"/>
  <c r="AI66" i="14"/>
  <c r="AQ411" i="14"/>
  <c r="AP411" i="14" s="1"/>
  <c r="AS411" i="14" s="1"/>
  <c r="AQ418" i="14"/>
  <c r="AP418" i="14" s="1"/>
  <c r="AS418" i="14" s="1"/>
  <c r="AS765" i="14"/>
  <c r="AS60" i="14"/>
  <c r="AI73" i="14"/>
  <c r="S151" i="14"/>
  <c r="S153" i="14"/>
  <c r="AU153" i="14" s="1"/>
  <c r="AV153" i="14" s="1"/>
  <c r="S155" i="14"/>
  <c r="AU155" i="14" s="1"/>
  <c r="AV155" i="14" s="1"/>
  <c r="AS538" i="14"/>
  <c r="AS780" i="14"/>
  <c r="AS333" i="14"/>
  <c r="AS26" i="14"/>
  <c r="AS360" i="14"/>
  <c r="AQ408" i="14"/>
  <c r="AP408" i="14" s="1"/>
  <c r="AS408" i="14" s="1"/>
  <c r="AQ426" i="14"/>
  <c r="AP426" i="14" s="1"/>
  <c r="AS426" i="14" s="1"/>
  <c r="AS301" i="14"/>
  <c r="AQ284" i="14"/>
  <c r="AP284" i="14" s="1"/>
  <c r="AS284" i="14" s="1"/>
  <c r="U512" i="14"/>
  <c r="T512" i="14" s="1"/>
  <c r="AU19" i="14"/>
  <c r="AV19" i="14" s="1"/>
  <c r="U19" i="14"/>
  <c r="T19" i="14" s="1"/>
  <c r="AQ19" i="14" s="1"/>
  <c r="AP19" i="14" s="1"/>
  <c r="S341" i="14"/>
  <c r="S343" i="14"/>
  <c r="S348" i="14"/>
  <c r="AU348" i="14" s="1"/>
  <c r="AV348" i="14" s="1"/>
  <c r="S345" i="14"/>
  <c r="S351" i="14"/>
  <c r="U356" i="14"/>
  <c r="AQ356" i="14" s="1"/>
  <c r="AP356" i="14" s="1"/>
  <c r="AS356" i="14" s="1"/>
  <c r="AU20" i="14"/>
  <c r="AV20" i="14" s="1"/>
  <c r="AS20" i="14" s="1"/>
  <c r="AU324" i="14"/>
  <c r="AV324" i="14" s="1"/>
  <c r="T324" i="14"/>
  <c r="AQ324" i="14" s="1"/>
  <c r="AP324" i="14" s="1"/>
  <c r="AU328" i="14"/>
  <c r="AV328" i="14" s="1"/>
  <c r="T328" i="14"/>
  <c r="U328" i="14" s="1"/>
  <c r="AQ328" i="14" s="1"/>
  <c r="AP328" i="14" s="1"/>
  <c r="AS508" i="14"/>
  <c r="T509" i="14"/>
  <c r="U18" i="14"/>
  <c r="T18" i="14" s="1"/>
  <c r="AQ18" i="14" s="1"/>
  <c r="AP18" i="14" s="1"/>
  <c r="AU18" i="14"/>
  <c r="AV18" i="14" s="1"/>
  <c r="U25" i="14"/>
  <c r="T25" i="14" s="1"/>
  <c r="S211" i="14"/>
  <c r="AU49" i="14"/>
  <c r="AV49" i="14" s="1"/>
  <c r="T49" i="14"/>
  <c r="AQ49" i="14" s="1"/>
  <c r="AP49" i="14" s="1"/>
  <c r="AU325" i="14"/>
  <c r="AV325" i="14" s="1"/>
  <c r="T325" i="14"/>
  <c r="AQ325" i="14" s="1"/>
  <c r="AP325" i="14" s="1"/>
  <c r="AU329" i="14"/>
  <c r="AV329" i="14" s="1"/>
  <c r="T329" i="14"/>
  <c r="T28" i="14"/>
  <c r="AQ28" i="14" s="1"/>
  <c r="AP28" i="14" s="1"/>
  <c r="U32" i="14"/>
  <c r="AQ32" i="14" s="1"/>
  <c r="AP32" i="14" s="1"/>
  <c r="AS32" i="14" s="1"/>
  <c r="AS321" i="14"/>
  <c r="U517" i="14"/>
  <c r="T517" i="14" s="1"/>
  <c r="AQ517" i="14" s="1"/>
  <c r="AP517" i="14" s="1"/>
  <c r="AS517" i="14" s="1"/>
  <c r="AU514" i="14"/>
  <c r="AV514" i="14" s="1"/>
  <c r="U514" i="14"/>
  <c r="T514" i="14" s="1"/>
  <c r="AQ514" i="14" s="1"/>
  <c r="AP514" i="14" s="1"/>
  <c r="S471" i="14"/>
  <c r="U546" i="14"/>
  <c r="AQ546" i="14" s="1"/>
  <c r="AP546" i="14" s="1"/>
  <c r="AS546" i="14" s="1"/>
  <c r="U551" i="14"/>
  <c r="AQ551" i="14" s="1"/>
  <c r="AP551" i="14" s="1"/>
  <c r="AS551" i="14" s="1"/>
  <c r="AV308" i="14"/>
  <c r="AS308" i="14" s="1"/>
  <c r="AS271" i="14"/>
  <c r="AS273" i="14"/>
  <c r="AS275" i="14"/>
  <c r="AS277" i="14"/>
  <c r="AS306" i="14"/>
  <c r="AS317" i="14"/>
  <c r="AR6" i="14"/>
  <c r="AI72" i="14"/>
  <c r="AP69" i="14"/>
  <c r="AR69" i="14" s="1"/>
  <c r="AS270" i="14"/>
  <c r="AS272" i="14"/>
  <c r="AS274" i="14"/>
  <c r="AS276" i="14"/>
  <c r="AS278" i="14"/>
  <c r="AS286" i="14"/>
  <c r="AS288" i="14"/>
  <c r="AS292" i="14"/>
  <c r="AS300" i="14"/>
  <c r="AS285" i="14"/>
  <c r="AS293" i="14"/>
  <c r="AS307" i="14"/>
  <c r="AS41" i="14"/>
  <c r="AS291" i="14"/>
  <c r="AS305" i="14"/>
  <c r="AQ414" i="14"/>
  <c r="AP414" i="14" s="1"/>
  <c r="AS414" i="14" s="1"/>
  <c r="AP442" i="14"/>
  <c r="AS442" i="14" s="1"/>
  <c r="AP446" i="14"/>
  <c r="AS446" i="14" s="1"/>
  <c r="AS42" i="14"/>
  <c r="AS289" i="14"/>
  <c r="AS303" i="14"/>
  <c r="AF375" i="14"/>
  <c r="AI375" i="14" s="1"/>
  <c r="AQ375" i="14" s="1"/>
  <c r="AP375" i="14" s="1"/>
  <c r="AU375" i="14"/>
  <c r="AV375" i="14" s="1"/>
  <c r="AU387" i="14"/>
  <c r="AV387" i="14" s="1"/>
  <c r="U595" i="14"/>
  <c r="AQ595" i="14" s="1"/>
  <c r="AP595" i="14" s="1"/>
  <c r="AS595" i="14" s="1"/>
  <c r="AF714" i="14"/>
  <c r="AI714" i="14" s="1"/>
  <c r="AQ714" i="14" s="1"/>
  <c r="AP714" i="14" s="1"/>
  <c r="AU714" i="14"/>
  <c r="AV714" i="14" s="1"/>
  <c r="AF391" i="14"/>
  <c r="AI391" i="14" s="1"/>
  <c r="AQ391" i="14" s="1"/>
  <c r="AP391" i="14" s="1"/>
  <c r="AU391" i="14"/>
  <c r="AV391" i="14" s="1"/>
  <c r="AF484" i="14"/>
  <c r="AI484" i="14" s="1"/>
  <c r="AQ484" i="14" s="1"/>
  <c r="AP484" i="14" s="1"/>
  <c r="AU484" i="14"/>
  <c r="AV484" i="14" s="1"/>
  <c r="AQ147" i="14"/>
  <c r="AP147" i="14" s="1"/>
  <c r="AS147" i="14" s="1"/>
  <c r="AQ128" i="14"/>
  <c r="AP128" i="14" s="1"/>
  <c r="AS128" i="14" s="1"/>
  <c r="AP9" i="14"/>
  <c r="AR9" i="14" s="1"/>
  <c r="AU852" i="14"/>
  <c r="AV852" i="14" s="1"/>
  <c r="AQ852" i="14"/>
  <c r="AP852" i="14" s="1"/>
  <c r="AU860" i="14"/>
  <c r="AV860" i="14" s="1"/>
  <c r="AQ860" i="14"/>
  <c r="AP860" i="14" s="1"/>
  <c r="AF383" i="14"/>
  <c r="AU383" i="14"/>
  <c r="AV383" i="14" s="1"/>
  <c r="AQ135" i="14"/>
  <c r="AP135" i="14" s="1"/>
  <c r="AS135" i="14" s="1"/>
  <c r="AQ142" i="14"/>
  <c r="AP142" i="14" s="1"/>
  <c r="AS142" i="14" s="1"/>
  <c r="AQ131" i="14"/>
  <c r="AP131" i="14" s="1"/>
  <c r="AS131" i="14" s="1"/>
  <c r="AQ130" i="14"/>
  <c r="AP130" i="14" s="1"/>
  <c r="AS130" i="14" s="1"/>
  <c r="AQ30" i="14"/>
  <c r="AP30" i="14" s="1"/>
  <c r="AS30" i="14" s="1"/>
  <c r="AS332" i="14"/>
  <c r="AV542" i="14"/>
  <c r="AS542" i="14" s="1"/>
  <c r="AV567" i="14"/>
  <c r="AS567" i="14" s="1"/>
  <c r="AV571" i="14"/>
  <c r="AS571" i="14" s="1"/>
  <c r="AS543" i="14"/>
  <c r="AS572" i="14"/>
  <c r="AS568" i="14"/>
  <c r="AQ806" i="14" l="1"/>
  <c r="AP806" i="14" s="1"/>
  <c r="AS806" i="14" s="1"/>
  <c r="AU101" i="14"/>
  <c r="AV101" i="14" s="1"/>
  <c r="AQ95" i="14"/>
  <c r="AP95" i="14" s="1"/>
  <c r="AS95" i="14" s="1"/>
  <c r="AQ802" i="14"/>
  <c r="AP802" i="14" s="1"/>
  <c r="AS802" i="14" s="1"/>
  <c r="AQ810" i="14"/>
  <c r="AP810" i="14" s="1"/>
  <c r="AS810" i="14" s="1"/>
  <c r="AP62" i="14"/>
  <c r="AR62" i="14" s="1"/>
  <c r="AP63" i="14"/>
  <c r="AR63" i="14" s="1"/>
  <c r="AQ279" i="14"/>
  <c r="AP279" i="14" s="1"/>
  <c r="AS279" i="14" s="1"/>
  <c r="AU215" i="14"/>
  <c r="AV215" i="14" s="1"/>
  <c r="AS29" i="14"/>
  <c r="AQ283" i="14"/>
  <c r="AP283" i="14" s="1"/>
  <c r="AS283" i="14" s="1"/>
  <c r="AQ282" i="14"/>
  <c r="AP282" i="14" s="1"/>
  <c r="AS282" i="14" s="1"/>
  <c r="AU338" i="14"/>
  <c r="AV338" i="14" s="1"/>
  <c r="AS28" i="14"/>
  <c r="AI383" i="14"/>
  <c r="AQ383" i="14" s="1"/>
  <c r="AP383" i="14" s="1"/>
  <c r="AS383" i="14" s="1"/>
  <c r="AQ477" i="14"/>
  <c r="AP477" i="14" s="1"/>
  <c r="AS477" i="14" s="1"/>
  <c r="AP163" i="14"/>
  <c r="AR163" i="14" s="1"/>
  <c r="AS27" i="14"/>
  <c r="AQ344" i="14"/>
  <c r="AP344" i="14" s="1"/>
  <c r="AS344" i="14" s="1"/>
  <c r="AU342" i="14"/>
  <c r="AV342" i="14" s="1"/>
  <c r="AS511" i="14"/>
  <c r="AQ347" i="14"/>
  <c r="AP347" i="14" s="1"/>
  <c r="AS347" i="14" s="1"/>
  <c r="AQ339" i="14"/>
  <c r="AP339" i="14" s="1"/>
  <c r="AS339" i="14" s="1"/>
  <c r="AQ801" i="14"/>
  <c r="AP801" i="14" s="1"/>
  <c r="AS801" i="14" s="1"/>
  <c r="AQ805" i="14"/>
  <c r="AP805" i="14" s="1"/>
  <c r="AS805" i="14" s="1"/>
  <c r="AU212" i="14"/>
  <c r="AV212" i="14" s="1"/>
  <c r="AP172" i="14"/>
  <c r="AR172" i="14" s="1"/>
  <c r="AQ800" i="14"/>
  <c r="AP800" i="14" s="1"/>
  <c r="AS800" i="14" s="1"/>
  <c r="AQ102" i="14"/>
  <c r="AP102" i="14" s="1"/>
  <c r="AS102" i="14" s="1"/>
  <c r="AQ791" i="14"/>
  <c r="AP791" i="14" s="1"/>
  <c r="AS791" i="14" s="1"/>
  <c r="AQ804" i="14"/>
  <c r="AP804" i="14" s="1"/>
  <c r="AS804" i="14" s="1"/>
  <c r="AP167" i="14"/>
  <c r="AR167" i="14" s="1"/>
  <c r="AU349" i="14"/>
  <c r="AV349" i="14" s="1"/>
  <c r="AS646" i="14"/>
  <c r="AQ214" i="14"/>
  <c r="AP214" i="14" s="1"/>
  <c r="AS214" i="14" s="1"/>
  <c r="AQ811" i="14"/>
  <c r="AP811" i="14" s="1"/>
  <c r="AS811" i="14" s="1"/>
  <c r="AQ809" i="14"/>
  <c r="AP809" i="14" s="1"/>
  <c r="AS809" i="14" s="1"/>
  <c r="AQ793" i="14"/>
  <c r="AP793" i="14" s="1"/>
  <c r="AS793" i="14" s="1"/>
  <c r="AQ346" i="14"/>
  <c r="AP346" i="14" s="1"/>
  <c r="AS346" i="14" s="1"/>
  <c r="AS371" i="14"/>
  <c r="AQ478" i="14"/>
  <c r="AP478" i="14" s="1"/>
  <c r="AS478" i="14" s="1"/>
  <c r="AQ797" i="14"/>
  <c r="AP797" i="14" s="1"/>
  <c r="AS797" i="14" s="1"/>
  <c r="AS688" i="14"/>
  <c r="AQ807" i="14"/>
  <c r="AP807" i="14" s="1"/>
  <c r="AS807" i="14" s="1"/>
  <c r="AS625" i="14"/>
  <c r="AQ299" i="14"/>
  <c r="AP299" i="14" s="1"/>
  <c r="AS299" i="14" s="1"/>
  <c r="AQ790" i="14"/>
  <c r="AP790" i="14" s="1"/>
  <c r="AS790" i="14" s="1"/>
  <c r="AS229" i="14"/>
  <c r="AS656" i="14"/>
  <c r="AS497" i="14"/>
  <c r="AP196" i="14"/>
  <c r="AR196" i="14" s="1"/>
  <c r="AS575" i="14"/>
  <c r="AP189" i="14"/>
  <c r="AR189" i="14" s="1"/>
  <c r="AQ295" i="14"/>
  <c r="AP295" i="14" s="1"/>
  <c r="AS295" i="14" s="1"/>
  <c r="AS493" i="14"/>
  <c r="AP160" i="14"/>
  <c r="AR160" i="14" s="1"/>
  <c r="AS732" i="14"/>
  <c r="AS621" i="14"/>
  <c r="AP165" i="14"/>
  <c r="AR165" i="14" s="1"/>
  <c r="AS636" i="14"/>
  <c r="AP168" i="14"/>
  <c r="AR168" i="14" s="1"/>
  <c r="AQ298" i="14"/>
  <c r="AP298" i="14" s="1"/>
  <c r="AS298" i="14" s="1"/>
  <c r="AP164" i="14"/>
  <c r="AR164" i="14" s="1"/>
  <c r="AQ294" i="14"/>
  <c r="AP294" i="14" s="1"/>
  <c r="AS702" i="14"/>
  <c r="AS648" i="14"/>
  <c r="AQ297" i="14"/>
  <c r="AP297" i="14" s="1"/>
  <c r="AS297" i="14" s="1"/>
  <c r="AP192" i="14"/>
  <c r="AR192" i="14" s="1"/>
  <c r="AQ156" i="14"/>
  <c r="AP156" i="14" s="1"/>
  <c r="AS156" i="14" s="1"/>
  <c r="AQ157" i="14"/>
  <c r="AP157" i="14" s="1"/>
  <c r="AR157" i="14" s="1"/>
  <c r="AQ296" i="14"/>
  <c r="AP296" i="14" s="1"/>
  <c r="AS296" i="14" s="1"/>
  <c r="AS494" i="14"/>
  <c r="T312" i="14"/>
  <c r="T309" i="14"/>
  <c r="T314" i="14"/>
  <c r="T311" i="14"/>
  <c r="T313" i="14"/>
  <c r="T310" i="14"/>
  <c r="AU294" i="14"/>
  <c r="AV294" i="14" s="1"/>
  <c r="S310" i="14"/>
  <c r="AU310" i="14" s="1"/>
  <c r="AV310" i="14" s="1"/>
  <c r="S312" i="14"/>
  <c r="AU312" i="14" s="1"/>
  <c r="AV312" i="14" s="1"/>
  <c r="S309" i="14"/>
  <c r="AU309" i="14" s="1"/>
  <c r="AV309" i="14" s="1"/>
  <c r="S314" i="14"/>
  <c r="AU314" i="14" s="1"/>
  <c r="AV314" i="14" s="1"/>
  <c r="S311" i="14"/>
  <c r="AU311" i="14" s="1"/>
  <c r="AV311" i="14" s="1"/>
  <c r="S313" i="14"/>
  <c r="AU313" i="14" s="1"/>
  <c r="AV313" i="14" s="1"/>
  <c r="U312" i="14"/>
  <c r="U309" i="14"/>
  <c r="U314" i="14"/>
  <c r="U311" i="14"/>
  <c r="U313" i="14"/>
  <c r="U310" i="14"/>
  <c r="AS87" i="14"/>
  <c r="AS733" i="14"/>
  <c r="AS381" i="14"/>
  <c r="AS90" i="14"/>
  <c r="AP200" i="14"/>
  <c r="AR200" i="14" s="1"/>
  <c r="AS650" i="14"/>
  <c r="AP166" i="14"/>
  <c r="AR166" i="14" s="1"/>
  <c r="AU154" i="14"/>
  <c r="AV154" i="14" s="1"/>
  <c r="AS736" i="14"/>
  <c r="AS496" i="14"/>
  <c r="AS385" i="14"/>
  <c r="AS232" i="14"/>
  <c r="AS86" i="14"/>
  <c r="AP170" i="14"/>
  <c r="AR170" i="14" s="1"/>
  <c r="AS481" i="14"/>
  <c r="AS730" i="14"/>
  <c r="AS202" i="14"/>
  <c r="AS480" i="14"/>
  <c r="AS734" i="14"/>
  <c r="AS627" i="14"/>
  <c r="AP159" i="14"/>
  <c r="AR159" i="14" s="1"/>
  <c r="AS700" i="14"/>
  <c r="AS328" i="14"/>
  <c r="AS37" i="14"/>
  <c r="AS222" i="14"/>
  <c r="AS18" i="14"/>
  <c r="AS662" i="14"/>
  <c r="AS652" i="14"/>
  <c r="AS660" i="14"/>
  <c r="AS384" i="14"/>
  <c r="AP198" i="14"/>
  <c r="AR198" i="14" s="1"/>
  <c r="AS586" i="14"/>
  <c r="AS699" i="14"/>
  <c r="AS670" i="14"/>
  <c r="AS223" i="14"/>
  <c r="AP171" i="14"/>
  <c r="AR171" i="14" s="1"/>
  <c r="AS476" i="14"/>
  <c r="AS663" i="14"/>
  <c r="AS735" i="14"/>
  <c r="AS231" i="14"/>
  <c r="AS486" i="14"/>
  <c r="AS587" i="14"/>
  <c r="AS88" i="14"/>
  <c r="AP169" i="14"/>
  <c r="AR169" i="14" s="1"/>
  <c r="AS495" i="14"/>
  <c r="AS96" i="14"/>
  <c r="AS664" i="14"/>
  <c r="AS647" i="14"/>
  <c r="AS392" i="14"/>
  <c r="AP191" i="14"/>
  <c r="AR191" i="14" s="1"/>
  <c r="AS203" i="14"/>
  <c r="AS653" i="14"/>
  <c r="AS382" i="14"/>
  <c r="AP158" i="14"/>
  <c r="AR158" i="14" s="1"/>
  <c r="AS860" i="14"/>
  <c r="AS390" i="14"/>
  <c r="AS498" i="14"/>
  <c r="AP195" i="14"/>
  <c r="AR195" i="14" s="1"/>
  <c r="AS374" i="14"/>
  <c r="AS719" i="14"/>
  <c r="AS687" i="14"/>
  <c r="AP194" i="14"/>
  <c r="AR194" i="14" s="1"/>
  <c r="AS628" i="14"/>
  <c r="AS635" i="14"/>
  <c r="AQ129" i="14"/>
  <c r="AP129" i="14" s="1"/>
  <c r="AS129" i="14" s="1"/>
  <c r="AP193" i="14"/>
  <c r="AR193" i="14" s="1"/>
  <c r="AS672" i="14"/>
  <c r="AS590" i="14"/>
  <c r="AQ148" i="14"/>
  <c r="AP148" i="14" s="1"/>
  <c r="AS148" i="14" s="1"/>
  <c r="AS731" i="14"/>
  <c r="AS855" i="14"/>
  <c r="AS19" i="14"/>
  <c r="AS752" i="14"/>
  <c r="AS226" i="14"/>
  <c r="AS846" i="14"/>
  <c r="AS375" i="14"/>
  <c r="AS701" i="14"/>
  <c r="AS798" i="14"/>
  <c r="AS645" i="14"/>
  <c r="AS686" i="14"/>
  <c r="AS89" i="14"/>
  <c r="AQ153" i="14"/>
  <c r="AP153" i="14" s="1"/>
  <c r="AS153" i="14" s="1"/>
  <c r="AS49" i="14"/>
  <c r="AS661" i="14"/>
  <c r="AS685" i="14"/>
  <c r="AS845" i="14"/>
  <c r="AS768" i="14"/>
  <c r="AS391" i="14"/>
  <c r="AS325" i="14"/>
  <c r="AS364" i="14"/>
  <c r="AQ155" i="14"/>
  <c r="AP155" i="14" s="1"/>
  <c r="AS155" i="14" s="1"/>
  <c r="AS852" i="14"/>
  <c r="AQ348" i="14"/>
  <c r="AP348" i="14" s="1"/>
  <c r="AS348" i="14" s="1"/>
  <c r="AS778" i="14"/>
  <c r="AS514" i="14"/>
  <c r="AS324" i="14"/>
  <c r="AU345" i="14"/>
  <c r="AV345" i="14" s="1"/>
  <c r="AQ345" i="14"/>
  <c r="AP345" i="14" s="1"/>
  <c r="AQ341" i="14"/>
  <c r="AP341" i="14" s="1"/>
  <c r="AU341" i="14"/>
  <c r="AV341" i="14" s="1"/>
  <c r="U329" i="14"/>
  <c r="AQ329" i="14" s="1"/>
  <c r="AP329" i="14" s="1"/>
  <c r="AS329" i="14" s="1"/>
  <c r="AQ211" i="14"/>
  <c r="AP211" i="14" s="1"/>
  <c r="AU211" i="14"/>
  <c r="AV211" i="14" s="1"/>
  <c r="AU343" i="14"/>
  <c r="AV343" i="14" s="1"/>
  <c r="AQ343" i="14"/>
  <c r="AP343" i="14" s="1"/>
  <c r="AS714" i="14"/>
  <c r="AS387" i="14"/>
  <c r="AS484" i="14"/>
  <c r="AS101" i="14" l="1"/>
  <c r="AS215" i="14"/>
  <c r="AS338" i="14"/>
  <c r="AS342" i="14"/>
  <c r="AS212" i="14"/>
  <c r="AS349" i="14"/>
  <c r="AQ310" i="14"/>
  <c r="AP310" i="14" s="1"/>
  <c r="AS310" i="14" s="1"/>
  <c r="AQ313" i="14"/>
  <c r="AP313" i="14" s="1"/>
  <c r="AS313" i="14" s="1"/>
  <c r="AS294" i="14"/>
  <c r="AQ311" i="14"/>
  <c r="AP311" i="14" s="1"/>
  <c r="AS311" i="14" s="1"/>
  <c r="AQ314" i="14"/>
  <c r="AP314" i="14" s="1"/>
  <c r="AS314" i="14" s="1"/>
  <c r="AQ309" i="14"/>
  <c r="AP309" i="14" s="1"/>
  <c r="AS309" i="14" s="1"/>
  <c r="AQ312" i="14"/>
  <c r="AP312" i="14" s="1"/>
  <c r="AS312" i="14" s="1"/>
  <c r="AS154" i="14"/>
  <c r="AS211" i="14"/>
  <c r="AS341" i="14"/>
  <c r="AS345" i="14"/>
  <c r="AS343" i="14"/>
</calcChain>
</file>

<file path=xl/comments1.xml><?xml version="1.0" encoding="utf-8"?>
<comments xmlns="http://schemas.openxmlformats.org/spreadsheetml/2006/main">
  <authors>
    <author>Diego Uriarte</author>
  </authors>
  <commentList>
    <comment ref="AA102" authorId="0" shapeId="0">
      <text>
        <r>
          <rPr>
            <b/>
            <sz val="9"/>
            <color indexed="81"/>
            <rFont val="Tahoma"/>
            <family val="2"/>
          </rPr>
          <t>Diego Uriarte:</t>
        </r>
        <r>
          <rPr>
            <sz val="9"/>
            <color indexed="81"/>
            <rFont val="Tahoma"/>
            <family val="2"/>
          </rPr>
          <t xml:space="preserve">
when it occurs
</t>
        </r>
      </text>
    </comment>
  </commentList>
</comments>
</file>

<file path=xl/comments2.xml><?xml version="1.0" encoding="utf-8"?>
<comments xmlns="http://schemas.openxmlformats.org/spreadsheetml/2006/main">
  <authors>
    <author>Diego Uriarte</author>
  </authors>
  <commentList>
    <comment ref="J362" authorId="0" shapeId="0">
      <text>
        <r>
          <rPr>
            <b/>
            <sz val="9"/>
            <color indexed="81"/>
            <rFont val="Tahoma"/>
            <family val="2"/>
          </rPr>
          <t>Diego Uriarte:</t>
        </r>
        <r>
          <rPr>
            <sz val="9"/>
            <color indexed="81"/>
            <rFont val="Tahoma"/>
            <family val="2"/>
          </rPr>
          <t xml:space="preserve">
previously 1, it should be 6 according to page 11
</t>
        </r>
      </text>
    </comment>
    <comment ref="J364" authorId="0" shapeId="0">
      <text>
        <r>
          <rPr>
            <b/>
            <sz val="9"/>
            <color indexed="81"/>
            <rFont val="Tahoma"/>
            <family val="2"/>
          </rPr>
          <t>Diego Uriarte:</t>
        </r>
        <r>
          <rPr>
            <sz val="9"/>
            <color indexed="81"/>
            <rFont val="Tahoma"/>
            <family val="2"/>
          </rPr>
          <t xml:space="preserve">
previously 1, it should be 6 according to page 11
</t>
        </r>
      </text>
    </comment>
    <comment ref="AC477" authorId="0" shapeId="0">
      <text>
        <r>
          <rPr>
            <b/>
            <sz val="9"/>
            <color indexed="81"/>
            <rFont val="Tahoma"/>
            <family val="2"/>
          </rPr>
          <t>Diego Uriarte:</t>
        </r>
        <r>
          <rPr>
            <sz val="9"/>
            <color indexed="81"/>
            <rFont val="Tahoma"/>
            <family val="2"/>
          </rPr>
          <t xml:space="preserve">
control mean only for first follow-up
</t>
        </r>
      </text>
    </comment>
  </commentList>
</comments>
</file>

<file path=xl/sharedStrings.xml><?xml version="1.0" encoding="utf-8"?>
<sst xmlns="http://schemas.openxmlformats.org/spreadsheetml/2006/main" count="21657" uniqueCount="1790">
  <si>
    <t>Planning</t>
  </si>
  <si>
    <t>Charla del 26-jul</t>
  </si>
  <si>
    <t>- Carlos miro los 200 papers que Daniel habia descartado pero que Carlos los hizo pasar</t>
  </si>
  <si>
    <t xml:space="preserve">- Carlos reviso muchos de Europa. Hay dos temas. El metodologico es que tipicamente usan propensity score matching usando datos longitudinales y luego hacen una comparacion de </t>
  </si>
  <si>
    <t xml:space="preserve">   medias luego. Ahora, muchos de ellos evaluan "any ALMP" y entonces directamente deberiamos descartarlos.</t>
  </si>
  <si>
    <t>- Lo que si quizas deberiamos hacer es refinar los criterios de exclusion. En particular, deberiamos incluir a las evaluaciones de programas en donde se evalua "any job training program"</t>
  </si>
  <si>
    <t xml:space="preserve">  Y por ello, habria que revisar los papers de Europa porque algunos entrarian.</t>
  </si>
  <si>
    <t>- Es importante organizar los papers por continente, pais y programa. Esto es porque los papers estan muy relacionados. Entonces, es importante leer juntos los papers de un pais porque</t>
  </si>
  <si>
    <t xml:space="preserve">   tienden a ser muy similares.</t>
  </si>
  <si>
    <t>- Habria que revisar algunos papers de Estados Unidos porque quizas ahora no van a pasar los criterios de exclusion porque los hemos refinado. Por ejemplo, el JTPA provee financiamiento</t>
  </si>
  <si>
    <t xml:space="preserve">   a los estados y da flexibilidad de como usar estos fondos. Quizas en algunos estados se financia job search y por ello, deberiamos descartar una evaluacion de JTPA en su conjunto (GAO 1996).  </t>
  </si>
  <si>
    <t xml:space="preserve">   Ademas, hay papers que presentan los resultados de multiples programas y actualmente esto fue codificado como una evaluacion y los efectos separados por ciudad se codificaron (Freedman 2000 i, Freedman 2000 ii)</t>
  </si>
  <si>
    <t>- Hacia adelante, habria que revisar esos 130 papers y ademas seguramente habra que mirar otros papers que ya fueron revisados teniendo en cuenta los criterios de exclusion refinados y viendo</t>
  </si>
  <si>
    <t xml:space="preserve">   el conjunto de papers que se han hecho de un programa.</t>
  </si>
  <si>
    <t>Pasos</t>
  </si>
  <si>
    <t>0) Organizar los archivos y directorios de forma tal que cualquier persona que se una al proyecto pueda encontrar los archivos e informacion facilmente (Carlos)</t>
  </si>
  <si>
    <t>1) Averiguar si podemos conseguir los 6,000 dolares que nos faltan para terminar (Julian pregunta a Laura Ripani y Julian Messina)</t>
  </si>
  <si>
    <t>2) Encontrar algunos candidatos potenciales (Julian)</t>
  </si>
  <si>
    <t>3) Contactar y entrevistar a los candidatos y elegir uno (Pablo)</t>
  </si>
  <si>
    <t>4) Entrenar al nuevo consultor/a (Pablo)</t>
  </si>
  <si>
    <t>5) Supervisar el trabajo del nuevo consultor/a (Pablo)</t>
  </si>
  <si>
    <t>Population</t>
  </si>
  <si>
    <t>Gender</t>
  </si>
  <si>
    <t>Age group</t>
  </si>
  <si>
    <t>Months of delay</t>
  </si>
  <si>
    <t>Outcome type</t>
  </si>
  <si>
    <t>Attrition rate</t>
  </si>
  <si>
    <t>% treatment attrited - % control attrited
(Beta)</t>
  </si>
  <si>
    <t>% treatment attrited - % control attrited
(SE)</t>
  </si>
  <si>
    <t>Table</t>
  </si>
  <si>
    <t>N</t>
  </si>
  <si>
    <t>Nt</t>
  </si>
  <si>
    <t>Nc</t>
  </si>
  <si>
    <t>Beta</t>
  </si>
  <si>
    <t>SE</t>
  </si>
  <si>
    <t>Yc (post)</t>
  </si>
  <si>
    <t>Comments</t>
  </si>
  <si>
    <t>SD (post)</t>
  </si>
  <si>
    <t>Which SD (post)</t>
  </si>
  <si>
    <t>Yt (post)</t>
  </si>
  <si>
    <t>t</t>
  </si>
  <si>
    <t>F</t>
  </si>
  <si>
    <t>p-value</t>
  </si>
  <si>
    <t>CI_low</t>
  </si>
  <si>
    <t>Other</t>
  </si>
  <si>
    <t>Review (Y/N)</t>
  </si>
  <si>
    <t>Why</t>
  </si>
  <si>
    <t>Source ID</t>
  </si>
  <si>
    <t>Country</t>
  </si>
  <si>
    <t>Betcherman 2004</t>
  </si>
  <si>
    <t>USA</t>
  </si>
  <si>
    <t>Job Training Partnership Act (JTPA)</t>
  </si>
  <si>
    <t>Crepon 2016</t>
  </si>
  <si>
    <t>Card 2015</t>
  </si>
  <si>
    <t>Attanasio 2011 i</t>
  </si>
  <si>
    <t>Groh 2016 i</t>
  </si>
  <si>
    <t>Hirshleifer 2016 i</t>
  </si>
  <si>
    <t>McKenzie 2017</t>
  </si>
  <si>
    <t>Vooren 2017</t>
  </si>
  <si>
    <t>Escudero 2017</t>
  </si>
  <si>
    <t>Acero 2009</t>
  </si>
  <si>
    <t>Tripney 2013</t>
  </si>
  <si>
    <t>Acero 2009 ii</t>
  </si>
  <si>
    <t>Chile</t>
  </si>
  <si>
    <t>Attanasio 2015 i</t>
  </si>
  <si>
    <t>Ibarraran 2014 i</t>
  </si>
  <si>
    <t>Ibarraran 2015 ii</t>
  </si>
  <si>
    <t>Dominican Republic</t>
  </si>
  <si>
    <t>Adoho 2014 i</t>
  </si>
  <si>
    <t>Alzua 2016</t>
  </si>
  <si>
    <t>Cave 1993 i</t>
  </si>
  <si>
    <t>Diaz 2016</t>
  </si>
  <si>
    <t>Maitra 2017 i</t>
  </si>
  <si>
    <t>Schochet 2008 i</t>
  </si>
  <si>
    <t>Acevedo 2017 i</t>
  </si>
  <si>
    <t>Acevedo 2017 ii</t>
  </si>
  <si>
    <t>Filges 2015</t>
  </si>
  <si>
    <t>Sweden</t>
  </si>
  <si>
    <t>Multiprogram</t>
  </si>
  <si>
    <t>Adhvaryu 2016</t>
  </si>
  <si>
    <t>India</t>
  </si>
  <si>
    <t>Kluve 2017</t>
  </si>
  <si>
    <t>Liberia</t>
  </si>
  <si>
    <t>Argentina</t>
  </si>
  <si>
    <t>J-PAL 2017</t>
  </si>
  <si>
    <t>Kaplan 2015 i</t>
  </si>
  <si>
    <t>Alcid 2014</t>
  </si>
  <si>
    <t>Rwanda</t>
  </si>
  <si>
    <t>Germany</t>
  </si>
  <si>
    <t>Alvares de Azevedo 2013</t>
  </si>
  <si>
    <t>Kenya</t>
  </si>
  <si>
    <t>Ninaweza</t>
  </si>
  <si>
    <t>Eren 2014</t>
  </si>
  <si>
    <t>Biewen 2014</t>
  </si>
  <si>
    <t>Anderson 1991</t>
  </si>
  <si>
    <t>New Jersey Unemployment Insurance Reemployment Demostration Project (NJUITDP)</t>
  </si>
  <si>
    <t>Andrén 2006</t>
  </si>
  <si>
    <t>Greenberg 2003</t>
  </si>
  <si>
    <t>Kluve 2008 i</t>
  </si>
  <si>
    <t>Colombia</t>
  </si>
  <si>
    <t>Auspos 1988</t>
  </si>
  <si>
    <t>Training Opportunities in the Private Sector (TOPS)</t>
  </si>
  <si>
    <t>Denmark</t>
  </si>
  <si>
    <t>Bampasidou 2012</t>
  </si>
  <si>
    <t>Schochet 2006</t>
  </si>
  <si>
    <t>Hendra 2016</t>
  </si>
  <si>
    <t>Miller 2003 ii</t>
  </si>
  <si>
    <t>Bausch 2016</t>
  </si>
  <si>
    <t>Morocco</t>
  </si>
  <si>
    <t>Mueser 2007</t>
  </si>
  <si>
    <t>Bendewald 2016</t>
  </si>
  <si>
    <t>Chakravarty 2016 ii</t>
  </si>
  <si>
    <t>Calero 2016</t>
  </si>
  <si>
    <t>Bloom 1990</t>
  </si>
  <si>
    <t>Peru</t>
  </si>
  <si>
    <t>Youth Training Program (PROJOVEN)</t>
  </si>
  <si>
    <t>Burghardt 1992</t>
  </si>
  <si>
    <t>Honorati 2015</t>
  </si>
  <si>
    <t>Brazil</t>
  </si>
  <si>
    <t>Galpão program</t>
  </si>
  <si>
    <t>Calero 2017 i</t>
  </si>
  <si>
    <t>MDRC</t>
  </si>
  <si>
    <t>Chakravarty 2016</t>
  </si>
  <si>
    <t>Nepal</t>
  </si>
  <si>
    <t>Diaz 2006 ii</t>
  </si>
  <si>
    <t>Elias 2004 i</t>
  </si>
  <si>
    <t>Hicks 2015</t>
  </si>
  <si>
    <t>Chong 2006 ii</t>
  </si>
  <si>
    <t>Lei do Aprendiz, Apprentice’s Act</t>
  </si>
  <si>
    <t>Corseuil 2013</t>
  </si>
  <si>
    <t>Corson 1989</t>
  </si>
  <si>
    <t>Corson 1996</t>
  </si>
  <si>
    <t>Norway</t>
  </si>
  <si>
    <t>Das 2017</t>
  </si>
  <si>
    <t>Bangladesh</t>
  </si>
  <si>
    <t>Macours 2013 i</t>
  </si>
  <si>
    <t>De Hoop 2018</t>
  </si>
  <si>
    <t>Nicaragua</t>
  </si>
  <si>
    <t>Dyke 2006 i</t>
  </si>
  <si>
    <t>2 different programs Welfare-to-Work</t>
  </si>
  <si>
    <t>Santa Maria 2009 i</t>
  </si>
  <si>
    <t>Fitzenberger 2000 i</t>
  </si>
  <si>
    <t>FuU
(Fortbildung und Umschulu)</t>
  </si>
  <si>
    <t>Fitzenberger 2016</t>
  </si>
  <si>
    <t>Youth Transition Demonstration (YTD) - Transition WORKS</t>
  </si>
  <si>
    <t>Fraker 2014</t>
  </si>
  <si>
    <t>Freedman 2000 i</t>
  </si>
  <si>
    <t>Freedman 2000 ii</t>
  </si>
  <si>
    <t>GAO 1996</t>
  </si>
  <si>
    <t>Groh 2016</t>
  </si>
  <si>
    <t>Jordan</t>
  </si>
  <si>
    <t>Heckman 2000 i</t>
  </si>
  <si>
    <t>Heckman 2000 iii</t>
  </si>
  <si>
    <t>WorkAdvance</t>
  </si>
  <si>
    <t>Hirshleifer 2016</t>
  </si>
  <si>
    <t>Turkey</t>
  </si>
  <si>
    <t>Jacobson 2014</t>
  </si>
  <si>
    <t>Bono Trabajador Activo</t>
  </si>
  <si>
    <t>Poland</t>
  </si>
  <si>
    <t>Maitra 2017</t>
  </si>
  <si>
    <t>Martinez 2010</t>
  </si>
  <si>
    <t xml:space="preserve">Center for Employment Training (CET) </t>
  </si>
  <si>
    <t>Miller 2005 i</t>
  </si>
  <si>
    <t>Mourelo 2017</t>
  </si>
  <si>
    <t>Labour market training programme (LMT)</t>
  </si>
  <si>
    <t>Raaum 2002 iii</t>
  </si>
  <si>
    <t>Reis 2015</t>
  </si>
  <si>
    <t>National Vocational Training</t>
  </si>
  <si>
    <t>Rosas 2017</t>
  </si>
  <si>
    <t>Youth Employment Support Project (YESP)</t>
  </si>
  <si>
    <t>Rosholm 2009 i</t>
  </si>
  <si>
    <t>Labour Market Training Programmes (AMU)</t>
  </si>
  <si>
    <t>Schaberg 2017</t>
  </si>
  <si>
    <t>Young Adult Internship Program (YAIP)</t>
  </si>
  <si>
    <t>Skemer 2017 ii</t>
  </si>
  <si>
    <t>Soares 2017</t>
  </si>
  <si>
    <t>Stenberg 2015</t>
  </si>
  <si>
    <t>Theodos 2017</t>
  </si>
  <si>
    <t>Urban Alliance High School Internship Program</t>
  </si>
  <si>
    <t>Vinokur 1995</t>
  </si>
  <si>
    <t>Jobs II Program</t>
  </si>
  <si>
    <t>Vinokur 2000</t>
  </si>
  <si>
    <t>Zambrowski 1994</t>
  </si>
  <si>
    <t>1 different programs Minority Female Single Parent (MFSP) demonstration - Center for Employment Training (CET)</t>
  </si>
  <si>
    <t>Paper
 ID</t>
  </si>
  <si>
    <t>Coder
 ID</t>
  </si>
  <si>
    <t>Evaluation
ID</t>
  </si>
  <si>
    <t>Year of start of evaluation</t>
  </si>
  <si>
    <t>Age at baseline</t>
  </si>
  <si>
    <t>Table on context statistics</t>
  </si>
  <si>
    <t>Context
description</t>
  </si>
  <si>
    <t>Program name</t>
  </si>
  <si>
    <t>Treatment and compliance
description</t>
  </si>
  <si>
    <t>Cost 
description</t>
  </si>
  <si>
    <t>Duration
description</t>
  </si>
  <si>
    <t xml:space="preserve">Implementer </t>
  </si>
  <si>
    <t>Table/Figure with detailed effects</t>
  </si>
  <si>
    <t>Paper ID
Complementary 1</t>
  </si>
  <si>
    <t>Paper ID
Complementary 2</t>
  </si>
  <si>
    <t>To review
 (Y/N)</t>
  </si>
  <si>
    <t xml:space="preserve">Why </t>
  </si>
  <si>
    <t>Type of program (skills: technical soft job readiness)</t>
  </si>
  <si>
    <t>type of program class internship</t>
  </si>
  <si>
    <t>jovenes</t>
  </si>
  <si>
    <t>Where is the internship (public, private, subsidized)</t>
  </si>
  <si>
    <t>Where is the classroom intervention (public, private)</t>
  </si>
  <si>
    <t># of citations</t>
  </si>
  <si>
    <t>CH</t>
  </si>
  <si>
    <t>18 - 29
mean: 23</t>
  </si>
  <si>
    <t>Tabla 26</t>
  </si>
  <si>
    <t xml:space="preserve">El grupo objetivo del programa son jóvenes entre 18 y 29 años, en condición de vulnerabilidad, que tengan educación primaria completa y que no hayan completado estudios de educación superior.
Presenta un excelente cumplimiento, con un 2,3% de los beneficiarios de capacitación fuera del rango de edad estipulado para participar en el programa y un 1,8% sin la escolaridad exigida.
Más atención merece el hecho que los seleccionados para tratamiento provienen de hogares con menores recursos económicos. Ello no es debido a diferencias significativas en el número de personas trabajadas en el hogar, ya que los tests estadísticos indican claramente que los hogares de seleccionados para el grupo de tratamiento y de control no difieren en este punto. En cambio, sí parece ser debido a mayores ingresos del resto de miembros del hogar (sean ingresos autónomos o transferencias) ya que persisten las diferencias a favor de los controles cuando se calcula el promedio del ingreso per capita del hogar, excluyendo del cómputo a los propios encuestados.48 Si bien esto no arriesga la calidad de la aleatorización y, por ende, del diseño de la evaluación, debe tenerse en cuenta que los hogares de los tratados cuentan con menos recursos que los de los controles. 
La Tabla 26 permite también caracterizar a la muestra de estudio. Los tratados tienen en promedio 23 años de edad, únicamente un 11% son jefes de hogar, un 28% están casados o conviven con su pareja y viven en hogares de 4,5 integrantes. En promedio cuentan con 11,8 años de escolaridad, la mayoría de ellos (75,9%) ha estudiado educación básica en establecimientos municipales y prácticamente la mitad ha repetido algún curso en educación básica o media. Como era de esperar, viven en hogares de escasos recursos (76.000 pesos de ingreso autónomo per cápita del hogar) y sus padres en promedio no terminaron educación media (9,2 y 9,0 años de escolaridad materna y paterna, espectivamente). Un 18,8% viven en condiciones de hacinamiento y el arriendo promedio (real o dividendo) de sus hogares asciende a casi 90.000 pesos.
</t>
  </si>
  <si>
    <t xml:space="preserve"> Jóvenes al Bicentenario</t>
  </si>
  <si>
    <t xml:space="preserve">El programa Jóvenes al Bicentenario tiene como objetivo declarado “mejorar la empleabilidad de los jóvenes, conectándolos al desarrollo de trayectorias de capacitación que les permitan adquirir las destrezas necesarias para desempeñarse en el mundo del trabajo a partir del conocimiento de un oficio”. 
El programa consta de 6 etapas consecutivas: (i) inscripción; (ii) derivación a diagnóstico; (iii) entrevista de diagnóstico; (iv) capacitación; (v) práctica laboral e (vi) intermediación laboral. Para proximadamente unas 21.000 personas correctamente inscritas, se negociaron con la Dirección de Presupuestos 13.000 cupos para diagnósticos, 10.100 para capacitación, 8.000 para prácticas y 2.000 para intermediación laboral para la cohorte de beneficiarios del año 2008.
Las etapas de diagnóstico y capacitación eran ejecutadas por OTEC diferentes. La elección del curso de capacitación era responsabilidad de la OTEC encargada de realizar la entrevista de diagnóstico, donde se detectaban los intereses y habilidades de los participantes y se establecía una terna de cursos (o “paquetes” de capacitación) que mejor se adecuaban al perfil del participante. Éste ordenaba dicha terna en función de sus preferencias y el programa intentaba entregar, en la medida de lo posible, la capacitación arecibir en función de las mismas. El programa contemplaba entregar a un 60% de los participantes en la capacitación un promedio de 400 horas formativas en el aula y el restante 40% podía llegar hasta las 800 horas. Las prácticas laborales tenían una duración prevista de 360 horas.
Deserción durante etapas y en las transiciones entre etapas del programa: Al considerar sólo la información obtenida de las encuestas, la tasa de deserción en la fase de capacitación es del 16,2%, pero baja un 12,6%, si se restringe la muestra a aquellos encuestados que aparecen efectivamente en los registros del SENCE. En la práctica laboral, la tasa de deserción es del 4,7% y 5,1% utilizando los criterios anteriores, respectivamente. 
Mayores son las tasas de salida del programa entre etapas. De los individuos que completan el diagnóstico, se estima que un 84% ingresa a la capacitación. Un 74% de los encuestados que completan la capacitación pasa a la práctica laboral. Entre los motivos aducidos con mayor frecuencia para abandonar el programa está el haber encontrado empleo y empezar estudios, pudiendo estas razones ser consideradas como salidas exitosas si los empleos tienen las condiciones adecuadas (formalidad, nivel de salario, entre otros), los estudios son formales o las capacitaciones son de calidad. Estas salidas corresponden a un 45% del autoreporte de los no asistentes al diagnóstico, a un 28% de los diagnosticados que no iniciaron la capacitación, un 36% de las y los desertores en la etapa de capacitación, y un 25% de aquellos participantes que completaron la capacitación, pero que no iniciaron la práctica. En su conjunto, un 21,5% de la deserción se debe a salidas potencialmente exitosas del programa. Sin embargo, el principal motivo reportado de salida del programa tras el diagnóstico es no haber sido llamado a la siguiente etapa (40% de respuestas entre los participantes que no entran en la capacitación). Igualmente, un 43% de los desertores tras completar la capacitación no asistió a una práctica, porque no se la ofrecieron. La no convocatoria a etapas posteriores es esperable, al menos en parte, por los cupos decrecientes para etapas sucesivas del programa, pero apunta implícitamente a una entrega insuficiente de información a las y los participantes. De hecho, un 18% de las personas que no asistieron al diagnóstico lo hizo porque no contaba con información suficiente. Finalmente, debe destacarse que un 16% de quienes abandonaron la capacitación lo hizo porque no era lo que esperaba.
Existe una considerable heterogeneidad en las tasas de entrada y deserción en las etapas de capacitación y práctica laboral según la región de implementación del programa. A modo de ejemplo, a partir del autoreporte de los encuestados, no hubo desertores en la etapa de capacitación en la Región de O’Higgins mientras que cuatro de cada diez participantes abandonaron el programa en dicha etapa en la Araucanía. La deserción en la práctica laboral oscila entre un 0% en Coquimbo y casi un 10% en Bío Bío. De la misma manera, hay un rango de variación de 20 puntos porcentuales en las tasas de entrada en capacitación y práctica laboral entre regiones. Existe igualmente una importante heterogeneidad en los tiempos de espera entre regiones, de manera que en algunas (III, V, VI) son más del doble que en otras (IV, XIV).
Esto no puede ser explicado únicamente por una mayor complejidad en la gestión, ya que las diferencias se dan incluso entre regiones con un número similar de beneficiarios, y parecen influir en la mayor o menor salida de los participantes entre etapas. Se espera que la experiencia de gestión ganada, la instalación de un sistema de información y el mayor  atractivo de los cursos de capacitación al entregar más contenidos hayan reducido la magnitud de este problema para las cohortes de beneficiarios de los años 2009 y 2010.
Caracterización de los participantes que terminan el programa. Las mujeres, los individuos con menor experiencia laboral previa, con menos recursos en el hogar y de mayor edad son quienes presentan mayor probabilidad de completar el programa. Al agregar todas estas características individuales, es posible indicar que en general son los beneficiarios más vulnerables los que completan el programa. Por ello, las diferencias estadísticamente significativas a favor de los tratados “completos” en los tests de medias en las variables de impacto respecto al universo de controles estarían subestimando el impacto del programa. Este punto queda confirmado al reestimar los resultados de impacto tras identificar previamente mediante una metodología de propensity score matching a los controles adecuados más parecidos para el grupo de tratados “completos”.
Como se desprende de la Tabla 26, las medias de las muestras de tratados y controles son idénticas para prácticamente todas las variables consideradas, lo que confirma la calidad del proceso de aleatorización. Únicamente existen diferencias significativas para el porcentaje de individuos que cursó educación media en establecimientos municipales y en el ingreso autónomo per capita del hogar. Un 65% de los individuos seleccionados para tratamiento fue escolarizado en educación media en establecimientos públicos frente a un 69% de los seleccionados para el grupo de control. La explicación inmediata de ello es que una mayor proporción de controles ingresó en establecimientos particulares subvencionados, pero no es posible dar una respuesta clara a esta discrepancia estadística a partir de los datos disponibles.
</t>
  </si>
  <si>
    <t>el costo por participante está por encima de los USD 2.000</t>
  </si>
  <si>
    <t>- Un 60% de los participantes en la capacitación  de 400 horas formativas y el restante 40% hasta las 800 horas. 
- Las prácticas laborales tenían una duración 360 horas.</t>
  </si>
  <si>
    <t>Randomization</t>
  </si>
  <si>
    <t>Tabla 27, 30, 32</t>
  </si>
  <si>
    <t>En la práctica un 52% cursó 250 o menos horas de capacitación, un 46% entre 250 y 400 horas y el 2% restante entre 400 y 773 horas. Un 15% de asistentes a los talleres de formación que no completaron ni una hora de capacitación.
Un 30% realizó hasta 270 horas de práctica laboral, un 38% entre 270 y 360 horas, un 28% entre 360 y 480 horas y el 10% restante más de 480 horas.
Ver cuadro 2 para tasas de take-up de las diferentes fases del programa.</t>
  </si>
  <si>
    <t>technical</t>
  </si>
  <si>
    <t>both</t>
  </si>
  <si>
    <t>public</t>
  </si>
  <si>
    <t>AY</t>
  </si>
  <si>
    <t>16-29, mean: 21</t>
  </si>
  <si>
    <t>Tables 4, 5</t>
  </si>
  <si>
    <t>The program, “Programa Juventud y Empleo” (PJyE), was designed to improve the employment opportunities of at-risk youth.
Eligible program applicants were individuals between the ages of 16 and 29, found to be at-risk, and Dominican Republic citizens in possession of a personal
identification card. At-risk was defined as unemployed or underemployed and not having completed secondary school. Moreover, eligible applicants must belong to households with a per capita income not exceeding US$120 per month and located in regions known as Priority I and II according the SIUBEN index.7 A special effort is made to reach out to enroll women. These criteria were meant to target PJyE to the poorest sectors of the population.
Baseline data presented in Table 4 suggests that the program’s selection process was  successful in reaching its target population of young Dominicans with low education levels, from poor households and who were unemployed or underemployed. On average, applicants were 21 years old; 62% were female; and 79% of applicants were single. Almost all applicants had not completed secondary school, which reflected the program’s focus on youth who have either dropped out or put off completion of their secondary education.
Confirming program eligibility rules, unemployment amongst applicants was substantially higher than for the same age group in the general population. About 60% of applicants reported being unemployed during the week before their application; whereas, the national labor force survey (Encuesta Nacional de Fuerza de Trabajo (ENFT)) reported 24% unemployment for the same age group during the first semester of 2009.</t>
  </si>
  <si>
    <t>Juventud y Empleo</t>
  </si>
  <si>
    <t xml:space="preserve">[Vocational training combined with soft skills training and an internship]
We use an at-scale randomized field experiment to examine the impact of imbedding a soft skills component into an at-scale vocational training for youth in the Dominican Republic on skill development, future expectations, labor market outcomes, and well-being. The program, “Programa Juventud y Empleo” (PJyE), was designed to improve the employment opportunities of at-risk youth,2 given the relatively high level of  unemployment among youth. PJyE’s main objective is to improve the employment opportunities of at-risk youth by building their vocational and soft skills. The program provides in-classroom training and an internship in a
private business. It also financed participants’ transportation, medical and accident insurance, and provided them with a small stipend.
There are two treatment arms: (1) vocational training combined with soft skills training and an internship and (2) soft skills only training with an internship.
PJyE built job skills through classroom training and internships, offered by private
institutes known as Operation Centers for the System (COS) that are authorized by the National
Institute for Professional Training (INFOTEP).
The classroom component of the program consisted of vocational training (hard skills) and/or personal skills development (soft skills). The vocational training module included 150 hours of training in occupations, such as sales, beauty salon assistant, tourism and hospitality, carpentry, electricity and others. The personal skills component consisted of 75 hours focused on promoting self-esteem and self-realization, communication skills, conflict resolution, life planning, time management, teamwork, decision-making, hygiene and health, and coaching on risky behaviors. Once the in-classroom training phase was completed, all participants were also assigned to 240- hour internships at private companies, for which participants received a daily stipend of
approximately US$2 and basic insurance. During this period, participants received oversight and job counseling.
PJyE follows what Card et al. (2011) call the “Chilean model” of job training programs in Latin America, where private institutions rather than employers provide classroom training and arrange for internships. The vocational training curricula were developed jointly with the private sector to cover the technical skills that participants would need for the subsequent internship phase. In 2009, the program offered 520 courses for 49 occupations.
The personal skills development component consisted of 75 classroom hours and assignments to be completed by students after class. The curricula aimed to develop participant’s “soft skills” contributing to their development as human beings and to provide participants with the tools to face and manage social risks. Major crosscutting themes in the curricula include values, attitudes and basic personal skills (self-fulfillment, basic cognitive abilities, and social skills) for a successful family, and social and work life.
Of the more than 20,000 youth that applied for the program in 2009, 16,373 fulfilled the eligibility requirements and were selected by their respective COS to be part of the selection process. Of this group, by means of random assignment, 10,397 individuals were offered admission to a hard and soft skills course and 1,604 were offered admission to a soft-skills only course, with the remainder either waitlisted or assigned to the control group. Follow-up surveys were conducted on a random sample of individuals from treatment and
control groups. The evaluation sample included a total of 4,700 youth, of whom 1,638 applicants had been offered admission to a hard and soft skills course, 1,613 to a soft-skills only course and 1,449 applicants were from the control group (see Figure 1).
For the analysis, we work with the sample of individuals who responded to both the third round of the telephone survey and to the final household survey. We also excluded individuals from training centers that did not offer both the combined training and soft-skills only training (Vezza et al., 2014). The final analytic sample consists of 1,051 males and 1,728 females from 70 COSs.
</t>
  </si>
  <si>
    <t>The estimated cost of the JE program was about US$330 per trainee</t>
  </si>
  <si>
    <t>3 months of classroom training, 3 months of internship</t>
  </si>
  <si>
    <t xml:space="preserve">Information on costs is from Card 2011. From email by Sebastian Martinez we know that the classroom training was 150 hours for hard skills, and the internship was 240 hours. This group finished the program in 3+3 months. </t>
  </si>
  <si>
    <t>private-subsidized</t>
  </si>
  <si>
    <t>private</t>
  </si>
  <si>
    <t>The program, “Programa Juventud y Empleo” (PJyE), was designed to improve the employment opportunities of at-risk youth.</t>
  </si>
  <si>
    <t>[Soft skills training and an internship]
We use an at-scale randomized field experiment to examine the impact of imbedding a soft skills component into an at-scale vocational training for youth in the Dominican Republic on skill development, future expectations, labor market outcomes, and well-being. The program, “Programa Juventud y Empleo” (PJyE), was designed to improve the employment opportunities of at-risk youth,2 given the relatively high level of  unemployment among youth. PJyE’s main objective is to improve the employment opportunities of at-risk youth by building their vocational and soft skills. The program provides in-classroom training and an internship in a
private business. It also financed participants’ transportation, medical and accident insurance, and provided them with a small stipend.
There are two treatment arms: (1) vocational training combined with soft skills training and an internship and (2) soft skills only training with an internship.
This evaluation: (2) soft skills only training with an internship.
PJyE built job skills through classroom training and internships, offered by private
institutes known as Operation Centers for the System (COS) that are authorized by the National
Institute for Professional Training (INFOTEP).
The classroom component of the program consisted of vocational training (hard skills) and/or personal skills development (soft skills). The vocational training module included 150 hours of training in occupations, such as sales, beauty salon assistant, tourism and hospitality, carpentry, electricity and others. The personal skills component consisted of 75 hours focused on promoting self-esteem and self-realization, communication skills, conflict resolution, life planning, time management, teamwork, decision-making, hygiene and health, and coaching on risky behaviors. Once the in-classroom training phase was completed, all participants were also assigned to 240- hour internships at private companies, for which participants received a daily stipend of
approximately US$2 and basic insurance. During this period, participants received oversight and job counseling.
PJyE follows what Card et al. (2011) call the “Chilean model” of job training programs in Latin America, where private institutions rather than employers provide classroom training and arrange for internships. The vocational training curricula were developed jointly with the private sector to cover the technical skills that participants would need for the subsequent internship phase. In 2009, the program offered 520 courses for 49 occupations.
Of the more than 20,000 youth that applied for the program in 2009, 16,373 fulfilled the eligibility requirements and were selected by their respective COS to be part of the selection process. Of this group, by means of random assignment, 10,397 individuals were offered admission to a hard and soft skills course and 1,604 were offered admission to a soft-skills only course, with the remainder either waitlisted or assigned to the control group. Follow-up surveys were conducted on a random sample of individuals from treatment and
control groups. The evaluation sample included a total of 4,700 youth, of whom 1,638 applicants had been offered admission to a hard and soft skills course, 1,613 to a soft-skills only course and 1,449 applicants were from the control group (see Figure 1).
For the analysis, we work with the sample of individuals who responded to both the third round of the telephone survey and to the final household survey. We also excluded individuals from training centers that did not offer both the combined training and soft-skills only training (Vezza et al., 2014). The final analytic sample consists of 1,051 males and 1,728 females from 70 COSs.</t>
  </si>
  <si>
    <t>1.5 months of classroom training, 3 months of internship</t>
  </si>
  <si>
    <t>Information on costs is from Card 2011.  From email by Sebastian Martinez we know that the classroom soft skills training was 75 hours, and the internship was 240 hours. This group finished the program in 1.5+3=4.5 months</t>
  </si>
  <si>
    <t>soft</t>
  </si>
  <si>
    <t>mean: 27</t>
  </si>
  <si>
    <t>Table 1</t>
  </si>
  <si>
    <t xml:space="preserve">We conducted a randomized controlled trial (RCT) in five garment factories in Bengaluru, a large city in southern India.
Apparel is one of the largest export sectors in the world, and vitally important for the economies of several large developing countries (Staritz, 2010). India is one of the world’s largest producers of textile and garments, with export value totaling $10.7 billion in 2009-2010. The size of the sector and the labor-intensity of the garment production process make the sector well-suited to absorb the influx of young, unskilled and semi-skilled labor migrating from rural self-employment to wage labor in urban areas, especially women (World Bank, 2012). Women comprise the majority of the workforce in garment factories, and new labor force entrants tend to be disproportionately female, particularly in countries like India where the baseline female labor force participation rate is low (Staritz, 2010). Shahi Exports, Private Limited, the firm with which we partnered to do this study, is the largest private garment exporter in India, and the single largest employer of unskilled and semi-skilled female labor in the country.
There are three broad stages of garment production: cutting, sewing, and finishing. In this study, we estimate program impacts on workers from all departments, except for impacts on productivity and task complexity, which are only available for sewing workers (who make up about 80% of the factory’s total employment).
In the sewing department of the study factories (as in most medium and large garment factories), garments are sewn in production lines consisting of around 70-100 workers arranged in sequence.
Most of the workers on the line are assigned to machines completing sewing tasks (one person to machine). The remaining workers perform complementary tasks to sewing, such as folding or aligning the garment to feed it into a machine. Each line produces a single style of garment at a time (the color and size of the garment might vary but the design and style will be the same for every garment produced by that line until the ordered quantity for that garment is met).
Completed sections of garments pass between machine operators, are attached to each other in additional operations along the way, and emerge at the end of the line as a completed garment. These completed garments are then transferred to the finishing floor. In the finishing department, garments are checked, ironed, and packed for shipping. Most quality checking is done on the sewing floor during production, but final checks are done in the finishing stage. Any garments with quality issues are sent back to the sewing floor for rework or, if irreparably ruined, are discarded before packing. Orders are then packed and sent to ports for export.
Shahi Exports, Private Limited, the firm with which we partnered to do this study, is the largest private garment exporter in India, and the single largest employer of unskilled and semi-skilled female labor in the country.
Participants were chosen from a pool of workers who expressed interest and committed to enroll in the program. The workers were informed that the training was over-subscribed and that a subset of workers would be chosen at random from a lottery to actually receive the training, with untreated workers granted the right to enroll in a later lottery for the next training batch.
</t>
  </si>
  <si>
    <t>-</t>
  </si>
  <si>
    <t xml:space="preserve">We partnered with the largest ready-made garment export firm in India to evaluate an intensive, workplace-based soft skills training program. The initiative, the Personal Advancement and Career Enhancement (P.A.C.E.) program, aims to empower female garment workers (FGWs) via training in a broad variety of life skills, including modules on communication, time management, financial literacy, successful task execution, and problem-solving.
We used a two-stage randomization procedure. We enrolled female garment workers (FGWs) in a lottery for the chance to take part in the P.A.C.E. program. In the first stage, we randomized production lines to treatment. In the second stage, within treatment lines, we randomized workers who had enrolled in the lottery to either direct P.A.C.E. training or spillover treatment. We thus estimate treatment effects by comparing trained workers (on treatment lines) to control workers on control lines (who enrolled in the lottery but whose lines were assigned to control). We estimate spillovers by comparing untrained workers on treatment lines to control workers on control lines. 
The Personal Advancement and Career Enhancement (P.A.C.E.) program was designed and first implemented by GAP Inc. specifically for female garment workers in developing countries. Shahi Exports participated in the original design and piloting of the program as one of the largest suppliers to GAP. The intervention we study involved the implementation of the P.A.C.E. program in five factory units in the Bengaluru area which had not yet adopted the program. The goal of this 80-hour program was to improve life skills such as time management, effective communication, problem-solving, and financial literacy for its trainees. The program began with an introductory ceremony for participants, trainers, and firm management. The core modules were: Communication (9.5 hours); Problem Solving and Decision-Making (13 hours); Time and Stress Management (12 hours); Financial Literacy (4.5 hours); Legal Literacy and Social Entitlements (8.5 hours); and Execution Excellence (5 hours). Appendix Table A1 provides an overview of the topics covered in each module. After all modules had been completed, there were two review sessions of about 3 hours in total to review the experience and discuss how participants would apply their learnings to personal and professional life situations. At the close of the program, there was a graduation ceremony.
Each worker attended training for two hours per week. Management allocated one hour of workers’ production time a week to the program, and workers contributed one hour of their own time.
Training sessions were conducted at the beginning of the production day in designated classroom spaces in the factories, with workers assigned to groups corresponding to different days of the work week. That is, a worker assigned to the Monday group would be expected to attend training starting one hour before production starts on each Monday and ending after the first production hour of the day is completed (i.e., two hours in total). Production constraints required that each day’s group be composed of workers from across production lines so as not to produce large, unbalanced absences from any one line in the first hour of any production day. Accordingly, the training groups were balanced in size with roughly 50 trainees per class. Due to holidays and festivals (which are times of high absenteeism), sessions were conducted in practice somewhat more flexibly. Catch-up sessions were conducted for workers who were unable to attend a session. With these adjustments, overall program implementation took slightly over 11 months: the introductory ceremony was in July 2013, training. 
Additional modules on Water, Sanitation and Hygiene (6 hours) and General and Reproductive Health (10 hours) were also included, but were not considered core modules. Pre/post assessments were not conducted for these ancillary modules and the content in these modules has been reduced in subsequent  implementation was conducted between July 2013 and May 2014, and the closing ceremony in June 2014.
</t>
  </si>
  <si>
    <r>
      <t>For the 1,087 treated workers, total program costs are approximately $90,285, about</t>
    </r>
    <r>
      <rPr>
        <b/>
        <sz val="11"/>
        <color theme="1"/>
        <rFont val="Calibri"/>
        <family val="2"/>
        <scheme val="minor"/>
      </rPr>
      <t xml:space="preserve"> $30,000 of which are overhead costs</t>
    </r>
    <r>
      <rPr>
        <sz val="11"/>
        <color theme="1"/>
        <rFont val="Calibri"/>
        <family val="2"/>
        <scheme val="minor"/>
      </rPr>
      <t>, and the remainder variable costs associated with lost hours.
Operative cost per worker is: 28 USD
See Table 8: Return on Investment Calculations (Costs and Benefits to Firm)</t>
    </r>
  </si>
  <si>
    <t>11 months (51 hours)</t>
  </si>
  <si>
    <t>Private</t>
  </si>
  <si>
    <t>Figure 7</t>
  </si>
  <si>
    <t xml:space="preserve">Duration is calculated based on information from Table A1. 51 hours. However, the training was conducted in sessions of 2 hours per week. Overall duration: 11 months. </t>
  </si>
  <si>
    <t>classroom</t>
  </si>
  <si>
    <t>NGO</t>
  </si>
  <si>
    <t>16-27
mean: 22</t>
  </si>
  <si>
    <t>Table 2, 2A, 2B</t>
  </si>
  <si>
    <t xml:space="preserve">Among young women (15-24) in Liberia, the unemployment rate is 8 percent, double the rate among young men. Most of these gaps can be explained by differences across individuals, especially in educational attainment, skills training, and years of experience. But segregation, market segmentation, and discrimination do play a role in determining these individual characteristics. Women have fewer opportunities for education or training, less access to credit, a larger share of domestic responsibilities, and less independence and control over their own lives. In Liberia, women comprise half of the employed, but only about one-quarter of paid employment.
Fourteen years of civil war in Liberia devastated the country’s infrastructure and institutions, and left a generation of young people with very low levels of education and training. Girls were particularly disadvantaged. In 2003, almost 60% of young girls and 40% of young boys had no formal schooling (ILO/UNICEF 2005). Data from the Demographic and Health survey shows that more than 40 percent of adult women have no education, compared to fewer than 20 percent of men, while 23 percent of women and 44 percent of men have some secondary schooling (DHS 2007). Happily, access to education is rising rapidly, especially for girls: according to the Liberian labor force survey from 2010, the ratio of girls to boys enrolled in primary school has risen from 72 in 2000 to 90 in 2009. Enrollment levels and sex ratios are lower among older children and youth, as they become increasingly engaged in household and productive work. Just over one-third of young (15-24-year-old) Liberians are in the labor force. Young women are more likely than young men to be out of the labor force because they are engaged in household duties (30.4 percent v. 18.9 percent), and young men are more likely to be out of the labor force because they are still in school (75.8 percent v. 63.0 percent).
The study population has an average age of 23 years, with 55% falling between 20 and 24 years. The majority have never been married, while 29% are cohabiting with a partner and only 5% are married. The majority of the study population has started or completed high school, which is consistent with the program’s target group of young women with basic literacy and numeracy, and with the program’s goal not to encourage girls to drop out of school. Thirty-eight percent of the sample was already engaged in at least one income-generating activity (IGA) at baseline.
For the purposes of this study, to be consistent with program objectives and the Liberian context, our definition of income-generating activity encompasses the full range of activities through which people earn money, including paid employment, either formal or informal, and self-employment in small business or through petty trade. The most common types of IGAs reported at baseline were petty trade, including street vending (48% of those with at least 1 IGA), food processing for sale, including baking, cooking, and drying (16%), and home production of crops, livestock, and fish (11%).
It is important to note that the EPAG program was not targeted toward the most vulnerable segments of Liberian society, but rather toward young women with enough education to be able to benefit from a training program of this nature… the average EPAG participant is more educated, more literate, more likely to be engaged in an income-generating activity, and owns more assets than the average Liberian women of the same age group: mobile phone ownership was high (63%), as was the proportion reporting that they had some money of their own (79%).
Family background characteristics of the study population, who tend to come from large families and frequently have lost one or both parents. A large majority (78%) were displaced during childhood or adolescence due to the long-running Liberian civil conflict (1989-1996; 1999-2003). Furthermore, about two-thirds of study respondents were already mothers before entering the program, with small but significant differences between the treatment and control groups. Similarly, 7.5% of study respondents were pregnant at baseline, with a slightly higher rate in the control group.
</t>
  </si>
  <si>
    <t>EPAG (“Economic Empowerment of Adolescent Girls and Young Women”)</t>
  </si>
  <si>
    <t xml:space="preserve">The EPAG project is part of a larger Adolescent Girls Initiative (AGI) administered by the World Bank. The Liberian pilot was launched in March 2010 and has served as a role model to seven subsequent pilot projects in Rwanda, South Sudan, Nepal, Afghanistan, Haiti, Jordan, and Lao PDR.
EPAG was designed to alleviate the barriers to entering the labor market faced by young women, while avoiding the shortfalls of previous skills training programs offered in Liberia. The program combined six months of classroom-based technical and life skills training, with a focus on skills with high market demand, followed by six months of follow-up support to enter wage employment or start a business.
Under the global AGI, young women and adolescent girls are given a package of skills training and complementary services in order to facilitate their successful transition to employment. In the case of EPAG, the intervention consisted of a six month phase of classroom-based training, followed by a six month placement and support phase in which the trainees were supported in their transition to self or wage employment. Upon recruitment, the participants are assigned to a "Job Skills (JS)" track or a "Business Development Services (BDS)" track. When possible, the participant's track preference was honored; however, the demand for the Job Skills track greatly exceeded the supply, so the remaining trainees were placed into the BDS track. In the first round of training, the proportion of Job Skills track places was limited to 35% of the total training places available given the expectation that few wage jobs will be available in the Liberian job market. The Job Skills track provided training in six areas: 1) hospitality, 2) professional cleaning / waste management, 3) office / computer skills, 4) professional house / office painting, 5) security guard services, and 6) professional driving. These areas were determined based on independent labor market assessments, a review of the available market data, and input from EPAG’s private sector partners. All Job Skills trainees received training in entrepreneurship skills as well. The BDS training taught young women how to identify micro-enterprise opportunities based on an assessment of market needs, and how to grow and manage any existing businesses they already had. The curriculum included entrepreneurship principles, market analysis, business management, customer service, money management, and record-keeping.
The EPAG program was implemented by four NGOs who were selected by the Liberian Ministry of Gender and Development through a competitive bidding process. The service providers were responsible for developing training curricula, identifying training venues, making arrangements for childcare services, assisting with the mobilization of the nine target communities, and participating in the recruitment of training participants.
The EPAG program differed from many training programs in a number of ways. First, performance bonuses were awarded to training providers that successfully place their graduates in jobs or micro-enterprises. The bonus was the last payment that the service providers received under their contracts. These were paid about 12 months after the start of training, or around the same time as the midline survey. Second, a variety of contests and competitions were also held among EPAG trainees (such as attendance prizes, quizzing contests, business plan competitions, etc.). Third, the EPAG program was designed around the girls' needs: service providers held both morning and afternoon sessions, to accommodate the participants' busy schedules; trainings were held in the communities where the girls reside; and every site offered free childcare. Fourth, frequent and unannounced monitoring visits by MoGD staff ensured that the service providers created and maintained a high-quality learning environment. Any issues discovered during these monitoring visits were brought to the attention of service providers and resolved swiftly in conjunction with the project coordination team at MoGD.
Eligibility: The EPAG program was targeted to young women who: i) were age 16 to 27, ii) possessed basic literacy and numeracy skills, iii) were not enrolled in school within several months prior of the program initiation, and iv) resided in one of nine target communities in and around Monrovia.6 These eligibility criteria stemmed from the project's objectives to reach young women at an early enough age to significantly improve the trajectory of their working years, to focus on girls who already had the basic literacy and numeracy skills needed to succeed in the labor market, and to avoid incentivizing applicants to drop out of school. The literacy requirement in particular, although basic, made the EPAG program out of reach for many of the most vulnerable young Liberian women; the requirement reflected a deliberate choice on the part of program designers in the face of a tradeoff between serving the most vulnerable and serving those who could most readily make use of this relatively short training program
Retention and Attendance: After dividing EPAG trainees into two rounds, or cohorts, for the training, the first round of training was held from March 2010 to February 2011. The classroom training was held from March through August, during which the project achieved a 95% retention rate (far higher than similar programs in Liberia and elsewhere), and an average attendance rate of nearly 90% during the classroom training phase. EPAG trainees were given incentives to participate and to make the most of their training: they signed "Trainee Commitment Forms" at the start of the training, they were paid small stipends and a completion bonus contingent upon attendance, they were offered free childcare at every training site, they were assisted to open a savings account at a local bank in which to save their stipend money, and they were formed into small groups or "EPAG teams", each with a coach or mentor, to foster support networks and boost attendance.
</t>
  </si>
  <si>
    <t>the unit cost of training in Round 1 was roughly $1200 for the Business Skills track and $1650 for the Job Skills track.</t>
  </si>
  <si>
    <t>6 months (clasroom training)
+
6 months (follow-up support)</t>
  </si>
  <si>
    <t>See Section 5 for a cost-benefit analysis.</t>
  </si>
  <si>
    <t>15 - 38
mean: 21</t>
  </si>
  <si>
    <t>Figure 2-7</t>
  </si>
  <si>
    <t xml:space="preserve">The Akazi Kanoze (AK) Youth Livelihoods Project was a 5-year, $9.8 million project financed by the United States Agency for International Development (USAID) and implemented by Education Development Center, Inc. (EDC) between October 2009 and June 2014. The project provided youth ages 14-35 with market-relevant life and work readiness training and support, hands-on training opportunities, and links to the employment and self-employment job market. The Akazi Kanoze project provided relevant education and workforce training to 18,288 (8,865 M/9,423 F) Rwandan youth, 45% of whom reside in rural areas.
There were 600 baseline participants and 468 total participants matched at the endline. The demographics section below uses the data from the endline. The treatment group (Akazi Kanoze youth) comprised 52.8% of the sample and the remaining 47.2% were control group youth. The treatment and control groups are similar in demographic characteristics and there are no significant differences between groups across gender, age, geographic location, or educational attainment. 
There was close to gender parity in the total sample with 49.4% female and 50.6% male; this is consistent across intervention and comparison groups (see Figure 2).RCT participants’ ages ranged from 15 to 38 years old. Youth in Rwanda is defined as between the ages of 14 and 35 and the majority of RCT participants fell between the ages of 17 and 25 (see Figure 3). The median age for the total sample was 21 years old.
Surveyed youth were from rural areas in the Southern Province of Rwanda. They live in two districts: Huye and Nyamasheke. About two-thirds (64.5%) of the sample were from Huye District and one-third (35.5%) was from Nyamasheke District.
Almost 40% of the treatment group and about 30% of the control group had a primary education level, although no education data were collected for a quarter of the control group youth. Akazi Kanoze aims to target youth with lower education levels so it is not surprising that 90% of participants had less than a secondary school education. There was very little difference in educational attainment between male and female participants and between geographical locations.
At the baseline over 60 percent of participating youth were employed in some form of income generating activity. Some youth were engaged in several income generating activities and the cumulative percentages may add up to more than 100% because of this overlap. About a quarter of participating youth reported that they were employed (working for someone other than their family for wages) and a quarter were self-employed. The remaining working youth earned wages from a cooperative or by working for their family.
</t>
  </si>
  <si>
    <t xml:space="preserve">Akazi Kanoze </t>
  </si>
  <si>
    <t>The Akazi Kanoze (AK) Youth Livelihoods Project was a 5-year, $9.8 million project financed by the United States Agency for International Development (USAID) and implemented by Education Development Center, Inc. (EDC) between October 2009 and June 2014. The project provided youth ages 14-353 with market-relevant life and work readiness training and support, hands-on training opportunities, and links to the employment and self-employment job market. 
The project was divided into two components or result areas:
Result 1: Increase Livelihood Opportunities for Youth
• Akazi Kanoze empowers youth with the necessary tools and resources to enter into a positive development pathway that will lead to increased lifelong livelihood opportunities;
Result 2: Develop a Thriving Youth Livelihood Support System
• Akazi Kanoze builds capacity and creates linkages between youth, the Rwandan economy, and the public and private institutions so that youth can access increased opportunities for productive engagement in Rwandan society.
The project’s theory of change states that the Akazi Kanoze intervention will increase work readiness skills and the employability level of youth, thereby improving livelihood outcomes in the long-term (see Figure 1: Theory of Change on next page). The articulated theory of change is supported by research that demonstrates that work readiness skills increase employability and productivity. Furthermore, Akazi Kanoze provides a skills certification system by awarding passing youth an AK graduation certificate signed by the Rwandan Workforce Development Authority (WDA). Skills certification has become an important quality assurance mechanism for employers6, which makes the Akazi Kanoze certificate a valuable asset.
Akazi Kanoze aimed to enable youth to be more capable of earning a livelihood, through appropriate and relevant connections to life and work readiness training, opportunities, market actors, and skills. In order to achieve the above stated goals, Akazi Kanoze provided youth with a variety of activities and trainings that were implemented by a cadre of local implementing partners:
1. Work Readiness Curriculum: All AK participants underwent a modular, 100-hour work readiness curriculum that included topics such as personal awareness, communication, professional conduct, financial literacy, personal health, and rights and responsibilities. All Akazi Kanoze youth in this final evaluation went through the work readiness curriculum. Youth were administered a completion exam and passing students were awarded with a nationally recognized certificate signed by the WDA.
2. Training and Support Resources: In addition to the core curriculum, AK offered youth access to a menu of more specialized workforce development skills training and resource programs. These included savings groups, in-depth skills training in targeted sectors, literacy/numeracy instruction, entrepreneurship training, and youth mentoring.
Akazi Kanoze youth in this evaluation all received the income generating activities (IGA) training, which focuses on business start-up and self-employment. In addition to the in-class lessons, youth received technical training. Youth in Huye District were trained in hair dressing, hospitality, masonry, carpentry, and welding. Youth in Nyamasheke District were trained in welding, carpentry, and tailoring.
3. Workforce Linkages: AK provided all participating youth with access to workforce linkage opportunities (internships and apprenticeships) including formal sector jobs and entrepreneurship and other livelihood opportunities. After youth finished the in-class and technical training, the majority of the Akazi Kanoze graduates in this evaluation then went onto a three-month internship in their trade of choice. This internship provided them with on-the-job experience and in some cases led to full-time employment.</t>
  </si>
  <si>
    <t>USD 9.8 million over 5 years. It provide Training to 18,288 Rwandan youth, 45% of whom reside in rural areas.</t>
  </si>
  <si>
    <t>+5 months classes (See Table 1)
135 hours
+3 months internship (majority).</t>
  </si>
  <si>
    <t>Alvares de Azevedo 2013 i</t>
  </si>
  <si>
    <t>18-35</t>
  </si>
  <si>
    <t>Table 12</t>
  </si>
  <si>
    <t xml:space="preserve">With funding from the World Bank and Microsoft, the International Youth Foundation (IYF) is coordinating the Ninaweza project, which is an innovative and comprehensive employability program for young women living in six informal settlements surrounding Nairobi, Kenya: Kangemi, Kawangware, Kibera, Korogocho, Mathare and Mukuru.
The purpose of the program was to improve the employability and earning capacity of young women living in the informal settlements of Nairobi.
Six informal settlements was employed as a community mobilizer to raise awareness about the program and to disseminate and receive applications from potential participants on behalf of ACWICT. There was no cost or obligation associated with the application. ACWICT reviewed each application to identify whether participants met the criteria. Those that met the criteria were given a personal identification number (PID).The number selected from each settlement was proportional to the number of applicants from each settlement for each cohort. Within each settlement, those selected were randomly assigned to a group. Applicants assigned to the treatment groups that did not join the program or later dropped out were not excluded from the evaluation, but they rarely came to the training site to take part in later rounds of data collection.
A total of 1,230 applicants were selected to be in the study. This is less than the target of 1,400 respondents and this indicates less interest in the program than anticipated. The take-up rate was also lower than expected with 86.7% of the applicants selected actually joining the program. According to data from the implementing partner, 91.9% of those that joined the program graduated. While M&amp;E data suggests that attrition was not a problem for the program it was an issue for the evaluation: 31.5% of those that took part in the baseline did not take part in the mid-line and 50.2% did not take part in the end-line. Furthermore, although completing the end-line should have been a requirement for graduation, among those that graduated a total of 38.2% did not take part in the end-line.
The eligibility criteria are listed below: 1. Female 2. Aged between 18 and 35 years 3. Completed high school 4. Out of school for at least one year 5. Kenyan citizen 6. Residing in any of the six informal settlements around Nairobi 7. Not employed at the time of application.
</t>
  </si>
  <si>
    <t xml:space="preserve">Treatment 1 - ICT Training + Life skills Training + Internship
The Ninaweza project was designed to provide young women with technical training in ICT, life skills training, work experience through internships, and job placement support. Prior to the training, to ensure that the technical training responds to market demands, ACWICT conducted a study to assess the needs of the local industry. As a result of the study, the training was planned so that the young women would receive training in computer hardware and software, entrepreneurship, and business process outsourcing. The life skills component addressed areas such as self-awareness, emotional intelligence, problem solving, goal setting, job searching, and health practices. The training lasted for 8 weeks. Afterwards, the young women entered an 8-week internship, which was followed by 6 months of job placement support.
The ICT training included 150 hours of lessons ranging from how to manage files and folders; to how to make, edit and share digital videos; to how to set up a computer network. The life skills training included 40 hours of lessons in skills for everyday life (e.g. setting personal goals) and skills for the world of work (e.g. workplace ethics) using ACWICT’s life skills curriculum. In order to accelerate the completion of the training, morning and afternoon shifts were introduced. The training component took 8 weeks for Treatment 2 and training was extended by 2 weeks for a total of 10 weeks to include the life skills component. For Treatment 1, the life skills lessons were staggered with IT lessons and taught throughout the duration of the training. A more detailed explanation of the content of the training in ICT and life skills can be found in the appendix.
Limited training facilities of implementing partner: The intervention involved two full months of training, but the local partner understandably did not have the computers and space to train the full treatment group of 700 young women at once. As a solution, IYF divided the sample into multiple cohorts to maximize the partner’s capacity. IYF also directed efforts at expanding local capacity by instituting morning and afternoon shifts, which halved the time necessary to complete the training. However, as a result it is possible that the quality of the training varied somewhat from cohort to cohort and from shift to shift.
The fact that participants were randomly assigned to treatment and control does not mean that they were randomly selected from the overall population. Eligibility criteria were used, which means that the findings from the evaluation can only be extrapolated to those that meet these criteria. Six informal settlements were targeted and the number of applicants selected from each settlement was proportional to the proportion of applicants from each settlement that applied to each cohort.
The eligibility criteria are listed below:
1. Female
2. Aged between 18 and 35 years
3. Completed high school
4. Out of school for at least one year
5. Kenyan citizen3
6. Residing in any of the six informal settlements around Nairobi4
7. Not employed at the time of application
Compliance: Full compliance to the program was less than expected, primarily due to the time commitments required of the young women and transportation costs. Partial compliance means that some participants received more of the intervention than others. In order to increase compliance, IYF provided transportation stipends for the highest need treatment participants to boost their attendance rates.
A total of 1,230 applicants were selected to be in the study. This is less than the target of 1,400 respondents and this indicates less interest in the program than anticipated. The take-up rate was also lower than expected with 86.7% of the applicants selected actually joining the program. According to data from the implementing partner, 91.9% of those that joined the program graduated.
</t>
  </si>
  <si>
    <t>3 months Training + 2  Internship
Details in weeks:
8w ICT Training
2w Life Skills
8w Internship
6 months - Job Assistance</t>
  </si>
  <si>
    <t>RCT + DID</t>
  </si>
  <si>
    <t>Alvares de Azevedo 2013 ii</t>
  </si>
  <si>
    <t>2 months Training + 2 months Internship
Details in weeks:
8w ICT Training
2w Life Skills
8w Internship
6 months - Job Assistance</t>
  </si>
  <si>
    <t>PG</t>
  </si>
  <si>
    <t>18-30, mean: 23.55</t>
  </si>
  <si>
    <t xml:space="preserve">Entra21 is a job training program for low-income youth in Cordoba, Argentina. The program
specifically targets vulnerable, unemployed youths who have some secondary schooling.
To be considered eligible, individuals had to be unemployed or underemployed, between the ages of 18 and 30, be a high school dropout or graduate, and have a total family income below the poverty line.
The pool of applicants was not representative of Cordoba’s youth, but it was fairly representative of those from low-income backgrounds.
</t>
  </si>
  <si>
    <t>entra21</t>
  </si>
  <si>
    <r>
      <t xml:space="preserve">Entra21 is a job training program for low-income youth in Cordoba, Argentina. Our experimental impact evaluation is based on the first cohort of the program, for which participants were assigned to a treatment or a control group through a public lottery. In total, 560 young people applied to the program and 407 were eligible for the first cohort of trainees.
Entra21 is a regional initiative of job training programs for low-income youth in Latin America. The program is financed by the Multilateral Investment Fund (MIF, based in Washington, DC) and administered at the regional level by the International Youth Foundation (IYF). IYF partners with local organizations, mostly in the private sector (nongovernmental organizations, professional, and business associations), which are the program’s implementers.
entra21 was implemented in several countries in the region. The local organization in charge of the version of the program examined here is the Agencia para el Desarrollo Económico de la Ciudad de Córdoba (ADEC), a public-private nonprofit set up by professional and business associations and Cordoba’s Municipality.
The program’s main objective is to improve the employment opportunities of at-risk youth by building their technical skills and life-skills through courses and work experience in the private sector.
The training includes a regionally standardized classroom-based life-skills training module, as well as vocational training and internships coordinated with private sector employers. In addition to basic information, communications technology, and life-skills training, the classroom component offered training in a specific profession, metier, or skill considered to be in demand by actual firms, as well as general labor market related skills. The participants also took part in an internship to acquire on-the-job skills. Courses were offered in the following fields: cooking and catering, sales and administration, and factory workers (“operarios”). Coursework was divided in different modules: 100 hours of technical classroom training, 64 hours of lifeskills training, and 16 extra hours which varied from basic skills to extra classroom technical training according to each type of course. 
Classroom training took place between mid-November 2010 and February 2011, and was followed by the internship phase (although several participants started internships before completing their coursework and did both concurrently). For the internship, firms were offered a small monthly monetary incentive from the municipal government to cover basic workplace insurance. The program was promoted as offering a free recruiting service for firms with no legal obligation of continuing an employment relationship after the end of the internship. Firms were required to employ the intern for up to 4 months,with a maximum of 20 hours per week, to pay a proportion of the minimum wage according to hours worked, to provide a workplace mentor, and to issue a written certificate of the work experience and training for the intern at the end of the period.
From the 407 eligible applicants, 220 were randomly assigned to participate in the program through this public lottery (for an expected intake of about 200). The remaining 187 were excluded from the program. Out of the total of 220 assigned to treatment group, 146 participated in the program, while the 74 remaining either declined participation at the beginning of the training or could not be reached by the implementing agency. A total of 106 participants completed the training phase, although several others participated partially in the training and/or internship. The scaling up factor used to compute TOT is 0.481 (there were no control contamination).
The program’s main objective is to improve the employment opportunities of at-risk youth by building their technical skills and life-skills through courses and work experience in the private sector. Program administrators highlight that </t>
    </r>
    <r>
      <rPr>
        <i/>
        <sz val="11"/>
        <color theme="1"/>
        <rFont val="Calibri"/>
        <family val="2"/>
        <scheme val="minor"/>
      </rPr>
      <t>entra21</t>
    </r>
    <r>
      <rPr>
        <sz val="11"/>
        <color theme="1"/>
        <rFont val="Calibri"/>
        <family val="2"/>
        <scheme val="minor"/>
      </rPr>
      <t xml:space="preserve"> aims to increase the probability of finding “good quality” jobs in the formal sector, with the objective of reducing joblessness and informality, which are very high among young and vulnerable individuals in the region.                                                                                                          
entra21 ’s higher cost is due to the number of training hours provided, which is greater than that of most training programs in the region. The training includes a regionally standardized classroom-based life-skills training module, as well as vocational training and internships coordinated with private sector employers. 
In addition to basic information, communications technology, and life skills training, the classroom component offered training in a specific profession, metier, or skill considered to be in demand by actual firms, as well as general labor market related skills. The participants also took part in an internship to acquire on-the-job skills.                                                                                                                                                               
All eligible applicants were entered in a lottery drawing which designated those who would be offered to participate in the program (the treatment group) and those who would become part of the control group.4 The lottery took place on November 9th, 2010 with the presence of public officials and members of the several organizations that collaborated in the program (training partners, business associations, etc.), and to stress the transparency of the process, a public notary certified the draw.
The edition of the entra21 program that we study was administered by a public-private non-profit set up by professional and business associations and Cordoba’s Municipality (Argentina), in close coordination with private sector employers.
Although governments can participate in its implementation, one of the hallmarks of the program is the private sector’s very active involvement in its various project components, especially in terms of influencing the programs’ training methods and curricula. In addition to not being a national program, it is usually smaller, and more costly than the typical government program.                                                                                                             
</t>
    </r>
  </si>
  <si>
    <t>The cost of operation per trainee in the program analyzed here was approximately 1,722 USD.</t>
  </si>
  <si>
    <t>3 months classroom training and 1 months of 20h per week internship</t>
  </si>
  <si>
    <t>Figure 1</t>
  </si>
  <si>
    <t xml:space="preserve">For duration, we know that the program started in November 2010, the classes finished in February 2011 and the internship in March 2011 (for most participants). </t>
  </si>
  <si>
    <t>Attanasio 2011</t>
  </si>
  <si>
    <t>18-25
mean: 21.1</t>
  </si>
  <si>
    <t>Table 4A</t>
  </si>
  <si>
    <t xml:space="preserve">The Jóvenes en Acción program was a training program for urban young unemployed that was implemented in the early 2000s in Colombia as part of a wider strategy called Red de Apoyo Social, aimed at providing a safety net for the poorest sectors of the population after the crisis that hit the country in the late 1990s.
The program targets young people between the ages of 18 and 25 in the two lowest socioeconomic strata of the population. Training institutions in the seven largest cities of the country chose the courses to be taught as part of the program. 
It was initially funded with a USD$70 million loan from the Inter-American Development Bank, and was targeted to unemployed youths 18 to 25, who belonged to the poorest population classified in the two lowest levels of a score, called SISBEN.
In 1998, Colombia was hit by the strongest recession in almost 60 years. While the economy had an average gross domestic product (GDP) growth of 3 percent for the entire decade of the 1990s, in 1999 Colombia’s GDP growth fell to −6.0 percent. The economy only recovered to 3 percent GDP growth again in 2003. Given the absence of safety nets in the Colombian economy and the devastating effect that the recession was having on the poorest segments of the population, in 2001 the Colombian government introduced three new social programs to help those hardest hit by the recession. 
As DNP (2000b) highlights, unemployment rates of youths between 18 and 25 years of age of the ten largest metropolitan areas, living in the first and second lowest deciles of the income distribution, at the turn of the Millennium were 62.8 percent and 52.8 percent respectively. The program was implemented in the seven main cities of the country: Bogotá, Medellín, Cali, Barranquilla, Bucaramanga, Manizales and Cartagena. The program, according to AKM, it actually began to enroll them in 2002, and, by 2005, it had enrolled 80,000 students. Table 1 presents some descriptive statistics based on the baseline information of applicants, and also based on their follow-up information from SISPRO and SISBEN. Our baseline information includes 3,956 applicants, 54% of whom are women. In Panel A, we notice that at the moment they applied to the program, they were on average 21 years old, 18 percent were married with an average of 10 years of education. 52% of applicants were employed and 38% of the total were wage earners. Their average earnings were COP$103 thousands (at December 2013 pesos). Only 8.9% worked in the formal sector, 7.8% had a written contract, and they worked an average of 12.3 days per month and 25.9 hours per week. Men were less likely to be married, and more likely to be working, and in particular, to be wage earners, with higher earnings, more formal and more likely with a written contract. Finally, they worked more days per month and hours per week (Table 1, Panel A).
(In Attanasio 2011): Monthly wage and salary earnings are 95,417 Colombian pesos (COP), or US$40.37/ month or US$1.35/day. If these individual earnings were the only source of income in their households, then these individuals would be living in poverty, or close to extreme poverty, as defined by the World Bank. Self-employment earnings are even lower.
</t>
  </si>
  <si>
    <t>Jovenes en Accion</t>
  </si>
  <si>
    <t xml:space="preserve">The program Jóvenes en Acción (which translates as Youth in Action) was introduced between 2001 and 2005 and provided three months of in-classroom training and three months of on-the-job training to young people between the ages of 18 and 25 in the two lowest socioeconomic strata of the population. Training institutions in the seven largest cities of the country chose the courses to be taught as part of the program and received applications. Each institution was then asked to select more individuals than they had capacity for in each of the classes it offered. Subsequently, the program randomly offered training to as many people as there were slots available in each class from among the individuals initially chosen by the training institutions. The remaining youths were then used as a control group not selected into training. The advantage of this design is that it attempts to capture the process of trainee selection as it would take place in practice, rather than force the training institutions to train individuals they would otherwise not choose to train. This means that the results focus on the population of individuals good enough to be accepted into such a program.
The program’s goal, was to increase the employability of the young beneficiaries and provide them support for building was what called by the program, their project of life. More specifically, its objectives were: (i) to develop the youths’ occupational skills, so to increase their likelihood to become employed and improve their performance at work, (ii) to promote the private supply of relevant job training programs for poor youths, and (iii) to put productive poor youths and training institutions closer to firms.
Training consisted of three months of classroom training and three months of on-the-job training. Classroom training was provided by private training institutions, which had to participate in a bidding process to be able to participate in the program. The training institutions were selected based on the following criteria: legal registration, economic solvency, quality of teaching, and ability to place trainees after the classroom phase into internships with registered employers. In 2005, there were a total of 114 training institutions offering 441 detailed types of courses to 989 classes with a total of 26,615 slots for trainees, which means that the average class had 27 students. The vocational skills provided by the courses were very diverse. Appendix Table A1 provides the distribution of courses further grouped into 70 categories. The greatest number of courses was offered in administrative occupations (such as sales, secretarial work, marketing, warehouse and inventory work, and archival work). However, there were also a large number of courses in manual occupations (such as seamstresses, electricians, and cooking assistants), as well as courses in fairly skilled occupations including (IT specialists, data entry, surveyors, and accountant assistants). Private training institutions played a fundamental role in determining what courses were offered, how they were marketed, and how they were designed. The average number of hours of training per instructor was about 7.56 hours per day.9 Of the participating training institutions 43.2 percent were for profit and 56.8 percent were nonprofit. Training institutions were paid according to market prices and were paid conditional on completion of training by the participants of the program. On-the-job training was provided by legally registered companies, which provided unpaid internships to the participants. There were a total of 1,009 companies that participated in the program. These companies operated in manufacturing (textiles, food and beverages, pharmaceuticals, and electricity), retail and trade, and services (including security, transportation, restaurants, health, childcare, and recreation). The internships offered an average of 5.19 daily hours of on-the-job training (with a standard deviation of 0.53). The program provided a cash transfer of about US$2.20 per day to male and female trainees without young children throughout the 6 months in the program to cover for transportation and lunch, which was provided conditional on participation in the program. The amount was increased to about US$3.00 per day for women with children under 7 years of age to help cover childcare expenses.
Jóvenes en Acción essentially consisted of training courses designed and provided by private institutions, known as ECAP. The course had to have three main components: (i) classroom training; (ii) on-the-job training; and (iii) the youth’s project of life.
We evaluate Jóvenes en Acción, which provided subsidized training to poor young people living in urban areas. The program, Jóvenes en Acción, reached 80,000 young people (or approximately 50 percent of the target population) and was given to various cohorts over a period of four years. The first cohort received training in 2002 and the last one received training in 2005. This analysis evaluates this last cohort, which is the one that was randomly assigned to training.
The aim was to develop occupational skills, social skills and broader career objectives. The program also included a small stipend of about USD$2.20 per day for trainees without children under seven years of age, and to about USD$3.00 per day for women with children under seven.
The first component was expected to last between 280 and 350 hours and was focused both on the development of basic abilities for becoming employed (independent of the specific field), and the development of occupation specific skills. The former objective was pursued by providing the youths with basic social abilities and developing their soft skills: teaching them to be proactive, resourceful and open to feedback; improving their verbal and written communication skills; their analytic, deductive and daily work problems solving skills; by encouraging them to assimilate and understand their job’s organizational environment; by developing teamwork skills, etc. The latter goal was pursued by providing training in the specific field of their interest, including the expertise in the use of equipment and tools, didactic material, and the procurement of services; products or services production, etc.
The second component consisted of three months of on-the-job training, and was about 480 hours long, conditional on the labor schedule of the specific firms in which the youths were trained. The training institutions, ECAPs, when designing the training courses, they had to identify participating employers that would take the young trainees on an apprenticeship basis. The ECAPS also wrote a training plan to facilitate the completion in the firm of the training process that began in their classrooms. It also includes an assessment of the youths’ performance in terms of their achievements, agreed upon by the firm, the ECAP, and the youth.
The third component, the project of life, pursued the youths’ comprehensive human development, orienting them towards a positive visualization of their abilities, personal and work perspectives; providing them with tools for decision-making. It encouraged the youths to reflect on their work, their imminent insertion in the labor force, and its meaning with respect to their future labor market perspectives, helping them build their labor identity. This component took place all through the six months of the intervention.
Compliance among applicants is 97%, our ITT estimates should not differ substantially from the average treatment effect in this population.
The randomization worked as follows. For each class that was oversubscribed, each site or training institution was instructed to select a list of up to 50 percent more applicants than they had capacity for. The population at risk of random assignment were, thus, all applicants, and the risk sets were all classes in each site. 
To summarize, we conclude that while the randomization proved successful for women, there seem to be some question marks with regard to the experimental integrity for men. Because of these concerns with random assignment of men, as well as the differential attrition of men from our sample, the results for this group should be interpreted with some caution.
</t>
  </si>
  <si>
    <t>The program spent US$60 million or 750 USD per participant.
See Table 6 in Attanasion 2015 for Cost-Benefit Analysis.</t>
  </si>
  <si>
    <t>January 2005 - July 2005, 3 month of classroom training and 3 months of on-the-job training</t>
  </si>
  <si>
    <t>I got duration data from Attanasio 2011 i, since is the same evaluation.</t>
  </si>
  <si>
    <t>Table 1, Table 2</t>
  </si>
  <si>
    <t xml:space="preserve">Figure 1
Figure 2
Figure 3
</t>
  </si>
  <si>
    <t>DH</t>
  </si>
  <si>
    <t>Schochet 2008</t>
  </si>
  <si>
    <t>16-24</t>
  </si>
  <si>
    <t>Table 4-4</t>
  </si>
  <si>
    <t>Job Corps was established in 1964 under the Economic Opportunity Act with the purpose of providing
assistance to disadvantaged youths aged 16–24. It is an intense program with more than 110 centers
throughout the USA and offers academic, vocational, and social training, as well as health care,
counseling, and job placement services. To be eligible for Job Corps, applicants must meet several
criteria including, but not limited to, age, poverty status, citizenship, need for additional education
and training, and mental stability.</t>
  </si>
  <si>
    <t>Job Corps</t>
  </si>
  <si>
    <t>Job Corps is the nation’s largest vocationally focused education and training program for disadvantaged youths. 
The National Job Corps Study is the first nationally representative experimental evaluation of a federal employment and training program for disadvantaged youths.
From late 1994 to early 1996, nearly 81,000 eligible applicants nationwide were randomly assigned to either a program group, who were allowed to enroll in Job Corps, or to a control group, whose 6,000 members were not. Study findings are based on the comparisons of the outcomes of program and control group members using survey data collected during the four years after random assignment, and administrative earnings data covering the nine years after random assignment. This paper presents impact findings from this evaluation.
The Job Corps program  currently operates under the provisions of the Workforce Investment Act (WIA) of 1998. DOL administers Job Corps through a national office and six regional offices. Private and public agencies under contract to DOL provide Job Corps services.
Job Corps services are delivered in three stages: outreach and admissions, center operations, and 
placement. The outreach and admissions functions are performed by agencies typically
located in disadvantaged communities. These agencies recruit for Job Corps mainly by providing program information to community organizations working with youth, such as schools, courts, employment services, and welfare agencies. When youth apply to Job Corps, these agencies ensure that applicants are informed about the program and meet eligibility criteria. During the study, it took about three weeks on average between program application and eligibility determination. Once found eligible, the agencies assigned the youths to a center, typically about one month later. The 73 percent of youths in the program group who enrolled in centers typically did so within one to four weeks after their center assignments. 
While at centers, participants receive intensive vocational training, academic education, and a wide range of other services, including counseling, social skills training, and health education.
The heart of Job Corps is the services provided at centers. At the time of the study, there were 110 Job Corps centers nationwide. These centers ranged in size from about 200 to 2,600 slots; about half of participants were served in 49 medium-sized centers with 226 to 495 slots, and about one-third were served in 16 large centers with 496 slots or more. Most centers are operated by private contractors, although about one-quarter are operated by the US Departments of Agriculture and Interior. Centers are located in both rural and urban areas. About two-thirds of participants in our sample enrolled in centers in their home state, and half enrolled in a center that was the closest or second closest center to their home.
While at centers, participants receive intensive vocational training, academic education, and a wide range of other services, including counseling, social skills training, and health education. At the time of the study, Job Corps offered vocational training in more than 75 trades, and a typical center offered 10 or 11 trades. The vocational curricula were developed with input from business and labor organizations, and emphasize the achievement of specific competencies necessary to work in a trade. Academic education aims to alleviate deficits in reading, math, and writing skills, and to provide a General Educational Development (GED) certificate. Job Corps has a uniform, computer-based curriculum for major academic courses. Most academic and vocational instruction is individualized and self-paced. The length of time a youth spends at Job Corps varies widely, but at the time of the study, the average participant was enrolled for eight months.
A unique feature of Job Corps is that most participants reside at a center while training. Even the 13 percent of participants who are nonresidential and reside at home spend most of each
weekday at the center. Both residents and nonresidents receive meals, health and dental care, and can participate in student government and recreation activities.
Each Job Corps applicant was randomly assigned soon after the youth was found eligible for the program. 
To initiate random assignment, outreach and admissions counselors sent program intake forms to Mathematica Policy Research, Inc. (MPR) soon after applicants were determined to be eligible for the program. MPR then conducted random assignment and notified outreach and admissions counselors of the random assignment results within 48 hours of receiving completed program intake forms. Outreach and admissions counselors notified youths of the results. Over 1,300 Job Corps outreach and admissions counselors nationwide were directly involved in random assignment.
Job Corps provides placement services to help participants find jobs or pursue additional training. These services are provided by center staff while youth are enrolled in centers and for six months afterward by placement agencies in the communities in which the youth reside. Contracts to provide placement, outreach and admissions, and center services are separate, but some agencies hold multiple types of contracts.
Job Corps differs from these other programs for disadvantaged youth in three main ways. First, Job Corps offers more comprehensive services than other programs. While other programs may offer basic education, vocational training, or counseling, only Job Corps offers all these services along with a wide range of support services associated with residential living (such as health care and recreation). Second, Job Corps is more intensive and, hence, expensive. Third, while other education or training programs are administered by state or local agencies, Job Corps is administered by DOL.
The National Job Corps Study is based on a national sample of eligible program applicants. With a few exceptions, all youths who applied to Job Corps in the 48 contiguous states between November 1994 and December 1995 and were found eligible by the end of February 1996 were randomly assigned to either a program or control group.1 Program group members were allowed to enroll in Job Corps; control group members were not for three years after random assignment, although they could enroll in other training or education programs. Thus, the counterfactual for the evaluation is other available programs that the study population would enroll in if Job Corps were not an option.
The evaluation is based on large samples. Nearly 81,000 eligible applicants were randomly assigned. During the sample intake period, 5,977 youths (about 7 percent of the total) were randomly assigned to the control group, 9,409 youths were randomly assigned to the program group as part of the research sample—which we refer to hereafter as the treatment group—and the remaining youths were randomly assigned to a program nonresearch group.
Only 1.4 percent of controls enrolled in Job Corps before the end of their three-year embargo period. An additional 3.2 percent of control group members enrolled in Job Corps after their three-year restriction period ended.
The survey analysis sample includes 11,313 youths (6,828 treatments and 4,485 controls) who completed a 48-month interview. The response rate to the 48-month interview in the “intensive baseline” areas was 81 percent for treatments and 78 percent for controls.
Average impact estimates per participant (that is, for those “treated”) were obtained using an instrumental variable approach where the estimated impacts per eligible applicant were divided by the
difference between the treatment group Job Corps enrollment rate (73 percent) and the control group crossover rate.
Treatments received a substantial dose of Job Corps services. About 73 percent enrolled in centers. The average length of stay per participant was about eight months, although duration varied considerably; nearly one-quarter stayed for over a year, and 28 percent stayed for less than three months. About 85 percent of participants reported receiving academic and vocational instruction in Job Corps, and the average participant received nearly 1,200 hours of instruction. Participants also took part in the many other Job Corps activities, such as parenting education, health education, social skills training, cultural awareness classes, and recreation.
About 70 percent of controls enrolled in education and training programs other than Job Corps during the four years after random assignment (Table 2). Participation rates were highest in programs that substitute for Job Corps: GED programs, high school, and vocational, technical, or trade schools (about 33 percent each).
Job Corps is the most intensive remedial education and vocational program for low-income youths in the United States. It was established by the Economic Opportunity Act of 1964, and is operating under the provisions of the Workforce Investment Act of 1998 and administered by the Department of Labor through a national office and nine regional offices. Throughout its existence, JC has served more than 2 million youths and every year, it accepts about 60,000 new participants in 120 centers located across the U.S. with an average $14,000 cost per participant, characterizing it as one of the most expensive programs. Job Corps has distinct features that distinguish it from other training programs which the success of the program is based on: (i) the target group, (ii) the services, and (iii) its residential component.
Being the oldest training program for low-income youths, JC has undergone several changes to match the policy changes and recommendations in terms of its target population. In the 1960’s, JC served youths between 16 to 21 years of age from low-income families. The program widened its target age-group when JTPA passed to serve disadvantaged youths of 16 to 24 years old, residing in a disruptive environment.
With the passing of WIA, JC formulated its current eligibility criteria. Applicants must meet the following criteria in order to be considered eligible for admission in JC: (1) be of age 16 to 24; (2) have registered with the selective service board if aged 18 or older; (3) have parental consent; (4) be a legal U.S. resident; (5) be economically disadvantaged1 ; (6) need additional education, training or job skills; (7) live in a disruptive environment; (8) have a clean health history; (9) be free of serious behavioral problems; (10) have an adequate child care plan and (11) possess the capability and aspirations to benefit from JC.
Another distinct feature of the program is the services it offers to participants which despite the years the program is in effect have kept their original structure. Job Corps services are delivered in three stages: outreach and admissions (OA), center operations (CO), and placement. Outreach and Admissions are situated in disadvantaged 1 According to JC, a youth is categorized as economically disadvantaged if her/his family is receiving public assistance or the family income is below the poverty level as defined by the Department of Health and Human Services (DHHS) (Schochet et al., 2001b)
communities and recruit for JC mostly through schools, courts, employment services and welfare agencies. OA counselors are responsible for ensuring that applicants meet the eligibility criteria and informing them with respect to the program. Center operations take place at 120 Job Corps centers nationwide in both rural and urban areas with the majority of those centers being operated by private contractors and around one-quarter operated by the U.S. Department of Agriculture and U.S. Department of Interior. Center operations involve vocational training, academic education, health care and additional services including counseling, social skills training, health education, and recreation.
JC provides an intensive education curriculum emphasizing academic classroom instruction and vocational skills training. Academic education includes remedial education (reading, math and writing skills) and a General Education Development program of high school equivalency. Vocational training areas may vary by center but typically include business and clerical, health, culinary arts and cosmetology, construction, and building and apartment maintenance. Average duration of the program is eight months and is characterized by an open-exit educational philosophy where instruction is individualized and self-paced. Typically, an individual is considered a graduate of the program if he/she has completed 60 or more calendar days of enrollment and has completed the requirements of Career Technical Training, or earned a high school diploma or its equivalent GED or who completes both, while enrolled in JC.
Lastly, placement agencies help participants find jobs in training related occupations by providing assistance with resume writing and interviewing as well as services for job placement and referral. Usually placement activities are performed by state employment offices, private contractors and sometimes by the operational centers. Moreover, placement agencies are responsible of the task of distributing a stipend students receive after leaving JC.
The third distinct feature of the training program is its residential component. With the majority of the students residing in a disruptive environment that may hinder their
performance and trigger the benefits of the program, JC centers offer residential slots characterized by zero-tolerance policy. In fact, around 88% of the participants reside in
the JC centers and only 12% in non-residential slots. Since, eligibility of admittance to the residential centers requires child support and is unlikely to accommodate families,
applicants with family dependents (like spouse, children, parents) are assigned to the non-residential slots. Individuals in both residential and non-residential slots are
exposed to the same academic and vocational training, and other program services</t>
  </si>
  <si>
    <t>Classroom training: 8 months on average</t>
  </si>
  <si>
    <t>Government</t>
  </si>
  <si>
    <t>15-25</t>
  </si>
  <si>
    <t>Table 4-1</t>
  </si>
  <si>
    <t>Morocco is a middle-income country with a GDP per capita of around 7’800 USD (PPP) in 2015 (World Bank 2016). Similar to other countries in the MENA region its economy is plagued by slow job growth and high youth unemployment which stood at 17.5 percent as of 2012. The youth labour market in Morocco is marked by substantial regional disparities. As of 2012, unemployment rates among youth in the Oriental Region were the highest of any region in Morocco: 41 percent in urban areas and 21 percent in rural areas. Its most populous city, Oujda, has about 450,000 inhabitants making it the 12th largest city in Morocco. Economically, its in-land location differentiates it from larger port cities in Morocco, such as Casablanca, Tangier, and Agadir, which tie Morocco to Europe and Sub-Saharan Africa. Also, it is not a centre for tourism like Fez and Marrakesh. However, given Oujda’s proximity to the Algerian border, it serves as a hub for trade between Algeria and Morocco. All this contributes to the Oriental Region being an area in which youth are facing significant labour market barriers.
Aiming to provide a more inclusive approach to youth economic engagement in Morocco, Mennonite Economic Development Associates (MEDA) launched its YouthInvest project in Morocco in 2008. The YouthInvest project sought to promote better economic outcomes for Moroccan youth by bolstering access to financial services, building their capacity to manage their own finances, improving their job-relevant skills and employability, and encouraging youth to create their own employment solutions through entrepreneurship. The primary component of the larger YouthInvest project was MEDA’s “100 Hours to Success” skills training course, the focus of this impact evaluation study.
The intervention we assess targets youth between the ages of 15 and 25 living in Morocco’s Oriental Region.</t>
  </si>
  <si>
    <t>YouthInvest</t>
  </si>
  <si>
    <r>
      <t xml:space="preserve">The course was tailored to provide participating youth with a short but intensive training – totalling around 100 hours of engagement – and was open to all applicants between the ages of 15 and 25 that met basic literacy requirements. The training aimed to address three major skills areas that were identified through market research conducted at the beginning of the project with young people and employers. During this process, three knowledge gaps, prevalent among young people entering the labour market, emerged, namely financial literacy, life skills, and business and entrepreneurship skills. As a response, the training was designed to empower young participants by providing an experience that builds confidence and self-efficacy. On the technical side, learning to manage personal finances and to better access financial services as well as the fundamentals of starting an entrepreneurial activity were central. The training had three primary modules that were delivered in a combined fashion, with trainers given flexibility about the order in which they delivered specific parts of each component. Youth were not able to opt in for any one specific component.
The first component focused on financial education providing participants with practical tools to help them manage their personal finances and, where appropriate, to understand how to set up simple financial management systems for a microenterprise. It included modules focused on personal budgeting, savings, debt management, knowledge about banking services, and financial negotiations. Teaching was based on materials developed under the Global Financial Education Program, adapted by local staff for youth in the Moroccan context, as well as to address the specifics of the local regulatory environment for financial services providers.
Second, the community engagement and life-skills component, adapted from materials developed by the International Youth Foundation, focused on improving personal competencies, problem solving, and conflict management. Built on role play and group work, the units aimed to help youth understand and manage emotions, develop confidence and assertiveness, manage and reduce stress, deal with problems and conflicts, and develop improved abilities to work with teams.
Third, the business and entrepreneurial skills component included modules based on a curriculum initially developed by Street Kids International, and modified by inputs from Save the Children. These modules were adapted to the Moroccan context by local staff based on input from youth themselves. Participants were guided through participatory exercises and role play activities designed to allow them to assess their own abilities regarding business development, to conduct market research for a business idea, and to plan a business (including the development of a pricing strategy, how to evaluate costs, and how to determine profit margins).
Within each component, the training was implemented in an activity-based manner, drawing on participants’ experiences and knowledge. Rather than depending on traditional lectures the course relied on applied problem solving, working through live examples and case studies as its key method of imparting information. The training curriculum was designed to be delivered in a flexible manner, with specific class schedules adjusted around the identified needs of registered participants. Most classes ran over the course of three months. The normal time line for course delivery was two-hour sessions, twice a week for three months. A smaller number of courses were delivered over a month-long period.
</t>
    </r>
    <r>
      <rPr>
        <b/>
        <sz val="11"/>
        <color theme="1"/>
        <rFont val="Calibri"/>
        <family val="2"/>
        <scheme val="minor"/>
      </rPr>
      <t xml:space="preserve">Compliance. </t>
    </r>
    <r>
      <rPr>
        <sz val="11"/>
        <color theme="1"/>
        <rFont val="Calibri"/>
        <family val="2"/>
        <scheme val="minor"/>
      </rPr>
      <t>Low programme take-up is of concern in this study. Out of the 900 youth that were randomly chosen to form the treatment group, 469 individuals started the training programme (see Figure 3-1). However, administrative data show that among this group a considerable number did only attend some of the training sessions. Consequently, the average attendance rate for a person initially assigned to the treatment is around 35 per cent (36 percent when restricting to those included in the follow-up survey). For our analysis, we consider all youth attending at least half of the sessions as treated, provided they attended at least one session of the second half of the course.</t>
    </r>
  </si>
  <si>
    <t>(1 month)
100 hours</t>
  </si>
  <si>
    <t>Y</t>
  </si>
  <si>
    <t>Duration</t>
  </si>
  <si>
    <t>18+
mean: 37</t>
  </si>
  <si>
    <t>Table 2</t>
  </si>
  <si>
    <t>The WIA Adult program provides employment and training assistance to adults who face significant barriers to employment. Minnesota’s Adult program prioritizes individuals who receive public assistance, individuals living with low incomes, and veterans within these groups. For each customer, the overarching goal is employment or enhancement within his or her occupation. Generally, Adult program customers work to increase their earnings, retain employment, and diversify their occupational skills.
The treatment population in this study includes any individual who exited the program between July 1, 2007 and June 30, 2008 (the “2007‐2008 cohort”) or between July 1, 2009 and June 30, 2010 (the “2009‐2010 cohort”).</t>
  </si>
  <si>
    <t>Workforce Investment Act
(WIA)</t>
  </si>
  <si>
    <t>Our treatment group consists of workers who participated in Minnesota’s Workforce Investment Act (WIA) Title 1‐B Adult program. The Adult program provides services through a network of 48 WorkForce Centers. Adult program counselors meet with customers, provide active case management, and coordinate training.</t>
  </si>
  <si>
    <t>DID</t>
  </si>
  <si>
    <t>Biewen 2014 ii</t>
  </si>
  <si>
    <t>25-53</t>
  </si>
  <si>
    <t>Our sample of inflows into unemployment comprises West Germans who become unemployed between the beginning of February 2000 and the end of January 2002, after having been continuously employed for at least 3 months. Entering unemployment is defined as ending regular, nonsubsidized, full-time or part-time employment and subsequently being in contact with the employment office ðnot necessarily immediately, as reflected by a job search spell, benefit receipt, or program participation.15 In order to exclude individuals eligible for specific youth programs or for early retirement schemes, we only consider persons who are aged between 25 and 53 years at the beginning of their unemployment spell.</t>
  </si>
  <si>
    <t xml:space="preserve">Short Term Training: STT Treatment
The main goal of German active labor market policy is to permanently reintegrate unemployed individuals and individuals who are at risk of becoming unemployed back into employment. There exists a wide range of different programs, such as wage subsidies, job creation schemes, youth programs, programs to promote self-employment, and training programs see fig. 1 for an overview. Training programs have traditionally been the most important part of active labor market policy. This article focuses on training programs during the time period 2000–2002.9 There are three main types of training: short-term training Trainingsmaßnahmen, further training Berufliche Weiterbildung, and retraining Umschulung. Apart from the fact that all three types of training require full-time participation, they differ considerably in length and content.
Short-term training programs last only 2–12 weeks the mean duration is slightly over 4 weeks; see table 1Þ, and they typically have one or several of the following three goals. A first goal is to assess job-seekers’ labor market opportunities and their suitability for different jobs. This may also entail profiling and developing a strategy to find a job. A second goal is to test job-seekers’ willingness to work and to improve their job search skills. This may involve job application training. The third goal is the provision of specific skills that are necessary to improve job-seeker’s labor market prospects, for example, through computer courses or commercial training. In 2001, about a fifth of short-term training programs focused on the first and second goals, respectively, and 28%on the third; 31%served more than one of these goals Kurtz 2003.
Table 1 shows that the average monthly training costs per participant are lower for short-term training courses €570 in 2001 than for the medium and long-term programs ð€664Þ. Given that the average length of short-term training is only 1.1 months while that of the longer programs is 9.3 months, this results in 10 times higher costs for the medium- and long-term programs as opposed to short-term training €6,175 vs. €627.
Complete Further Training: CFT Treatment
The more substantial further training programs typically last between several months and 1 year, thus representing medium-term programs. Their goals are to maintain, update, adjust, and extend occupational skills. The programs cover a wide range of fields and may also comprise practical elements such as on-the-job training or working in practice firms. Typical examples include training on marketing and sales strategies, computer-assisted bookkeeping, and operating construction machines, and completing specialist courses in specific legal fields. Depending on their practical content, we distinguish between classroom further training and practical further training.
Finally, retraining programs involve training on a new vocational degree according to the German system of vocational education. They last 2–3 years. Eligibility for one of the training programs requires registration as a job-seeker at the local labor office. This involves a counseling interview with the caseworker. For participation in the longer further training and retraining programs, individuals also have to fulfill a minimum work requirement of 1 year, and they must be entitled to unemployment benefits.
However, there are a number of exceptions. The binding criterion is that the training program has to be considered necessary in order for the jobseeker to take up a job, for example, because the training is required to meet the hiring standards of the job. Training programs are usually assigned by the caseworker depending on the regional supply of upcoming training slots. A participation in training may take place at any point in time during the unemployment spell. Job-seekers have no entitlements regarding participation. A program assignment is compulsory for the job-seeker, and noncompliance may entail benefit sanctions and the exclusion from further services. The employment agency covers all direct training costs. In addition, participants in short-term training may continue to receive unemployment benefits or means-tested unemployment assistance, if eligible. Participants in further training and retraining usually receive a subsistence allowance of the same amount as unemployment benefits or unemployment assistance, provided they fulfill the minimum work requirement.
</t>
  </si>
  <si>
    <t>Average monthly training costs per participant is €664 in 2001</t>
  </si>
  <si>
    <t>1.1 month</t>
  </si>
  <si>
    <t>Figure 3, 4, 5, 6, 7, 8, 9, 10</t>
  </si>
  <si>
    <t>17-29
mean: 23</t>
  </si>
  <si>
    <t xml:space="preserve">The Instituto Stimulu Brazil, a small-scale Brazilian non-governmental organization and the Inter-American Development Bank launched the Galpão program in 2009. It was designed with the sole primary objective of improving the employment and labor earnings of at-risk youth living in the Favelas (squatters’ slum) in Rio de Janeiro, Brazil.
In the first stage, all individuals interested in the program fill a “pre-inscription” questionnaire that includes information related to the personal and household situation, current employment, and education status, among other factors. This information is used to identify individuals with a monthly household income under two minimum salaries and between 17 and 29 years old. Those who meet these criteria are considered for the next phase.
In the second stage, individuals are invited to take mathematics and Portuguese tests on basic concepts. They also go through an interview process. The interview attempts to identify youth who are involved in criminal activities. If the interview reveals that the person is involved in such activities, he is not invited to participate in the program—regardless of his performance on the tests. The youth who perform best on the tests are invited to enroll in the program. Given that the number of eligible individuals is greater than the number of slots available in the program, youth are randomly assigned to the program.
Brazil presents an interesting context for studying youth risk behavior because it ranks 11th among 90 countries in the rate of firearm-related deaths, with 21.9 deaths per 100,000 inhabitants (Waiselfisz 2015). Victims of this violence are more likely to be among the young, and youth violence has shown a sharp increase in the last three decades. According to Waiselfisz (2015), the homicide rate by firearms rose from 12.8 to 47.6 per 100,00 inhabitants between 1980 and 2012—an increase of 271.8% (see Fig. 1). Higher rates of violence have also exposed youth to other types of risks. For instance, the use of illegal drugs (e.g., marijuana or cocaine) has also increased in recent years among the young,2 and criminal organizations continually recruit young individuals, particularly those with low income, little education, and no religious attachment (Carvalho and Soares 2013).
</t>
  </si>
  <si>
    <t>Galpão</t>
  </si>
  <si>
    <r>
      <t xml:space="preserve">The Instituto Stimulu Brazil, a small-scale Brazilian non-governmental organization and the Inter-American Development Bank launched the Galpão program in 2009. It was designed with the sole primary objective of improving the employment and labor earnings of at-risk youth living in the Favelas (squatters’ slum) in Rio de Janeiro, Brazil.
In comparison with other youth training programs in Latin America (LAC), Galpão offers treatment over a long time frame.6 Participants remain in the program 6 months, 5 h a day, 5 days a week. The training includes 300 h of vocational or technical skills, 180 h of training on academic or basic skills, and 120 h on socio-emotional skills. The vocational or technical training prepares youth for jobs mainly in the areas of construction and soldering. The academic or basic skills training includes remedial courses in mathematics and Portuguese. Some of the concepts that the participants learn in these courses are used in the vocational training. For example, to build a metal bench, they use basic concepts from geometry such as an understanding of angles. The socio-emotional skills classes emphasize certain values and basic principles like respect, tolerance, confidence, prudence, courage, ethics, and civic responsibility.
The novel dimension of the project is the pedagogical approach, which makes extensive use of arts and theater. Almost all sessions start with group activities to facilitate the understanding of skills and concepts. The activities include exercises that make extensive use of artistic and theatrical techniques and are directed by program instructors with an artistic background. Unlike other youth training programs, the project did not have an explicit job placement service or a formal internship program. Rather, it relied on informal contacts with private sector partners and partnerships with local firms.
The program’s facilities were located in the port area, away from the Favelas. Because of the high incidence of violence in the Favelas and the youth being unable to move among communities owing to the existence of gangs, the location was chosen in a neutral downtown space. Recognizing that this might be a constraint to participation, the program covered the transportation costs of the participants.
Galpão’s participants are selected in a two-stage process. In the first stage, all individuals interested in the program fill a “pre-inscription” questionnaire that includes information related to the personal and household situation, current employment, and education status, among other factors. This information is used to identify individuals with a monthly household income under two minimum salaries and between 17 and 29 years old. Those who meet these criteria are considered for the next phase.
In the second stage, individuals are invited to take mathematics and Portuguese tests on basic concepts. They also go through an interview process. The interview attempts to identify youth who are involved in criminal activities. If the interview reveals that the person is involved in such activities, he is not invited to participate in the program— regardless of his performance on the tests. The youth who perform best on the tests are invited to enroll in the program. Given that the number of eligible individuals is greater than the number of slots available in the program, youth are randomly assigned to the program.
This paper uses experimental data collected through the randomized trial of Galpão. Given that the number of eligible individuals was greater than the number of slots available in the program, youth were randomly assigned to either the treatment group or the comparison group. In total, 451 youth were eligible. Approximately half of them were randomly assigned to the treatment group and the other half to the control group. There are data for the three cohorts implemented in 2012: the first cohort began in April, the second in June, and the third in July. The data include the socio-demographic characteristics of the individuals as well as information on their cognitive skill (a cognitive test), socio-emotional skills (Grit Scale and a Social and Personal Competencies Scale), risk behavior, earnings, and employment status.
</t>
    </r>
    <r>
      <rPr>
        <b/>
        <sz val="11"/>
        <color theme="1"/>
        <rFont val="Calibri"/>
        <family val="2"/>
        <scheme val="minor"/>
      </rPr>
      <t xml:space="preserve">Compliance. </t>
    </r>
    <r>
      <rPr>
        <sz val="11"/>
        <color theme="1"/>
        <rFont val="Calibri"/>
        <family val="2"/>
        <scheme val="minor"/>
      </rPr>
      <t xml:space="preserve">Around 90% of the treatment group attended the training, and none of the individuals of the control group participated in the program.
</t>
    </r>
  </si>
  <si>
    <t>The cost per participant is R$ 810 (USD 385) a month or R$ 4680 (USD 2225) for the entire training. Transportation costs represent around 27% of the monthly cost.</t>
  </si>
  <si>
    <t>6 months
25h x week
6 months 
300 hours vocational training
180 academic and basic skills
120 socio emotional skills</t>
  </si>
  <si>
    <t>17 - 21</t>
  </si>
  <si>
    <t>Table 2.1, 2.2, 2.3</t>
  </si>
  <si>
    <t xml:space="preserve">The problem of youth unemployment in recent years has been concentrated among high school dropouts who come from poor families. Many are members of minority groups, some of whom confront the continuing existence of job discrimination. A further salient aspect of the problem is the growing proportion of jobless young men who are not in the labor force — that is, no longer looking for work. In 1970, among all young men ages 16 to 24 who had no high school credential and who were not enrolled in school, only 13 percent were defined as not in the labor force; by 1991 this proportion had risen to 25 percent. Among black males the comparable figures were 40 percent in 1970 and 55 percent in 1991.
The program was designed to reach a population largely unserved by existing programs, eligibility requirements were quite specific. Participation was limited to school dropouts who were between 17 and 21 years of age, did not have a high school diploma or GED, read below the eighth-grade level, and satisfied the JTPA definition of “economically disadvantaged” (defined primarily by household income or receipt of public assistance). Recognizing that program operators needed to meet enrollment and performance standard targets, however, the guidelines allowed for up to 20 percent of participants to read at or above the eighth-grade level.
JOBSTART was implemented in 13 study sites: four adult schools (three adult vocational schools and one community college); six community-based organizations (CBOs); and three nonresidential Job Corps programs: Buffalo (NY), Atlanta (GA), New York (NY), Hartford (CT), San Jose (CA), Chicago (IL), Pittsburgh (PA), Monterey Park (CA), Dallas (TX), Denver (CO), Los Angeles (CA), Phoenix (AZ), Corpus Christi (TX). The demonstration ran from 1985 to 1989.
</t>
  </si>
  <si>
    <t>JOBSTARTS</t>
  </si>
  <si>
    <r>
      <t xml:space="preserve">The program model required sites to offer a specified minimum amount of both basic education and occupational training to provide the young people with a real opportunity to enhance their skills. The program model did not specify any particular curricula, though it did encourage - but not require - sites to offer computer-assisted instruction.
</t>
    </r>
    <r>
      <rPr>
        <b/>
        <i/>
        <sz val="11"/>
        <color theme="1"/>
        <rFont val="Calibri"/>
        <family val="2"/>
        <scheme val="minor"/>
      </rPr>
      <t>The intervention may be divided in four components: Basic Education, Occupational skills training, Support services to facilitate participation and Job Placement services.</t>
    </r>
    <r>
      <rPr>
        <b/>
        <sz val="11"/>
        <color theme="1"/>
        <rFont val="Calibri"/>
        <family val="2"/>
        <scheme val="minor"/>
      </rPr>
      <t xml:space="preserve">
</t>
    </r>
    <r>
      <rPr>
        <sz val="11"/>
        <color theme="1"/>
        <rFont val="Calibri"/>
        <family val="2"/>
        <scheme val="minor"/>
      </rPr>
      <t xml:space="preserve">
The 200-hour minimum of </t>
    </r>
    <r>
      <rPr>
        <b/>
        <sz val="11"/>
        <color theme="1"/>
        <rFont val="Calibri"/>
        <family val="2"/>
        <scheme val="minor"/>
      </rPr>
      <t>education</t>
    </r>
    <r>
      <rPr>
        <sz val="11"/>
        <color theme="1"/>
        <rFont val="Calibri"/>
        <family val="2"/>
        <scheme val="minor"/>
      </rPr>
      <t xml:space="preserve"> was based on an estimate of what would be needed to bring the basic skills of most participants reading below the eighth-grade level up to the point where they could qualify for a GED or enter occupational skills training. The 500 hours of training was a compromise between the very lengthy training that research suggested was useful and what was practical in most JTPA environments.
The</t>
    </r>
    <r>
      <rPr>
        <b/>
        <sz val="11"/>
        <color theme="1"/>
        <rFont val="Calibri"/>
        <family val="2"/>
        <scheme val="minor"/>
      </rPr>
      <t xml:space="preserve"> occupational skills component</t>
    </r>
    <r>
      <rPr>
        <sz val="11"/>
        <color theme="1"/>
        <rFont val="Calibri"/>
        <family val="2"/>
        <scheme val="minor"/>
      </rPr>
      <t xml:space="preserve"> required classroom rather than on-the-job training, in the belief that participants would benefit from the intensive, closely supervised instruction possible in a classroom setting. Again, no specific curriculum was required. Recognizing the advantages of applying learning to practical problems, however, the program model required that the training include a combination of theory and hands-on experience. Seeking to increase the chances of placement following training, the program model required that the training prepare participants for jobs in high-demand occupations and be developed in cooperation with local representatives of the private sector.
</t>
    </r>
    <r>
      <rPr>
        <b/>
        <sz val="11"/>
        <color theme="1"/>
        <rFont val="Calibri"/>
        <family val="2"/>
        <scheme val="minor"/>
      </rPr>
      <t>Suppport services.</t>
    </r>
    <r>
      <rPr>
        <sz val="11"/>
        <color theme="1"/>
        <rFont val="Calibri"/>
        <family val="2"/>
        <scheme val="minor"/>
      </rPr>
      <t xml:space="preserve"> The sites were expected to assist participants with transportation and child care. They were also encouraged to develop a package of other support services to facilitate program participation; the Job Corps sites offered considerably more support services than did the others.
</t>
    </r>
    <r>
      <rPr>
        <b/>
        <sz val="11"/>
        <color theme="1"/>
        <rFont val="Calibri"/>
        <family val="2"/>
        <scheme val="minor"/>
      </rPr>
      <t>Job placement assistance.</t>
    </r>
    <r>
      <rPr>
        <sz val="11"/>
        <color theme="1"/>
        <rFont val="Calibri"/>
        <family val="2"/>
        <scheme val="minor"/>
      </rPr>
      <t xml:space="preserve"> The guidelines required sites to identify possible training- related jobs for participants and to assist them in securing employment, but were not specific about how this should be done. All sites instructed the youths on work disciplines, employer expectations, and job search techniques, but the intensity of this effort ranged from informal guidance by counselors and other staff to more than 50 class hours in one site. Seven sites offered some form of work experience or internship (both paid and unpaid) to improve job skills. All sites provided assistance in seeking employment when the youths left the program, although in two of the three sequential/brokered sites (CREC in Hartford and BSA in New York City), the responsibility fell solely on the training provider.
</t>
    </r>
    <r>
      <rPr>
        <b/>
        <sz val="11"/>
        <color theme="1"/>
        <rFont val="Calibri"/>
        <family val="2"/>
        <scheme val="minor"/>
      </rPr>
      <t>A. Basic Education</t>
    </r>
    <r>
      <rPr>
        <sz val="11"/>
        <color theme="1"/>
        <rFont val="Calibri"/>
        <family val="2"/>
        <scheme val="minor"/>
      </rPr>
      <t xml:space="preserve">
The education component typically consisted of individualized instruction, which allowed students to move at their own pace learning reading, mathematics, and other subjects needed to pass the GED examination. Mostly they worked on their own, doing workbook exercises or, less commonly, using computer-assisted instruction. In sites offering education and training concurrently, participants usually attended two hours of education classes and four hours of vocational training a day. In sites operating a sequential program, participants generally attended three hours a day of basic skills classes during the education phase, with the remaining three hours a day devoted to life skills classes.
The payment provisions of the contracts between service providers and funding agencies (especially local SDAs) were an important source of variation in the emphasis of the education component. In four sites (Connelley in Pittsburgh, EGOS in Denver, El Centro in Dallas, and SER/Corpus Christi), payment for education services was based on students passing the GED examination. This led these sites to make GED certification an important short-term goal of the program and to emphasize the skills tested on the GED examination in their education component. Other sites — CET/San Jose, the East Los Angeles Skills Center, and especially Chicago Commons — saw GED attainment as a long-term goal and did
not stress it in their JOBSTART programs, focusing more on improving basic skills as an aid to vocational training and job placement.
</t>
    </r>
    <r>
      <rPr>
        <b/>
        <sz val="11"/>
        <color theme="1"/>
        <rFont val="Calibri"/>
        <family val="2"/>
        <scheme val="minor"/>
      </rPr>
      <t>B. Occupational Skills Training</t>
    </r>
    <r>
      <rPr>
        <sz val="11"/>
        <color theme="1"/>
        <rFont val="Calibri"/>
        <family val="2"/>
        <scheme val="minor"/>
      </rPr>
      <t xml:space="preserve">
The choices of occupational training available to participants varied among the sites. Participants at large vocational schools could choose courses in more than 20 occupational areas. The Job Corps Centers and larger community-based organizations also offered a wide range of vocational training. In contrast, SER/Corpus Christi, which provided training in-house, offered only a few courses.
In theory, youths in sequential/brokered sites could choose courses from a variety of local agencies.
However, in practice, some courses were unavailable to them because they could not satisfy entrance requirements, or other difficulties prevented them from gaining entry. As a group, JOBSTART participants were enrolled in training for a broad range of occupations — clerical and service jobs, machine trades, benchwork occupations, and structural work such as welding.
</t>
    </r>
    <r>
      <rPr>
        <b/>
        <sz val="11"/>
        <color theme="1"/>
        <rFont val="Calibri"/>
        <family val="2"/>
        <scheme val="minor"/>
      </rPr>
      <t xml:space="preserve">
C. Support Services to Facilitate Participation</t>
    </r>
    <r>
      <rPr>
        <sz val="11"/>
        <color theme="1"/>
        <rFont val="Calibri"/>
        <family val="2"/>
        <scheme val="minor"/>
      </rPr>
      <t xml:space="preserve">
All sites provided basic support services such as assistance with transportation and child care, which helped participants to attend the program. All sites provided bus passes or small allowances to cover the costs of commuting to the program. JOBSTART counselor/ coordinators. placed a high priority on adequate child care arrangements. In most sites, staff referred JOBSTART participants to other agencies for child care, with the expenses being covered by JTPA or the Work Incentive (WIN) Program.
Many sites also found ways to provide small payments to meet other costs of participating, though the Job Corps Centers were consistently able to provide more support than the other sites. Ten of the 13 sites were able to provide some type of small needs-based payment, while nine of the sites provided on-site meals or food to take home, or special allowances for clothing or to meet rent emergencies. Seven of the sites (including all three Job Corps Centers) provided some form of incentive payments to participants who reached milestones in the program. The Job Corps Centers also provided on-site medical and dental care.
</t>
    </r>
    <r>
      <rPr>
        <b/>
        <sz val="11"/>
        <color theme="1"/>
        <rFont val="Calibri"/>
        <family val="2"/>
        <scheme val="minor"/>
      </rPr>
      <t xml:space="preserve">D. Job Placement Services
</t>
    </r>
    <r>
      <rPr>
        <sz val="11"/>
        <color theme="1"/>
        <rFont val="Calibri"/>
        <family val="2"/>
        <scheme val="minor"/>
      </rPr>
      <t xml:space="preserve">Sites were required to assist youths in finding training-related employment, but this phase of the program typically received less attention than others. Nearly all the sites did provide instruction about employers’ expectations as well as job search techniques. About one-half of the sites arranged paid or unpaid part-time work experience positions for some participants during the program. Approximately one-fourth of a sample of participants worked at some point — in program-arranged or self-initiated jobs — while they were active in the program. Those in the sample who were employed worked an average of about 50 percent of the weeks they were in the JOBSTART program and were employed an average of
about 30 hours per week during the weeks they worked. During the months they worked, their hours of classes in JOBSTART were lower than were those of nonworking participants.
Efforts to find participants permanent employment typically began near the end of training, with instructor contacts serving as an important source of information about job openings. Since many youths left the program without reaching this stage, it is not surprising that only about one-fourth of participants reported that program staff referred them to a job or told them about openings.
</t>
    </r>
    <r>
      <rPr>
        <b/>
        <sz val="11"/>
        <color theme="1"/>
        <rFont val="Calibri"/>
        <family val="2"/>
        <scheme val="minor"/>
      </rPr>
      <t>Compliance.</t>
    </r>
    <r>
      <rPr>
        <sz val="11"/>
        <color theme="1"/>
        <rFont val="Calibri"/>
        <family val="2"/>
        <scheme val="minor"/>
      </rPr>
      <t xml:space="preserve"> The percentage of nonparticipants was small (only 11 percent of the 988 experimentals in the 48-month impact sample).</t>
    </r>
  </si>
  <si>
    <t>4500 USD per participant</t>
  </si>
  <si>
    <t>Mean:     6.6 months
Median: 5.7 months
Average hours were 125 in education, 238 in training, and 37 in other activities, for a total of 400 hours.</t>
  </si>
  <si>
    <t>2010-2012</t>
  </si>
  <si>
    <t>16-35, mean: 24.5</t>
  </si>
  <si>
    <t>Table 4</t>
  </si>
  <si>
    <t xml:space="preserve">Nepal has a per capita income of US$700, Nepal is South Asia’s second poorest country (ahead of only Afghanistan).
There are three eligibility criteria for all EF-sponsored training programs: age (from 16 to 35), education (below SLC,20 or less than 10 years of formal education), and self-reported economic status (from footnote 21: An applicant is considered “economically poor” if they report a non-farm per capita household income of less than 3000 Nepali rupees (NRs) per month or, in the case of farming families, less than 6 months of food sufficiency. Since these self-reports are not verified, and applicants know in advance that they must be “poor” in order to be eligible for the program, it is unclear how well this criterion is adhered to).
For the pooled sample (i.e., 2010 through 2012 cohorts), the study population is about 64 percent female and on average 24.5 years old. Fifty-eight percent are married while 51 percent have at least one child. Approximately 59 percent of the sample has engaged in any income-generating activity in the month prior to the survey, a figure which may seem high, but includes those who are working without pay on their own household farms. When we restrict to non-farm income-generating activities, the employment rate falls to 27 percent. At baseline, the average earnings of the pooled sample were 1272 NRs per month (equivalent to about 17 USD). This figure may seem low, since it represents the average earnings over the entire study population of 4677 individuals, including those with zero earnings. Only 17 percent of the 2010-2012 pooled sample earned more than 3000 NRs per month, a level deemed to represent “gainful” employment
</t>
  </si>
  <si>
    <t>Employment Fund &amp; AGEI</t>
  </si>
  <si>
    <t xml:space="preserve">Founded in 2008, the Employment Fund (EF) is operated by Helvetas, a Swiss NGO, in partnership with the Government of Nepal. It is currently one of the largest youth training initiatives in the country, serving almost 15,000 youth annually. In partnership with the Employment Fund’s donors, the Adolescent Girls Employment Initiative (AGEI) was launched in 2009 to expand the program’s reach to an additional 4,410 Nepali women aged 16-24 over a three-year period.   
Unique characteristics of this impact evaluation include:
 A large study sample (4,677 individuals in the pooled 2010-2012 cohorts examined in this report)
 Particular focus on the outcomes of women aged 16-24 as well as the outcomes of a broader
category of youth (men and women aged 16-35)
 Socioeconomic survey data of participants and a control group of non-participants as well as
administrative follow-up data on program participants
 Exhaustive tracking of program participants over time that produced high response rates.
 Examination of a large set of outcome domains, including employment and earnings, empowerment
and self-confidence, risky behaviors, and impacts on the household.
Started in 2008, the Employment Fund (EF), now one of the largest skills training programs in the country, provides vocational training and placement services under a unique governance structure. Since 2011, the Employment Fund has operated under an agreement between the Government of Nepal and the Swiss Agency for Development and Cooperation (SDC). A Steering Committee, chaired by the Joint Secretary of the Ministry of Education, governs the Employment Fund. In addition to providing training and placement services, the Employment Fund engages in support activities, capacity-building, and cooperative activities with the government’s Council for Technical Education and Vocational Training (CTEVT). 
Each year, the Employment Fund authorizes training programs under a competitive bidding system with
various training providers. First, the Employment Fund issues a call for proposals to Training and Employment (T&amp;E) providers seeking to provide skills training and employment services. The range of T&amp;E provider types is enormous: from formal technical education and vocational training (TEVT) institutions, public and private providers, to skilled artisans offering apprenticeships. The second step, after the call for proposals, is for each T&amp;E provider to complete a Rapid Market Assessment (RMA) outlining viable and potential employment opportunities.10 The third step in the process is for the EF to evaluate submitted proposals according to preset criteria; the EF weighs the capacity and experience of each T&amp;E provider, the market demand for the proposed trades being offered, and the proposed costs. Finally, the EF issues a contract to selected providers: the contract specifies the number of training courses (hereafter called “events”) to be conducted and the number of individuals to be trained and employed in each event. The T&amp;E providers are then free to recruit and select their own trainees for each of their training events, according to guidelines established by EF.
Upon completion of the classroom-based training, the EF places emphasis on job placement services. EF verifies trainees’ employment status three months and six months after the completion of the training. Upon verification, T&amp;E providers receive an outcome-based payment from the EF that is higher for trainees who are employed. The outcome-based payment system creates strong incentives for the T&amp;E providers to provide placement assistance and provides graduates with an opportunity to put their new skills to work immediately after the training. The EF emphasizes the placement of trainees into “gainful” employment in which they earn a minimum of 3,000 NRs (40 USD) per month.
In 2010, the EF partnered with Department for International Development (DFID) and the World Bank’s Adolescent Girls Initiative to improve the EF’s reach and impact for young women aged 16 to 24. Training under this Adolescent Girls Employment Initiative (AGEI) proceeded in the same way as it did for other EF trainees, except that certain events had been flagged in advance as likely to attract female trainees. This was done in order to ensure that the EF
reached adequate numbers of young women.14 For the purpose of this evaluation, we designate all female participants aged 16 to 24 in EF-sponsored training courses as “AGEI”.
The Employment Fund struggled in 2010 to recruit young women to training events and in 2011 launched
an enhanced communication and outreach strategy to recruit more female trainees.15 In addition to the T&amp;E advertisement, the EF sponsored radio and newspaper ads specifically geared towards young women. Many
of these ads specifically encouraged women to sign up for non-traditional trades for women, such as mobile phone repair, electronics, or construction.16 The Employment Fund also partnered with women’s and community-based organizations to attract applications from women and marginalized groups – if a referred applicant gained entry to an EF-sponsored training event, the partner organization was paid a small finder’s fee equivalent to about 1.25 US dollar per person.
The Employment Fund uses a differential pricing mechanism that awards a higher incentive to service providers who agree to train (and place) more disadvantaged groups, according to established vulnerability criteria.17 The highest incentive is awarded for training and placing the most disadvantaged (highly vulnerable women including AGEI trainees, widows, ex-combatants, disabled women, etc.), and incentives are gradually lowered for less prioritized groups. Training providers that are able to cater to these higher priority target groups are therefore eligible to receive a higher outcome price, but they also face a higher risk of failing to achieve the outcome (gainful employment). The combination of a results-based system with a progressive incentive scheme ensures that training providers with the capacity to work with vulnerable groups will likely opt to do so.
This evaluation estimates the impact of the EF training program by comparing the outcomes of participants, who comprise the “treatment” group, to a control group of individuals who applied, but were not selected for, an EF-sponsored training course. Isolating the causal effects of the EF training program on employment and other outcomes is complicated by the fact that some T&amp;E providers have at least some degree of choice over who they choose to train or training participants could seek EF training for reasons we cannot fully measure.
We use quasi-experimental methods to solve the above evaluation concerns. Our general evaluation strategy is to observe an individual before and after an EF training program and to compute a simple difference in outcome for that individual over time. The average difference over time of the individuals enrolled in the training program (i.e., the treatment group) is then compared to the average difference over time of the individuals who are not enrolled (i.e., the comparison group). 
Sampling into this study included a combination of stratified, random and convenience sampling. First, we selected a subset of training events occurring between the months of January through April. Table 2 shows the resultant sample of events for the three cohorts. The 2010 event sample comprised 64 events across 30 districts. The 2011 sample comprised 182 events, of which 113 events were dropped from the baseline survey, either because the survey team could not reach the event on the day of applicant selection or because the event was not “oversubscribed”.28 The remaining 69 events in 34 districts were included in the 2011 baseline sample. The sampling process was much improved in 2012, with 85 out of 112 sampled events successfully included in the final evaluation sample.
The sampling procedures described above resulted in a study population of 4677 over all three cohorts.
Using administrative data from EF, we examine the rate of program take-up by the treatment and control
groups for the 2010, 2011 and 2012 cohorts in Table 6.44 The table shows a high degree of uptake (65 to 74 percent) among the treatment group, but also a high rate of participation among the control group.45 Between 26 percent and 36 percent of the individuals in the control group participated in the EF training course that they applied for, even though their scores did not qualify them for admission. 
</t>
  </si>
  <si>
    <t>1 - 3 months</t>
  </si>
  <si>
    <t>We approximate the estimate on duration based on this text: "Because the EF-sponsored training courses vary in length from 1 to 3 months". The methodology preferred is: Dif-in-dif + IPW matching.</t>
  </si>
  <si>
    <t>CP</t>
  </si>
  <si>
    <t>mean: 43.2</t>
  </si>
  <si>
    <t>Table II.2 Corson 1989, Table III.5 Corson 1989</t>
  </si>
  <si>
    <t xml:space="preserve">The demonstration was implemented in 10 sites corresponding to stateUI offices. The sites were chosen randomly, with the probability of their selection proportional tothe size of the UI population in each office, yielding a sample representative of UI recipients in NewJersey.
Definition of Eligibility
The purpose of the demonstration was to provide reemployment services to experienced workerswho, having become unemployed through no fault of their own, were likely to face prolonged spellsof unemployment. Their job-finding difficulties might be due to unavailability of jobs, a mismatchbetween their skills and job requirements, or lack of job-finding skills. However, because previousresearch efforts have not established good predictors of prolonged unemployment spells, complexeligibility requirements could not be used to direct demonstration services. Because of this situation,the demonstration plan incorporated a small number of sample screens to identify experiencedworkers who were likely to be displaced permanently from their jobs.The following eligibility scrcens were chosen for the demonstration:
First Payment. The demonstration excluded claimants who did not receive a first UI
payment. To promote early intervention, thc demonstration also excluded claimantswho did not receive a first payment within five weeks after the initial claim. Individualswho were working and, consequently, who received a partial first payment were alsoexcluded, because their job attachment meant that they had not necessarily beendisplaced.Finally, special claims (for example, unemployment compensation for ex-servicemembers or federal civilian employees, interstate claims, and combined wageclaims) were also excluded.
Age. An age screen was applied to eliminate thc broad category of young workers who
have traditionally shown limited attachment to the labor market and whose employmentproblems may be quite different from those of older, experienced workers. This screenexcluded workers under age 25 from thc demonstration.
Tenure. Demonstration-eligible claimants had to exhibit a substantial attachment to a
job, so that thc job loss was likely to be associated with one or more of thereemployment difficulties described earlier.Each claimant was required to haveworked for his or hcr last employer for three years prior to applying for U1 benefitsand could not have workcd full-time for any other employer during thc three-yearperiod. The three-year requirement is used by DOL's Bureau of Labor Statistics todefine displaced workers (Flaim and Sehgal 1985).
Temporary Layoffs. The demonstration treatments were not intended for workers who
were temporarily laid off.Thus, it was desirable to exclude claimants on temporarylayoff. However, previous research and experience show that some claimant say thatthey expect to be recalled, even when their chances of actual recall arc slim.Toensure that these individuals were not excluded from the demonstration, only indivi-duals who both expected to be recalled and had a specific recall date were excluded.
Union Hiring-Hall Arrangements.Individuals who arc typically hired through union
hiring halls exhibit a unique attachment to a specific labor market and were thusexcluded from the demonstration.
The Economic Environment
During the demonstration period, the New Jersey economy experienced worker displacementcaused by a long-term secular decline in manufacturing, although substantial growth occurred in othersectors.Overall, the state economy was quite strong, and the unemployment rate during thedemonstration period was low (5 percent). The unemployment rate continued to he low (5 percent or less) during the first several years of the follow-up period,but with the on- .1of the retentrecession it rose in the last two to three years of thc follow-up period to rates that ranged I rom about6.6 to 8.4 percent, on an annual basis. During this later period, unemployment compensation benefitswere also extended. This extension is likely to have had an effect on Ul heneht receiptAs i resultit could have affected our impact estimates for this peri,,d.
For details see Corson 1989 since Page 47 from PDF
</t>
  </si>
  <si>
    <r>
      <rPr>
        <b/>
        <sz val="11"/>
        <color theme="1"/>
        <rFont val="Calibri"/>
        <family val="2"/>
        <scheme val="minor"/>
      </rPr>
      <t xml:space="preserve">Treatment: jobsearch assistance (JSA) combined with training or relocation assistance but in particular classroom training </t>
    </r>
    <r>
      <rPr>
        <sz val="11"/>
        <color theme="1"/>
        <rFont val="Calibri"/>
        <family val="2"/>
        <scheme val="minor"/>
      </rPr>
      <t xml:space="preserve">
The purpose of the New Jersey Unemployment Insurance Reemployment Demonstration Project(NJUIRDP) was to examine whether the Unemployment Insurance (UI) system could be used toidentify displaced workers early in their unemployment spells and to provide them with alternative,early intervention services to accelerate their return to work.Three packages of services, ortreatments, were tested in the demonstration: (1) job-search assistance (JSA) only; (2) JSA combinedwith training or relocation assistance; and (3) JSA combined with a cash bonus for earlyreemployment. A key component of the demonstration was that eligible claimants were identifiedand services were provided through the coordinated efforts of the UI, Employment Service (ES), andJob Training and Partnership Act (JTPA) systems. Another key element was that claimants wererequired by UI to report for services; failure to report could lead to the denial of benefits.
The demonstration was initiated by the U.S. Department of Labor (USDOL) through acooperative agreement with the New Jersey Department of Labor. It began operations in July 1986.and, by the end of sample selection in June 1987, 8,675 UI claimants were offered one of the threeservice packages. Services to eligible claimants continued into fall 1987 to ensure that all eligibleswho wanted the full set of demonstration services were able to receive them.Another 2,385claimants receiving existing services provided a control group for comparative purposes. Claimantswere assigned randomly to this control group or to one of thc three treatments.
The initial evaluation of the demonstration (Corson et al. 1989), combined with a follow-up studythat extended the analysis for approximately three years after the initial UI claim (Anderson et al.1991), found that each of the treatments reduced UI collections and increased employment andearnings during this period.Although the initial evaluation found no evidence that the trainingcomponent of the second treatment increased earnings in the year after the initial UI claim, thefollow-up study suggested that training did increase earnings in thc longer run. 
Treatment
The initial components of all th-cc treatments were the same: notification, orientation, testing,a job-search workshop, and an assessment/counseling interview.These services were deliveredsequentially, early in claimants' unemployment spells. First, a notification letter was sent to claimantsin about the fourth week after they filed initial claims. Claimants usually began to receive servicesduring their fifth week of unemployment. Services began when they reported to a demonstrationoffice (usually an ES office) and received orientation and testing during a one-week period. In theFollowing week, they attended a job-search workshop, consisting of five half-day sessions, and afollow-up, one-on-one counseling/assessment session scheduled for the subsequent week. Theseinitial treatmemt components were mandatory; failure to report could lead to the denial of UIbenefits.
Beginning with the assessment/counseling interview, the nature of the three trcatmcnts differed.
Claimants in the second treatment group--JSA plus training or relocationwere also informedabout the resource center and their obligation to maintain contact during their job search.Inaddition, thcy were told about the availability of classroom and on-the-job training and wereencouraged to pursue training if interested. Staff from the local JTPA Service Delivery Area (SDA)program operator worked directly with these claimants to develop the training options.Theseclaimants were also told about the availability of relocation assistance, which could he used for out-of-area job search and moving expenses by those who elected not to pursue training.
Detail information on mandatory services for all 3 treatments is found in Corson 1989 since page 78
Since page 112 there is information on the classroom and on the job training</t>
    </r>
  </si>
  <si>
    <t>Mean cost per classroom trainee 2.723 dollars
Table VI.2 from Corson 1989 page 119</t>
  </si>
  <si>
    <t>3 weeks of mandatory services (orientation, testing, job-search workshop, assessment)
mean expected number of weeks of classroom training: 18.4
Table VI.2 Corson 1989</t>
  </si>
  <si>
    <t xml:space="preserve">Corson 1989 contains a full and detail description of the intervention, but is not possible to copy and paste </t>
  </si>
  <si>
    <t>technical, job-readniess</t>
  </si>
  <si>
    <t>14-18</t>
  </si>
  <si>
    <t>Table 1.1</t>
  </si>
  <si>
    <t xml:space="preserve">Bangladesh is a lower middle-income country with a population of 160 million.10 As of 2010, 31.5% of its population live in poverty (BBS, 2012). The Constitution of Bangladesh has guaranteed the rights to primary education for all, and the amount of public investment in education is substantial. About 12.27% of total public expenditures (i.e., 2.5% of GDP) is allocated for the education sector, of which almost half is for primary and mass education. Further, several NGOs invest substantial amount of resources in education for childr en from poor families. Despite all these initiatives, school dropout rate remains high. According to BANBEIS (2015) school dropout rates at the primary and secondary level are 21% and 43.18%, respectively.
Many school dropout youth or adolescents in Bangladesh end up unemployed. A recent study using data from 35 slums from urban areas shows that 32% of youth aged 15-19 years are neither enrolled in school nor in the job market (Chowdhury et al., 2017). National level data, on the other hand, show that 9.9% of youth aged 15-19 years were unemployed in 2015-16 (BBS, 2017). The rate is higher among females (11.5%) compared to males (9.3%). Poverty is reported to be a proximate cause of school dropout in Bangladesh (Sabates et al., 2010). Hence, programs that address youth unemployment are likely to contribute to poverty reduction
BRAC started a training program titled ‘Skill Training for Advancing Resources (henceforth, STAR)’ in 2012. The objective of the program is to produce a well-trained and empowered manpower among youth and thus enhance employment. The program targets individuals aged 14-18 years from poor households, who are out of school for at least a year. For disable participants, however, age range is from 15-21 years. Maximum grade passed by the target group is 8. In addition, per capita monthly income of their families must be less than BDT 3,000 (i.e., $1.12 per person per day at nominal exchange rate or $3.42 per person per day at 2015 PPP exchange rate). The program is operated through BRAC field office, known as branch office.
BRAC staffs make door-to-door visits in communities/villages surrounding the branch office to identify eligible participants. They use a small questionnaire, containing questions on the eligibility criteria. Initially, the program was developed by BRAC together with ILO and UNICEF in order to support the Bureau of Non-Formal Education (BNFE)’s 2nd phase of the Basic Education for Hard to Reach Urban Working Children (BEHTRUWC) project. The model later continued serving the poor and disadvantaged school dropouts from both rural and urban areas. </t>
  </si>
  <si>
    <t>Skill Training for Advancing Resources
(STAR)</t>
  </si>
  <si>
    <t>Program participants are provided with both classroom and on-the job training. The duration
of on-the-job training is six months with five days a week. The classroom training, by contrast, is
provided for a period of six months with three and a half hours a week. The program cycle is
completed in six months. Classroom training curriculum includes theoretical training on specific trades, and soft-skills training (financial literacy, market assessment and basic communicative English). The theoretical training is provided by trainers from local government and nongovernment training institutions. A trainee is provided training on a single trade. Typically, the program provides training on tailoring, fridge/AC repairing, embroidering, electronic device repairing, wooden furniture making, beauty parlour training, and graphics designing. Selection of trade for a participant depends on his/her interest. Once training is completed, BRAC links the participants with potential employers for wage employments. And for those keen on selfemployment, BRAC offers information, guidance and technical assistance.
On-the-job training is provided through apprenticeship under a local Master Crafts Person
(MCP). Main characteristics of the MCPs selected by BRAC are as follows: (i) the owner of
small firms in the local markets; (ii) experienced as a skilled crafts person in the particular trade at least for 5 years; (iii) availability of sufficient space in his/her workplace to accommodate apprentice; (iv) previous successful experience in managing apprentices; (v) education level at least grade five; (vi) workplaces is located within the eight km radius of BRAC field office; and (vii) availability of toilet facilities at the work place.17 The MCPs are provided orientation on: (i) objectives of the STAR program; (ii) their responsibility to apprentice; and (iii) decent working environment.
On-the-job training is provided through placing trainees with local MCPs. Hence, the total number of participants targeted from each branch office is contingent upon the number of MCPs available. It also depends on administrative issues like staffing as each field staff has to manage about 50-70 participants. The program is subsidized. As travel allowance, each trainee is provided with BDT 1,200 ($15) per month. On the other hand, the MCPs are provided with an allowance of BDT 2,000 ($25) per month for each apprentice placement. For 2016 cohort, total costs per participant were BDT 2,900. I discuss the costs of the program in detail in section 1.6.5.</t>
  </si>
  <si>
    <t>Average cost per participant of on-thejob
training (2016 cohort) was BDT 26,116. Do not include clasroom training</t>
  </si>
  <si>
    <t>12 months</t>
  </si>
  <si>
    <t>16-60</t>
  </si>
  <si>
    <t>Nicaragua is classified by the World Bank as a lower middle income country. In 2010, it had a GDP per capita of about US$1535. In the same year, about 49% of women aged 15 to 64 were economically active, compared to about 82% of men. Nearly 60% of the women who were economically active were self-employed.
In 2009/10, a Nicaraguan NGO (Fundación Mujer y Desarrollo Comunitario or
FUMDEC) implemented a productive transfer program with support from the World Bank. The intervention built on a model in place in other communities in northern Nicaragua since 1996 and had two main objectives: (i) to facilitate income generation and diversification by promoting women’s economic activities and (ii) to foster gender empowerment by improving women’s aspirations, their participation in households’ economic decisions, as well as their social participation.
More than 80% of the targeted households were estimated to live on average with less than US$2 per capita per day, and the package amounted to around 24% of pre-transfer annual household consumption, a rather sizeable magnitude.
The program operated in Santa Maria de Pantasma, one of Nicaragua’s poorest
municipalities. For the purpose of evaluating the program, a group of 24 communities was identified</t>
  </si>
  <si>
    <t>The program offered households with at least one female member 16 to 60 years old a package of benefits that included (i) training on community organization and gender awareness, (ii) training in technical or business skills to develop or expand small-scale household enterprises, livestock, or agricultural activities of their choice, (iii) capital transfers in the form of cash, seeds, or livestock, and (iv) follow-up technical assistance. The exact mix of capital transfers, training, and technical assistance was adjusted depending on the type of activity that each beneficiary wished to start or expand: non-agricultural household enterprises, livestock, or other small-scale agricultural activities.
The program included three main phases. First, beneficiaries were offered various
training workshops on community organization and gender awareness. The community
organization training included four modules for all beneficiaries on how to form
and organize women’s groups as well as two additional modules for selected leaders on
managing women’s groups. The gender awareness training was offered to all beneficiaries
and included eight modules on issues such as gender identity, self-esteem,
reproductive health, violence, and laws that protect women. These trainings were
delivered in the community. In addition, a gender awareness training targeted a small
number of selected men, usually leaders’ spouse, who were trained together in a central
location on a subset of the aforementioned themes. Second, beneficiaries were offered
training in technical or business skills to develop or expand small-scale household
enterprises, livestock, or agricultural activities of their choice. Each beneficiary was
offered between four and six training sessions. The scope of the training depended on
the activity chosen by individuals. It focused on technical skills and crop management
for individuals who chose agricultural activities. It tackled livestock management and
related technical skills for individuals who chose livestock activities. Also, it covered
basic business skills for individuals who chose small business activities. Third beneficiaries
received capital transfers in the form of cash, seeds, or livestock. After the
transfers, follow-up technical assistance visits were organized.</t>
  </si>
  <si>
    <t>$602 per beneficiary.
It included US$316 in direct
capital transfers (in the form of a mix of cash, seeds, and livestock) and US$286 that
covered the costs of training and technical assistance.</t>
  </si>
  <si>
    <r>
      <t xml:space="preserve">Intervention was implemented between September 2009 and August 2010. </t>
    </r>
    <r>
      <rPr>
        <b/>
        <sz val="11"/>
        <color theme="1"/>
        <rFont val="Calibri"/>
        <family val="2"/>
        <scheme val="minor"/>
      </rPr>
      <t>Unable to identify the training component duration.</t>
    </r>
  </si>
  <si>
    <t>Diaz 2006</t>
  </si>
  <si>
    <t>1996-2004</t>
  </si>
  <si>
    <t>16-25, mean: 19</t>
  </si>
  <si>
    <t>Tables
 2a, 2b</t>
  </si>
  <si>
    <t>The economic context in which the Program was conceived was one of a vigorous economic recovery.
The goals of the program are  to improve employment opportunities of youth in poverty.
PROJoven beneficiaries are 16-24 year olds, have low levels of formal education, and none or minimum labor market experience, and are currently underemployed, unemployed or out-of-the labor force. These youngsters primarily come from poor families. 
Between 1996 and 2003, PROJoven has provided vocational training to approximately 42,000 youngsters in ten major cities across the country (Lima, Callao, Arequipa, Trujillo, Chiclayo, Cusco, Piura, Huancayo, Chimbote and Iquitos).</t>
  </si>
  <si>
    <t>PROJoven</t>
  </si>
  <si>
    <t xml:space="preserve">The “Youth Labor Training Program” (Programa de Capacitacion Laboral Juvenil - PROJoven) is an ongoing job-training program created in 1996 by the Ministry of Labor (Ministerio de Trabajo y Promocion del Empleo) in response to the precarious conditions of youth in the Peruvian labor market. The goals of the program are  to improve employment opportunities of youth in poverty and to promote competition and higher quality of services in the vocational training system. By design, PROJoven finances vocational and training courses for its beneficiaries, but the services are provided by private and public training institutions (Entidades de Capacitación - ECAP), which compete in public calls to get funding for their course offerings. The type and content of courses (technical phase) provided by these ECAPs are driven by demand, since a requirement of the program is the existence of a written commitment by private firms to provide paid internships, so beneficiaries can acquire on-the-job experience (practical phase) for a period not shorter than three months. Part of the payment received by ECAP is contingent upon documenting that the trainee is performing job training at a private firm.
PROJoven provides funding for basic or semi-skilled training in particular occupations. The vocational training has two main components or phases. The first is a learning phase where training courses are directly provided by training centers (ECAPs), beneficiaries attend their training courses for three months and the costs of courses is covered by PROJoven. The second is an internship phase at private firms where trainees acquire on-the-job experience; the internship has a length of three months during which the trainee receives a market wage paid by the internship firm. After these three months the firm may or may not hire the trainee on a more permanent basis. Since 1996, a total of 542 ECAPs have participated at least once in the program, providing more than 2,160 vocational courses (see Table 1).
The program is voluntary and operates on a first-come first-served basis.
Greater emphasis has been placed on the demand-driven feature of the Program as well as on the pertinence of the training offered. Indeed the program is not about providing training, but about providing employability. The goal is insertion in the labor market.
Private firms that offer on-the-job training do not have a direct relationship with PROJoven. All the information that arrives at the program about them is by means of the ECAPs. ECAPs must demonstrate that on-the-job training took place and at which company in order to be fully paid by PROJoven.
The beneficiary group of PROJoven emerges from a selection process of several steps; this process is depicted in Chart 2. All the youngsters that show-up to the PROJoven headquarter or decentralized offices receive a ticket to go through an accreditation interview, aimed at verifying that they are actually poor. In general, the interview takes place about a month after the ticket is received, and the process of interviewing youngsters continues until the number of eligible individuals is twice that of course vacancies.
The accreditation interview is used to compute a poverty score.12 The accreditation form contains the scores for each characteristic, by filling this form and adding scores PROJoven’s social workers easily obtain the total poverty score. Based on the results from the algorithm, program’s social workers are able identify the youngsters that belong to the target population of the program and select them as accredited (acreditados) or program eligible. 
Once eligible youngsters are selected, they are asked to choose a course from the list of training courses that are going to be supplied by ECAPs.
After the orientation talks, eligible youngsters are sent to the corresponding ECAPs according to the courses they have chosen. At this stage the selection of beneficiaries takes place. Given the size of the eligible group, ECAPs usually have to choose half of the applicants for each course. ECAPs are free to employ its own procedures, such as entry tests, personal interviews, or any combination of these. However, they are not allowed to discriminate in terms of age, gender, or place of residence for instance. In some cases, ECAPs choose on the basis of whether the youngster arrives on time to their interview or test stage. Courses begin shortly after all vacancies are filled, which only takes a few days. In the event of drop outs during the first week of courses, deserters are replaced by other beneficiaries. However, if desertion occurs after one week there is no replacement and PROJoven does not pay the ECAP the cost of that vacancy.
The treated sample is comprised by program beneficiaries participating in training courses sponsored by PROJoven. This sample is drawn from the universe of beneficiaries using a stratified random sample procedure, the stratification depending on gender, age, employment status, and district of residence. Youngsters that did not participate in the selection of program beneficiaries, but would qualify as program eligible comprise the comparison sample. In particular, once the treatment sample is selected, a sample of comparison youngsters is selected by a survey fielded in the same neighborhoods where individuals from the treatment sample reside.
</t>
  </si>
  <si>
    <t>In first call (1996) the operative cost is 2682 Soles, 467 stipends. For more information see table 13. From Chong 2012:  Whereas the Peruvian public school system spent about 1190 soles (US$350) per capita in 2001, the PROJOVEN program spends in total 1751 soles (US$515) per capita for 3 months of vocational training (after including administrative costs).</t>
  </si>
  <si>
    <t>Figures 3-6</t>
  </si>
  <si>
    <t xml:space="preserve">From the description of the outcomes on page 25, I understand that "earnings" are earnings only for employed (missing if a person does not work or if she works for free) and "censored earnings" are earnings for all, because they impute zeros for all those individuals who do not work or work for free. </t>
  </si>
  <si>
    <t>14-26
mean: 19.3</t>
  </si>
  <si>
    <t>Table 3</t>
  </si>
  <si>
    <t xml:space="preserve">The evaluation period goes from early 2009 to mid-2013. This period comprises the longest period of high economic growth achieved by Peru between 2002 and 2013, with the exception of the year 2009, when the economy was affected by the international financial crisis and only grew 0.9%. The average growth rate during the 2002-2013 period was 6.1%. With the economic expansion came an increase in employment rates, particularly of formal employment.
In the case of Peru, informality is the most serious of these problems. Around 9% of youths between 15 and 24 years of age are unemployed, and 80% of youths who are employed have informal jobs.
The program’s main objective was to facilitate access into the formal labor market for young people with limited resources, providing them with short-term training and labor market experience related to the needs of the productive sector—in other words, training oriented towards demand.
This evaluation sample is comprised of youths from all courses with an excess of demand at eight major cities in the country: Lima (the capital city), Ica, Arequipa, Huancayo, Chiclayo, Trujillo, Piura, and Cusco.
As we will explain later, registered employment is the economy’s most formal employment. The first finding is that registered employment is highly sensitive to the business cycle: its growth rate was almost insignificant in 2009, the year in which the economic bust took place, and it increased again when the economy recovered. The second finding is that, beginning in 2012, Peru’s GDP growth rate saw a steady decline, followed by a slowdown in registered employment levels and by 2013, registered employment increased only 4% its lowest growth rate besides the one observed in 2009.
</t>
  </si>
  <si>
    <t xml:space="preserve">Projoven offered in-classroom technical training for three months, later to be complemented with an internship for three additional months. The program did not directly provided in-classroom training, but hired private or public training agencies (PPTAs) that were responsible for the design and the provision of training for the program’s beneficiaries. PPTAs courses were designed in coordination with firms in which beneficiaries would later do their internships. Firms committed to open internship vacancies for beneficiaries after they have completed the 3-month in-classroom training.
In order to participate in the program the PPTAs had to submit letters of commitment they had signed with the different firms that would offer internships.
Young people who wished to participate in the program had to come in person to one of Projoven’s official registration centers, where they filled out a personal information and socio-economic form in order to determine if they qualified to receive program’s benefits and comprise the eligible pool. Those who qualified had to choose their preferred course from the list of training courses offered by PPTAs.6 Once they selected a course, beneficiaries were sent to the corresponding PPTAs to pass a selection process. PPTAs’ selection was usually based on vocational and basic skill tests as well as on interviews. This selection process at the PPTAs determined which eligible candidates were suitable for participation, and thus would get placed in a course, becoming Projoven’s group of beneficiaries. Each PPTA was able to use its own procedures and criteria to assess the candidates and declare them suitable or unsuitable. This process took place until enough young people were assessed and declared suitable to cover the number of available openings for each course. Young people deemed unsuitable were given the opportunity to make a second choice or even a third choice of a training course. This process could be extended until applicants had reached their third choice of a training course, or otherwise until all PPTAs had filled their available vacancies.
Selected candidates moved on to the in-classroom technical training stage at a PPTA. The training courses were designed to provide the program’s beneficiaries with low-skills required in marketplace jobs. For instance: knitting, sales support, and bakery. Unlike other programs in the region, Projoven did not require PPTAs to include modules on socio-emotional skills, such as motivation or self-esteem, in their training courses. At the end of the course stage, beneficiaries moved on to on-site internships at firms. During the 3-month internship stage, beneficiaries received a stipend lower than the minimum wage as well as health insurance coverage. Both the stipend and the health insurance were afforded by the firms, since employment of interns had to be made through the Peruvian legal framework of vocational training agreements (a special type of contract between employers and interns). 
In practice, the evaluation design was not implemented exactly as planned. PPTAs faced problems and delays in reaching the additional 25% of youths with respect to the number of available vacancies per course. This led Projoven to eliminate this condition after a few weeks,17 and it’s why not all PPTAs sent an additional list with 25% more suitable applicants. This also explains why the control group is smaller than originally planned in the evaluation design. Likewise, the program did not use a unique identification code for participants in all its operational processes, which makes the evaluation analysis harder.
Moreover, as it often happens with experimental evaluations of public policies, there was an imperfect compliance of the experimental design. This happened in part because Projoven allowed participants to make a second or third course selection. Thus, applicants deemed unsuitable, or those who did not obtain a vacancy for their first course choice were able to make a second and even a third course selection. As a result, some of the youths from the control group were able to obtain a vacancy in a different course.
Consequently, for those applicants whose first chosen course had an excess of demand, the effective allocation to courses does not strictly correspond to the random assignment to treatment and control groups under the established protocol. An analysis of the program’s administrative data shows that certain youths from the control group made a second and/or third course selection, obtaining a vacancy in some cases. The option for a second or third course selection for applicants who did not obtain a vacancy in their first selection is the result of self-selection that reflects their motivation, desire or need to participate in the training. Additionally, not all youths who started the training made it to the on-site internship stage. In this way, the group of youths who received complete training differs from the randomly assigned treatment group. This is also the result of self-selection.
Table 1 presents the absolute numbers and percentage structure of the experimental treatment and control groups over both stages of the program. It shows that since the beginning of the training courses, there were discrepancies between the random assignment to treatment and control groups and the effective allocation of youths to training courses. During the first few weeks, 1% of youths assigned to the treatment group abandoned the program and did not begin the training stage at a PPTA. At the same time, 39% of youths assigned to the control group began the course stage at a PPTA because they had the chance to make a second or third course selection. Upon reviewing the situation at the end of the training stage at PPTAs, it was found that 83% of youths assigned to the treatment group and 32% of youths assigned to the control group completed this stage. If the situation is analyzed at the end of the internship stage, then only 52% of youths assigned to the treatment group also completed the internship stage and thus completed the program. For the control group this percentage is 22%.
There is no perfect compliance of random assignment.
</t>
  </si>
  <si>
    <t>USD 420 per beneficiary (including operating costs and a stipend)</t>
  </si>
  <si>
    <t>6 months: 
3 mo (clasroom training)
+
3 mo (internship)</t>
  </si>
  <si>
    <t>Figure 2</t>
  </si>
  <si>
    <t>For compliance details see Table 1</t>
  </si>
  <si>
    <t>Elias 2004</t>
  </si>
  <si>
    <t>16 +
Mean: 23</t>
  </si>
  <si>
    <t>Table 1 - 8</t>
  </si>
  <si>
    <t>The Youth Training Program (YTP) was the most important training program undertaken by Argentina’s Ministry of Labor between 1993 and 1999. This program was implemented throughout Argentina and was offered almost every year. Central and local governments shared in program administration. The program was targeted primarily at people less than 30 years old, not employed and with only primary or secondary education levels.
A total of 23,500 beneficiaries participated in the fifth round of the YTP. These were mainly young people (the minimum age is 16) characterized by a low socioeconomic and educational level (completed no more than secondary), difficulties in integrating into the labor market, and little labor experience.
The participants were 37 percent women and 63 percent males. AGE: 66 percent were between 16 and 24, 15 percent between 25 and 29, and 19 percent were 30 years old or more. 74 percent of males were single, and the rest were either married or lived in consensual union (a distinction not specified in this paper), of which 21 percent had children. The proportion of single women was 50 percent, the proportion of married women was 41.4 percent, and 8.6 percent of female beneficiaries were separated or divorced. 60 percent of women had children. In total (men and women), 24 percent of beneficiaries had children but no partner, and 16 percent of the women who took at least one course were single mothers. On average, the beneficiary’s family consisted of five or six people and for each working person in the household there were three people who did not work. 29 percent had only elementary education, 51 percent had incomplete high school education, and 20 percent had completed high school. The average monthly income per capita of the beneficiaries’ households was $122 for women and $155 for males. 20 percent of female beneficiaries and 11 percent of male beneficiaries lived in homes where income per capita did not exceed $50, and 50 percent and 40 percent, respectively, lived in homes with income per capita less than $100. 
Among female beneficiaries, 18 percent were head of family and 23 percent were primary economic supports. We observe that among those that are single and without children, 14.5 percent were head of family and 37 percent were the primary economic support.
If we analyze the geographic distribution of the beneficiaries, we observe that 13.5 percent come from rural areas (populations with less than 2,000 inhabitants), 6.7 percent live in towns with populations between 2,000 and 10,000, and 14 percent live in towns ranging from 10,000 to 50,000 people. The rest live in medium and large urban areas (50,000 or more inhabitants). The regional distribution is shown in Table 7.</t>
  </si>
  <si>
    <t>Youth Training Program (YTP)</t>
  </si>
  <si>
    <t>The Youth Training Program is a federal government initiative that began in 1994. The program’s main objective is to increase the beneficiaries’ prospects in the labor market. The project uses targeting mechanisms to serve particularly disadvantaged segments of the labor force, especially those unemployed because of a discrepancy between their training and skills and the demands of the productive sector.
The federal government finances the courses. This includes educational materials, tools, health and safety equipment, honoraria of the institutions and firms offering courses and internships, and other aspects necessary to the program. The project offers participants a daily stipend to cover transportation costs ($4 per day during training and $8 per day during the internship). In order to promote women’s participation in training activities, women with children less than five years old receive an additional subsidy. Payment to institutions and stipends for participants make up almost 95 per cent of program costs.
There are two stages in the program: the training phase and the internship phase. During the first, participants acquire the knowledge and technical skills of an occupation. The activities stress the development of work habits and strengthen the necessary skills on a day-to-day basis, e.g.: reading and writing, mathematical operations, problem resolution, logical reasoning, team work, interaction with peers and superiors, understanding instructions, and so on. In this stage, employment search preparation is also considered. The training phase lasts between 6 to 12 weeks and takes place at a site proposed by the chosen institution.
During the internship phase, the beneficiaries apply what they learned in the first phase and acquire experience in a real labor environment, where they engage in the main tasks of the occupation for which they have been trained. During the internship, there is periodic feedback between the educational institution and the course participants in order to increase the educational character of the internship and to facilitate the acquisition of skills. This phase lasts around 8 weeks.
Most of the training offered in the fifth round of this program was concentrated in the following economic sectors: agriculture, industry, services, and construction. The specific names of each course are listed in Appendix C. No course had more than 20 participants.</t>
  </si>
  <si>
    <t>USD 2,000 per participant (on average)</t>
  </si>
  <si>
    <t>3 months (90 days on average)
Training: 6 - 12 weeks + Internship: 8 weeks
Total: 14 to 20 weeks.</t>
  </si>
  <si>
    <t>Table II</t>
  </si>
  <si>
    <t>Fitzenberger 2000</t>
  </si>
  <si>
    <t>18-55</t>
  </si>
  <si>
    <t>The East German labor market has under- gone fundamental changes since unification in October 1990. Unemployment occurred for the first time in 40 years and the structure of the active labor market population has changed considerably. This development induced large financial transfers from West to East Germany, partly through labor market poli- cies. But also labor market policies themselves promoted structural changes in the East German labor market. One of the main instruments of labor market policy in East Germany was the implementation of qualification (training) programs.
In the first years of transition, a large part of the economy was severely hit by the loss of its traditional eastern trading partners, and by the sudden ex- posure to western competition. Female labor market participation dropped con- siderably, and early retirment became a frequently chosen way of exiting employment. Despite this decline of the labor force, and despite large flows of migrants from East to West Germany, the East German unemployment rate rose dramatically, from almost zero in 1989 to 16% in 1994.</t>
  </si>
  <si>
    <t>Public sector sponsored training consists mainly of continuous vocational training and retraining. 
Participation in FuU may lead either to an update or upgrade of existing occupational education or to a new occupational certificate that should significantly improve the trainee's labor market prospects. Most often the qualification program takes place in external institutions but it may also be located in the firm where a person is employed. The program can be full-time or part-time, and its duration has to be more than two weeks and is usually restricted to a maximum duration of two years for full-time program.
Since we are interested in the effects of public labor market policy, we focus on those programs where the participants are supported by Public Income Maintenance (PIM) because this is the main indicator of public involvement in our data set. To investigate a more homogeneous type of training program we also exclude those PIM-supported programs that take place in the firm (which are not many) as they are likely to be targeted at employed persons, practically oriented, and therefore very different from classroom-education which is typical for the qualification programs analyzed here.</t>
  </si>
  <si>
    <t>0.5 - 24 months</t>
  </si>
  <si>
    <t>Treatment is not homogenous</t>
  </si>
  <si>
    <t>Fitzenberger 2016 i</t>
  </si>
  <si>
    <t>20-50</t>
  </si>
  <si>
    <t xml:space="preserve">The conduct of training programs for the unemployed has a long history in Germany, dating back to the enactment of the Employment Promotion Act. This legislation introduced a variety of instruments of active labor market policy(ALMP), with public-sponsored training programs (Fortbildung und Umschulung) as the most important component at that time.
These programs vary strongly with respect to the intended aim of qualication and their duration, ranging from only few weeks for short-term training to a maximum of three years for complete retraining programs.
</t>
  </si>
  <si>
    <t>Short Term Training
(STT)</t>
  </si>
  <si>
    <r>
      <rPr>
        <b/>
        <sz val="11"/>
        <color theme="1"/>
        <rFont val="Calibri"/>
        <family val="2"/>
        <scheme val="minor"/>
      </rPr>
      <t xml:space="preserve">Short-Term Training (STT) </t>
    </r>
    <r>
      <rPr>
        <sz val="11"/>
        <color theme="1"/>
        <rFont val="Calibri"/>
        <family val="2"/>
        <scheme val="minor"/>
      </rPr>
      <t xml:space="preserve">courses with an intended duration of no more than six
weeks focused on hard-to-place and low-skilled individuals. They were intended to inform
job seekers about employment options and possibilities for participation in more comprehensive programs, as well as to provide participants with suitable employer contacts.
Furthermore, individuals were taught some general labor market relevant skills, including
job search assistance, counseling, and communication training. In general, participants did not have to take an exam at the end of the course and did not obtain any o_x000E_cial certicate at the end.
</t>
    </r>
  </si>
  <si>
    <t>1.5 months</t>
  </si>
  <si>
    <t>IV</t>
  </si>
  <si>
    <t>Fitzenberger 2016 ii</t>
  </si>
  <si>
    <t>Specific Professional Skills and Techniques (SPST)</t>
  </si>
  <si>
    <t>Up to 2 years</t>
  </si>
  <si>
    <t>Freedman 2000</t>
  </si>
  <si>
    <t>1991-1994</t>
  </si>
  <si>
    <t>Atlanta: 32.7 
Grand Rapids:28.2 
Riverside: 32.0 
Columbus: 31.8 
Detroit: 30.0 
Oklahoma City: 28.1 
Portland: 30.3</t>
  </si>
  <si>
    <t>When planning this evaluation, HHS and MDRC sought to include sites that would demonstrate operation in a diverse range of conditions, though they would not represent all welfare-to-work programs in the country. As shown in Table 1.2, sites varied along several dimensions, such as geographic location, labor market, and welfare grant level To be included in the National Evaluation of Welfare-to-Work Strategies, sites needed large enough welfare caseloads to meet the sample size requirements of the research design. Accordingly, all of the seven sites include urban areas. Detroit, with a population topping 2 million in 1990, is the largest urban area studied in the evaluation, and the only site to lose population (by 3 percent) between 1990 and 1995, roughly the time period covered in this report. Riverside, with a population of over 1 million in 1990, experienced the most growth during this period, adding almost 18 percent to its population by 1995. Population growth in other sites ranged from 5 to 10 percent.
As population grew, so did labor markets. In four sites employment expanded significantly between 1991 and 1996: the employed labor force in Grand Rapids grew by 16 percent, in Atlanta and Portland by 15 percent each, and in Riverside by 12 percent. The other three sites experienced 5 to 9 percent gains.
Rising employment, particularly in localities with rising population, does not necessarily indicate declining unemployment rates. Unemployment rates in all seven sites, however, decreased over this period.
Following national trends, in general, unemployment rates peaked in 1992 and were lowest in 1996. At the end of the evaluation period unemployment rates in most sites were below the national average of 5.4 percent in 1996. Early in the evaluation period unemployment rates in Detroit and Riverside topped 10 percent. Although rates in both localities steadily declined, Riverside’s remained at 8 percent in 1996, significantly higher than the national average. Throughout the evaluation period Columbus’s labor
market was robust; its unemployment rate never exceeded 5 percent, even during the high point of the national recession.
Because individuals in the program and control groups within each site were subject to the same labor market, the quality of the economy by itself should not affect impact estimates; program and control groups shared the same advantages of a tight labor market or disadvantages of a slack one. However, different economic environments can present new opportunities or challenges for welfare-to-work programs. For example, in a good labor market programs focused on job development will have an easier time locating and directing their clients to jobs to which control group members would not have access. In a slack labor market programs may choose to encourage recipients to invest in skills or education.
The size of AFDC caseloads varied with the size of sites’ populations, ranging from about 7,500 in Grand Rapids to almost 90,000 in Detroit in 1991, the beginning of this evaluation. In general, sites’ welfare and program caseloads grew in the early part of the evaluation period, peaked in 1993 or 1994, and declined to their 1991 levels or below by 1996. Although this information is not available in all sites, a small percentage of the entire caseload actually participated in the sites’ welfare-to-work programs. The program caseloads presented in Table 1.2, which represent annual unduplicated counts of program participants, grew substantially over the evaluation period.
Table 2.2 shows the dates of random assignment and sample sizes by data source, site, and research group. Throughout this report outcomes and impacts from two primary data sources will be presented: administrative records and a client survey (see the following section on data sources). The administrative records sample, composed of 44,569 individuals, is considered to be this report’s full “impact sample.”9 The impact sample spans the full random assignment period for each site and is larger than the client survey sample, which includes 9,675 individuals selected from the full impact sample and spans a shorter period of random assignment.
Ethnicity. The ethnic makeup of the samples in different sites varies, reflecting general differences in the overall ethnic composition of the counties from which the samples were drawn. In Atlanta and Detroit almost all sample members are African-American. About half of the sample members in Grand Rapids, Riverside, Columbus, and Oklahoma City and two-thirds of those in Portland are white. Only Riverside has a substantial portion (one-third) of Hispanic sample members (see Table 2.3).
Family structure. The “average” welfare-to-work program enrollee in this evaluation is a single-parent 30-year-old female with two children. More likely than not, she has a preschool-age child and chances are relatively high that she had her first child as a teenager. This portrait, however, brushes over the diversity of the families who were included in the program mandate. Grand Rapids, Detroit, Oklahoma City, and Portland chose to include in their program mandate parents with children as young as age 1. In these four sites just under half entered the program when their youngest child was under age 3. The remainder of the sample in the four sites and the full samples in the other three sites were divided between parents with a youngest child aged 3 to 5 and one aged 6 or over. In Grand Rapids, Detroit, and Oklahoma City teen parents are included in the report’s sample (see Table 2.1).
Educational attainment. Between 55 and 66 percent of enrollees had a high school diploma or GED when they entered the program, and in all sites at least some enrollees had some college or post-secondary schooling. On average, however, sample members had completed just 11 years of school before enrolling.
Employment history. None of the welfare-to-work programs served a population with an extensive work history, though the degree of labor market experience held by sample members varied by site. Fewer than half the individuals in all sites but Oklahoma City had worked at some point during the year before they enrolled (from 21 percent in Detroit to 46 percent in Grand Rapids). Oklahoma City’s all-applicant sample, not surprisingly, was far more likely to have worked in the year before entering the program; 69 percent had done so.
In addition to having limited recent work experience, fewer than half of the sample members in Columbus and Detroit had worked full time for six months or more for one employer at some point prior to entering the program; two-thirds to three-quarters in other sites had done so. Past AFDC receipt. The majority of sample members in all sites but Oklahoma City had already received AFDC for at least two years cumulatively before entering the welfare-to-work program. Just 24 percent of those in Oklahoma City, compared with 54 to 74 percent in the other sites, had received cash assistance for two years or more. Excluding Oklahoma, between 28 and 50 percent had received welfare cumulatively for five years or more.
“Most disadvantaged” status. Sample members who lacked a high school diploma or GED (or were in need of basic education in Riverside), lacked any work history in the year prior to enrolling in the welfare-to-work program, and already had received welfare for two years or more cumulatively before entering the program are considered “most disadvantaged”; the proportion of sample members in all sites so defined ranges from 5 percent in Oklahoma City to 25 percent in Riverside and Detroit.
Housing status. The proportion of program enrollees living in public housing developments or receiving housing assistance through such programs as the Section 8 rental assistance program is highest in Atlanta (56 percent) and lowest in Detroit (7 percent). Federal housing policies have been cited as a possible disincentive for employment; earnings increases mean rent increases for public or subsidized housing residents, who pay rent on a sliding scale. In addition, gross income limits for housing assistance
eligibility could force a newly employed individual to lose her subsidy.
Compared with the other sites, a fairly large proportion (14 percent) of individuals in Oklahoma City lived in emergency or temporary housing, which is defined as living in a shelter or being homeless, when they applied for AFDC. Less than 3 percent of the enrollees in other sites were experiencing this type of hardship when they entered the program.</t>
  </si>
  <si>
    <t>Seven programs (Atlanta, Grand Rapids, and Riverside HCD; Columbus Integrated and Traditional; and Detroit and Oklahoma City) can be characterized as “education-focused.” (See Exhibit ES-1.) A large percentage of enrollees in these programs were initially assigned to some type of skillbuilding activity. The types of activities to which enrollees were first assigned depended, in part, on the level of educational attainment that individuals had achieved prior to entering the program. Those who had not completed high school or received a GED certificate but who were assessed by case managers as having high school-level skills were assigned to GED preparation classes. Those with lower reading or math levels were assigned to Adult Basic Education classes. In addition, non-English speakers could be assigned to English as a Second Language (ESL) programs. Finally, those who had completed high school or held a GED certificate could be assigned to vocational training or employment-oriented skills courses at local community colleges. All in all, however, assignments to GED preparation or basic education courses were more common than assignment to vocational training programs in these
education-focused programs, primarily as a result of welfare recipients’ low levels of educational achievement; enrollment in college played an even smaller role.
Some differences existed among the seven education-focused programs. The three HCD programs usually assigned enrollees to education or training programs as their first activity. Case managers in Columbus, Detroit, and Oklahoma had more discretion over activity assignments, but, in practice, most program enrollees were initially assigned to education or training activities in these sites as well. Riverside’s HCD program was also unique among this group in that it did not serve high school graduates and GED holders who, at program entry, scored above minimum levels in reading and math tests.
The degree to which a program enforces a participation mandate can be viewed as a product of three factors: how wide a cross section of the welfare caseload is enrolled in a program; how closely a program monitors individuals’ participation; and how swiftly and consistently a program imposes financial sanctions, that is, reductions in monthly welfare grants, on those who do not participate.
All four employment-focused programs, and five of the seven education-focused programs, can be considered high enforcement programs; the remaining two education-focused programs, Detroit and Oklahoma City, can be considered low enforcement programs. While technically requiring enrollment from a cross section of their “mandatory” caseloads, these latter two programs put a priority on working with those individuals who expressed interest in participating in the program. In addition, resource constraints kept staff in these sites from closely monitoring individuals’ participation in program activities. 
Finally, staff in these two sites rarely invoked financial sanctions. In contrast, program staff in the other programs generally enrolled and worked with a cross section of the welfare applicants and recipients who were required to participate; monitored participation more closely; and, especially in Columbus and Grand Rapids, frequently invoked sanctions for nonparticipation.
Other implementation features, beyond those discussed above, can also potentially influence a program’s effectiveness. Two of them — the level of child care support provided and the structure of program case management — are described here. All 11 studied programs offered child care assistance to welfare recipients who needed it while they were participating in program activities or employed. Oklahoma City, Portland, and Detroit provided the strongest staff support for arranging child care. Staff in these programs helped to make child care arrangements and also helped those who found jobs to obtain transitional child care assistance. In contrast, case managers for both Riverside programs did not provide much assistance in setting up child care arrangements, encouraged enrollees to use low- or zero-cost informal child care while they were participating in program activities, and did not actively promote the use of transitional child care benefits.
The programs also differed in their case management strategies. Columbus Integrated, Portland, and Oklahoma City implemented an “integrated case management” staffing arrangement. That is, case managers in these sites combined responsibilities normally performed by income maintenance staff (determining welfare eligibility, calculating welfare grants, invoking financial penalties, and arranging for transitional benefits) with responsibilities usually assigned to welfare-to-work program staff (assigning
enrollees to employment-related activities, arranging for child care, and monitoring participation).
Columbus Integrated and Portland staff had sufficient resources and small enough caseloads to perform both of these roles, enabling them to promote a consistent self-sufficiency message. In contrast, in Oklahoma City limited resources and large caseloads led case managers to put most of their overall emphasis on the financial functions of their job.
The programs also differed in how broadly or narrowly they targeted enrollment. Most notably, Oklahoma City randomly assigned only welfare applicants (that is, persons in the process of applying for welfare), including those whose application for assistance was not yet approved. Additionally, Detroit, Grand Rapids, Oklahoma City, and Portland extended their program coverage to mothers with children as young as age 1, whereas the remaining programs exempted parents whose youngest child was under age 3. Riverside limited enrollment in its HCD program to individuals determined by program regulations to need basic education because they lacked a high school diploma or GED certificate, attained low scores on a reading or math exam administered at program entry, or had limited proficiency in English. Finally, other pro-grams limited enrollment (and thus those eligible for random assignment) by capping caseloads for program staff and establishing waiting lists for enrollees (Atlanta) or by excluding those who, in the judgment of program staff, had serious barriers to participation (Portland). Because of these and other factors, the research samples differed across the seven sites in key
background characteristics likely to affect individuals’ chances of finding employment and leaving welfare.
A. Education-Focused Programs
The Oklahoma City program encouraged long-term education and training activities instead of active job search almost universally. Case managers communicated to clients the importance of education, even in job clubs, as a way to increase skills for later entry into the labor market.
The Atlanta HCD, Grand Rapids HCD, and Columbus Integrated and Traditional programs emphasized increasing skills through formal education and training before entry into the labor market. Because of the generally low educational attainment of participants in these programs, basic education was a common first activity, though Grand Rapids also encouraged participation in vocational training programs. Clients in these programs were given considerable latitude in choosing what kind of education activity they wanted to pursue.
The Detroit program underwent a substantial shift in focus over the study period. Initially, the program emphasized long-term education and training assignments before clients engaged in work search. About midway through the study period clients were referred to a program that required job search first.
The Riverside HCD program, which enrolled only individuals without a high school diploma or GED, generally assigned clients to basic education as a first activity. Short stays in these classes, and active job search once a literacy benchmark was reached, were stressed by case managers throughout clients’ participation. Job developers assisted HCD clients in job club.</t>
  </si>
  <si>
    <t>Appendix Table 1</t>
  </si>
  <si>
    <t>Table 1.2
Table 2.2
Table 2.3</t>
  </si>
  <si>
    <t>Exhibit ES-7
Figure 5.2, 5.3</t>
  </si>
  <si>
    <t>I consider it only one intervention.</t>
  </si>
  <si>
    <t>&gt;=16</t>
  </si>
  <si>
    <t xml:space="preserve">Enacted in 1982, title II of the Job Training Partnership Act (JTPA) has been the cornerstone of federal employment training programs, providing block grants to state and local governments to administer these federally funded programs. JTPA supports job training for individuals facing barriers to employment and needing special training to obtain productive employment. Under recent legislative proposals to consolidate multiple federally funded training programs, states would have the flexibility to design and implement a statewide approach to job training based on the concept of one-stop career centers. As states design and implement their approaches to job training, lessons learned from JTPA can help in reallocating training dollars and in setting performance standards.
JTPA training programs annually provide employment training for specific occupations and services, such as job search assistance and remedial.
education. </t>
  </si>
  <si>
    <t>Job Training Partnership (JTPA)</t>
  </si>
  <si>
    <t>Enacted in 1982, JTPA is the largest federal employment training program, with titles II-A and II-C intended to prepare economically disadvantaged adults and youths, respectively, for entry into the labor force.7 JTPA emphasizes state and local government responsibility for administering federally funded job training programs. In fiscal year 1995, JTPA title II-A and II-C programs received approximately $1.6 billion in funding. 
JTPA training programs annually provide employment training for specific occupations and services, such as job search assistance and remedial education, to roughly one million economically disadvantaged individuals. Training is provided in local service delivery areas (SDA) through service providers, such as vocational-technical high schools, community colleges, proprietary schools, and comunity-based organizations. The program objectives are to increase earnings and employment and to reduce welfare dependence for participants of all ages. During the NJS, participation in JTPA involved roughly 3 to 4 months of training at an average cost of about $2,400 per participant.
In 1986, Labor commissioned the NJS to evaluate the impact of JTPA on adults and youths because previous findings on the effects of job training programs had been hampered by poor data and statistical problems. The NJS randomly assigned persons who sought JTPA services, and were eligible for them, to a treatment group or a control group. The study included over 20,000 eligible participants who applied for JTPA
services between November 1987 and September 1989 in 16 local SDAs.
The original NJS data set contained demographic and program information on 20,601 people who applied for JTPA services between November 1987 and September 1989 in 16 local service delivery areas. Approximately two-thirds of the applicants were assigned to the treatment group and one-third to the control group. The control and treatment groups were closely matched in demographic variables such as age, race, and education, which typically allows a meaningful comparison of average outcomes between the two groups.
However, two factors intervened to make such a comparison problematic. First, not all members of the treatment group participated in JTPA programs. For example, about two-thirds of the adult treatment group
members enrolled in JTPA, but the other one-third either found jobs on their own or decided not to participate in the program. Second, a substantial minority of the control group members chose to participate in some alternative, non-JTPA training programs.
We obtained annual earnings records from SSA for the individuals in the NJS treatment and control groups. SSA maintains information on annual earnings of individuals contributing to either Social Security or Medicare. We assumed that an individual was employed if his or her SSA records showed positive earnings for a given year. We adjusted data for what we assumed were data entry or processing errors, and we also rounded reported negative earnings to zero.
We analyzed the NJS and SSA earnings records of 13,699 NJS participants12 to determine their annual earnings and employment outcomes for the 3 years before assignment to the treatment or control group, the year of assignment, and 5 years following assignment. 12 We did not analyze earnings and employment information for the NJS participants who were assigned after 1988 because we had only 4 years of postassignment data for them. We also excluded the NJS participants whose SSA records did not adequately match information collected for the NJS, such as name or birth month and year.
The study included over 20,000 eligible participants who applied for JTPA. 
Program applicants were recruited, screened to determine their eligibility, assessed to determine their service needs and wants, and recommended for services.
NJS participants were then randomly assigned to either the treatment group, which was allowed to participate in JTPA title II-A programs, or the control group, which was not allowed to participate in these programs for 18 months. Approximately two-thirds of the applicants were assigned to the treatment group and one-third to the control group. The control and treatment groups were closely matched in demographic variables such as
age, race, and education, which typically allows a meaningful comparison of average outcomes between the two groups.
We analyzed the NJS and SSA earnings records of 13,699 NJS participants12 to determine their annual earnings and employment outcomes for the 3 years before assignment to the treatment or control group, the year of
assignment, and 5 years following assignment. The 3 years of prior earnings and employment data served to demonstrate the prior comparability of treatment and control groups. The 5 years of postassignment data effectively doubled the 30-month follow-up period for
the NJS. The treatment group had 9,275 individuals, and the control group had 4,424 individuals.</t>
  </si>
  <si>
    <t xml:space="preserve"> Participation in JTPA involved roughly 3 to 4 months of training at an average cost of about $2,400 per participant. In fiscal year 1995, JTPA received approximately $1.6 billion in funding.</t>
  </si>
  <si>
    <t>3 to 4 months of training</t>
  </si>
  <si>
    <t>Figure 1-8</t>
  </si>
  <si>
    <t>Year of start evaluation is the average between the beginning and the end of evaluation (1987-1989). 
"JTPA training programs annually provide employment training for specific occupations and services, such as job search assistance and remedial.
education". Question: Do we turn this paper down? Because it does job search assistance mainly.</t>
  </si>
  <si>
    <t>15-29
mean: 21</t>
  </si>
  <si>
    <t xml:space="preserve">Jordan’s labor market is similar to others throughout the Middle East in that there is a bulging youth population facing high unemployment rates, particularly among relatively educated youth, with female youth employment rates particularly low. Youth aged 15–29 are the largest demographic group in the country, comprising 30 % of the total population. In 2011, the unemployment rate for 20–24-year-old females was 47.6 % compared to 23.1 % for 20–24-year-old males (Jordanian Department of Statistics, 2011).
We work with graduates of Jordan’s community colleges. These community colleges offer 2-year programs, similar to community colleges in the USA, and like the USA tend to attract individuals with more limited financial means and/or lower academic scores than youth attending universities. At the request of the Government of Jordan, the World Bank developed the Jordan NOW pilot program to attempt to assist women graduating from these community colleges to find employment.
The pilot worked with the eight public community colleges with the largest female enrolment numbers, together comprising over 85 % of all female public community college enrolment. These consist of four colleges in Central Jordan (Amman University College, Princess Alia University College, Al-Salt College, Zarqa University College) and four located in Northern and Southern Jordan (Al-Huson University College for Engineering, Irbid University College, Ajloun University College, and Al-Karak University College). For ease of exposition, since Amman is the capital of Jordan and two of the four colleges in Central Jordan are located within the city of Amman while the other two are located within a 45-min drive of Amman, we will herein refer to Central Jordan as inside Amman and Northern and Southern Jordan as outside Amman.
</t>
  </si>
  <si>
    <t>The Jordan New Opportunities for
Women</t>
  </si>
  <si>
    <t>45 hrs (9 days)</t>
  </si>
  <si>
    <t>mean: 38</t>
  </si>
  <si>
    <t>Table 1.4</t>
  </si>
  <si>
    <t>Table 1.4 presents selected characteristics at baseline of the WorkAdvance research sample by provider and overall.36 The variation in baseline characteristics that is seen across providers is likely to reflect provider-specific eligibility criteria, the sectors selected, and the city in which the provider is located. Various tests for baseline equivalence between the WorkAd-vance group and the control group are presented and discussed in Appendix A. As expected (by virtue of the random assignment research design) there are no meaningful or systematic differ-ences between the research groups.
The average WorkAdvance sample member is 34 years old, black/African-American, and single, with some variation seen across the sectors. Notably, the Per Scholas sample mem-bers are younger and much less likely to have children. The majority of WorkAdvance sample members are male, with the exception of the health care sector at Towards Employment (not shown separately), in which more than 92 percent of sample members are female. Almost all sample members had at least a high school diploma or General Educational Development (GED) certificate, and over half the sample had at least some college education — a much high-er rate than seen in the SEIS. Individuals at the St. Nicks Alliance site had lower levels of edu-cation than at the other sites.
Early in the follow-up period in particular, the sample composition seemed heavily af-fected by the Great Recession and the accompanying labor market displacement that took place in 2008-2009. These events pushed many previously stably employed individuals into unem-ployment and led to declines in the economic circumstances of many formerly “middle-class” individuals. Almost all sample members had previous work experience, but only one in five were working at the time that they entered the study. In addition, more than 36 percent of sam-ple members had been unemployed for at least seven months before study entry. Overall, 15 percent of sample members had previous work experience in their targeted industry; this rate varied from 2 percent at St. Nicks Alliance to 31 percent at Towards Employment, which fo-cused partly on health care, an industry which employs a large number of workers and which has low barriers to entry-level jobs, such as home health aides and nursing assistants. Despite fairly high levels of education and work experience, many sample members still faced substan-tial barriers to employment, and many were receiving public benefits. One-quarter of the overall sample had a previous criminal conviction, and even higher rates were seen within the transpor-tation and manufacturing sectors. At study entry, less than half the sample members were cov-ered by health insurance, 6 percent were receiving Temporary Assistance for Needy Families (welfare), 16 percent were receiving unemployment insurance benefits, and over one-third were receiving food stamps.
Table 1.4 also presents a column showing selected baseline characteristics for a national sample of low-wage workers. While WorkAdvance targeted all unemployed and low-wage workers, the sample ultimately enrolled in the study reflects the providers’ choice of sectors and recruitment methods, and the study and provider screening criteria. There are a few notable dif-ferences between the WorkAdvance sample and the national low-wage worker sample. Over half of the national sample is female, compared with only 27 percent of the WorkAdvance sam-ple. This is probably due in part to the sectors targeted by the WorkAdvance providers; all of the sectors, with the exception of health care, tend to be male dominated. The WorkAdvance sample had relatively higher levels of education: Over one-quarter of the national low-wage worker sample does not have a GED or high school diploma, compared with only 6 percent of the WorkAdvance sample. Few individuals in either sample lack work experience, but the na-tional sample has higher proportions of individuals who are currently employed and individuals who have been out of work for over a year (not shown).
WorkAdvance began operations in June 2011, random assignment concluded in June 2013, and this report covers outcomes through September 2015. The WorkAdvance study coin-cided with a time of fairly steady economic growth despite occurring during the slow recovery period following the Great Recession — a period when even relatively experienced and skilled workers struggled to find work. The early part of the recovery was notable for its lack of job creation and earnings growth. This was compounded by the fact that the period up to 2007 was sometimes called the “jobless recovery.” Thus, low-wage workers confronted an extended peri-od of labor market stagnation.37 Recent studies indicate that employers have responded to this increased supply of unemployed workers by being especially selective about whom they hire, particularly in relation to recent work experience. Those who have been out of the labor market for six months or longer are much less likely to receive calls for job interviews, even when ap-plicants have extensive relevant experience.38 Despite these challenging economic conditions, during the study period unemployment fell by 2.7 percentage points nationally — from 8.9 per-cent in 2011 to 5.3 percent in 2015. There was some important economic variation by site loca-tion, as shown in Appendix B. Notably, the economy was especially strong during the study period in Tulsa due to a local economic boom related to the natural gas and oil industries. While the economy in New York City was improving throughout the evaluation period, the environ-mental remediation industry (which the St. Nicks Alliance program focused on) was quite slack early in the follow-up period. In Ohio, the economy was fairly steady.</t>
  </si>
  <si>
    <t>The WorkAdvance Model
A fundamental focus on employer input and long-term career advancement is reflected in each of the five WorkAdvance program elements shown in Figure 1.1 (including screening, which precedes enrollment). WorkAdvance is a workforce development model designed to help unemployed and low-wage working adults increase their employment and earnings by finding good quality jobs in selected sectors that have room for advancement within established career pathways. The essential theory behind WorkAdvance is that strategic upgrades in human capital — that is, education and employment-related skills and experience — will lead to advancement in the labor market, but only if training and job preparation are directly aligned with specific job openings. This theoretical pathway applies to most program participants in the evaluation. For those who did not attend training (because they already had the requisite skills and experience) the theory is that strong connections to the labor market will help facilitate access to jobs in the selected industry. The theory also assumes that well-regarded providers with strong labor mar-ket connections will have a spillover effect: They will help individuals who would otherwise not be as well represented in the labor market. For example, sector programs can advocate for indi-viduals who have trouble entering the labor market because of discrimination by race or gender. A critical part of the sectoral vision is that employers will come to trust organizations that pre-pare trainees, and these organizations will become labor market intermediaries that over time become valuable to employers as a source of recruitment for qualified job applicants. Eventual-ly such providers also might be able to advocate on behalf of employees for better wages and working conditions.
As displayed in Figure 1.1, the program includes the following key components:
1. Intensive screening of program applicants before enrollment — a practice not always common in employment programs offered to low-income indi-viduals — is intended to ensure that program providers select participants who can take advantage of the skills training for the sector and occupations. The expectation is that screening closely aligns with employer requirements for the targeted jobs. This was identified as one of the key elements of suc-cess in the SEIS.
2. Sector-appropriate preemployment and career readiness services com-prise an orientation to the sector, career readiness training, individualized ca-reer coaching, and limited supportive services to sustain engagement and as-sist participants to complete their training and find employment.
3. Sector-specific occupational skills training is intended to impart skills and lead to credentials that will substantially enhance workers’ employment op-portunities. Providers offer training tailored to current job openings in specif-ic sectors and occupations. In addition, providers are to adapt these offerings to changes in available jobs. This step did not apply to all enrollees in this evaluation. Early in the sample enrollment period approximately half the en-rollees at two of the four WorkAdvance providers were in a placement-first track in which they skipped the training phase (discussed further below).
4. Sector-specific job development and placement services are intended to facilitate entry into positions for which the participants have been trained and for which there are thought to be genuine opportunities for continued skill development and career advancement. The providers’ job developers are ex-pected to maintain strong relationships with employers who hire individuals with the kinds of skills the program has imparted.
5. Postemployment retention and advancement services are meant to assist participants beyond the placement stage. Providers are expected to maintain close contact with workers and employers to assess performance, offer coaching to address any complicating life situations that might arise for workers, help identify next-step job opportunities and skills training to enable participants to move up career ladders over time, and assist with rapid reemployment if workers lose their jobs. By working closely with employers and understanding the career trajectories in their workplaces, providers should be able to help guide a participant’s career path.
The Two-Track Model
Although all the WorkAdvance providers eventually emphasized training before job placement, two of them (in northeast Ohio and Tulsa) implemented the program model with two separate tracks. This program design was suggested in the site selection process, based on previous workforce experience in New York City. One track emphasized gaining skills first through training (similar to most other sector-based programs), and the other sought to place people into jobs first; the goal for the two dual-track providers was to designate at least 50 per-cent of their participants to go into training first, while the remainder could be placed first. The placement-first track was intended to be a less expensive but still effective route to advancement by enabling enrollees to gain experience and sector-specific skills (such as through on-the-job training) without participating in formal training first. Another rationale for making placements right away was that it helped the providers offer and deliver a more immediate service to em-ployers while participants in the other track were still going through training and provider staff members were building relationships with employers. However, at MDRC’s urging, both the providers eventually shifted mostly to the training-first approach, since providers were not go-ing to be able to reach the goal of enrolling 50 percent of participants in training if so many people continued to be placed first. Additionally, preliminary evidence suggested that place-ment first too often resulted in participants entering low-wage jobs that, in practice, did not lead to on-the-job acquisition of skills.
To competitively select local providers in three geographic areas — New York City; northeast Ohio (Greater Cleveland and Youngstown); and Tulsa, Oklahoma — rather than to conduct a broader national search. A principal consideration in selecting the geographic areas was demonstrated local interest, as represented by a commitment to help raise the match fund-ing needed to satisfy the SIF requirements. A second important factor was that there be a diver-sity of local economies and industry sectors, so that the WorkAdvance demonstration could draw on a range of local conditions to inform potential replication and expansion of similar pro-grams.
The four providers that were selected for WorkAdvance had a range of experiences and backgrounds. Ultimately, this benefited the study, as it provided the opportunity to learn, among other things, whether an array of providers — including some that were less mature in their de-livery of sectoral programs than those included in the SEIS or that had no sectoral experience at all — could successfully implement WorkAdvance.
The WorkAdvance providers were selected by CEO and the Mayor’s Fund to Advance New York City through a competitive process conducted within each of the identified geo-graphic areas, with input from MDRC and local stakeholders from each region, including repre-sentatives of government and philanthropy. A primary factor in selection decisions was whether a provider could demonstrate that it was currently, or had the capability to be, firmly grounded in a targeted sector; this included in-depth knowledge of and strong relationships with employ-ers who provided letters of support. Applicants had to demonstrate current or potential capacity to operate at the intended scale, to carry out an advancement-focused approach, and to work with a range of lower-income individuals — rather than only those who would be easiest to place in jobs. Additional selection criteria included overall organizational capabilities (including appropriate fiscal and data management capacity and the ability to comply with federal funding requirements), clear commitment to the program model, and a willingness and ability to partici-pate in a random assignment study and to help raise matching local funds. All the selected pro-viders demonstrated the commitment of the agency’s leadership to the requirements of the WorkAdvance demonstration CEO and the Mayor’s Fund did not specify the targeted sectors in each geographic area; instead, providers proposed and had to justify the sector and range of occupations, based on their experience, local labor market information, and the advancement potential of the targeted jobs.
The four organizations selected to operate WorkAdvance are as follows:
• Per Scholas in the Bronx, New York, which focused on the information technology (IT) sector
• St. Nicks Alliance in Brooklyn, New York, which focused on environmental remediation and related occupations
• Madison Strategies Group in Tulsa, Oklahoma, which focused on the trans-portation and manufacturing sectors
• Towards Employment in northeast Ohio, which focused on the health care and manufacturing sectors
Table 1.2 provides some background on the four WorkAdvance providers. Chapter 2 provides more details, particularly with regard to the organizations’ levels of experience in operating sec-toral training programs. All four programs continue to provide services similar to those offered under WorkAdvance.
From June 2011 through June 2013, individuals who met the WorkAdvance and sector-specific eligibility criteria were assigned at random to the WorkAdvance group or to the control group. Members of the WorkAdvance group were offered WorkAdvance services, while those in the control group were not eligible for WorkAdvance services but were eligible for other ser-vices available in the community. The first six months of random assignment consisted of a pilot phase, designed to provide the organizations with time to work out implementation issues and to learn to perform research procedures (such as collecting baseline data, explaining in-formed consent, and conducting random assignment). A pilot assessment was conducted to de-termine how well the program was implemented during the pilot phase. The assessment con-cluded that the program was sufficiently well implemented to enable the pilot sample to be in-corporated in the research sample.
WorkAdvance was a multicomponent program that required all providers to go beyond their normal operations. All providers received extensive technical assistance during the study period, to ensure that research procedures were being followed and to ensure that the providers were delivering the strongest program possible, according to the way it was designed. MDRC and several consultants provided technical assistance.</t>
  </si>
  <si>
    <t>Expenditures on the operation of WorkAdvance ran between $5,200 and $6,700 per participant for the four providers delivering the program and were between $5,200 and $5,800 at three of the programs.</t>
  </si>
  <si>
    <t>High heterogeneity by Site and by pccupation: 
Career Readiness Training: Between 30 and 84 hours
Occupational Skills Training: Between 4 to 32 weeks.</t>
  </si>
  <si>
    <t>Figure 5.2</t>
  </si>
  <si>
    <t>In addition to the high heterogeneity in the duration of the treatment, there is also heterogeneity in the sample because training was delivered by cohorts, that means, that some receive the training before the others and at the endline all respondents were pooled.</t>
  </si>
  <si>
    <t>Mean: 21.7
17-28</t>
  </si>
  <si>
    <t>Table 1 -5</t>
  </si>
  <si>
    <t xml:space="preserve">The 2007 World Development Report emphasizes that “second-chance” schooling programs are crucial for countries like Kenya, given high drop-out rates from primary school and limited primary to secondary school transition rates (World Bank, 2007).
Table 2 presents demographic and program participation data for the full KLPS sample, as well as for the 2,163 individuals who became participants of this vocational training program. The KLPS sample is generally representative of youth in western Kenya: both programs from which it was drawn (the PSDP and GSP) included youth enrolled in primary school in 1998/2001, and the 1998 Kenya Demographic and Health Survey suggests that 85% of 8 to 18 year olds in western Kenya were enrolled in school at that time (Republic of Kenya, 1999).
The last column of Table 2 compares individuals who applied to the vocational training voucher program to individuals in the KLPS sample who did not apply. In general, program applicants are three percentage points more likely to be male than non-applicants, 0.15 years older, and slightly higher in baseline primary school grade. There are no statistically significant differences in prior program participation (PSDP or GSP) across program applicants and and nonapplicants, and no difference in the likelihood that a participant was assigned to the PSDP treatment group. Results do suggest that program applicants were slightly more likely to be assigned to the GSP treatment group (2 p.p., p-value ≤0.05). In our primary analysis of mediumterm program impacts, we control for all of these characteristics.
Table 3 summarizes the descriptive statistics of the vocational training program sample prior to any program intervention. The first thing to note from this table is that the voucher randomization procedure was successful at creating similar treatment and control groups. The treatment and control groups were well balanced along most observable dimensions (among all observables presented, only one shows a statistically significant difference, and only with a pvalue&lt;=0.10). This allows us to confidently interpret the differences between treatment and control outcomes as the causal effect of the vocational training voucher program.
Column (1) of Table 3 provides a description of the overall sample – a valuable depiction of individuals interested in receiving vocational training. Of the 2,163 individuals included in the program, 63% are female. The sample consists of more girls than boys mainly because one of the two school-based NGO programs from which the KLPS sample was originally drawn (the GSP) targeted only girls.13 Because of the relative size difference between these two different programs, 70% of program applicants were previously involved in the PSDP, while only 30% were previously involved in the GSP. The mean age at recruitment in 2008 was 22 years and sampled students ranged in age from roughly 17 to 28.
At the time of project recruitment meetings, most participants lived in Busia County (the main study area of the PSDP and GSP projects in rural western Kenya), with roughly 4% living just outside of the district and 6% in large cities. This distribution makes sense, especially given that invitations to recruitment meetings were spread with the assistance of local area leaders throughout Busia County.
Average academic schooling attainment of individuals in the sample prior to the start of the program was 8.8 years, but there is a wide range in attainment: 26% of the sample dropped out before attaining grade 8, 38% terminated schooling upon graduating from primary school, 11% of individuals attended some secondary school, and 24% completed secondary school. Nearly two thirds of individuals seeking vocational training had received only up to a primary school education. Fewer than 3% of program applicants were still attending school at the time of program launch, and on average, program participants had been out of school for nearly 4 years by that time.
Approximately 14% of the sample had previously been employed. Of these, fewer than a quarter were already working in a field in which the project affiliate training centers offer skills training, such as tailoring, hairdressing, skilled construction or computer services. Other common jobs include fishing and informal hawking/sales.
The vocational training voucher program was designed to be open to students who had already received some vocational training but wanted to further their skills. Nearly 22% of the sample had already received some training, primarily through apprenticeships and other informal training at small private enterprises rather than at the larger public centers.
</t>
  </si>
  <si>
    <t xml:space="preserve">The program we study is an NGO-administered randomized youth vocational education intervention in (primarily western) Kenya. 2,163 out-of-school Kenyan youths ranging in age from roughly 17 or 28 years old applied for vocational education tuition vouchers, and a randomly selected half were awarded a voucher. The vouchers were worth approximately 35,000 Kenyan Shillings (about US$460), an amount sufficient to fully (or almost fully) cover the tuition costs for most private vocational education programs and government-run rural village polytechnics or technical training institutes.
These youth were drawn from a pool of individuals participating in a unique and high quality longitudinal (panel) dataset that the authors have been collecting in this region since 1998, known as the Kenyan Life Panel Survey (KLPS). The KLPS sample was chosen as a representative subset of individuals who attended primary school in the former Busia District, a rural area in western Kenya, nearly ten years earlier. Primary schools in this district participated in one of two earlier NGO-run development programs – either a deworming program launched in 1998 (the Primary School Deworming Program or PSDP; Miguel and Kremer, 2004), or a merit scholarship program for girls that began in 2001 (the Girls’ Scholarship Program or GSP; Kremer, Miguel, and Thornton, 2009). The KLPS data contains detailed educational, health, nutritional, labor market, demographic and cognitive information for thousands of Kenyan adolescents from 1998 to 2009. The existence of detailed information on these and other life outcomes (such as cognitive ability and orphan status) in the KLPS data strengthens the evaluation of this vocational training program and enhances the external value of the evidence generated by permitting estimation of heterogeneous program impacts for different types of individuals.
The entire KLPS sample of 10,758 individuals was invited to an informational session on this vocational training program in late 2008.1 Participants were recruited from the KLPS sample through local leaders. A total of 2,705 youth attended one of the 70 introductory meetings held in sub-locations where the original deworming and scholarship programs took place as well as in the cities of Nairobi, Mombasa, and Kisumu where many of them had since moved.2 During this introductory meeting, short surveys were administered to all participants to collect information on their beliefs about expected earnings with and without vocational education, for both the respondent individually and for “other people in his/her community”. Participants were then given more details on the program, and those meetings selected for the information treatment received a special presentation (see below for more details). Finally, participants were given a list (compiled by program staff) of local vocational training centers and selected participating vocational training centers in urban areas outside of western Kenya, including in large cities such as Nairobi, Mombasa and Kisumu.3 Each training center description detailed the location, contact information of the manager or principal, courses offered, academic requirements (if any), and course duration. Meeting participants were also informed that they could apply to a training center not found on this list, as long as the center met program participation requirements.4
Individuals were instructed to return to a second program meeting at the same location two weeks later with a letter of support5 from a local authority (e.g., chief) or training center, and be prepared to state their preferred schools and courses should they be awarded an unrestricted (public or private institution) voucher or a public-only voucher (these interventions are described below). Students who attended the second meeting, brought a letter of support and had valid preferences for both unrestricted and public-only voucher types were included in the final sample of 2,163 individuals. This application procedure was designed to ensure a genuine interest in vocational education among applicants, making them a highly policy relevant sample: those Kenyan youth likely to enroll in vocational education should further training subsidies become available.
Voucher winners were then randomly selected from this final pool of applicants using a computer random number generator (in STATA). The allocation of vouchers was made among those preferring to apply to the same institution; in other words, if 20 sample individuals preferred to apply to a certain vocational training center, five were randomly chosen to receive the public voucher, five were randomly chosen to receive the unrestricted voucher, and the remaining ten were allocated to the control group. This research design permits study of which precise institutional characteristics have the greatest impact on future labor market returns. Randomization for the voucher treatment assignment was also stratified by individual gender, assignment to the information intervention (described below), participation in one of the two original NGO primary school programs from which the sample is drawn (PSDP versus GDP), and preferred course (which was aggregated into broad occupation groups by course type), thereby ensuring balance across the treatment and control groups along those categories as well. The randomization process is summarized in Figure 1.
Among voucher winners, a random half received vouchers that can be used only in government supported public vocational training institutes, while the other half received unrestricted vouchers that could be used in either public centers or in the growing private training sector. Of the final sample of 2,163, 526 individuals were assigned unrestricted vouchers and 529 were randomly assigned vouchers only for use at government institutions. The remaining 1,108 serve as the control group. Voucher winners were informed which type of voucher they had won by January 2009, and were subsequently provided the opportunity to apply to the vocational education institution of their choosing.
Table 1 summarizes the voucher design. Vouchers covered tuition, materials, uniforms, and trade test fees (if applicable). They did not support board, lunch, or transport costs. According to administrative data collected during the program, the mean (median) voucher amount paid for restricted voucher winners was Ksh 21,507 (Ksh 21,300), and for unrestricted voucher winners was Ksh 19.858 (18,000). Information collected from a small subset of voucher winners in mid2010 (nearing the end of the program) suggests that the mean (median) fraction of total training costs covered by the voucher was 72% (96%) for restricted voucher winners, and 74% (95%) for urestricted voucher winners.
3.2 Training Center Eligibility
One remarkable facet of the program studied here is the variety of course and institution types available to program participants. The project targeted all the major government Village Polytechnics and Technical Training Institutes in the home study area of Busia County, as well as a large cross-section of available private institutions in the area. While the inclusion of government institutions was straightforward, private institutions were vetted before inclusion in the program.
Unrestricted Vocational Training Voucher
In general, private institutions were eligible to be included in the program if they had one or more trainees at the time of program recruitment or had offered courses in the prior year, and if their fee structure feel within the program voucher limits. Due to the large number and wide range of institutional types in the private vocational schooling sector, the list of potential participating vocational training centers was necessarily far from exhaustive. The most comprehensive list of potential participating institutions was in the primary target area and original home of all of our participants (Busia County; former Busia, Bunyala, and Samia Districts). In these areas all formalized private vocational training centers were included. These include for-profit computer training schools and church or NGO-run training centers. Further a variety of privately run for-profit businesses that regularly take students for six month to two year “apprentice-style” training programs were included. These were vetted for legitimacy and formality – shops where space, tools, work and theoretical training were clearly available and where students had been taken many times before were included while those less equipped to handle a semi-formal training program were excluded. In the rest of western Kenya as well as the cities of Kisumu, Nairobi, and Mombasa where some of the KLPS sample resided, the program focused primarily on institutions of relatively greater sophistication that more closely resembled public institutions. Finally, all private institutions were vetted for fit with the project. Institutions with costs, program lengths and course types that were largely outside the program plans or far different from similar public options were excluded. In some cases students inquired about the possibility of enrolling in a particular institution. If the institution met the program’s criteria then it was included. In a few cases, institutions were not willing to work with the program, and so were excluded.
As evidence of the diversity and versatility of the private vocational training sector in Kenya, the type, length and structure of the private institutions and courses in included in the program vary widely. Some institutions run by private entrepreneurs, NGOs or church groups mirror the industrial training structure of the government-run polytechnic system. Others offer short training courses in a particular skill-set like computers or driving. Still others function as businesses and training centers in one, teaching hairdressing, tailoring or some other trade through something akin to an apprenticeship. The private vocational training sector is arguably more adept at accommodating the needs of a larger variety of students, with courses as short as one month well-suited to those already in the work force or supporting their families, to the longer service based courses desirable to recent secondary school leavers.
Like the institution and course types, fees vary widely across the courses available to program participants. For courses included in the original list distributed at recruitment meetings, the program covers all mandatory fees including uniform and registration fees. To accommodate the training needs of secondary school leavers and at the request of some voucher winners, the program also allowed students to enroll in more academic technical training diploma courses (e.g., in computer training) and to cover fees up to the level of the average two year industrial course, or 35,000 Kenyan Shillings (about US$460).
</t>
  </si>
  <si>
    <t xml:space="preserve">The vouchers were worth approximately 35,000 Kenyan Shillings (about US$460).
</t>
  </si>
  <si>
    <t>12 months or 4 terms (mean, public institutions)
10 months or 3.29 terms (mean, private institutions)</t>
  </si>
  <si>
    <t>&gt;=15, mean: 27</t>
  </si>
  <si>
    <t>Large-scale vocational training program for the general unemployed population (not just for disadvantaged youth) in a developing country. 23 provinces were selected for inclusion in the evaluation. Thus Istanbul accounts for 21.8 percent of the sample, Kocaeli, Ankara and Hatay collectively another 28 percent, and the remaining half of the sample is split among the other 19 provinces.
To be eligible to participate in the course, individuals must be at least 15 years in age, have at least primary education, and meet other skill pre-requisites which depend on the course they wish to participate in (for example, software courses may require some pre-existing IT knowledge or skills). 
Baseline responses to current employment are consistent with these individuals being unemployed: only 12 percent have worked even one hour in the previous month, and only 2 percent have worked at least 20 hours per week in the past month.
A comparison of the applicants to a sample of all urban unemployed using the 2009 Labor Force survey reveals that applicants are younger, more likely to be female, have less work experience, and are better educated than the average unemployed individual. Only 30 percent of the unemployed are female (reflecting low labor force participation rates among women), compared to 61 percent of applicants; only 31 percent of the unemployed are youth, compared to 45 percent of applicants; and only 42 percent have completed high school, compared to 73 percent of applicants. These differences reflect both differences in which types of unemployed individuals are more likely to apply for training courses, as well as the supply of courses, since many courses are designed for people with at least medium levels of education. Our results are therefore informative as to the effect of training for the types of unemployed who apply for vocational training courses being offered, but need not necessarily reflect the returns to vocational training for the broader population of the unemployed.
Turkey is a middle income country with a population of almost 75 million, and per capita income of US$10,400 ($17,300 in PPP terms). Urbanization, income and unemployment vary significantly at the province level. Nationwide, the population is 70% urban. In 2010, the employment rate for 15-64 year olds in Turkey was 46.3 percent compared to an E.U. average of 64.1 percent and a rate of 66.7 percent in the U.S.4 This low employment rate is driven partly by a female employment rate of only 23 percent, but also reflects relatively high unemployment. The unemployment rate was 12.5 percent in 2009.
The Turkish Government dramatically increased access to ISKUR-supported training programs from 32,000 individuals trained in 2008 to 214,000 in 2010 and 250,000 in 2011. This expansion began as a means to mitigate the impact of labor market reforms and continued as a response to a spike in unemployment that coincided with the 2009 global recession</t>
  </si>
  <si>
    <t>We employ an over-subscription design to evaluate the impact of the Turkish National Employment Agency’s vocational training programs. These programs average 336 hours over three months, are available for a wide range of subjects, and are offered by both private and public providers. These training services were provided to over 250,000 registered unemployed in 2011, hence we are evaluating a program operating at scale and not just a pilot. A large sample of 5,902 applicants randomly allocated to treatment and control within 130 separate courses.
The majority of training courses offered are general vocational training courses covering a wide range of vocations.8 These are contracted to a mix of public and licensed private providers. Courses are announced in ISKUR offices, on the ISKUR website, and by text messages. The courses are provided free to the trainees, and the trainees also receive a small stipend of 15 Turkish lira (US$10 in 2010) per day during the course period (which averages three months). Given excess demand for courses and a desire to get the unemployed into jobs, individuals are only allowed to take one ISKUR-supported course in a five-year period.
The evaluation team worked with regional ISKUR offices to determine the actual courses from within each province to be included in the evaluation. The key criteria used to decide which courses to include in the evaluation were i) the likelihood of the course being oversubscribed (which ensures the most popular types of training, for which there would be demand for further scale-up, are included); ii) inclusion of a diversity of types of training providers to enable comparison of private and public course provision; and iii) course starting and ending dates. The evaluation includes courses that started between October and December 2010 and finished by May 2011 (75 percent had finished by the end of February 2011).
This resulted in a set of 130 evaluation courses spread throughout Turkey, of which 39 were offered by private providers and the remainder were mainly government-operated.
The average course size was 28 trainees, and the average course length was three months (typically around 6 hours per day), both with significant variation.
if a course had capacity for 50 trainees, and 120 were deemed eligible, 50 would be randomly assigned to treatment, 50 to control, and 20 to a waitlist.10 If individuals from the treatment group dropped out before one-tenth of the training course had been completed, providers could draw replacements as they liked from the waitlist. We do not use the waitlist in our study, since their selection into training is non-random.
The final evaluation sample consists of 5,902 applicants, of which 3,001 were allocated to treatment and 2,901 to control. 72% of the treatment group completed training and 69% of the treatment group received a certification of course completion.
The baseline survey took place on a rolling basis between September 13, 2010, and January 31, 2011. The follow-up survey took place between December 27, 2011 and March 5, 2012, which corresponds to a period approximately one year after the end of training. The response rate was 94%.</t>
  </si>
  <si>
    <t>The mean cost of a course is 1574 Turkish Lira (TL) per person, with privately provided courses having a mean cost of 1792 TL per person compared to 1455 TL per person for publicly provided courses. In addition to this, participants receive a stipend of 15 TL per day, which for an average course length of 57 days equates to a further 855 TL. The total cost to the government of providing a course thus averages 2429 TL per person (US$1619), and is 2692 TL (US$1795) per person for private courses.</t>
  </si>
  <si>
    <t>3 months classroom training</t>
  </si>
  <si>
    <t>Mean: 24
15-29</t>
  </si>
  <si>
    <t>Table 3, 5a, 5b, 6</t>
  </si>
  <si>
    <t>In Kenya, for example, unemployment is mainly a youth problem. According to the Kenya Economic Update (World Bank 2012), the labor market prospects for youth are more challenging than for adults. Youth unemployment is rampant compared to adults ‐ particularly in urban areas ‐ and the youth inactivity rate is two times higher than that of adults. A recent analysis of unemployment in Kenya by the United National Development Program (UNDP, 2013) showed that youth
unemployment is more a pronounced issue among those younger than 25 years of age, peaking to 35 percent compared to an overall national unemployment rate of 10 percent, and in urban areas it is as high as 50 percent compared to a rate of about 30 percent in rural areas (for youths up to the age of 22).1 Nine percent of youth between the ages of 15 and 24 are inactive, not at a school, being particularly at risk of being recruited into criminal activity.</t>
  </si>
  <si>
    <t>KYEP (Kenya Youth Empowerment
Project)</t>
  </si>
  <si>
    <t>total unit cost of K Sh
97,000 per beneficiary. USD 1152 (per participant, inc. admin)</t>
  </si>
  <si>
    <t>6 months
3 months (clasroom training)
+
3 months (work experience)</t>
  </si>
  <si>
    <t>Ibarraran 2014</t>
  </si>
  <si>
    <t>16-29
mean: 22</t>
  </si>
  <si>
    <t>From Ibarraran 2014 i:
Table 3
From Ibarraran 2015 ii:
Table 2</t>
  </si>
  <si>
    <t>The baseline data were collected at the registration stage at each COS. They were available for all those eligible and interested to participate in the program, a total of 10,309 young people. Table 3 shows some characteristics from the baseline survey and a t-statistic for equality of means between the Zi groups as an evidence of randomness.
Most participants −62 percent—are women, and nearly all of those reporting some education have not completed high school. Ninety percent of participants live in urban areas and about a quarter live in Santo Domingo. The average age is 22 years. About 22 percent of individuals were attending school at the time of the baseline. As shown in the table’s last column, random assignment was well implemented as all of the characteristics are balanced.
It is interesting to note that only 4 percent of young people declared being employed at the baseline prior to the beginning of the courses, and that 52 percent of them were unemployed, meaning that 44 percent were inactive. This may be due to the requirements of the selection process, which demanded that they be inactive or unemployed, and may also be an expression of the Ashenfelter’s dip (Ashenfelter 1978), i.e. that both groups received a shock that increased unemployment levels right before the program started. According to the National Labor Force Survey (known as ENFT, Encuesta Nacional de Fuerza de Trabajo), in 2008 the employment rate in the Dominican Republic for young people 16 to 29 years old with less than complete high school education was 43 percent.</t>
  </si>
  <si>
    <t>The JE program is a Dominican active labor market program (ALMP) that aims to improve the labor market entry of youth between 16 and 29 years of age who did not complete high school. It has been in operation since 2001 and was the first job training program in Latin America to incorporate a randomized evaluation component when the project was designed. The program offers a wide range of job training courses such as administrative assistant, baker, hair stylist, clerk, auto mechanic, bartender, and so on. The Ministry of Labor outsources the provision of training services to private training institutions (Centros Operadores del Sistema, COS) that are registered and approved by the national training institution (Instituto Nacional de Formación Técnico Profesional, INFOTEP).
Courses of 225 hours are conducted in the COS facilities and split into two parts:
75 hours of basic or life skills training, and 150 hours of technical or vocational training. Basic skills training is meant to strengthen trainees’ self- esteem and work habits, while vocational training is meant to address the technical training needs of local employers. Training at the COS is followed by an internship in a private sector firm, which should be contacted by the COS in order to develop training programs tailored to the firm´s labor demand. Young people are identified by the COS according to their preferred vocation and the availability of the desired course. Once they reach 35 potential participants, the COS sends the names and identification numbers to the program coordinating unit (PCU), which randomly selects those who are offered the training course.</t>
  </si>
  <si>
    <t>The average cost of this program was about US$700, of which US$200 were transfers to participants as stipend for transportation and meals.</t>
  </si>
  <si>
    <t>3 months (clasroom)
+
3 months (internship)</t>
  </si>
  <si>
    <t>From Ibarraran 2014 i:
Figure 1, Figure 2
From Ibarraran 2015 ii:
Figure 1, A1, A2, A3, A4, A5, A6</t>
  </si>
  <si>
    <t>Table 5</t>
  </si>
  <si>
    <t>Kaplan 2015</t>
  </si>
  <si>
    <t xml:space="preserve">2011
</t>
  </si>
  <si>
    <t>mean: 34.16</t>
  </si>
  <si>
    <t>Chile represents an interesting case among developing countries. In the last two decades, the country has experienced both strong economic growth and accelerated poverty reduction.
The unemployment rate is still high among the poor (17 percent among the poorest quintile compared to 8 percent at national level), however, and inequality is substantial.
Despite the signi cant economic development observed in Chile during recent decades, inequality is still persistent. Chile has the most unequal distribution of income among OECD countries (OCDE, 2012), and one similar to the average of the Latin American region (L opez-Calva and Lustig 2010). The main source of household income (80 percent) in Chile comes from labor income (CASEN, 2009), which suggests that this is an important component related to inequality in the country. Moreover, workers in Chile exhibit an important de cit of basic skills. For instance, according to Centro de Microdatos (2013), 44 percent
of adults in Chile are functionally illiterate (42 percent in reading comprehension and 51 percent in basic quantitative skills). There is a consensus in Chile that investing in human capital accumulation and productivity would lead to better labor conditions for workers, which would contribute to increasing the living standards to the level of developed countries
In 2011 Chile implemented a series of measures to strengthen its training system, including the BTA program. In terms of budget, the BTA represents the second largest program of the National Training and Employment Service (Servicio Nacional de Capacitacion y Empleo, or SENCE). In 2011, the BTA budget was US$32.3 million (approximately 16.2 billion Chilean Pesos [CLP]), representing 15 percent of the total resources allocated to SENCE during that year (Ministerio de Hacienda, 2010).7 The BTA's main objective is to increase the earnings and job mobility of workers by addressing their training needs. The BTA consists of a grant that allows bene ciaries to choose the subject (from a list prede ned by SENCE) and location of the labor training.
To be eligible for the voucher, applicants must be employed; be at least 18 years old and no more than 60 for women and 65 for men; have contributed to social security at least 12 months (continuously or discontinuously) during their professional lives; have contributed at least 6 months (continuously or discontinuously) during the year prior to the application; and, have, on average, a monthly gross wage lower than US$1,200 (CLP 600,000).</t>
  </si>
  <si>
    <t>The BTA, managed by SENCE, consists of a grant that allows workers to choose labor training courses from a prede ned list. The courses take place at technical training organizations (OTECs, for its acronym in Spanish).
By design, the training courses last between 80 and 140 hours (distributed, on average, over a 6-month period). In general, the maximum BTA funding amounts to US$800 (approximately CLP 400,000) per bene ciary. For more expensive courses, the funding might increase up to US$1,000 (CLP 500,000). Before the training starts, the bene ciary is asked to pay 20 percent of the
total course fees. This initial copayment is designed as a guarantee, which is reimbursed to the bene ciary at the end of the course if he or she attends at least 75 percent of the training, passes the course, and completes a satisfaction survey. If these conditions are not met, the OTEC may retain the copayment.
Originally, the BTA was designed to sort eligible workers according to an employability index (EI). The workers with the lower scores were to be given priority in receiving the vouchers. In practice, however, the EI was never used. Although the EI was designed as a targeting mechanism, it was not used during the  rst year of the program because of the expected low demand for vouchers. Instead, all eligible applicants were awarded training vouchers, subject to availability of slots in each course. This assignment mechanism has a direct impact on the evaluation methods used, as discussed later herein.</t>
  </si>
  <si>
    <t>Up to US$ 800 per beneficiary</t>
  </si>
  <si>
    <t>6 months
(80-140 hours)</t>
  </si>
  <si>
    <t>mean: 34.5</t>
  </si>
  <si>
    <t>Table 4 presents sample sizes and covariate means for samples (A) and (B). We observe that there is a reduction in the number of treated units who find matching partners when moving from the reservoir to sample (B) of approximately one quarter for Training, and less than one quarter for Intervention Works. Due to matching-with-replacement, samples (B) contain comparison units matched to more than one treated unit. With less than one percent, the number is very low for Training, and with approximately one tenth it is also fairly low for Intervention Works. Table 4 also shows that Training participants on average are better educated, somewhat younger and more likely to be female than Intervention Works participants. Clearly, while the reservoir displays imbalances in the covariates, matching in samples (A) and (B) by definition produces balance, since it conditions on identicalness in observed characteristics age, education, sex, marital status, and local labor market (region).</t>
  </si>
  <si>
    <t xml:space="preserve">Training (Szkolenie zawodowe)
In the reported period, the training scheme involved retraining and further training with the stated aim of attenuating skill mismatch. It was initiated and financed by local employment offices from resources made available by the Labor Fund. Unemployed workers but also workers who were still employed but faced redundancy could participate in training measures. The training for the unemployed took place predominantly in private training institutions while employed trainees did undergo retraining or further training at the firm that had approached the local employment office for financial support of these training measures. According to the law, the training should not exceed six months, however, under exceptional circumstances a training period of up to twelve months was considered admissible. Local employment offices financed up to fifty percent of the training costs of still employed workers who faced redundancy.
In the years 1992 to 1996, there were three types of participants in the training program. First, unemployed who were selected by local employment offices for training. Second, unemployed who themselves chose a retraining or further training scheme, with the local employment office being prompted by law to finance this training if there was a high probability that after the training the unemployed could enter a regular job. The third category were still employed workers who faced redundancy for reasons that had to do with the economic situation of the firm. The law passed at the end of 1994 foresaw a fourth type of participants. Firms with more than fifty employees could apply for training subsidies in order to retrain workers who were threatened by redundancy at their existing jobs and who had prospects of being employed in different positions at the same firm for a period of at least twelve months after the end of the training. These training subsidies amounted to up to fifty percent of the training costs.
The law passed in October 1991 established detailed rules about the remuneration of unemployed training participants while on a training course. We report here the rules for those types of unemployed who made up the bulk of training participants. Those unemployed who lost the ability to perform their job because of a work accident or because of professional illness received 100 percent of their earnings in their last job, but at least 40 percent and not more than 110 percent of average earnings in the economy. For unemployed made redundant this remuneration while in training amounted to 80 percent of earnings in the last job, with the above mentioned lower and upper bounds related to average national earnings. Unemployed school leavers participating in training received 115 percent of the unemployment benefits to which they were entitled, while those unemployed training participants who had never worked before did not receive any income support.
The law of 1991 was very generous for trainees as far as benefit entitlements were concerned. An unemployed person undergoing training was entitled to twelve months of benefits if the local employment office was not able to mediate a regular job after the unemployed had finished the training or was not putting the trainee on an intervention works or public works scheme. The law of 1994, taking effect on January 1st 1995, eliminated this generosity. The trainee could receive only one month of benefit payment after the end of the training and only in the case that s/he was entitled to benefits during the last month before taking up the training.
</t>
  </si>
  <si>
    <t>mean: 2.51
Up to 6 months (law)
Up to 12 months (exceptional)</t>
  </si>
  <si>
    <t>Macours 2013</t>
  </si>
  <si>
    <t xml:space="preserve">Households were asked in an open question which type of intervention they would prefer in order to increase their incomes. In this open question, none of the households asked for training. About 30% expressed spontaneous demand for credit, indicating a potential liquidity constraint limiting productive investments which the grant could address (Table 2). The majority of households (55%) expressed spontaneous demand for temporary unskilled employment in public works, such as cash-for-work programs. This likely reflects more severe cash constraints, suggesting need for cash for daily expenditures, rather than productive investments. In a following question, households were asked specifically for their interest in training. They were also asked to indicate their preference between the income generating intervention they had stated first (in the open question), and the training option they had mentioned when probed. Almost half of households stated they were indifferent between both options, while 38% preferred training. Among those, only 13% preferred non-agricultural training. Overall, these patterns seem to indicate weak demand for liquidity for investment in business development and for training in skills for nonagricultural employment. Table 2 further shows that stated demand differs significantly between the poor and the non-poor, with the poor less likely to ask for credit or agricultural training, and more likely to ask for cash-for-work programs or to be indifferent.
We use this stated demand to analyze whether returns to grants or training are higher for households with preferences for those interventions. In particular, since spontaneous demand for credit suggests households perceive cash constraints for productive investments, we analyze whether the returns to the cash grants are higher for households stating such demand. We also show heterogeneity by demand for the cash-for-work program. Similarly, we analyze whether returns to vocational training are higher for those expressing preference for non-agricultural training, or more broadly for any type of training.
</t>
  </si>
  <si>
    <t>Atención a Crisis</t>
  </si>
  <si>
    <t xml:space="preserve">The Atención a Crisis program was a one-year pilot implemented between November 2005 and December 2006 by the Ministry of the Family in Nicaragua.3 The program was implemented in six municipalities in the Northwest of Nicaragua, selected because they had been affected by a drought the previous year and had high prevalence of extreme rural poverty. To stratify, all communities in the six municipalities were grouped in blocks based on microclimates, crop mix, road access, and infrastructure. During a first lottery, to which the mayors of the municipalities were invited to attend and participate, 44 blocks were randomly selected and half of the communities in each block were randomly assigned to treatment, and the other half to the control Baseline data were then collected in the 56 treatment and 50 control communities. These data were used to define households’ eligibility for the program based on a proxy means test. The threshold eligibility level for the proxy means test was set higher than the poverty line. As a result, only around 10 percent of households in treatment and control communities were ineligible for the program (their estimated baseline expenditures, as determined by the proxy means, were above the pre-defined threshold). This process resulted in the identification of 3,002 households to participate in the program. In a subsequent step, 3.7 percent of households that had originally been deemed eligible by the proxy means were reclassified as ineligible after a process of consultation with community leaders, and a corresponding 3.7 percent that had originally been deemed ineligible were reclassified as eligible. To avoid any possibility of selection bias from these choices, we use the original eligibility as the intent-to-treat.
In the treatment communities, the principal caregiver in each eligible household (typically a woman) was then invited to a registration assembly, where the program objectives and various components were explained. At the end of the assembly, a second lottery took place in each community. During this lottery, all eligible households within each community were assigned to one of three treatment packages: (1) a basic CCT; (2) a basic CCT plus a scholarship for a vocational training; or (3) a basic CCT plus a business grant.4 Participation in the assemblies and lotteries was close to 100 percent.
The training and business grant components on which this paper focuses aimed at strengthening households’ ex ante risk management via income diversification in non-agricultural activities. The randomization resulted in balanced samples in the treatment and control communities as well as between treatment groups (Macours, Premand and Vakis, 2012). Program take-up (contamination) in the control group was negligible (one household).
The beneficiary households that were randomly selected for the vocational training package were eligible for a scholarship that allowed one of the adult household members to choose among a number of vocational training courses offered in the main town of the municipality. The scholarship was conditional on regular attendance to the course, and included the course costs and an allowance to compensate for potential lost income during training days. The courses aimed at providing participants with new skills for income diversification outside of subsistence farming. These beneficiaries were also offered labor-market and business-skill training workshops organized in their own communities. In the same year in which they selected and attended the courses, they also received cash transfers conditional on children’s primary school and health service attendance. 
The first CCT payments were made in November 2005. The selection of the vocational training course and for the business grants occurred in the spring of 2006. The business grants were disbursed at the end of May 2006, and the vocational training courses took place between September and December 2006. All components of the program ended by December 2006.
As we mentioned earlier, an important feature of the Atención a Crisis program was that almost all households (90%) in the program communities were targeted and that program take-up was very high. All households were strongly encouraged to enroll in the program and, if randomly selected for the productive interventions, had to indicate their preferences for the type of vocational training course they wanted to enroll in, or the type of business they wanted to develop. For the relatively few households that had not attended the registration assemblies special efforts were made to maximize enrollment, including through targeted home visits. Local program promotores further encouraged participation in all program activities. Take-up was 89 percent for the vocational training package, and 95 percent for the productive investment package.
</t>
  </si>
  <si>
    <t>The value of the training package was US$ 470</t>
  </si>
  <si>
    <t>3 months</t>
  </si>
  <si>
    <t>18-39</t>
  </si>
  <si>
    <t>The intervention targeted women from low-income households residing in the North and South Shahdara regions in New Delhi, India. While the targeted areas are commonly referred to as slums, these are permanent settlements with concrete houses, and some public amenities. These resettlement colonies are typically 10–20 years old and have absorbed migrants from all other parts of the country. 
All women between the ages of 18 and 39 years, with five or more completed grades of schooling and residing in the target areas were eligible to apply to the program.
The program was offered in two slums: North and South Shahdara.</t>
  </si>
  <si>
    <t>We examine the effects of participating in and completing a vocational education program in stitching and tailoring designed and implemented by two non-governmental organizations (NGOs): Pratham and SATYA (Social Awakening Through Youth Action).
All women between the ages of 18 and 39 years, with five or more completed grades of schooling and residing in the target areas were eligible to apply to the program. These women were informed of
the program through an extensive advertising campaign that lasted almost three weeks. The women were invited to apply to have a chance
at being selected to receive this training. The advertisement of the vocational education program was not targeted to any specific subgroup in the population, and was distributed to every household in the target area to ensure maximum outreach for the program.
Through this process, the potential applicants were informed of the associated details of the program such as the location of the centers, the extent of commitment required (participants were required to commit up to two hours per day in a five-day week), the method of selection (random), course content, and the expected time-span of the program (six-months, starting August 2010). The participants were also told that they would receive a certificate at the end of the program. They were also informed of the deposit requirement: all selected participants were required to deposit 50 per month for continuing in the program with a promise from the NGOs that women who stayed through the entire duration of the program would be repaid 350.7 This feature is unique to the program and was introduced by the two implementing NGOs to increase commitment and encourage regular attendance. The deposit amount was around one percent of the average household income for the sample.
The program was offered in two slums, North and South Shahdara, and randomization was stratified by location. Two-thirds of all applications from each area were assigned to the treatment group and the remaining one-third were assigned to the control group.
North Shahdara being a bigger geographical area, received more applications and had three training centers; the remaining two training centers were in South Shahdara. Women were assigned to the training center nearest to their home and for classes, allotted their most preferred time, though they had the option to change both, if they needed to.
In our sample, 56% of all women assigned to the treatment group were program completers, that is, completed the entire program and received a certificate at the end of the program.</t>
  </si>
  <si>
    <t>The program that we evaluate is also cost-effective. The NGO's total cost of the underlying vocational education program amounts to Rs. 1910 per person, including both fixed (for example purchasing sewing machines) and variable (for example teacher salary, rent, teaching materials) costs. In addition to this, the average program participant also incurs personal time costs, which is proxied by the 2010 average monthly earnings of the employed women in the control group. The total time costs amount to Rs. 3675 (Rs.612.50×6 months). As a result, the final annual per person cost of the program sums to Rs.5585 (Rs. 3675+ 1910).</t>
  </si>
  <si>
    <t>6 months: the program started during the 3rd week of August 2010 and continued
through to the last week of January 2011</t>
  </si>
  <si>
    <t>Miller 2003</t>
  </si>
  <si>
    <t>1995-1999</t>
  </si>
  <si>
    <t>16 - 22
Mean: 19.1</t>
  </si>
  <si>
    <t>Table 1.2, 
Table 1.3, 
Table 1.4, Table 1.5</t>
  </si>
  <si>
    <t>The Center for Employment Training (CET) in San Jose, California, was one employment
and training program that showed considerable promise as an alternative to prevailing employment and training services for youth. Two national random assignment evaluations of programs in which CET was included as a site — the Minority Female Single Parent Demonstration (MFSP) and the JOBSTART Demonstration — showed that CET was uniquely able to achieve positive results. Building on this track record of effectiveness, DOL in 1992 initiated and funded the CET replication demonstration, which eventually operated in 22 sites. In each site, the national CET office in San Jose cooperated with a local CET program (ranging from newly formed entities to long-established organizations) to implement employment and training services for out-of-school youth, modeled on the services and program approach that characterize CET-San Jose.
Generally speaking, disadvantaged youth are the last to benefit from expanding job opportunities and the first to feel the brunt of recession. During 2001 and early 2002, for instance, the total decline in employment among all young adults ages 16 to 24 was 984,000, or 53 percent of the total job losses among all U.S. adults — despite the fact that these same young adults represented only about 15 percent of all employed adults at the beginning of this time period. Career prospects are most severely limited for youth who have not completed high school. In 1999, the National Center for Education Statistics reported that five of every hundred high school students had dropped out during the previous school year. This estimate is similar tocdata reported over the preceding decade. About 2.4 million youth ages 16 to 24 lack a high
school diploma or a General Educational Development (GED) certificate and are no longer in
school. Only one in six of these young people are able to find a full-time job paying more than poverty-level wages (corresponding to $320 per week).
Thirty months after the out-of-school youth applied to CET, survey respondents were young adults between the ages of 19 and 24. At this time, as is seen in Table 1.3, almost half of the young adults in the control group were still living with their parent(s) or another adult relative. Most were still single, although about 13 percent were married and another 20 percent were living with a partner. Almost 40 percent of the youth in the control group faced the challenge of being a young parent when they applied for CET. However, by Month 30, nearly 60 percent of them were parents, and most were living with all their children.
Of the respondents who were living with children,23 over half were living with a spouse or partner (not shown in the table), and many were living with their parents or other family members. However, more than 20 percent of those living with children at the time of follow-up (or 10 percent of all control sample members) were single heads of household — raising children without a spouse or partner in the household and not living with others. Although employed, the young parents in this sample most often relied on family and household members for child care. Among the parents who were responsible for a child while at their most recent job, half had their children cared for in their own home; approximately a third had their youngest child cared for in another home.
The survey asked a number of questions about the frequency and amount of alcohol and marijuana use in the month preceding the survey. Table 1.3 shows that 30 percent of the control sample reported consuming any alcohol in the prior month and that 9 percent reported using marijuana. These percentages are both relatively low, compared with findings in a national survey of young people of similar ages. The National Household Survey on Drug Abuse (NHSDA) for 2001 found that more than half of people between the ages of 18 and 25 reported drinking in the previous month (more than 60 percent of those between ages 21 and 25) and that 16 percent of people in this same age group had used marijuana in the past month. Table 1.3 also shows that only about 2 percent of all control group members reported having received any treatment or counseling in the year prior to follow-up.
Table 1.4 presents the characteristics of several subgroups of the control sample and shows some significant differences by age, gender, and ethnicity. Perhaps the most notable differences are those by gender. At follow-up, 67 percent of the women but only 41 percent of the men in the control group were parents. In addition, as the top panel of the table shows, 17 percent of all women were single heads of household at follow-up, compared with less than 1 percent of men. These findings show the considerable obstacles facing women in the control group.
More than a third of the women gave birth to a child after random assignment, which may have made it more difficult for them, from the start, to continue participating in alternative job training programs or to be employed. Although few men had the burden of being a single head of household, many still faced responsibilities of parenthood. With respect to age, members of the younger group, as expected, were more likely to be living with their parents and less likely to be married or to have children. Nonetheless, the proportion of the younger group who had children was fairly high, at 46 percent. The subgroup analysis by race also reveals some interesting differences, mainly related to household composition and marriage. For example, the Hispanic control group members were more likely than their African-American counterparts to be living with their parents at follow-up and were more likely to be married and living with their spouse (Table 1.4). And although childbearing patterns were similar for the two groups, 17 percent of the African-American youth were single heads of household, compared with only 5 percent of the Hispanic youth. Table 1.4 also reveals large differences between men and women in terms of alcohol and marijuana use and in arrest records. In the month preceding the survey, men were about twice as likely to have consumed alcohol and were more than three times as likely to have used marijuana. The table also shows that 25 percent of the men had been arrested at least once since random assignment, compared with just 4 percent of the women. This analysis reveals a significant barrier to employment for a relatively large percentage of the men in the control group. Although these men sought to acquire training and to find jobs, employers are often reluctant to hire young men with arrest records.</t>
  </si>
  <si>
    <t>The Genesis of the CET Replication Project Encouraged by CET-San Jose’s performance in both the JOBSTART and the MFSP evaluations, the U.S. Department of Labor sought to test whether CET-San Jose’s successes could be replicated. Specifically, DOL wanted to determine whether programs like CET-San Jose could be implemented successfully in different settings and whether the resulting programs would have similarly positive effects for youth.
As shown in Figure 1.1, the CET replication evaluation involved twelve sites. The selection
process proved to be more difficult than anticipated. Of the first ten eastern and midwestern
replication sites that DOL invited to participate in the evaluation, six accepted. Potential obstacles to participation may have included the need for sites to expand services to out-ofschool youths, the need to secure required local matching funds, or the reluctance to participate in a random assignment study. Such studies typically create new responsibilities for participating programs, requiring them to deny services to some applicants, which, in turn, can create the need to step up recruitment to produce a sufficiently large research sample. Many organizations are unwilling to take on this burden. Of the six sites that agreed to participate in the replication evaluation, many faced challenges in implementing the CET model, and some sites struggled to implement key program elements. Further, enrollment of youth at many sites also lagged behind expectations.
The CET Program Model
Despite the great attention given to the CET model by researchers and policymakers, its components have never been strictly defined. Researchers have pointed to the distinctive features of CET’s programs in San Jose and elsewhere, but there is no conclusive research regarding the relative importance of these features to the success of CET-San Jose. DOL’s efforts to encourage organizations to apply for technical assistance to replicate the CET model highlighted CET-San Jose’s results in past evaluations, but the department never specified the key features to be replicated. Materials produced by CET have sometimes identified distinctive aspects of its program, but they have also reflected the organization’s own uncertainty about the reasons for its success. It is widely recognized that CET-San Jose is different from other employment and training programs in many  regards, and yet the importance of these differences to the program’s success is not fully understood. Furthermore, because of the focus on the San Jose program itself, little is known about the extent to which the economy and other contextual factors contributed to its successes. For the purposes of this report, the distinctive elements of the CET model can be summarized as follows:
• Provision of employment and training services in a worklike setting. Employment and training services that mirror the workplace provide the core feature of the CET model. Occupational training emphasizes job-specific skills, and trainees advance at their own pace by demonstrating their attainment of specific competencies. Even basic skills training is designed to mirror the workplace. Individuals requiring assistance with English, reading, or math receive this instruction in the context of tasks that they might encounter in the jobs for which they are being trained. Trainees do not terminate from CET programs until they find employment, and CET provides active job placement assistance to locate positions for its trainees. These features reflect a key assumption of the CET approach: that trainees should learn in an environment that resembles the workplace.
• Intensive participation in services. While most training programs offer a part-time schedule of classes, the CET model requires a full-time commitment from trainees. This requirement accustoms trainees to a regular work schedule, and it provides the time necessary for them to acquire the skills of their intended trade. It also allows them to acquire these skills quickly, mini-mizing the “opportunity cost” of participation in training (that is, the wages
lost while participants substitute training for employment).
• Employers’ involvement in the design and delivery of training. Close
connections with industry enhance the responsiveness of CET programs to
employers, facilitating the design of services that meet employers’ needs.
These connections also provide CET programs with access to jobs for their
graduates. Each CET program is supposed to have a job developer who
works closely with local industry. CET programs develop their connections
with industry actively and continuously. Rather than seeking out employers
only when trainees are ready for placement, CET programs involve employers
in the design of their programs and as reviewers of training curricula. The
recruitment of industry representatives as instructors further enhances connections
with employers. In each of these ways, CET programs integrate employers’
needs and build relationships that enhance success in job placement.
• Organizational capacity and stability. Although inherently difficult to replicate, organizational capacity and stability have played a clear role in the past success of CET. CET-San Jose is the headquarters of a substantial community-based organization that has existed for 33 years, during which it has evolved from a single center to a network of more than 30 sites. Simultaneously, it has developed a cadre of highly experienced and dedicated managers.
Although difficult to replicate, these features cannot be ignored. CET as an organization has proved highly resilient and has withstood three decades of changes in policy and funding priorities for employment and training organizations. Stable funding and staff are considered essential elements of organizational capacity that enable organizations like CET to focus on their mission — to prepare trainees for employment — instead of focusing all their energy on their own survival. Only stable organizations can pursue the more advanced goals of developing training programs that provide a worklike environment, of ensuring the intensive participation of trainees, and of involving employers in their programs. These goals demand substantial commitments of time and energy from training organizations and their staff. They also require steady funding and organizational stability over an extended period.
• Enrollment and orientation. Much of the attention given to the CET model has emphasized the sequence of services provided to young trainees. These services begin with the intake process. CET has often been noted for providing relatively open access to its programs with little up-front screening. Prospective applicants are not excluded from participation based on test scores, and individuals who are considered too hard to serve by other employment and training
providers may often participate at CET. Instead of prescreening applicants,
CET conducts an extensive preenrollment orientation that stresses the program’s
rigor and the level of commitment expected from students. During this
enrollment phase, many less-motivated applicants drop out of the program.
Implementing the CET Model
The first research report for this evaluation focused on the replication sites’ implementation
of the CET model (as found at CET-San Jose). Specifically, the report emphasized
four distinctive elements of the CET model, which were introduced above and can be summarized
as follows:19
• Employment and training services designed to mirror the workplace
• Intensive participation in such services
• Close involvement of industry in program design and operation
• Organizational capacity and stability As part of the implementation research, the 12 replication sites were assessed regarding their fidelity to each of these four elements. (Box 1.1 provides examples of different degrees of site fidelity.) Programs that scored high on all these elements were considered to manifest high fidelity to the CET model and were expected to produce more favorable outcomes in the impact analysis.
In summary, the extent of fidelity to the CET model was found to be disappointingly low. Most replication sites had limited success implementing the CET model, and even sites that partially succeeded in replicating the CET model had difficulty sustaining their programs for the full demonstration period. This was true not only for most of the newer eastern and midwestern sites but even for some of the longer-established West Coast sites.
its features appear adaptable to mainstream employment and training programs serving outof-school youth. A majority of the replication sites achieved at least moderate success in providing a worklike training  environment and involving industry in the design and operation of their services. One-third offered training programs that concentrated intensive participation over a relatively short period of time. Sites implemented these features in a wide variety of organizational and geographic contexts. Although the features are not typically seen in other mainstream employment and training programs, there appear to be few inherent obstacles to implementing these aspects of the CET model, given sufficient commitment from policymakers, funders, and program operators. A greater challenge for the sites than implementing the CET model was sustaining it.
While most of the 12 replication sites implemented at least some features that were consistent with the CET model, several programs could not be sustained. Four of the sites closed their doors before the demonstration had ended, and three others faced serious difficulties in maintaining operations.</t>
  </si>
  <si>
    <t>6.2 months
 (or 629 hours)
See Table 2.2</t>
  </si>
  <si>
    <t>Figure 3.2</t>
  </si>
  <si>
    <t>Table 3.2</t>
  </si>
  <si>
    <t>26+</t>
  </si>
  <si>
    <t>In 2001–02, Argentina suffered one of the most severe economic crises in its history. In addition to the detrimental macroeconomic effects, the crisis had severe consequences on social conditions. Indeed, the unemployment rate increased by more than 6 percentage points in two years to reach 21.5 per cent in May 2002 and the employment rate decreased by more than 3 percentage points during the same period. Moreover, the share of people living below the poverty line increased from 37 per cent just prior to the crisis to 57 per cent in May 2002. This was accompanied by widespread political instability and social unrest.
In this context, the Unemployed Heads of Household Plan (Plan Jefes y Jefas de Hogar Desocupados) or Plan Jefes was launched in May 2002 as the main measure to provide income support during the 2001–02 crisis. The Plan provided a monthly allowance of 150 pesos to unemployed heads of households with children under the age of 18 or disabled dependants. To participate, eligible individuals had to register and request participation at their local municipality or any local office of the Ministry of Labour. At its inception the plan was only conditional on basic health care and school attendance of children. Yet, soon after, a work requirement was included to ensure that the benefits reached those individuals that were in most need (Galasso and Ravallion, 2004). In exchange, participants had to work 20 hours per week in sectors benefitting society, such as basic community work. It is estimated that the Plan Jefes provided income to about 2 million beneficiaries at its peak in May 2003. Moreover, the empirical evidence highlights its effectiveness in protecting beneficiaries’ income and reducing their probability of falling into extreme poverty.
Subsequently, in 2004, the economic recovery started to take root, consolidated by an annual GDP growth rate of 8.9 per cent, which resulted in an increase in households’ income. As a consequence, by 2010 the number of Plan Jefes’ beneficiaries was considerably reduced owing mainly to an increase in the employment rate among participants, but also due to the transfer to other programmes (Madoery, 2011). Indeed, since 2006, the Plan Jefes was reformed to give way to new programmes that responded better to the economic recovery of the country and were better targeted to meet the needs of the diverse Plan Jefes’ participants. The reform involved the implementation of two main programmes: Plan Familias and the SCE. On the one hand, Plan Familias focused on families whose heads faced serious employability difficulties (i.e. female unemployed heads of household with two or more children under the age of 18 and not having completed secondary education) and was administered by the Ministry of
Social Development. Plan Familias conferred a benefit indefinitely, which was proportional to the number of children at home and conditional on basic health care and school attendance of these children. The SCE, on the other hand, was aimed at Plan Jefes’ participants who had better opportunities to enter the labour market (i.e. male or female heads of household with one child under the age of 18 and having completed secondary education).</t>
  </si>
  <si>
    <t>Plan Jefes training component</t>
  </si>
  <si>
    <t>Participants in the SCE receive a monthly stipend of 225 pesos6 (75 pesos more than the allowance provided by Plan Jefes) during the first 18 months and 200 pesos during the last 6 months (all these transfers are taken into account for old-age pension) for a maximum period of two years. Allowances may be interrupted if the participant fails to comply with the commitments undertaken under the contract of adhesion. In addition to the income provision, the programme aims to support individuals through the following instruments: (i) support for the completion of primary and secondary education; (ii) vocational training and apprenticeships; (iii) labour intermediation services; (iv) indirect job creation measures (e.g. employment subsidies); and (v) promotion of self-employment and microenterprise creation. In exchange, participants commit to attending regularly the PES office to develop a career plan, participating in training, apprenticeship or vocational orientation activities and accepting job offers that correspond to their profile and experience. Unlike Plan Jefes, beneficiaries of the SCE that get a job may continue to receive the benefit for a specific period of time (up to twelve months in the case of a job in the public sector and up to six months in the private sector). Thus, the potential disincentive to labour market participation is reduced, since the beneficiaries can accept a job offer without losing the benefit</t>
  </si>
  <si>
    <t>22 - 65
mean: 36 (6+12+18) (age=6+years of education+years of experience)</t>
  </si>
  <si>
    <t>We draw our sample of program participants from records of Missouri’s JTPA program. We draw our comparison group sample from job exchange service records maintained by Missouri’s Division of Employment Security (ES). The earnings data source is wage record data maintained as part of the Unemployment Insurance programs in Missouri and Kansas. Using these data we obtain both preand postenrollment earnings and information on employment status prior to enrollment for both participants and nonparticipants.
Our initial sample consists of all applicants in program years 1994 (July 1994 through June 1995) and 1995 (July 1995 through June 1996) who are at least 22 years old and less than 65 and who subsequently enroll in the Title IIa program.
We focus on participants 22 years old and older because younger individuals are eligible for the youth program, which is governed by a different set of rules. Participants in Title IIa are eligible to participate in the JTPA program because they are judged to be economically disadvantaged. We focus on these participants because they are a fairly homogeneous group and because they have been the focus of previous evaluations of JTPA using experimental data.</t>
  </si>
  <si>
    <t>Figure 1,2,4,5</t>
  </si>
  <si>
    <t>Treatment, Compliance, Cost and duration of the program is from GAO 1996</t>
  </si>
  <si>
    <t>21-54</t>
  </si>
  <si>
    <t xml:space="preserve">Almost all training programs require class attendance and two-thirds of the training is done during the day. Computer literacy represents almost 30% of the courses for those who have completed a vocational training program before, while programs that focus on commerce and manufacturing activities account for 14.1% and 16.9%, respectively.
</t>
  </si>
  <si>
    <t>Sierra Leona</t>
  </si>
  <si>
    <t>15-35</t>
  </si>
  <si>
    <t>Appendix B</t>
  </si>
  <si>
    <t>Youth employability and income‐generating potential are key to household well‐being in Sierra Leone, but a substantial share of the country’s youth, especially in urban areas, are not employed. More than two Sierra Leoneans in five (41.3 percent) are youth, defined in Sierra Leone as people ages 15–35 years.
According to the country’s most recent labor force survey, more than half of youth are in the labor force (55.7 percent), but 26.9 percent are not in education, employment, or training. This problem is more acute in urban areas, where the latter share is 32.3 percent, while the youth employment rate is 37.7 percent (compared with 58.8 percent in rural areas). Urban youth with some secondary education exhibit one of the lowest employment rates in the country (27.2 percent). Among urban youth with some secondary education who are employed, more than half are self‐employed (54.8 percent).
The Youth Employment Support Project (YESP), financed by the World Bank from approval in 2010 to closing in 2015, was introduced to relieve key constraints to household enterprise development and access to labor income more broadly among youth in Sierra Leone. In the absence of the project, the likelihood that the young participants would have been provided with similar benefits is slim: only 1.8 percent of young individuals report they have participated in employment support programs provided by the government, donors, or nongovernmental organizations.
Eligibility to participate in the program was based on age, location, educational attainment, interest in pursuing entrepreneurial activities, and the submission of a short business plan that had to pass a basic quality screening. HELP‐SL and its partners conducted an intensive communication campaign to encourage all youth to apply who were ages 15–35, had some secondary education, were engaged in or interested in
undertaking an entrepreneurial activity, and resided in one of the five urban areas where the program was implemented. Prospective applicants were required to present their birth and school certificates in person during registration at the nearest VTC.
This program was implemented by Hands Empowering the Less Privileged–Sierra Leone (HELP‐SL), a local nongovernmental organization, in Sierra Leone’s five major urban centers (Bo, Freetown, Kenema, Koidu City, and Makeni).
The YESP faced a complicated and unexpected implementation challenge between March 2014 and June 2015, when more than 14,000 cases of Ebola virus disease were reported in Sierra Leone, and the disease took the lives of more than 3,900 people (WHO 2015). Four YESP beneficiaries died during program implementation. The Ebola crisis exerted an influence on the program through at least two channels: (i) labor supply and demand and (ii) productivity, although, because of the randomized design, these are not expected to have introduced any bias into the evaluation. First, Ebola had an impact on employment rates (Glennerster et al. 2015). Urban areas were particularly affected. In Freetown, the recorded decline in employment reached 9 percentage points at the height of the outbreak in November 2014. Youth were among those hardest hit (Fu et al. 2015; Glennerster et al. 2015). Relative to the previous year, selfemployed individuals in nonfarm household enterprises also reported a 54 percent drop in revenues around the time the endline survey for this evaluation was collected (Glennerster et al. 2015). Evidence suggests these employment declines resulted primarily from a reduction in labor supply among people engaged in household enterprises. The Ebola crisis also weakened labor demand, evidenced by the declines in wage employment. Labor productivity was likewise affected because the government imposed movement restrictions and market closures and prohibited large gatherings, which limited the access of workers to their workplaces, clients, and markets.
During the implementation of the YESP, the economy suffered another negative shock aggravated by the Ebola crisis: falling prices for iron ore, the country’s main international export (World Bank and SSL 2016). This price decline affected the economy and the labor market by directly reducing employment in mines, cutting revenues among suppliers, and decreasing government income at a time when it was most needed to help recover from the Ebola virus disease emergency.</t>
  </si>
  <si>
    <t>The interventions envisioned during program design included classroom‐based training,
on‐the‐job training, and facilitation of access to microfinance. The interventions lasted a total of nine months. The classroom‐based intervention, with Basic literacy and numeracy  Basic financial literacy skills, including bookkeepinghich lasted six months, included the following:
- Basic literacy and numeracy
- Basic financial literacy skills, including bookkeeping
- Training in a trade of each participant’s choice, for example, welding, catering, auto mechanics, solar engineering, catering and hotel management, electricity, electrical installation, tailoring and design, and building and construction.
According to the design, the participants were to be provided with opportunities to participate directly in the labor market following the classroom‐based intervention. Technical trainees were entitled to receive on‐the‐job training consisting of placement for three months as apprentices with local master apprentices in small or large businesses related to their trades of choice, such as in a mining company or in a small automobile mechanic shop. Similarly, following their classroom training, those receiving business skills training were to be provided with facilitation to access microfinance. This included support in developing a business plan, establishing business groups or cooperatives, obtaining microfinance loans from the HELPSL finance unit, and follow‐up support in creating and maintaining a business once the loan had been received. Participants were informed that the access to microfinance was not guaranteed and was contingent upon the quality of the business proposal they submitted. However, they were informed that they would receive technical support during the microfinance application process.
The training was delivered at no cost to participants, and the trainees in all three groups were given a daily stipend of Le 2,500 (equivalent to U$0.60) during the course of the training to cover food and transportation expenses, conditional on regular attendance at the training sessions.</t>
  </si>
  <si>
    <t>US$ 600 per participant</t>
  </si>
  <si>
    <t xml:space="preserve">
Total: 09 months
Clasroom-based component: 06 months
on‐the‐job training: 03 months</t>
  </si>
  <si>
    <t>Rosholm 2009</t>
  </si>
  <si>
    <t>mean: 31.52</t>
  </si>
  <si>
    <t>Training takes place at one of 24 training sites. In 1994, 1 18,000 persons undertook training of this type, corresponding to 4.1% of the labour force and to 45% of all trainees at AMU sites in 1994. This translates into the equivalent of 8274 full-time workers.
The experiment included 938 persons in total. We lost 17 observations due to missing identification numbers and we had to delete an additional 111 persons due to non-response.11 For the 111 individuals we know whether they are randomised in or out of the experiment12 and we are able to merge administrative records on them. However, we are not able to assert whether they actually received any training.</t>
  </si>
  <si>
    <t>The purpose of the Danish system of Labour Market Training Programmes (the AMU programme) is to maintain and improve the qualifications of the labour force. In addition, it should assist in facilitating adjustments to structural changes in the labour market (say, shifts in the demand for labour). The programme is large, and it operates on many target groups. The type of training considered in this study is 'competence enhancing training for (mainly) unskilled workers.
time workers. There are approximately 600 different training courses to choose from. A course will on average last 2 weeks. These courses are open for employed as well as unemployed workers. When there are more applicants for a given course than the maximum capacity of that course, the selection procedure is such that employed workers are given first priority, unemployed workers with a work contract conditional on participation in the course are given second priority and other unemployed workers have the lowest priority. Within these three groups assignment is based on first-come first-served. Unemployed workers can obtain compensation equivalent to Unemployment Insurance (UI) benefits while in training, but participation in training does not extend eligibility for UI benefits. For workers who are not eligible for UI benefits, and thus receive means-tested social assistance benefits, this typically corresponds to a non-negligible increase in income, providing them with additional incentives to participate.
types of vocational training courses are very teacher intensive, with typically 35-40 hours of classroom training per week, with a limited number of participants, and they courses were free of charge for participants (or participating firms) at the time.
The AMU experiment was conducted in 1994. The types restricted to those directed towards certain industries. participants in the experiment received training in the area for operating a pick-up truck, truck, crane, bus, etc.), population of participants. The remaining courses were courses' and 'introductory computer courses'. To ease with starting dates in May and June and with finishing and only five training sites participated. These sites were the 24 training sites in Denmark. There was full compliance around one-third of all AMU programmes in Denmark the country.
The selected courses last from 1 to 7 weeks, with an average potential negative consequences of the experiment workers, a certain design mechanism was used: only could be used for the experiment. Moreover, only the in April 1994 applied for participation in one of the the experiment. This ensured that those randomised in better off in the sense that they would now be able would have been given the lowest of priority under unemployed and applied the latest - while at the same group members - were actually randomised out of programmes been very likely to participate even without the experiment. implies that the experiment will be evaluating the effects normally on the margin of participation.9 Finally, sites because of the experiment alone. Therefore, in case of too cancellation, caseworkers were allowed to call in control group members. 
This leaves us with 810 persons, of whom 423 were in the treatment group and 387 were in the control group. Of the 423 in the treatment group, 218 (52%) received training, while the remaining 205 did not show up. These two subgroups of the treatment group are called the treated and no- shows, respectively. In the control group, 86 (22%) ended up receiving training during May and June 1994 in one of the courses they were supposedly randomised out of. This is the group of crossovers, while the last group, those in the control group not receiving treatment in the treatment period, we denote as real controls. It is thus a highly imperfect experiment, as ideally there should have been 100% treated in the treatment group, or at the very least 100% real controls in the control group. The fact that the fraction of no-shows is close to one half cannot be attributed to the ongoing experiment, since participants were not informed about being part of the experiment. We conjecture, therefore, that the degree of no-show in this experiment is equal to that under normal operating procedures.</t>
  </si>
  <si>
    <t>On the cost side, the government spent some â‚-220 million on operating expenses in 1994 (2006 prices). On top of this there are compensating wage subsidies for employed as well as unemployed participants amounting to another â‚-188 million (2006 prices): in total around 0.3% of GDP at the time. Supplying an average course of 2 weeks' duration would therefore cost the government â‚-1.900 per participant. This</t>
  </si>
  <si>
    <t>Between: 1 - 7 weeks Avg: 2 weeks
typically 35-40 hours of classroom training per week</t>
  </si>
  <si>
    <t>Figure 1, 2</t>
  </si>
  <si>
    <t>Santa Maria 2009</t>
  </si>
  <si>
    <t>16 - 29
mean: 21</t>
  </si>
  <si>
    <t>El programa Jóvenes con Futuro fue creado en el año 2005 por iniciativa de la alcaldía de
Medellín y bajo la tutela de la Secretaria de Desarrollo Social, con el objetivo principal de ayudar a los jóvenes, de escasos recursos y buenas conductas sociales, a mejorar sus condiciones de vida.
Requisitos para ingresar al programa:
1. 16-29 años
2. Pertenecer a los estratos 1,2,3
3. Minimo 7o. grado de educacion secundaria
4. No ser del programa de reinseccion
5. No estar trabajando
6. No estar estudiando de dia
7. No haber pertenecido a:
Programas de Formación para el Trabajo como Joven Competitivo
Jóvenes Rurales
Formación BID- ITM
Jóvenes en Acción
Jóvenes con Futuro 2006</t>
  </si>
  <si>
    <t>Jovenes con Futuro</t>
  </si>
  <si>
    <t>El programa JCF está conformado por tres módulos de formación, que agregados representan
un total de 1200 horas durante nueve meses.
Componente de desarrollo humano integral: enfocado en las habilidades de vida como
son las relaciones inter-personales, el trabajo en grupo, la orientación socio-laboral y la
definición de un proyecto de vida. Parte de este componente se dedica al
fortalecimiento de las habilidades de lectura, escritura y matemáticas. Adicionalmente,
este componente comprende la formación en Tecnologías de la Información y la
Comunicación (TIC’s) así como en el módulo de emprendimiento de la alcaldía de
Medellín (Cultura E). La duración es de este componente es de 280 horas.
Componente de formación del área técnica: en una de las 20 áreas ofrecidas por el
Programa con base en las necesidades del mercado laboral. La duración de éste módulo
educativo es de 480 horas y fue ofrecido por (5) entidades de capacitación.
Componente de práctica laboral: con empresas locales y organizaciones públicas o
sociales como parte del proceso de formación. La duración de este componente es de
440 horas.</t>
  </si>
  <si>
    <t>9 months
(1200 hours)</t>
  </si>
  <si>
    <t>mean: 35</t>
  </si>
  <si>
    <t>Many individuals with low incomes struggle to obtain and maintain jobs that pay them
enough to meet their needs and put them on a path to upward mobility. At the same time,
employers often report difficulty finding workers with the required skills. WorkAdvance —
a workforce development model — seeks to overcome these challenges through a “dual customer”
approach that meets the needs of both job seekers and employers.</t>
  </si>
  <si>
    <t>The WorkAdvance model was implemented by four providers, and the programs were evaluated using a randomized controlled trial design. A total of 2,564 individuals enrolled in the study between June 2011 and June 2013 and were assigned at random to either the program (WorkAdvance) group or the control group. Individuals in both research groups were tracked over time, and their outcomes were compared to estimate the “impacts” of the programs</t>
  </si>
  <si>
    <t>Approx 5 months</t>
  </si>
  <si>
    <t>16-24
mean: 18.6</t>
  </si>
  <si>
    <t>Job Corps is the nation’s largest vocationally focused education and training program for disadvantaged youths. It serves youths between the ages of 16 and 24, primarily in a residential setting. The program’s goal is to help youths become more responsible, employable, and productive citizens.                   
From late 1994 to early 1996, nearly 81,000 eligible applicants nationwide were randomly assigned to either a program group.                  
Applicants must meet 11 criteria to be eligible for Job Corps: (1) be age 16 to 24; (2) be a legal US resident; (3) be economically disadvantaged (receiving welfare or food stamps or having income less than 70 percent of DOL’s “lower living standards income level”); (4) live in an environment
characterized by a disruptive home life, high crime rates, or limited job opportunities;
(5) need additional education, training, or job skills; (6) be free of serious behavioral problems; (7) have a clean health history; (8) have an adequate child care plan (for those with children); (9) have registered with the Selective Service Board (if applicable); (10) have parental consent (for minors); and (11) be judged to have the capability and aspirations to participate in Job Corps.
Only 23 percent of youths in our sample had a high school credential at program application, and about 70 percent were members of racial or ethnic minority groups. About one fourth of applicants (and nearly one-third of male applicants) had been arrested before application. Nearly half lived in families that received food stamp benefits in the previous year, and mean annual earnings were less than $3,000. Using 1995 March Current Population Survey (CPS) data, we find that, compared to a nationwide population of low-income youths between the ages of 16 and 24, an eligible Job Corps applicant is more likely to be male, African American, younger, without a high school credential, from a large urban area, and to have been employed in the previous year.
We obtain our data from the NJCS and focus our analysis on Quarter 16 after randomization, when the last follow-up interview took place. The purpose of our study is to estimate the causal effect of attaining a degree within JC on participants’ future labor outcomes, thus we construct a binary “mechanism” variable which corresponds to whether an individual attained a high school, GED or vocational certificate by the time of the last follow-up interview. Our sample consists of individuals with no missing values on key baseline variables - such as age -(we lose 5,587 observations), on the outcomes of interest at quarter 16 (we lose 307 observations) and lastly with no missing values on the degree attainment indicator (we lose n=1,472 observations). Hence, the estimation sample is smaller than the NJCS sample (8,020 versus 15,386) with 5,045 people assigned to the treatment and 2,975 people assigned to the control group, respectively.
Breaking up our study population into racial groups we have that whites account for around 25% with 1,253 (712) being at the treatment (control) group and African-Americans account for 51% of the sample with 2,564 (1,507) being in the treatment (control) group.
Furthermore, we perform an analysis by two broad age groups: youths, individuals 16-21 years old, where 2,634 belong in the control and 4,313 in the treatment group, and young adults of age 21 to 24 with 341 individuals in the control group and 732 in the treatment group, respectively.
A description of the characteristics of individuals, portraying the profile of eligible applicants in the training program the period of our study is provided in Table 4-1. 
Table 4-2 presents selected descriptive statistics by treatment status for the individuals in our study population (columns 1 to 3), and by subgroup decomposition: Whites (columns 4 to 6), African-Americans (columns 7 to 9), youths of age 16 to 21 (columns 10 to 12), and young adults (columns 13 to 15).2 The table reports the treatment and control means, standard errors, as well as the difference in means and the associated significance. Table 4-2 presents individual characteristics with respect to demographics, marriage status, parenthood, education level and an indicator for involvement into petty criminal activities (first 7 rows). It also displays pretreatment labor market variables for the year prior to application to JC: employment status, months being employed, hours  worked per week, as well as weekly and annual earnings (next rows 5 rows). Lastly, it shows indicators depicting intentions of applying to the training program (last 2 rows).
The estimates demonstrate that the means of the individual characteristics are similar between the control and the treatment group for the subgroups we are examining.
As the data depict for our study population, the average applicant in the Job Corps program is an African-American male, of around 18 years of age, not married and
with no children, and not a high school graduate. A year prior applying to the training program, he was most likely unemployed or on-off employment (6 months employed on average, 35 hours a week) and reported weekly earnings about $100 for a total of about $2,500 annual earnings, an estimate below the poverty level.
Individual characteristics with respect to demographic decomposition by race and age show no significant differences between the control and the treatment group as
reported in Table 4-2. The table also demonstrates the heterogeneity of the subgroups with respect to individual characteristics and importantly with respect to labor market
characteristics. White applicants are in advantage relative to African-American ones reporting higher employment rates, working for a longer period (captured by months
employed) and more hours, as well as earning a higher weekly paycheck which leads to notable higher annual incomes. Table 4-2 depicts also notable differences with respect. We use design weights in all the descriptive statistics presented below as well as in our estimation.
to the age-risk subgroups. Older applicants are more likely to be married and have a child, more likely to have completed a higher education grade and are more likely to have vocational training. In addition, they are less likely to be arrested for petty crimes relative to younger participants. Also, they are more likely to participate in the labor market, reporting lower rates of unemployment and more time working in a job. They also reported working slightly more hours per week than younger applicants which can be related to noticeable higher weekly and annual earnings. All subgroups are characterized by a low education and vocational level reporting the same aspirations by applying to the program, earning a GED or vocational degree.</t>
  </si>
  <si>
    <t>The Job Corps study is based on an experimental design where, from late 1994 to early
1996, nearly 81,000 eligible applicants nationwide were randomly assigned to either a program
group, whose members were allowed to enroll in Job Corps, or to a control group, whose 6,000 members were not. The study research questions have been addressed by comparing the
outcomes of program and control group members using survey data collected during the four
years after random assignment and using administrative earnings records covering the ten years
after random assignment (at which point sample members were between the ages of 26 and 34).</t>
  </si>
  <si>
    <t>Total Costs –13,844  (all job corps participants), –15,193 (for those between 20 to 24 at program application)</t>
  </si>
  <si>
    <t>16-24
mean: 18.37</t>
  </si>
  <si>
    <t>Table 1 
&amp;
Table 4.2 of Bampasidou 2012</t>
  </si>
  <si>
    <t>In 1995, Job Corps cost about $16,500 per participant. Each year, the program serves more than 60,000 new participants at a cost of about $1.5 billion. The program cost per participant is about 25 percent higher for residential participants.</t>
  </si>
  <si>
    <t>Figure 1
&amp;
'Figure 4.1, 4.2 of Bampasidou2012</t>
  </si>
  <si>
    <t>Skemer 2017</t>
  </si>
  <si>
    <t>Table 2.1</t>
  </si>
  <si>
    <t>In early adulthood, it is important to gain skills and experience through education, training, and employment in order to establish a solid foundation for future success. However, many young people in the United States are neither enrolled in school nor participating in the labor market.
The detachment of these young people from society’s larger structures of school and work poses serious costs to their future well-being, their communities, and to the country as a whole.
Disconnected youth are a heterogeneous group in terms of the causes of their disconnection, their level of disadvantage, their educational backgrounds, and the length of their disconnection. Because of this heterogeneity, appropriate service models vary considerably in terms of the subpopulations they target, the services they provide, their level of intensity, and their underlying theories for how best to reconnect young people to school, training, or work.
Programs targeting disconnected young people tend to offer different combinations of educational support, job skills training, paid or subsidized employment, case management, and other services. A number of these programs have been rigorously evaluated, with some showing positive, statistically significant effects, primarily on employment and earnings.4 YAIP is unique among disconnected youth programs in a few respects: it is a relatively simple model focused on work experience; it targets a more job-ready subset of disconnected youth (this point will be discussed in greater detail below); and it operates at large scale.
YAIP participants must be New York City residents, 16 to 24 years old, eligible to work in the United States, and neither in school nor working. In an effort to pinpoint the most job-ready disconnected young people, additional eligibility criteria were devised to screen out severely disadvantaged young adults, as well as young adults that do not need program services to improve their employability. Participants must score at least a sixth-grade reading level on the Test for Adult Basic Education (TABE), which is administered as part of the application process. They cannot have a postsecondary degree and must observe a semester-long waiting period if they recently graduated from high school or dropped out of high school or college. (In theory, this waiting period gives these young adults time to reengage in school or work on their own.) Additionally, young people cannot have participated in a CEO-funded paid internship program at any point in the past.</t>
  </si>
  <si>
    <t xml:space="preserve">YAIP is a multiphase program that enrolls youth in cohorts, with a new cohort starting
every four months; participants in a particular cohort move through the program together. Each community-based YAIP provider is responsible for enrolling and serving a portion of the full cohort, usually about 30 young adults each. The program’s three phases are as follows:
Phase 1: The first 2 to 4 weeks of the program (duration varies by provider) are referred to as the orientation phase, wherein youth are expected to attend daily workshops facilitated by program staff at provider offices. Youth arepaid minimum wage for 25 hours per week,6 and workshops are typically five hours per day. The goals of orientation are to prepare participants for the workplace by providing various job-readiness and personal development activities,
to lay a foundation for cohort cohesion using icebreakers and group activities, and to match participants’ interests and skills with an available and appropriate internship.
Phase 2: During the 10 to 12 weeks of this phase, youth are expected to work 20 hours a week in their internship placement and continue to earn minimum wage. Their earnings are fully subsidized. The goals of internship placements vary based on the particular needs of young people, but generally include work experience, development of soft or hard skills, career exploration, and potential transition from a subsidized internship to a permanent, unsubsidized
position. Once a week, youth are required to return to the provider offices to attend five-hour educational workshops, for which they are also paid minimum wage. These workshops cover topics including job readiness, healthy living, money and time management, and conflict resolution.
Phase 3: The nine months following youths’ completion of their internship is the follow-up phase of YAIP. During this time, providers are expected to help participants secure and maintain an “outcome placement.” Outcome placements include participation in unsubsidized employment, education, training, or the military. Providers also offer support services during this phase, including housing assistance, counseling, and transportation assistance, among other types of support. </t>
  </si>
  <si>
    <t>Total: 12 - 13 months
2-4 weeks (0.5-1 month) of daily workshops
10-12 weeks (2.5-3 months) of internship
09 months of job placement support</t>
  </si>
  <si>
    <t>The PRONATEC (National Program of Access to Professional Education and Employment) is a vocational education program sponsored by the Brazilian federal government. It was launched in 2011, in the midst of an emerging financing trend focused on vocational courses in the country. The program is designated to increase the access to professional skill formation in order to expand labor market opportunities for the population – especially the less favourable and the youth public. From 2011 to 2014, the average growth rate of enrolment in vocational courses2 was approximately 46% in the country, representing an annual average investment of R$ 1.52 billions distributed over
more 3,200 municipalities (Souza, et. al. 2015).
One of its main initiative, the “Students’ Training Scholarship”, is a voucher-type scholarship which finances graduated or students still attending public school to attend secondary-level vocational education courses45. This initiative was responsible to an accumulated amount of 584,473 enrolments from 2011 to 2014 (Souza et al. 2015). The program works as the following procedure: i. Interested professional education institutions propose to the federal government – through the respective state’s secretary of education – an offering of a determinate number of vacancies due to be financed by the program; ii. The responsible government entity (Ministry of Education) authorizes, if applicable, the opening of those courses by those partner schools (which may be public or private); iii. The school open an application process directed to the interest eligible public. In case of excessive demand and oversubscription of a course, the vocational school may resort to lottery, (which should be realized in partnership with the secretary of education) to assign the vacancies.
We will exploit a randomized selection process that took place from 2012 to 2014 in four SENAI institutions and in one SENAC entity, located in four municipalities in Santa Catarina federal state: Chapec´o, Itapiranga, Xanxerˆe and S˜ao Miguel do Oeste.</t>
  </si>
  <si>
    <t>PRONATEC</t>
  </si>
  <si>
    <t>Vocational courses of secondary-level financed by the Student Training Scholarship, should
meet some curriculum criteria. The minimum workload for each technical course should range from 800 to 1,200 hours additionally to the assigned professional internship workload - which corresponds to a course lasting approximately two years. As said above, the student should have graduated in public secondary school or being enrolled at least in the second year of high school.
Also, in order to obtain the secondary technical degree, it is required a minimum attendance
rate of 75% of the total vocational class’ workload and that the student must have completed the general secondary education as well. In 2014, the “hour-value” stipulated for each student were around R$ 10.00 by course (Secretariat of Professional and Technological Education report, 2013).</t>
  </si>
  <si>
    <t>R$ 10 an hour
Average minimum cost of course: R$ 10,000</t>
  </si>
  <si>
    <t>Minimum: 800 to 1,200 hours (8 to 12 months)
avg. minimum: 1,000 hours (10 months)</t>
  </si>
  <si>
    <t>22-55</t>
  </si>
  <si>
    <t>The purpose of this article is to evaluate the relative earnings association of general
versus specific training for the unemployed. In the spring of 1997, the Swedish government
announced the Adult Education Initiative (AEI henceforth) which targeted the
same groups of the unemployed as did the traditional vocational/specific training
program. AEI enabled unemployed adults aged 25–55 to attend a year of full-time
schooling at the upper secondary level, with financial support equal to a maintenance
of unemployment benefits. The AEI started in August 1997 and attracted large numbers.
We study a sample comprising the unemployed individuals in the spring of 1997.
Of these, many individuals enrolled in either the AEI or the largest vocational training
program in Sweden (Arbetsmarknadsutbildning), which we will refer to as “Labor
Market Training” (LMT).
The LMT and AEI partly targeted the same groups of the unemployed and prioritized
those individuals in a weak position in the labor market. The choice of program was a
joint decision between the individual and a case worker at the employment office, with
the preferred program usually available if individuals met the formal criteria of being
25–55 years old and eligible for UI benefits. The financial support for the participants
in each program was equal to the level of the individuals’ UI benefits, and a six-month
training period in either program qualified the individual for a new 300-day benefit
period.
Our overall sample is restricted to individuals who in 1997 were aged 25–55, received UI benefits and were registered as unemployed for at least one day between the 1st of January and the 30th of June.</t>
  </si>
  <si>
    <t xml:space="preserve">Vocational courses for adults are mainly offered as active labor market programs.
The content of the LMT is typically highly varied, with the five largest sectors represented
being technology and science, health care, administration, manufacturing and
service. 
The average program duration in the LMT was 141 days.
</t>
  </si>
  <si>
    <t>SEK 85,000 per participant</t>
  </si>
  <si>
    <t>Avg: 7 months
Avg: 141 days</t>
  </si>
  <si>
    <t>Figure 4</t>
  </si>
  <si>
    <t>Stenberg 2015 additional file</t>
  </si>
  <si>
    <t>Urban Alliance targets students at selected schools (further described in the Study Participants section) they consider to have a high proportion of youth at risk of not connecting to further education or meaningful work. The organization seeks out youth who will be in their senior year of high school during the upcoming program year. These youth will need to have enough course credits accumulated to allow for an early-release schedule during the internship phase of the program. The Urban Alliance program targets high school seniors because program staff believe the program is most effective at reaching young people during this transitional year; its lessons and curriculum are designed for youth about to enter adulthood. In addition, the program targets youth in their senior year because only by that point will they have accumulated enough credits to have a shortened school day schedule.
The program aims to serve middle-of-the-road high school students who maintain a GPA of 2.0 to 3.0, but it is not limited to that group. Although Urban Alliance leadership believes students with GPAs that are too low will generally have insufficient time, resources, and course credits to participate in the program and graduate on time, the program often accepts youth with lower GPAs. The program also does not exclude youth with high GPAs, though these students often cannot participate in the program because, although they may have sufficient credits for an early-release schedule, they are more likely to be taking honors and Advanced Placement courses to fill up their schedules. Youth with high grades may also have higher skill levels and more external support, so their need for the program may be lower.
Urban Alliance begins to recruit students for its High School Internship Program in the spring of students’ junior year, and recruitment continues into the fall of their senior year. The recruitment process differs between cities. In Washington, DC, the organization’s relationship with schools was informal at the time of this study, though it has since become more formalized. Urban Alliance presents its program during assemblies or in classrooms to high school juniors at several public and charter schools in the city. In Baltimore, the relationship with the school system is formalized, and youth receive course credit for participating in the program. School counselors and teachers identify and refer students in their schools who they think will benefit most from the program. Many of these youth do not formally apply until they start pre-work training.</t>
  </si>
  <si>
    <t>The Urban Alliance High School Internship Program has four primary components: professional and life skills training, paid internships, coaching and mentoring, and alumni services.
Training: Pre-work and Workshops
Urban Alliance conducts training workshops from late September or early October of each school year through the end of July. This training includes three to six weeks (varying by city) of pre-work training before the start of the internship. Program participants are expected to attend training for one to one and a half hours every day after school during that period. The primary goal of pre-work training is to prepare the youth for their internships. Topics include workplace etiquette and culture, as well as hard skills such as faxing and Microsoft Excel basics. Urban Alliance also uses these sessions to familiarize youth with post–high school education and employment options, financial literacy, and select life skills. During pre-work training, youth receive training on job interviewing, which they then use in interviews with mentors at their prospective job sites.
After the internships start in the late fall, youth are expected to attend workshops most Fridays after school. Workshops focus heavily on topics related to post–high school planning, financial self-sufficiency, and life skills, though they also continue to review workplace-relevant topics. After the school year ends, youth attend half-day workshops every Friday.
Urban Alliance staff also prepare youth for a final presentation that interns give in July, toward the end of the program year, at Urban Alliance’s public speaking challenge event. These PowerPoint presentations are designed by the youth to describe their recent internship experiences and career goals. A volunteer panel of community stakeholders judges the youth, who can receive a $100 prize for performance. Youth can also receive bonuses earlier in the year for participating at other events or participating in program activities while waiting on a delayed job placement.
Paid Internships
Urban Alliance program staff pair students who complete pre-work training with paid internships based on each student’s skill levels, needs, interests, and the range of internships available. Starting in the late fall, Urban Alliance participants go to their internships from 2:00 to 5:00 p.m. after school Monday through Thursday. This schedule requires that interns obtain permission for an early-release class schedule during their senior year of high school. During the summer following graduation (and optionally during winter and spring breaks), Urban Alliance interns work full days Monday through Thursday. Urban Alliance partners with professional clothing nonprofits such as Dress for Success to give interns access to clothing appropriate for the workplace.
The settings and responsibilities for internships vary, but most are office settings and include such tasks as filing, copying, and answering phones. Other jobs include greeting and directing guests in hotels or banks. Some interns also work in educational or day care settings. Interns earn a starting hourly wage close to their city’s minimum wage ($8.25 in DC and $7.25 in Baltimore during this study, though both these hourly rates are now higher). This wage could rise to $10.00 per hour based on interns’ job performance and effort, including workshop attendance and communication with their assigned program coordinator. For the most part, interns are officially employed and paid by Urban Alliance while working at their internship sites, though select job sites pay interns directly.
Coaching and Mentorship
Youth receive job mentoring and general coaching as part of the program. In addition to running the training workshops described above, front-line staff (program coordinators) maintain coaching relationships with each youth assigned to their workshop group. Each program coordinator has a caseload of approximately 30 to 35 interns whom they support throughout the program. Coordinators track individual student performance in various areas including workshop and job attendance, punctuality, workshop homework assignments, academic progress, post–high school planning, and progress toward the presentation at the public speaking challenge. Program coordinators also send out a K44weekly e-mail to youth, and youth must check in with program coordinators at least once during the week. If interns are going to be late to work or miss work, they must contact their program coordinators and their employers.
The program coordinators sit down formally with each intern at least three times per year in a one-on-one meeting to discuss post–high school planning. They also provide ad hoc support; speak with youth before or after workshop sessions; coordinate groups during workshops in which they discuss youths’ program-related experiences; and keep in touch via individual phone calls, e-mails, and texts. Some youth face serious challenges such as teen pregnancy, domestic or relationship abuse, problems with their home life, or housing instability. Program coordinators support youth emotionally and connect them with external resources to meet their needs.
Each intern is also assigned to a “job mentor” or supervisor, who is an employee at the intern’s workplace responsible for ensuring the intern has adequate and appropriate work, teaching the intern necessary skills, and, ideally, providing opportunities for enrichment and networking within the workplace. Job mentors assess interns’ performance in the workplace. They may suggest possible termination of an intern’s position if his or her attendance or performance is poor, but the program endeavors to resolve all performance issues except the most severe (e.g., time-sheet fraud). When performance concerns arise, Urban Alliance staff first establish a work contract with the youth. Only if poor performance persists after several intervention attempts will the organization fire the youth and ask the intern to leave the program.
Alumni Services
As the Urban Alliance program has grown, the program coordinators have increasingly found themselves providing informal support to youth who keep in touch after graduating from the program. In 2007, Urban Alliance first began offering informal education and career support services to alumni. More recently, Urban Alliance formalized this program component by adding regional alumni services directors, and in 2016 it established a national alumni director. Through alumni services, Urban Alliance aims to prevent program alumni who are college students from dropping out and to link alumni with work. Alumni services also provides an avenue for tracking student outcomes after program completion.
Services for alumni include ad hoc individual coaching meetings with youth, a resource room where alumni can access job search and education materials, networking opportunities through a website, alumni reunions, and connections to paid internship opportunities.</t>
  </si>
  <si>
    <t>Training component:
avg: 01 month
3 - 6 weeks</t>
  </si>
  <si>
    <t>Effect
 ID</t>
  </si>
  <si>
    <t>ITT
 (1=yes)</t>
  </si>
  <si>
    <t>Currency
description</t>
  </si>
  <si>
    <t>Source
description</t>
  </si>
  <si>
    <t>Net payment
(1=yes)</t>
  </si>
  <si>
    <t>Yt 
(pre)</t>
  </si>
  <si>
    <t>Yc 
(pre)</t>
  </si>
  <si>
    <t>SD (pre)</t>
  </si>
  <si>
    <t>Which SD (pre)</t>
  </si>
  <si>
    <t>SE_calculated</t>
  </si>
  <si>
    <t>Other Statistics (description)</t>
  </si>
  <si>
    <t>Comments (Carlos)</t>
  </si>
  <si>
    <t>Pooled</t>
  </si>
  <si>
    <t>"Percentage of people working" (in spanish)</t>
  </si>
  <si>
    <t>Survey</t>
  </si>
  <si>
    <t>Table 27</t>
  </si>
  <si>
    <t xml:space="preserve">Average monthly net income in chilean pesos for occupied (in spanish) </t>
  </si>
  <si>
    <t>Chilean Pesos</t>
  </si>
  <si>
    <t>Table 30</t>
  </si>
  <si>
    <t xml:space="preserve">Average monthly net income per hour in chilean pesos for occupied (in spanish) </t>
  </si>
  <si>
    <t>Table 32</t>
  </si>
  <si>
    <t>female</t>
  </si>
  <si>
    <t>Complete sample</t>
  </si>
  <si>
    <t>Employment</t>
  </si>
  <si>
    <t>Table 8</t>
  </si>
  <si>
    <t>Attrition rate is from Table A1 on page 33. N, Nt and Nc are computed based on the information in Table 3</t>
  </si>
  <si>
    <t>Log salary</t>
  </si>
  <si>
    <t>male</t>
  </si>
  <si>
    <t>Table 9</t>
  </si>
  <si>
    <t>log(Gross Salary)</t>
  </si>
  <si>
    <t>Indian Rupees.
60 INR = 1 USD</t>
  </si>
  <si>
    <t>Administrative</t>
  </si>
  <si>
    <t>Table A4</t>
  </si>
  <si>
    <t>Author present month dissagregated effects for log(salary) on Figure 4, but only one point estimate on Table 4. It is not clear what is the time frame for these since sample in Table 1 for that variable in baseline is only around 1800s but regression table reports N of 28000. Maybe authors is pooling months, to increase sample and power, but that would complicate the "months of delay" variable.</t>
  </si>
  <si>
    <t>Wage-employment</t>
  </si>
  <si>
    <t>Table 3a</t>
  </si>
  <si>
    <t>Attrition was obtained from Table 1. I consider an observation attrited if is missing in baseline or midline.</t>
  </si>
  <si>
    <t>Total earnings last week</t>
  </si>
  <si>
    <t>Liberian Dollars (1USD=70Liberian Dollars)</t>
  </si>
  <si>
    <t>Table 4a</t>
  </si>
  <si>
    <t>OLS estimates w/controls.
Yc (pre) corresponds to pooled</t>
  </si>
  <si>
    <t>Employment Outcomes</t>
  </si>
  <si>
    <t>Appendix 1, Figure 8</t>
  </si>
  <si>
    <t>Employment Status</t>
  </si>
  <si>
    <t>Table 10</t>
  </si>
  <si>
    <t>I assume Nt and Nc from distribution of original assignment of sample (Table 1) and final sample reported on page 8 of the document.</t>
  </si>
  <si>
    <t>Weekly Income</t>
  </si>
  <si>
    <t>KES (1 USD = 102 KES)
KENIA</t>
  </si>
  <si>
    <t>Table 11</t>
  </si>
  <si>
    <t>pooled</t>
  </si>
  <si>
    <t>Formal employment</t>
  </si>
  <si>
    <t>Formal monthly earnings</t>
  </si>
  <si>
    <t>real Argentine pesos using January 2011 as the base month</t>
  </si>
  <si>
    <t>Gross earnings, only for formal employment</t>
  </si>
  <si>
    <t>Gross earnings, only for formal employment.</t>
  </si>
  <si>
    <t>Monthly earnings</t>
  </si>
  <si>
    <t>Colombian Peso. All conversions to US dollars are made at a rate of US$1 = COP$1,970.00</t>
  </si>
  <si>
    <t>I use outcome 2, because all unemployed are imputed zero earnings</t>
  </si>
  <si>
    <t>Table 4B</t>
  </si>
  <si>
    <t>The number of observations seem too low. Not clear if they had a problem of a lot of missing data at baseline or an error when generating the results</t>
  </si>
  <si>
    <t>Table 5A</t>
  </si>
  <si>
    <t>Not being employed in the formal sector includes the unemployed and those in the informal sector.</t>
  </si>
  <si>
    <t>Table 5B</t>
  </si>
  <si>
    <t>Total Formal Income</t>
  </si>
  <si>
    <t xml:space="preserve">Colombian Peso COP$ of 2013. </t>
  </si>
  <si>
    <t>Administrative (SISPRO)</t>
  </si>
  <si>
    <t>control</t>
  </si>
  <si>
    <t>Assuming end on July 2005. And an average "delay" of July 2008 (36 months) and December 2014 (114 months) which is 75 months.
N is from pooled sample. I use N reported on page 11 and assume Nt and Nc from the distribution of estimation table.</t>
  </si>
  <si>
    <t>Not clear how to estimate the months of delay.</t>
  </si>
  <si>
    <t>Probability of working in the formal sector</t>
  </si>
  <si>
    <t>Assuming end on July 2005. And an average "delay" of July 2008 (36 months) and December 2014 (114 months) which is 75 months.
N is from pooled sample. I use N reported on page 11 and assume Nt and Nc from the distribution of estimation table.
I obtain N from women and men from page 11, where it signal that 54% of participants were women.</t>
  </si>
  <si>
    <t>Complete Sample</t>
  </si>
  <si>
    <t>Employed at the time of the survey</t>
  </si>
  <si>
    <t>Administrative (SISBEN)</t>
  </si>
  <si>
    <t>Table B1</t>
  </si>
  <si>
    <t xml:space="preserve">Months of delay: Avg. mid point of a range (mid 2009 - early 2015). For month of delay we calculate middle point. </t>
  </si>
  <si>
    <t>Montly income</t>
  </si>
  <si>
    <t>2013 COP</t>
  </si>
  <si>
    <t>Employment probability</t>
  </si>
  <si>
    <t>Table 4.4</t>
  </si>
  <si>
    <t>It is the same data of Schochet 2008, but only for individuals with no missing values on key baseline variables</t>
  </si>
  <si>
    <t>weekly earnings</t>
  </si>
  <si>
    <t>USD</t>
  </si>
  <si>
    <t>ATE estimates</t>
  </si>
  <si>
    <t>16-21</t>
  </si>
  <si>
    <t>Table 4-12</t>
  </si>
  <si>
    <t>ATE estimates. Nt and Nc comes from table 4-2</t>
  </si>
  <si>
    <t>21-24</t>
  </si>
  <si>
    <t>Female</t>
  </si>
  <si>
    <t>Table 5-4</t>
  </si>
  <si>
    <t>Male</t>
  </si>
  <si>
    <t>Employed</t>
  </si>
  <si>
    <t>Table 5-5</t>
  </si>
  <si>
    <t>Table 5-6</t>
  </si>
  <si>
    <t>LATE estimates</t>
  </si>
  <si>
    <t>20+</t>
  </si>
  <si>
    <t>Table 5-8</t>
  </si>
  <si>
    <t>Minnesota 2007-2008 cohort</t>
  </si>
  <si>
    <t>log (Annual Earnings)</t>
  </si>
  <si>
    <t xml:space="preserve">DID estimates.
Months of delay were calculated as follow:
3 x # quarters after entrance.
We don't have information about length of treatment </t>
  </si>
  <si>
    <t>Minnesota 2009-2010 cohort</t>
  </si>
  <si>
    <t>18-24</t>
  </si>
  <si>
    <t>25-44</t>
  </si>
  <si>
    <t>45-54</t>
  </si>
  <si>
    <t>55-64</t>
  </si>
  <si>
    <t>Biewen 2014 i</t>
  </si>
  <si>
    <t>1-3 months of unemployment (stratum 1)</t>
  </si>
  <si>
    <t xml:space="preserve">No clear information on Nc. Since is Matching, I will assume equal to Nt. I took Nt from Table 2. Only Nt is available,but we assume Nc is equal to Nt since they are doing matching. </t>
  </si>
  <si>
    <t>4-6 of unemployment (stratum 2)</t>
  </si>
  <si>
    <t>7-12 of unemployment (stratum 3)</t>
  </si>
  <si>
    <t>1-3 of unemployment (stratum 1)</t>
  </si>
  <si>
    <t>Earnings</t>
  </si>
  <si>
    <t>Mid point of follow-up: 2-5 months after the end of treatment</t>
  </si>
  <si>
    <t>Mid point of follow-up: 11-13 months after the end of treatment</t>
  </si>
  <si>
    <t>Unconditional Income</t>
  </si>
  <si>
    <t>R$</t>
  </si>
  <si>
    <t>Conditional Income</t>
  </si>
  <si>
    <t>ANNUAL EARNINGS</t>
  </si>
  <si>
    <t>Table 5.1</t>
  </si>
  <si>
    <t>Table 5.2</t>
  </si>
  <si>
    <t>Living with own children</t>
  </si>
  <si>
    <t>Not Living with own children, including those who did not have any</t>
  </si>
  <si>
    <t>Ever employed (%)</t>
  </si>
  <si>
    <t>Table 5.4</t>
  </si>
  <si>
    <t>Table 5.5</t>
  </si>
  <si>
    <t>Table 5.6</t>
  </si>
  <si>
    <t>Table 5.7</t>
  </si>
  <si>
    <t>living with own children</t>
  </si>
  <si>
    <t>Average hourly wages</t>
  </si>
  <si>
    <t>Table 5.8</t>
  </si>
  <si>
    <t>Sample members for whom there were 48 months of follow-up survey data.
General attrition rate calculated for whom there were 48 months of follow-up survey data</t>
  </si>
  <si>
    <t>Not living with own children including those who did not have any</t>
  </si>
  <si>
    <t>9-11</t>
  </si>
  <si>
    <t>Any Income generating activity</t>
  </si>
  <si>
    <t>Attrition rate from table 5, differential attrition from table 19</t>
  </si>
  <si>
    <t>In NRs. 1 USD about 75 NRs</t>
  </si>
  <si>
    <t>Log monthly earning</t>
  </si>
  <si>
    <t>Table 13</t>
  </si>
  <si>
    <t>Table 14</t>
  </si>
  <si>
    <t>25-35</t>
  </si>
  <si>
    <t>probability of working is defined as having reported earnings ia a quarter or in a year</t>
  </si>
  <si>
    <t>Table II.6</t>
  </si>
  <si>
    <t>Page 83 from Corson 1989 for delay: 7 weeks plus 18.4 weeks of classroom training is 25.4 weeks (5.8 months ~ 2 quartes) since initial UI claim date. Quarter 1 in the paper refers the first 3 months following the date of claim (Corson 1989 table 3 page 25). So I code quarter 4 thats is ~ 5 months</t>
  </si>
  <si>
    <t>Page 83 from Corson 1989 for delay: 7 weeks plus 18.4 weeks of classroom training is 25.4 weeks (5.8 months ~ 2 quartes) since initial UI claim date. For example, the year of theinitial claim, or first year, for an individual with an initial claim date in July 1986 was the period fromJuly 1986 through June 1987, the second year was from July 1987 through June 1988, and so on. Sample members entered the demonstration from July 1986to Junc 1987, so this time frame provides data for the initial claim year (thefirst year) and fivesubsequent years (the second through sixth years).
In this case, if we assume the median treated enter to the program in the middle of this year, the delay period of the year 1 (the middle of the year) is going to be 0. Year 2 is the delay of 1 year and so on</t>
  </si>
  <si>
    <t>EARNINGS, IN DOLLARS
Quarterly earnings</t>
  </si>
  <si>
    <t>nominal earnings</t>
  </si>
  <si>
    <t>Table II.7</t>
  </si>
  <si>
    <t>Table III.1</t>
  </si>
  <si>
    <t>treated</t>
  </si>
  <si>
    <t>Only a small percentage (15 percent)of individuals who were offered training actually received it, so training impacts would need to bequite large (on the order of $1,500 a quarter) to be detected.
Here they compare only those who chose classroom training, to control gropu (in treatment 2 they could choose between CT, OJT or relocation)
Page 83 from Corson 1989 for delay: 7 weeks plus 18.4 weeks of classroom training is 25.4 weeks (5.8 months ~ 2 quartes) since initial UI claim date. Quarter 1 in the paper refers the first 3 months following the date of claim (Corson 1989 table 3 page 25). So I code quarter 4 thats is ~ 5 months</t>
  </si>
  <si>
    <t>EARNINGS, IN DOLLARS
annual earnings</t>
  </si>
  <si>
    <t>Wage employed</t>
  </si>
  <si>
    <t>Earnings from wage employment (monthly)</t>
  </si>
  <si>
    <t>BDT</t>
  </si>
  <si>
    <t>Total earnings (monthly)</t>
  </si>
  <si>
    <t>Earned income in past 12 months (log)</t>
  </si>
  <si>
    <t>Table 6</t>
  </si>
  <si>
    <t>months of delay</t>
  </si>
  <si>
    <t>Sixth call</t>
  </si>
  <si>
    <t xml:space="preserve">Nt= column All in Table 1. Nc = Nt, assuming 1 matched individual per each control. </t>
  </si>
  <si>
    <t xml:space="preserve">Nt= N in column All in Table 1* share male (from Table 2a). Nc = Nt, assuming 1 matched individual per each control. </t>
  </si>
  <si>
    <t xml:space="preserve">Nt= N in column All in Table 1* (1- share male (from Table 2a). Nc = Nt, assuming 1 matched individual per each control. </t>
  </si>
  <si>
    <t>16-20</t>
  </si>
  <si>
    <t>Nt, Nc, N not reported.</t>
  </si>
  <si>
    <t>21-25</t>
  </si>
  <si>
    <t>Nuevos Soles of 2001</t>
  </si>
  <si>
    <t>Table 7</t>
  </si>
  <si>
    <t>Effect/Control mean pre % = 21</t>
  </si>
  <si>
    <t>Effect/Control mean pre % = 30.2</t>
  </si>
  <si>
    <t>Effect/Control mean pre % = 31.4</t>
  </si>
  <si>
    <t>Effect/Control mean pre % = 14</t>
  </si>
  <si>
    <t>Effect/Control mean pre % = 26.8</t>
  </si>
  <si>
    <t>Effect/Control mean pre % = 28</t>
  </si>
  <si>
    <t>Effect/Control mean pre % = 35.5</t>
  </si>
  <si>
    <t>Effect/Control mean pre % = 38</t>
  </si>
  <si>
    <t>Effect/Control mean pre % = 43</t>
  </si>
  <si>
    <t>Effect/Control mean pre % = 31.9</t>
  </si>
  <si>
    <t>Effect/Control mean pre % = 36.6</t>
  </si>
  <si>
    <t>Effect/Control mean pre % = 28.8</t>
  </si>
  <si>
    <t>Effect/Control mean pre % = 7.8</t>
  </si>
  <si>
    <t>Effect/Control mean pre % = 23</t>
  </si>
  <si>
    <t>Effect/Control mean pre % = 34.2</t>
  </si>
  <si>
    <t>Effect/Control mean pre % = 33</t>
  </si>
  <si>
    <t>Effect/Control mean pre % = 44.4</t>
  </si>
  <si>
    <t>Effect/Control mean pre % = 12.7</t>
  </si>
  <si>
    <t>Effect/Control mean pre % = 20.9</t>
  </si>
  <si>
    <t>Effect/Control mean pre % = 23.7</t>
  </si>
  <si>
    <t>Effect/Control mean pre % = 70.5</t>
  </si>
  <si>
    <t>Effect/Control mean pre % = 55.8</t>
  </si>
  <si>
    <t>Effect/Control mean pre % = 85.3</t>
  </si>
  <si>
    <t>Effect/Control mean pre % = 52.3</t>
  </si>
  <si>
    <t>Effect/Control mean pre % = 41.7</t>
  </si>
  <si>
    <t>Effect/Control mean pre % = 45.1</t>
  </si>
  <si>
    <t>Effect/Control mean pre % = 16.3</t>
  </si>
  <si>
    <t>Effect/Control mean pre % = 24.8</t>
  </si>
  <si>
    <t>Effect/Control mean pre % = 41.2</t>
  </si>
  <si>
    <t>Hourly earnings</t>
  </si>
  <si>
    <t>Effect/Control mean pre % = 17.7</t>
  </si>
  <si>
    <t>Effect/Control mean pre % = 21.7</t>
  </si>
  <si>
    <t>Effect/Control mean pre % = 14.5</t>
  </si>
  <si>
    <t>Effect/Control mean pre % = 25.4</t>
  </si>
  <si>
    <t>Effect/Control mean pre % = 31.6</t>
  </si>
  <si>
    <t>Effect/Control mean pre % = 21.8</t>
  </si>
  <si>
    <t>Effect/Control mean pre % = 16.1</t>
  </si>
  <si>
    <t>Effect/Control mean pre % = 19.7</t>
  </si>
  <si>
    <t>Effect/Control mean pre % = 28.2</t>
  </si>
  <si>
    <t>Effect/Control mean pre % = 26.2</t>
  </si>
  <si>
    <t>Effect/Control mean pre % = 4.4</t>
  </si>
  <si>
    <t>Effect/Control mean pre % = 13.3</t>
  </si>
  <si>
    <t>16th Call</t>
  </si>
  <si>
    <t>The standard errors were estimated using clusters per course. We are not sure whtether Yc (post)  it is in fact post instead of pre. The paper does not mention anything about it.</t>
  </si>
  <si>
    <t>Has contract</t>
  </si>
  <si>
    <t>log (earned monthly Income)</t>
  </si>
  <si>
    <t>Peruvian Nuevos Soles (PEN)</t>
  </si>
  <si>
    <t>log(Income, only earned, per hour)</t>
  </si>
  <si>
    <t>Contract</t>
  </si>
  <si>
    <t>19-26</t>
  </si>
  <si>
    <t>Monthly wages</t>
  </si>
  <si>
    <t>Argentine pesos</t>
  </si>
  <si>
    <t>TT effecs.Model without Unobservable Heterogeneity</t>
  </si>
  <si>
    <t>Probability of finding employment</t>
  </si>
  <si>
    <t>Table 26</t>
  </si>
  <si>
    <t>Table 28</t>
  </si>
  <si>
    <t>Table 31</t>
  </si>
  <si>
    <t>Table 33</t>
  </si>
  <si>
    <t>Table 36</t>
  </si>
  <si>
    <t>Table 37</t>
  </si>
  <si>
    <t>Table 38</t>
  </si>
  <si>
    <t>We took only effects that complement Schochet 2008 since the sample is exactly the same</t>
  </si>
  <si>
    <t>16-17</t>
  </si>
  <si>
    <t>18-19</t>
  </si>
  <si>
    <t>20-24</t>
  </si>
  <si>
    <t>Months of delay (?)</t>
  </si>
  <si>
    <t>Wage</t>
  </si>
  <si>
    <t>IV/LATE estimates. Year 1</t>
  </si>
  <si>
    <t>IV/LATE estimates. Year 2-3, took year average</t>
  </si>
  <si>
    <t>IV/LATE estimates. Year 4-10, took  year average</t>
  </si>
  <si>
    <t>Earnings ($) During Years 1 to 4</t>
  </si>
  <si>
    <t>Administrative (UI Records)</t>
  </si>
  <si>
    <t>&lt; 0.1</t>
  </si>
  <si>
    <t>All includes: Atlanta HCD, Grand Rapids HCD, Riverside HCD, Columbus Integrated, Columbus Traditional, Detroit. Not Oklahoma City, anymore.</t>
  </si>
  <si>
    <t>Employed &amp; Still employed at end of year 2</t>
  </si>
  <si>
    <t>Appendix Table 4</t>
  </si>
  <si>
    <t>&lt; 0.05</t>
  </si>
  <si>
    <t>Us dollars</t>
  </si>
  <si>
    <t>Administrative
(UI Records)</t>
  </si>
  <si>
    <t>&lt;0.01</t>
  </si>
  <si>
    <t>Atlanta HCD</t>
  </si>
  <si>
    <t>Average total earnings in years 1 and 2</t>
  </si>
  <si>
    <t>Gran Rapids HCD</t>
  </si>
  <si>
    <t>Not significant</t>
  </si>
  <si>
    <t>Riverside HCD</t>
  </si>
  <si>
    <t>Columbus Integrated</t>
  </si>
  <si>
    <t>&lt; 0.01</t>
  </si>
  <si>
    <t>Columbus Traditional</t>
  </si>
  <si>
    <t>Detroit</t>
  </si>
  <si>
    <t>Oklahoma City</t>
  </si>
  <si>
    <t>Average earnings per quarter employed in years 1 and 2 ($)</t>
  </si>
  <si>
    <t>Average total earnings in year 2</t>
  </si>
  <si>
    <t>Employed at the end of two years</t>
  </si>
  <si>
    <t>For Those Employed at End of Two Years. Average weekly pay</t>
  </si>
  <si>
    <t>For Those Employed at End of Two Years. Employed full-time and covered by
employer-provided health insurance (%)</t>
  </si>
  <si>
    <t>Total measured respondent net income</t>
  </si>
  <si>
    <t>Table 7.2</t>
  </si>
  <si>
    <t>Total measured household net income ($)</t>
  </si>
  <si>
    <t>Table 7.5</t>
  </si>
  <si>
    <t>22+</t>
  </si>
  <si>
    <t>Annual earnings</t>
  </si>
  <si>
    <t>Social Security Earnings Record</t>
  </si>
  <si>
    <t>Table II.1, Table II.9</t>
  </si>
  <si>
    <t>Significant at 5%</t>
  </si>
  <si>
    <t>SE = pooled error. The reported pooled error = (Ytpost-Ycpost)/t. Delay is computed as No(years)*12-4. Beta can be computed as SE*t.</t>
  </si>
  <si>
    <t>Not significant at 5%</t>
  </si>
  <si>
    <t>Table II.2, Table II.10</t>
  </si>
  <si>
    <t>Table II.3, Table II.11</t>
  </si>
  <si>
    <t>Table II.4, Table II.12</t>
  </si>
  <si>
    <t>Employment rate</t>
  </si>
  <si>
    <t>Table II.5</t>
  </si>
  <si>
    <t>Only statistical significance at 5% is reported. Delay is computed as No(years)*12-4. N, Nt, Nc are  the same as for Annual earnings.</t>
  </si>
  <si>
    <t>Table II.8</t>
  </si>
  <si>
    <t>Control mean in first follow-up.
Nt and Nc using attrition rates from Table 8</t>
  </si>
  <si>
    <t>Formal contact</t>
  </si>
  <si>
    <t>Work income</t>
  </si>
  <si>
    <t>Jordan dollars</t>
  </si>
  <si>
    <t>New York City - Per Scholas</t>
  </si>
  <si>
    <t>Currently Employed</t>
  </si>
  <si>
    <t>Significant at 1%</t>
  </si>
  <si>
    <t>It is hard to estimate months of delay. Treatment is continous and the starting moment is heterogeneous.</t>
  </si>
  <si>
    <t>Hourly Wage</t>
  </si>
  <si>
    <t>New York City - Saint Nicks Alliance</t>
  </si>
  <si>
    <t>Tulsa, Oklahoma - Madison Strategies Group</t>
  </si>
  <si>
    <t>Noreast Ohio - Towards Employment</t>
  </si>
  <si>
    <t>Earnings - Aggregated 10 quarters</t>
  </si>
  <si>
    <t>Administrative Records (UI)</t>
  </si>
  <si>
    <t>Earnings - At first quarter of Year 3</t>
  </si>
  <si>
    <t>Table 5.3</t>
  </si>
  <si>
    <t>Ln(Total earnings, past month)</t>
  </si>
  <si>
    <t>Ksh</t>
  </si>
  <si>
    <t>Month of delay: treatment finishes Dec 2009, Wage 1 starts August 2011 and ends Dec 2012. We took the average between 36 months and 20 months of delay.</t>
  </si>
  <si>
    <t>Ln(Wage employment earnings, past month)</t>
  </si>
  <si>
    <t>Indic for unemployed</t>
  </si>
  <si>
    <t>Attrition is from Table 1. Nc is computed as N_subsample*Nc/N</t>
  </si>
  <si>
    <t>Turkish Lira, 2429 TL are US$1619</t>
  </si>
  <si>
    <t>Formal monthly income</t>
  </si>
  <si>
    <t>Sample size computed using share subsample/total sample from Table 1. Attrition is from Table 1.  Nc is computed as N_subsample*Nc/N</t>
  </si>
  <si>
    <t>Worked in the last 7 days</t>
  </si>
  <si>
    <t>Months of delay: Median point of 2 endlines</t>
  </si>
  <si>
    <t>Has a contract</t>
  </si>
  <si>
    <t>Monthly earnings
(wage employees)</t>
  </si>
  <si>
    <t>24+</t>
  </si>
  <si>
    <t>"a follow-up household survey was carried out between November 2010 and February 2011 (18 to 24 months after graduation)" I use 21 months, since is the middle between 18 and 24.</t>
  </si>
  <si>
    <t>Employed with written contract</t>
  </si>
  <si>
    <t>Dominican Pesos
(1 USD = 35 DP)</t>
  </si>
  <si>
    <t>Ln (monthly earnings)</t>
  </si>
  <si>
    <t>"between September and December 2014 (six years after the treatment)." I assume November 2014 = 66 months</t>
  </si>
  <si>
    <t>21+</t>
  </si>
  <si>
    <t>UI records</t>
  </si>
  <si>
    <t>DiD estimates
IV estimates also available. Month of delay: we guessed it based on lasts months where results are shown (22) minus months of treatment (6). We took the median of 16.</t>
  </si>
  <si>
    <t>Ln(Earnings)</t>
  </si>
  <si>
    <t>post-treatment employment rates</t>
  </si>
  <si>
    <t>Non-agricultural wage job</t>
  </si>
  <si>
    <t>Non-agricultural wage income</t>
  </si>
  <si>
    <t>It is not clear wheter annual income is conditional on workiong or not</t>
  </si>
  <si>
    <t>Casual/full time employment</t>
  </si>
  <si>
    <t>Attrition rate computed as 1- (439 individuals in 2010-2011-2012 sample) / (594 individuals at baseline). The sample size reported in the table notes does not correspond to the sample size reported in the text. I take 439 as sample size. Differential attrition is from Table 3.</t>
  </si>
  <si>
    <t>Indian Rupees. 150 Rupee = 1USD at the time of intervention</t>
  </si>
  <si>
    <t>Working at survey (%)</t>
  </si>
  <si>
    <t>Table 3.3</t>
  </si>
  <si>
    <t>Months of delay: 30 months after random assignment</t>
  </si>
  <si>
    <t>Hay alguno mal codificados!</t>
  </si>
  <si>
    <t>Total earnings over follow-up ($)</t>
  </si>
  <si>
    <t>US dollars</t>
  </si>
  <si>
    <t>Average wage</t>
  </si>
  <si>
    <t>Table 3.4</t>
  </si>
  <si>
    <t>Health insurance</t>
  </si>
  <si>
    <t>Table 3.8</t>
  </si>
  <si>
    <t>Table 3.10</t>
  </si>
  <si>
    <t>19+</t>
  </si>
  <si>
    <t>Working at survey</t>
  </si>
  <si>
    <t>Months of delay: 54 months after random assignment</t>
  </si>
  <si>
    <t>Earnings year 1</t>
  </si>
  <si>
    <t>Earnings year 2</t>
  </si>
  <si>
    <t>Earnings year 3</t>
  </si>
  <si>
    <t>Earnings year 4</t>
  </si>
  <si>
    <t>Earnings year 5</t>
  </si>
  <si>
    <t>Total earnings during 54-month follow-up ($)</t>
  </si>
  <si>
    <t>High-Fidelity Sites</t>
  </si>
  <si>
    <t>Table 3.7</t>
  </si>
  <si>
    <t>16-18</t>
  </si>
  <si>
    <t>Table 3.9</t>
  </si>
  <si>
    <t>Age at program entry</t>
  </si>
  <si>
    <t>log of real hourly wages</t>
  </si>
  <si>
    <t>Yc (post) is from Table 1 post-program earnings measured as the difference between the sum of earnings in the fifth through the eighth quarters after the initial participation quarter and the fifth through the eighth quarters prior to the initial quarter of participation.</t>
  </si>
  <si>
    <t>Labor earnings</t>
  </si>
  <si>
    <t>Difference-in-Differences
Matching estimator</t>
  </si>
  <si>
    <t>Hourly labor earnings</t>
  </si>
  <si>
    <t>21-35</t>
  </si>
  <si>
    <t>36-54</t>
  </si>
  <si>
    <t>Table A1</t>
  </si>
  <si>
    <t>Log (Monthly earnings)</t>
  </si>
  <si>
    <t>US$</t>
  </si>
  <si>
    <t>It only considers technical skills program, there are other evaluations</t>
  </si>
  <si>
    <t>Table IV</t>
  </si>
  <si>
    <t>Beta may be wrong since the parameter is for unemployment. Paper comments that intervention increases unemployment</t>
  </si>
  <si>
    <t>Which should we keep?</t>
  </si>
  <si>
    <t>Late estimations</t>
  </si>
  <si>
    <t>Table V</t>
  </si>
  <si>
    <t>Hourly wage rate: These variables are calculated from annual labour earnings and number of working hours. The measure of working hours comes from registers on compulsory contributions to supplemental pension payments closely linked to the working hours actually paid for by employers
the (annual) average hourly wage rate (available through 1996)</t>
  </si>
  <si>
    <t>DKK (DKK 90 = $15)</t>
  </si>
  <si>
    <t>Table VI</t>
  </si>
  <si>
    <t>All individual are included, even those with zero eranings</t>
  </si>
  <si>
    <t>probabilidad de estar trabajando
Probability of working</t>
  </si>
  <si>
    <t>Ingresos laborales (log)
Log of labor income</t>
  </si>
  <si>
    <t>Pesos Colombianos (COP)</t>
  </si>
  <si>
    <t>Table 29</t>
  </si>
  <si>
    <t>Outcome type should be 5</t>
  </si>
  <si>
    <t>Formalidad
Formality</t>
  </si>
  <si>
    <t>Year 1 earnings</t>
  </si>
  <si>
    <t>Yc(post) badly code</t>
  </si>
  <si>
    <t>Year 2 earnings</t>
  </si>
  <si>
    <t>Year 3 earnings</t>
  </si>
  <si>
    <t>Average calendar year earnings</t>
  </si>
  <si>
    <t>1995 USD</t>
  </si>
  <si>
    <t>Not statistically significant at 10%</t>
  </si>
  <si>
    <t>Outcome type should be 2</t>
  </si>
  <si>
    <t>% Employed in calendar year</t>
  </si>
  <si>
    <t>Table A.3</t>
  </si>
  <si>
    <t>Statistically significant at 1%</t>
  </si>
  <si>
    <t>Statistically significant at 10%</t>
  </si>
  <si>
    <t>18 - 19</t>
  </si>
  <si>
    <t>Table A.4</t>
  </si>
  <si>
    <t>Table A.5</t>
  </si>
  <si>
    <t>Statistically significant at 5%</t>
  </si>
  <si>
    <t>Table A.6</t>
  </si>
  <si>
    <t>Table A.7</t>
  </si>
  <si>
    <t xml:space="preserve">pooled </t>
  </si>
  <si>
    <t>Earnings per week</t>
  </si>
  <si>
    <t xml:space="preserve">Survey </t>
  </si>
  <si>
    <t>calendar Year earnings</t>
  </si>
  <si>
    <t>Table 4.2</t>
  </si>
  <si>
    <t>Total earnings</t>
  </si>
  <si>
    <t>Currently Employed (full-time)</t>
  </si>
  <si>
    <t>Currently Employed (part-time)</t>
  </si>
  <si>
    <t>Avg. hourly wage</t>
  </si>
  <si>
    <t>Table D.4</t>
  </si>
  <si>
    <t>Currently employed</t>
  </si>
  <si>
    <t>Table II.4</t>
  </si>
  <si>
    <t xml:space="preserve">Yc post are all the same for each column. We assume it is a typo and then we do not report them. </t>
  </si>
  <si>
    <t>Formal Employed</t>
  </si>
  <si>
    <t>In page 107 says its log wages</t>
  </si>
  <si>
    <t>Income</t>
  </si>
  <si>
    <t>log income all</t>
  </si>
  <si>
    <t>SEK</t>
  </si>
  <si>
    <t>Table S.4</t>
  </si>
  <si>
    <t>no</t>
  </si>
  <si>
    <t>yes</t>
  </si>
  <si>
    <t>ATT estimates. Table in Stenberg 2015 additional file. Yt (pre) = earnings in 1995 (Table S.2)</t>
  </si>
  <si>
    <t>Table S.5</t>
  </si>
  <si>
    <t>ATT estimates. Table in Stenberg 2015 additional file. Yt (pre) = earnings in 1995 (Table S.3)</t>
  </si>
  <si>
    <t>Stadardized Effect size: -0.111</t>
  </si>
  <si>
    <t>Stadardized Effect size: -0.044</t>
  </si>
  <si>
    <t>Post-program wages</t>
  </si>
  <si>
    <t>Stadardized Effect size: -0.042</t>
  </si>
  <si>
    <t>Stadardized Effect size: -0.011</t>
  </si>
  <si>
    <t>Table C.4</t>
  </si>
  <si>
    <t>Stadardized Effect size: -0.039</t>
  </si>
  <si>
    <t>Stadardized Effect size: -0.076</t>
  </si>
  <si>
    <t>Stadardized Effect size: 0.013</t>
  </si>
  <si>
    <t>Stadardized Effect size: -0.022</t>
  </si>
  <si>
    <t>Table C.5</t>
  </si>
  <si>
    <t>Stadardized Effect size: -0.329</t>
  </si>
  <si>
    <t>Stadardized Effect size: 0.039</t>
  </si>
  <si>
    <t>Stadardized Effect size: -0.159</t>
  </si>
  <si>
    <t>Stadardized Effect size: 0.051</t>
  </si>
  <si>
    <t>length of classroom (months)</t>
  </si>
  <si>
    <t>length of classroom (hours)</t>
  </si>
  <si>
    <t>length of internship (months)</t>
  </si>
  <si>
    <t>length of internship (hours)</t>
  </si>
  <si>
    <t>ci not reported</t>
  </si>
  <si>
    <t>SMD (treated-control)</t>
  </si>
  <si>
    <t>S_within</t>
  </si>
  <si>
    <t>Vd(mean)</t>
  </si>
  <si>
    <t>Vd(regress)</t>
  </si>
  <si>
    <t>J</t>
  </si>
  <si>
    <t>v(degrees of freedom)</t>
  </si>
  <si>
    <t>c(v)</t>
  </si>
  <si>
    <t>case</t>
  </si>
  <si>
    <t>I</t>
  </si>
  <si>
    <t>24-</t>
  </si>
  <si>
    <t>25+</t>
  </si>
  <si>
    <t>20-</t>
  </si>
  <si>
    <t>19-</t>
  </si>
  <si>
    <t>16-25</t>
  </si>
  <si>
    <t>18-65</t>
  </si>
  <si>
    <t>16-22</t>
  </si>
  <si>
    <t>Training (Szkolenie zawodowe)</t>
  </si>
  <si>
    <t>LatinAmericanCaribe (LAC)</t>
  </si>
  <si>
    <t>12 months
 4 and 6 training sessions</t>
  </si>
  <si>
    <t>http://pubdocs.worldbank.org/en/387401484327068475/GAP-Paper-v1.pdf</t>
  </si>
  <si>
    <t>Las etapas de diagnóstico y capacitación eran ejecutadas por OTEC diferentes. La elección del curso de capacitación era responsabilidad de la OTEC encargada de realizar la entrevista de diagnóstico, donde se detectaban los intereses y habilidades de los participantes y se establecía una terna de cursos (o “paquetes” de capacitación) que mejor se adecuaban al perfil del participante. Éste ordenaba dicha terna en función de sus preferencias y el programa intentaba entregar, en la medida de lo posible, la capacitación arecibir en función de las mismas. El programa contemplaba entregar a un 60% de los participantes en la capacitación un promedio de 400 horas formativas en el aula y el restante 40% podía llegar hasta las 800 horas. Las prácticas laborales tenían una duración prevista de 360 horas.</t>
  </si>
  <si>
    <t>Decision making</t>
  </si>
  <si>
    <t xml:space="preserve">The personal skills component consisted of 75 hours focused on promoting self-esteem and self-realization, communication skills, conflict resolution, life planning, time management, teamwork, decision-making, hygiene and health, and coaching on risky behaviors. Once the in-classroom training phase was completed, all participants were also assigned to 240- hour internships at private companies, for which participants received a daily stipend of
approximately US$2 and basic insurance. During this period, participants received oversight and job counseling.
</t>
  </si>
  <si>
    <t>Of this group, by means of random assignment, 10,397 individuals were offered admission to a hard and soft skills course and 1,604 were offered admission to a soft-skills only course, with the remainder either waitlisted or assigned to the control group</t>
  </si>
  <si>
    <t xml:space="preserve">We used a two-stage randomization procedure. We enrolled female garment workers (FGWs) in a lottery for the chance to take part in the P.A.C.E. program. In the first stage, we randomized production lines to treatment. In the second stage, within treatment lines, we randomized workers who had enrolled in the lottery to either direct P.A.C.E. training or spillover treatment. </t>
  </si>
  <si>
    <t xml:space="preserve">Upon recruitment, the participants are assigned to a "Job Skills (JS)" track or a "Business Development Services (BDS)" track. When possible, the participant's track preference was honored; however, the demand for the Job Skills track greatly exceeded the supply, so the remaining trainees were placed into the BDS track. In the first round of training, the proportion of Job Skills track places was limited to 35% of the total training places available given the expectation that few wage jobs will be available in the Liberian job market. </t>
  </si>
  <si>
    <t>Training and Support Resources: In addition to the core curriculum, AK offered youth access to a menu of more specialized workforce development skills training and resource programs. These included savings groups, in-depth skills training in targeted sectors, literacy/numeracy instruction, entrepreneurship training, and youth mentoring.</t>
  </si>
  <si>
    <t>The number selected from each settlement was proportional to the number of applicants from each settlement for each cohort. Within each settlement, those selected were randomly assigned to a group. Applicants assigned to the treatment groups that did not join the program or later dropped out were not excluded from the evaluation, but they rarely came to the training site to take part in later rounds of data collection.</t>
  </si>
  <si>
    <t xml:space="preserve">Classroom training took place between mid-November 2010 and February 2011, and was followed by the internship phase (although several participants started internships before completing their coursework and did both concurrently). </t>
  </si>
  <si>
    <t>Appendix Table A1 provides the distribution of courses further grouped into 70 categories. The greatest number of courses was offered in administrative occupations (such as sales, secretarial work, marketing, warehouse and inventory work, and archival work). However, there were also a large number of courses in manual occupations (such as seamstresses, electricians, and cooking assistants), as well as courses in fairly skilled occupations including (IT specialists, data entry, surveyors, and accountant assistants).Private training institutions played a fundamental role in determining what courses were offered, how they were marketed, and how they were designed</t>
  </si>
  <si>
    <t>. The training had three primary modules that were delivered in a combined fashion, with trainers given flexibility about the order in which they delivered specific parts of each component. Youth were not able to opt in for any one specific component.</t>
  </si>
  <si>
    <t xml:space="preserve">Adult program counselors meet with customers, provide active case management, and coordinate training.
</t>
  </si>
  <si>
    <t>However, there are a number of exceptions. The binding criterion is that the training program has to be considered necessary in order for the jobseeker to take up a job, for example, because the training is required to meet the hiring standards of the job. Training programs are usually assigned by the caseworker depending on the regional supply of upcoming training slots. A participation in training may take place at any point in time during the unemployment spell. Job-seekers have no entitlements regarding participation. A program assignment is compulsory for the job-seeker, and noncompliance may entail benefit sanctions and the exclusion from further services.</t>
  </si>
  <si>
    <t xml:space="preserve">Galpão’s participants are selected in a two-stage process. In the first stage, all individuals interested in the program fill a “pre-inscription” questionnaire that includes information related to the personal and household situation, current employment, and education status, among other factors. This information is used to identify individuals with a monthly household income under two minimum salaries and between 17 and 29 years old. Those who meet these criteria are considered for the next phase.
In the second stage, individuals are invited to take mathematics and Portuguese tests on basic concepts. They also go through an interview process. The interview attempts to identify youth who are involved in criminal activities. If the interview reveals that the person is involved in such activities, he is not invited to participate in the program— regardless of his performance on the tests. The youth who perform best on the tests are invited to enroll in the program. Given that the number of eligible individuals is greater than the number of slots available in the program, youth are randomly assigned to the program.
</t>
  </si>
  <si>
    <t xml:space="preserve">The 200-hour minimum of education was based on an estimate of what would be needed to bring the basic skills of most participants reading below the eighth-grade level up to the point where they could qualify for a GED or enter occupational skills training. The 500 hours of training was a compromise between the very lengthy training that research suggested was useful and what was practical in most JTPA environments.
The occupational skills component required classroom rather than on-the-job training, in the belief that participants would benefit from the intensive, closely supervised instruction possible in a classroom setting. Again, no specific curriculum was required. 
Suppport services. The sites were expected to assist participants with transportation and child care. 
Job placement assistance. The guidelines required sites to identify possible training- related jobs for participants and to assist them in securing employment, but were not specific about how this should be done. </t>
  </si>
  <si>
    <t xml:space="preserve">The Employment Fund struggled in 2010 to recruit young women to training events and in 2011 launched
an enhanced communication and outreach strategy to recruit more female trainees.15 In addition to the T&amp;E advertisement, the EF sponsored radio and newspaper ads specifically geared towards young women. Many
of these ads specifically encouraged women to sign up for non-traditional trades for women, such as mobile phone repair, electronics, or construction.16 The Employment Fund also partnered with women’s and community-based organizations to attract applications from women and marginalized groups – if a referred applicant gained entry to an EF-sponsored training event, the partner organization was paid a small finder’s fee equivalent to about 1.25 US dollar per person.
</t>
  </si>
  <si>
    <t>. Selection of trade for a participant depends on his/her interest. Once training is completed, BRAC links the participants with potential employers for wage employments</t>
  </si>
  <si>
    <t>Type of decision</t>
  </si>
  <si>
    <t>decentralized</t>
  </si>
  <si>
    <t xml:space="preserve"> Each beneficiary was
offered between four and six training sessions. The scope of the training depended on
the activity chosen by individuals. 
</t>
  </si>
  <si>
    <t>The program is voluntary and operates on a first-come first-served basis.</t>
  </si>
  <si>
    <t>what do they choose</t>
  </si>
  <si>
    <t>chose activities</t>
  </si>
  <si>
    <t>first come first serve</t>
  </si>
  <si>
    <t>applicants deemed unsuitable, or those who did not obtain a vacancy for their first course choice were able to make a second and even a third course selection. As a result, some of the youths from the control group were able to obtain a vacancy in a different course.</t>
  </si>
  <si>
    <t>the course</t>
  </si>
  <si>
    <t>Most of the training offered in the fifth round of this program was concentrated in the following economic sectors: agriculture, industry, services, and construction. The specific names of each course are listed in Appendix C. No course had more than 20 participants.</t>
  </si>
  <si>
    <t>Most often the qualification program takes place in external institutions but it may also be located in the firm where a person is employed. The program can be full-time or part-time, and its duration has to be more than two weeks and is usually restricted to a maximum duration of two years for full-time program.</t>
  </si>
  <si>
    <t xml:space="preserve">Furthermore, individuals were taught some general labor market relevant skills, including
job search assistance, counseling, and communication training. In general, participants did not have to take an exam at the end of the course and did not obtain any ocial certicate at the end.
</t>
  </si>
  <si>
    <t>centralized</t>
  </si>
  <si>
    <t xml:space="preserve">The courses focus on
classroom training, but may also provide some practical experience. In case of successful
completion, participants usually earn a certicate describing the content of the course and
the newly acquired knowledge and experience. Due to the wide variety of courses with
durations from several months to up to two years, SPST is the most flexible program and represents the largest share among all public-sponsored training programs.
</t>
  </si>
  <si>
    <t>Those who had not completed high school or received a GED certificate but who were assessed by case managers as having high school-level skills were assigned to GED preparation classes. Those with lower reading or math levels were assigned to Adult Basic Education classes. In addition, non-English speakers could be assigned to English as a Second Language (ESL) programs. Finally, those who had completed high school or held a GED certificate could be assigned to vocational training or employment-oriented skills courses at local community colleges</t>
  </si>
  <si>
    <t>through interview</t>
  </si>
  <si>
    <t xml:space="preserve">However, two factors intervened to make such a comparison problematic. First, not all members of the treatment group participated in JTPA programs. For example, about two-thirds of the adult treatment group
members enrolled in JTPA, but the other one-third either found jobs on their own or decided not to participate in the program. Second, a substantial minority of the control group members chose to participate in some alternative, non-JTPA training programs.
</t>
  </si>
  <si>
    <t xml:space="preserve">Graduates receiving this intervention were invited to free intensive training on interpersonal skills in areas identified by Jordanian employers as essential yet typically missing in recent graduates. </t>
  </si>
  <si>
    <t xml:space="preserve">. The essential theory behind WorkAdvance is that strategic upgrades in human capital — that is, education and employment-related skills and experience — will lead to advancement in the labor market, but only if training and job preparation are directly aligned with specific job openings. This theoretical pathway applies to most program participants in the evaluation. For those who did not attend training (because they already had the requisite skills and experience) </t>
  </si>
  <si>
    <t>according to some  beneficiaries characteristics they where assigned to some type of course</t>
  </si>
  <si>
    <t xml:space="preserve">2,163 out-of-school Kenyan youths ranging in age from roughly 17 or 28 years old applied for vocational education tuition vouchers, and a randomly selected half were awarded a voucher. </t>
  </si>
  <si>
    <t>voucher</t>
  </si>
  <si>
    <t>Given excess demand for courses and a desire to get the unemployed into jobs, individuals are only allowed to take one ISKUR-supported course in a five-year period.</t>
  </si>
  <si>
    <t xml:space="preserve">On the supply side, the program aimed to reduce skills constraints in the six sectors where growth is expected according to Vision 2030, Kenya’s national development strategy, by providing youths with job‐relevant skills (technical and life skills) as well as workplace experience.
To ensure private sector ownership of the program and the effectiveness of the program’s demand driven design, the intervention operated as a private‐public partnership. The Government of Kenya set the strategic vision for youth employment and financed the program while KEPSA, a policy advocacy organization for private employers, defined the competencies needed by employers in the six growth sectors, mobilized and motivated employers to participate in the program, recruited training providers on a competitive basis, and managed and implemented the overall program
Given the high number of eligible applications received,
KEPSA randomly selected a number of eligible applicants based on the number of internships that they could offer per cycle. By design, the percentage of the selected youths who held tertiary qualifications was capped at 40 percent in each program cycle.
</t>
  </si>
  <si>
    <t xml:space="preserve">Courses of 225 hours are conducted in the COS facilities and split into two parts:
75 hours of basic or life skills training, and 150 hours of technical or vocational training. Basic skills training is meant to strengthen trainees’ self- esteem and work habits, while vocational training is meant to address the technical training needs of local employers. Training at the COS is followed by an internship in a private sector firm, which should be contacted by the COS in order to develop training programs tailored to the firm´s labor demand. Young people are identified by the COS according to their preferred vocation and the availability of the desired course. Once they reach 35 potential participants, the COS sends the names and identification numbers to the program coordinating unit (PCU), which randomly selects those who are offered the training course.
</t>
  </si>
  <si>
    <t xml:space="preserve">The workers with the lower scores were to be given priority in receiving the vouchers. In practice, however, the EI was never used. Although the EI was designed as a targeting mechanism, it was not used during the  rst year of the program because of the expected low demand for vouchers. </t>
  </si>
  <si>
    <t xml:space="preserve">First, unemployed who were selected by local employment offices for training. Second, unemployed who themselves chose a retraining or further training scheme, with the local employment office being prompted by law to finance this training if there was a high probability that after the training the unemployed could enter a regular job. The third category were still employed workers who faced redundancy for reasons that had to do with the economic situation of the firm. </t>
  </si>
  <si>
    <t>employment officers advised on training</t>
  </si>
  <si>
    <t>During a first lottery, to which the mayors of the municipalities were invited to attend and participate, 44 blocks were randomly selected and half of the communities in each block were randomly assigned to treatment, and the other half to the control Baseline data were then collected in the 56 treatment and 50 control communities. These data were used to define households’ eligibility for the program based on a proxy means test. The threshold eligibility level for the proxy means test was set higher than the poverty line. As a result, only around 10 percent of households in treatment and control communities were ineligible for the program (their estimated baseline expenditures, as determined by the proxy means, were above the pre-defined threshold). 
In the treatment communities, the principal caregiver in each eligible household (typically a woman) was then invited to a registration assembly, where the program objectives and various components were explained. At the end of the assembly, a second lottery took place in each community. During this lottery, all eligible households within each community were assigned to one of three treatment packages: (1) a basic CCT; (2) a basic CCT plus a scholarship for a vocational training; or (3) a basic CCT plus a business grant.4 Participation in the assemblies and lotteries was close to 100 percent.</t>
  </si>
  <si>
    <t>. Two-thirds of all applications from each area were assigned to the treatment group and the remaining one-third were assigned to the control group.</t>
  </si>
  <si>
    <t xml:space="preserve">The CET Program Model
Despite the great attention given to the CET model by researchers and policymakers, its components have never been strictly defined. </t>
  </si>
  <si>
    <t xml:space="preserve">The NJS randomly assigned persons who sought JTPA services, and were eligible for them, to a treatment group or a control group. The study included over 20,000 eligible participants who applied for JTPA
services between November 1987 and September 1989 in 16 local SDAs.
</t>
  </si>
  <si>
    <t xml:space="preserve"> The educational level required to attend vocational
training is very heterogeneous. Computer literacy, language, seamstress, cook,
massage therapist, secretary, manicurist, pedicurist, hairdresser, waiter, chef,
tour guide, bricklayer, cake decorator, makeup artist and surgical technologist
courses are a few examples of vocational training programs.</t>
  </si>
  <si>
    <t xml:space="preserve">According to the design, the participants were to be provided with opportunities to participate directly in the labor market following the classroom‐based intervention. Technical trainees were entitled to receive on‐the‐job training consisting of placement for three months as apprentices with local master apprentices in small or large businesses related to their trades of choice, such as in a mining company or in a small automobile mechanic shop. </t>
  </si>
  <si>
    <t xml:space="preserve">There are approximately 600 different training courses to choose from. A course will on average last 2 weeks. </t>
  </si>
  <si>
    <t xml:space="preserve">Componente de formación del área técnica: en una de las 20 áreas ofrecidas por el
Programa con base en las necesidades del mercado laboral. La duración de éste módulo
educativo es de 480 horas y fue ofrecido por (5) entidades de capacitación.
Componente de práctica laboral: con empresas locales y organizaciones públicas o
sociales como parte del proceso de formación. La duración de este componente es de
440 horas.
</t>
  </si>
  <si>
    <t>The Job Corps study is based on an experimental design where, from late 1994 to early
1996, nearly 81,000 eligible applicants nationwide were randomly assigned to either a program
group, whose members were allowed to enroll in Job Corps, or to a control group, whose 6,000 members were not</t>
  </si>
  <si>
    <t>; participants in a particular cohort move through the program together</t>
  </si>
  <si>
    <t xml:space="preserve">. Program participants are expected to attend training for one to one and a half hours every day after school during that period. The primary goal of pre-work training is to prepare the youth for their internships. </t>
  </si>
  <si>
    <t>vulnerable yes/no</t>
  </si>
  <si>
    <t>vulnerability type</t>
  </si>
  <si>
    <t>incomplete education</t>
  </si>
  <si>
    <t>poverty</t>
  </si>
  <si>
    <t>women</t>
  </si>
  <si>
    <t>women in informal settlements</t>
  </si>
  <si>
    <t>favelas</t>
  </si>
  <si>
    <t>incomplete education (low levels of formal education)</t>
  </si>
  <si>
    <t>some people had incomplete education</t>
  </si>
  <si>
    <t>poverty and women</t>
  </si>
  <si>
    <t>ebola crisis</t>
  </si>
  <si>
    <t>BT/DU</t>
  </si>
  <si>
    <t>17-18</t>
  </si>
  <si>
    <t>Figure 3, Table 4</t>
  </si>
  <si>
    <t xml:space="preserve">From 2000 to 2005, only individuals aged 14 to 17 years old 
could participate in the program. Individuals aged 18 years old or more were not 
eligible.
We use data from 2001 to 2006. Over this period RAIS contains an average of 50 
million worker-establishment records per year. In our analysis, we restrict attention to 
workers aged 17 or 18 who entered the formal labor market between 2001 and 2003. 
We only collect information for those youths that were in a temporary job in the first 
job and marked those that were under an apprenticeship contract. We followed all 
workers in our sample for three years (excluding the first), so we are able to compute 
average program impacts for the medium/long term. 
The sample used in the regression analysis is composed of youths aged 17 to 18 years 
old who were temporary workers and who had obtained their first jobs in the formal 
labor market between 2001 and 2003. All workers in this group are followed for a 
period of three years after the year of their first appearance in the data. 
Table 4 displays the main characteristics of the workers in the sample, where around ¼ 
is composed of apprentices (11483 out of 44855). Almost half of the sample are 17 
years old, around 2/3 are males, the majority has between 9 and 11 years of schooling 
(which means more than primary school but less than a secondary degree), over 70% 
were in the sales or service sectors, and about ¾ were living in the Southeast or the 
South regions, the richest of the country. The year of youth’s entrance in the formal 
sector was not so equally distributed, with the year of 2002 being the year of entrance 
with less than 1/3 of the sample. </t>
  </si>
  <si>
    <t xml:space="preserve">The main goal of the paper is to evaluate a very large youth program in Brazil, the 
Apprenticeship program (Lei do Aprendiz, Apprentice’s Act). This is a targeted active 
labor market program conducted by the Labor Ministry, which concedes payroll 
subsidies to firms that hire and train young workers under temporary contracts. The 
program intends to provide training to young workers and help them to successfully 
complete the transition from school to work. One of its main objectives is to place 
participants in good (formal) first jobs and, hopefully, help them to stay in the formal 
segment of the labor market. 
Young workers hired under the Apprenticeship program are required to enroll at school 
if still at primary school, and to take formal training, either through official qualification 
agencies, the so-called Sistema S (Senai, Senac, etc.), or at ONGs that specialize in such 
training that are certified by the Labor Ministry. 
The maximum number of working hours allowed for young workers hired under the 
program is six hours per day. Payments should be at least the hourly minimum wage. 
There is a payroll subsidy in the form of a lower deposit on the worker’s FGTS account 
(Fundo de Garantia por Tempo de Serviço, a job-separation fund). Firms should deposit 
only 2% of the basic wage on this fund, instead of the rate of either 8% or 8.5% that 
prevails for other workers.11 Contracts are temporary with a maximum length of two 
years. 
</t>
  </si>
  <si>
    <t>R$ 10 an hour by student by course (value for 2014 extracted from Soares 2017)</t>
  </si>
  <si>
    <t>Soares 2017 evaluates a new version of the program where the cut-off age has been increased</t>
  </si>
  <si>
    <t>Soares 2017 reports similar ev. With age cut off changed, and randomized.</t>
  </si>
  <si>
    <t>Young workers hired under the Apprenticeship program are required to enroll at school
if still at primary school, and to take formal training, either through official qualification
agencies, the so-called Sistema S (Senai, Senac, etc.), or at ONGs that specialize in such
training that are certified by the Labor Ministry.</t>
  </si>
  <si>
    <t>firm to apply</t>
  </si>
  <si>
    <t>mean: 23</t>
  </si>
  <si>
    <t>Table 4, Table 5</t>
  </si>
  <si>
    <t>These data were used for screening purposes, ensuring that youth met the program's
eligibility criteria, such as income limits (participants’ families could not earn more than two minimum wages), and age restrictions (participants could not be older than 29 years old). In the second stage, eligible youth were contacted and administered mathematics and
Portuguese tests. Program slots were oﬀered to those who scored highest in the academic tests. A pre-program interview was also conducted, mainly as a means to identify those who were actively involved in dealing drugs or in gang activity; those identiﬁed as participating in those activities were not oﬀered a slot, regardless of their academic scores.
The data indicate that the youths in our sample are on
average around 23 years old and predominantly male.16 The house-
holds in which these youths live have an average of about four
household members. Almost all respondents (97 percent) report that
they can read and write. Few of them live in households that receive
social beneﬁts like the Bolsa Família or Familia Carioca, two govern-
ment conditional cash payments made to poor households.17
among disadvantaged youth living in Rio de Janeiro's
slums (or favelas), 
youth in the marginalized
communities in Rio's favelas</t>
  </si>
  <si>
    <t>The program sought to improve the socio-economic and labor market
 Of the 451 program applicants, 381 answered the
baseline survey: 163 in the treatment group, 195 in the control group,
and 23 non-randomly assigned treated youths (pre-selected). 
outcomes of youth by teaching basic academic skills (including
remedial courses in both mathematics and Portuguese), vocational
skills (e.g., construction-related skills, carpentry, soldering), and work-
readiness skills. These work-readiness skills emphasized conducts and
behaviors required for success in a formal workplace, such as the
importance of being on time, the importance of ﬁnishing tasks, as well
as the proper way to address colleagues in the workplace.
the use of expressive arts and
theatre as a pedagogical tool. This tool is used as part of a training
program that also includes vocational and academic training, as well as
training in work-readiness skills.
Given that the program was oversubscribed, it was possible to
employ an experimental design to evaluate the program, by which
eligible beneﬁciaries were be randomly assigned to either a treatment
or a control group. The randomized selection was double blinded.6
Program administrators called applicants and informed them of their
status, and applicants that had been randomly selected-in were allowed
to enroll. The experiment was also structured with an exception
mechanism that allowed Galpão administrators to exclude certain
individuals from the process of random assignment.7 These pre-
selected individuals were identiﬁed before the randomization took
place and excluded from the experiment.8
The program's physical location was an important part of its
intervention strategy. Existing cultural spaces built within the favelas
had increasingly become non-viable due to violence surrounding these
areas, which limited the participation of youth across different communities.
Young people could not move from one community to
another because of the partitioning of the favelas by rival gangs which
control the drug trade and other illicit activities in the city. The
program's response was to create a neutral downtown space, located
in the port area, away from the favelas. The concept of a neutral and
inclusive space was also woven into the program's pedagogic methodology.</t>
  </si>
  <si>
    <t>Galpão was a relatively expensive program. Based on administrative data, the average cost per youth in 2013 was $810 Brazilian Reais (about $386 US dollars) a month, or $4680 Reais
(about $2229 US dollars) for the entire curriculum per student.</t>
  </si>
  <si>
    <t>The program's duration was approximately six months, and included ﬁve hours of training a day, and for ﬁve days a week, delivered in three shifts—morning, afternoon, and evening. The
treatment included 300 h of vocational training, 180 h of training on
basic skills, and 120 h in work-readiness skills.</t>
  </si>
  <si>
    <t>The randomized selection was double blinded.6
Program administrators called applicants and informed them of their
status, and applicants that had been randomly selected-in were allowed
to enroll.</t>
  </si>
  <si>
    <t>mean: 30</t>
  </si>
  <si>
    <t>LMT is available for all job seekers and participation is voluntary. However, for some
courses, applicants must qualify through education, previous vocational training, or work
experience in order to be eligible. 
Among those offered training, we find both persons who never started a course and
persons who dropped out in the midst of one. 
The programme is organised as off-the-job courses, mainly targeted at unemployed adults</t>
  </si>
  <si>
    <t>The aim of LMT is to preserve and improve the skills of the unemployed and thereby to enhance their employ-ability. The programme is organised as off-the-job courses, mainly targeted at unemployed adults. Moreover, a substantial number of people (re-)enter the labour market via the
training programme
The courses are provided by the employment
service, often in co-operation with other public and private institutions. Vocational
training dominates the course offerings, with a wide range of subjects and crafts
covered. Most of the courses are short, from 5 to 20 weeks. The courses are free of
charge. All participants get a training allowance. Those who are entitled to unemploy-
ment insurance benefits may opt to collect their benefits instead, as they exceed the
allowance. 
The capacity of most courses is limited.3 The rate of rationing for each course depends on the number of qualified applicants and the capacity of the course.
In order to get a fairly homogenous group of applicants typical of most LMT courses,
we excluded specific training programmes for immigrants and ‘‘miscellaneous courses’’
(i.e., short job search courses, rehabilitation courses targeted at specific groups, etc.).
Moreover, all applicants for courses without capacity constraints (i.e., with no rejected
applicants, whether random or not) are excluded from the analyses.
Among those offered training, we find both persons who never started a course and
persons who dropped out in the midst of one. Overall, about 75% of those offered LMT
completed their course
The local organisers were instructed to replace ordinary assignment procedures by a random process. All courses were advertised at the local employment offices as usual. The staff was told to follow the standard procedures with respect to the registration of all qualified applicants, including the usual counseling, and not to screen the potential applicants. The applicants were informed that admission would be determined by a lottery. 
These included courses in which co-operating employers insisted on normal assignment
procedures, courses aimed at specific target groups, and follow-up courses. For such
courses and for all courses in the other three counties, the standard procedures were used;
in the following, these courses are classified as ordinary assignment courses (O-courses).
Different locations as well as exclusions from the randomisation imply that the two groups
of courses (R-courses and O-courses) have a different composition of course categories.</t>
  </si>
  <si>
    <t xml:space="preserve"> Figures from the Directorate of Labour indicate the
monthly cost for a participant in 1991 was about NOK 5500 (the equivalent of 1994
NOK 5800 per month or 1994 US$860).</t>
  </si>
  <si>
    <t>Most of the courses are short, from 5 to 20 weeks.</t>
  </si>
  <si>
    <t>Table 2, Table 4</t>
  </si>
  <si>
    <t>for each course, there is a list of qualified applicants. 
The local organisers were instructed
to replace ordinary assignment procedures by a random process. All courses were
advertised at the local employment offices as usual. The staff was told to follow the
standard procedures with respect to the registration of all qualified applicants, including  the usual counseling, and not to screen the potential applicants. The applicants were
informed that admission would be determined by a lottery.</t>
  </si>
  <si>
    <t>course</t>
  </si>
  <si>
    <t>16-25, mean: 20</t>
  </si>
  <si>
    <t xml:space="preserve">The Youth Training Program PROJOVEN was implemented in 1995 with the 
goal of increasing the employability and productivity of disadvantaged young individuals 
aged 16 to 25 through job-specific training in blue-collar occupations.
The program awareness strategy (position A) constitutes the first formal 
effort to reach out to the target population and aims to inform potential participants about the program’s benefits and rules. This first filter focuses only on those neighborhoods with a high concentration of households below the poverty line. Those prospective participants attracted by the expected benefits and perceived opportunity costs of participation voluntarily show up in the registration centers (position B) where qualified personnel determine their eligibility status. A standardized targeting system based on five key observable variables (poverty status, age, schooling, labor market status, and pre-
treatment earnings) determines who is eligible and who is not. This process concludes when there are nearly twice as many eligible individuals as training slots
 A two-tiered monitoring and supervision process guarantees the reliability of the 
information given by the prospective applicants to determine their eligibility status. In addition to focusing only on targeted poor districts, the program administrator makes 
house visits to those applicants who provided dubious or inconsistent information. 
</t>
  </si>
  <si>
    <t xml:space="preserve">. To guarantee a paid, on-the-job training experience for each trainee, the program follows a
demand-driven approach in which competing institutions must offer training for those
occupations with assured labor demand. 
The Youth Training Program PROJOVEN was implemented in 1995 with the
goal of increasing the employability and productivity of disadvantaged young individuals
aged 16 to 25 through job-specific training in blue-collar occupations.6 The treatment consists of a mix of formal and on-the-job training organized into two sequential phases, at the training institution and at manufacturing or business firms for a period of six months.
The first stage consists of 300 hours of classes at the training center locations roughly
five hours per day for three months. In the second phase, training institutions must place
trainees into a paid, on-the-job training experience in private manufacturing firms for an
additional period of three months.
The selection of the training courses relies on bidding processes that targets the 
relatively best training courses at the best competing prices. Thus, private and public 
training institutions that operate for profit compete for limited public funding following 
standard processes and strict timetables. 
To ensure the relevance of the training courses, 
the program relies on a demand-driven mechanism that stipulates that all training centers 
must present, as part of their offers, formal agreements with private manufacturing firms 
that guarantee a paid, on-the-job training for each beneficiary
A system of conditional payments based on the 
training centers’ effectiveness in successfully completing the six-month course provides 
the incentives to train only for those occupations with assured labor demand
</t>
  </si>
  <si>
    <t>The first stage consists of 300 hours of classes at the training center locations roughly 
five hours per day for three months. In the second phase, training institutions must place 
trainees into a paid, on-the-job training experience in private manufacturing firms for an 
additional period of three months.</t>
  </si>
  <si>
    <t>DID, PSM</t>
  </si>
  <si>
    <t xml:space="preserve">Eligible individuals are invited to an 
orientation process (position C), where they choose the courses they want to attend 
following a first-come-first-served criterion. This process concludes when the number of 
eligible individuals exceeds by 75 percent the number of available slots in each course.
</t>
  </si>
  <si>
    <t>19-55, mean: 35</t>
  </si>
  <si>
    <t xml:space="preserve">The analysis of this study is done separately for the
Swedish-born and the foreign-born, given that these
two groups have different arrangements of character-
istics, which determines the selection and treatment
process. The foreign-born group is also much more
heterogeneous compared to the Swedish-born group,
which further emphasizes the importance of analysing
the groups separately
 The benefit
system has two components: unemployment insurance
(UI), and the cash labour market assistance (CA).1
UI is the most important form; it is income-related
and is available for 60 calendar weeks. The daily
compensation is 75% of the previous wages (was 90%
before July 1993). A part-time unemployed person
registered at a public employment office and
actively searching for a job is also eligible for
unemployment benefits. CA was designed mainly
for new entrants who are not members of any UI fund. Its compensation is lower than that of UI,
and is paid (in principle) for a maximum of
30 calendar weeks
Those eligible for training are
mainly unemployed persons who are job seekers and
persons at risk of becoming unemployed. 
</t>
  </si>
  <si>
    <t xml:space="preserve">The public employment offices have a central role
in assigning job seekers to training courses. The
employment office is responsible for providing
information on different courses, eligibility rules,
training stipends, etc.
. This study focuses
only on vocational training, which represented
around 20% of all programmes within active labour
market policy in 1993–1994.
</t>
  </si>
  <si>
    <t>CA was designed mainly for new entrants who are not members of any UI fund. Its compensation is lower than that of UI, and is paid (in principle) for a maximum of 30 calendar weeks.</t>
  </si>
  <si>
    <t>The public employment offices have a central role in assigning job seekers to training courses. The employment office is responsible for roviding information on different courses, eligibility rules, training stipends, etc.</t>
  </si>
  <si>
    <t>Gao 1996</t>
  </si>
  <si>
    <t>min: 16</t>
  </si>
  <si>
    <t>Appendix 1</t>
  </si>
  <si>
    <t xml:space="preserve">to persons receiving
means-tested government transfers or who had low family incomes
in the preceding six months. Although funded at the federal
level, the program was primarily administered by the states and
by local training centers with independent authority
See table I for details on population target for each program of JTPA
In order to analyze the effects of departures from (AS-1) and
(AS-2) most clearly, we confine our empirical analysis throughout
the paper to persons recommended for classroom training in
occupational skills, a group that comprises about one-third of the
experimental sample and a similar proportion of the overall JTPA
trainee population [U. S. Department of Labor 1992].10 We omit
from our analysis persons recommended to receive subsidized
on-the-job training at private firms, the one JTPA service for
which few alternative providers exist.11
</t>
  </si>
  <si>
    <t xml:space="preserve">This program provided
classroom training in occupational skills (CT-OS), basic education
(often GED preparation), wage subsidies for on-the-job training at
private firms, and job search assistance to persons receiving
means-tested government transfers or who had low family incomes
in the preceding six months.
Classroom training in occupational skills, which forms the primary focus of this study, typically consists of short courses (usually less than six
months) provided by community colleges, proprietary schools, or nonproﬁt organizations. These courses aim to prepare trainees for occupations such as word processing, electronics repair, and home health care.
The National JTPA Study (NJS) was an experimental evalua-
tion of JTPA conducted at a nonrandom subset of 16 of the more
than 600 JTPA training centers
In the NJS, applicants ac-
cepted into the program were ﬁrst recommended to receive
particular training services and then randomly assigned to either
a treatment group given access to JTPA services or a control
group excluded from receiving JTPA services for eighteen
months
</t>
  </si>
  <si>
    <t>Randomization DID</t>
  </si>
  <si>
    <t>Information about duration and cost from GAO</t>
  </si>
  <si>
    <t xml:space="preserve">"In the NJS, applicants accepted
into the program were first recommended to receive
particular training services and then randomly assigned to either a treatment group given access to JTPA services or a control group excluded from receiving JTPA services for eighteen months. Follow-up surveys collected information on the earnings and employment outcomes of persons in the experiment. We use these self-reported data to construct the outcome "
</t>
  </si>
  <si>
    <t>voluntary enrollment</t>
  </si>
  <si>
    <t xml:space="preserve">We restrict our sample to female payees,
aged at least 18 but less than 65, in single-parent households, excluding
“child-only” cases
 We focus on individuals who are new
entrants into the TANF cash program during the quarters 1997 Q2–1999
Q4, deﬁning a “new entrant” as one who receives payments during at least one of these quarters but not the prior quarter
In Missouri, nearly half of those who participate in job search/readiness do so in a quarter prior
to receiving any other service, and nearly a third of those in intensive
training participate in a quarter prior to receiving any other training
In contrast, fewer than 10% of those in North Carolina participate in these
more intensive services without also participating in another component—
usually assessment.
</t>
  </si>
  <si>
    <t xml:space="preserve">We divide training into three categories on the basis of the intensity of
the activity: participants who went through an assessment but received
no other training; participants in job readiness or job search activities;
and participants who received more intensive training, including basic
education, vocational skills training, or other longer-term programs. 
North Carolina was an early
implementer of these reforms, emphasizing a work-first approach that
focused primarily on getting recipients into jobs and secondarily on training
to improve skills. North Carolina’s TANF program began in January
1997 with a “primary focus” on “job placement assistance.”11 Missouri’s
approach was less clear. Having emphasized long-term training under
JOBS, Missouri’s program was modified in the direction of work-first
only in the face of federal pressure implicit in the TANF rules. Nonetheless,
Missouri’s TANF program, which began in December 1996, retained
a greater emphasis on long-term training, and by 2000, Missouri
had managed another policy turnaround, adopting rules that increased
the ability of TANF recipients to engage in long-term training.
Our use of three categories of participation—assessment, job
search/readiness training, and intensive training—also allows us to easily
compare the effect of work-first activities, such as job search, with more
intensive activities, such as vocational education, that are designed to
enhance participants’ human capital
a quarter is coded as “intensive services” following the receipt of intensive services, without
regard for whether any other services were previously received. Hence,
the intensive service category includes any effects of other services received
by such individuals, and impact estimates must be interpreted accordingly.
Table 3 illustrates the way in which services are coded.
</t>
  </si>
  <si>
    <t>The typical vocational and technical skills training component lasts
about 9 weeks in Missouri but only 6 weeks in North Carolina.
Median hours per week (training) 25 hours for Missouri and 35 for North Carolina. See table 1</t>
  </si>
  <si>
    <t>The ﬁrst category, assessment, may include formal paper-and-pencil testing, as well
as development of a “self-sufﬁciency plan,” which provides a schedule of
activities leading to employment and exit from TANF.</t>
  </si>
  <si>
    <t>compulsory with cash transfer</t>
  </si>
  <si>
    <t>Bloom 1990 i</t>
  </si>
  <si>
    <t>Table 5.7, Table 5.8</t>
  </si>
  <si>
    <t xml:space="preserve">Demonstration, a2,192-person randomized experimental evaluation of reemployment programsfor displaced workers conducted at three Texas sites during 1984-85.
assistingsome displaced workers
Program applicants were recruited fiom three sonrces:
1. UI claimants referred by TEC
2. Walk-ins generated by publicity and word of mouth
3. Plant-based outreach to mass layoffs
The overwhelming majority of applic;:nts were recruited through UI
claimant referrals; little recruitment was accomplished through walk-
ins or plant-specific outreach.
TEC/HCC recruited all of its appliwnts internally.. The first step in
this process was a brief application interview at a local TEC unemploy-
ment insurance office. Four Houston TEC offices were designated for
this purpose. The second step was an orientation session at the TEC/HCC demonstration headquarters. Because it had a large internal base of ap-
plicant referrals, TEC/HCC did not experience serious recruitment
problems.
Eligibility criteria for the demonstration required that applicants be
in one of the following categories.
1. Unemployed with a poor chance of returning to work, as evidenced,
for example, by a permanent plant shutdown or long-term layoff
unrelated to regular cyclical activity;
2. Recipients of Unemployment Insurance benefits or benefit
exhaustees;
3. Faced with special barf.ers to reemployment, such as being an
older worker or not speaking English.
</t>
  </si>
  <si>
    <t>Texas Worker Adjustment Demonstration TEC/HCC</t>
  </si>
  <si>
    <t>Sites were required by TDCA to operate ,?,ervric two-tier job-search
assistance and retraining program withir certain specified parameters.
Table 1.1 illustrates how this program model was adopted and adapted.
TEC and HCC were public agencies
TEC/HCC planned two alternative program strategies, or treatment
streams. One treatment stream, Tier I only, was designed to provide
job-search assistance to 250 persons. The second treatment stream, Tier
I/II, was designed to serve 350 persons. All Tier I/II participants were
to start with job-search assistance. Subsequently, about 200 were ex-
pected to receive classroom training or on-the-job training (OJT).
The last segment of TEC/HCC Tier I was a job club, with daily at-
tendance recommended and weekly attendance required. The job club
was a less structured experience that enabled participants to use pro-
gram facilities such as reference materials, a telephone message center,
a phone bank, a xerox machine, and typewriters.
TEC/HCC's emphasis on classroom training reflected the fact that
one of its co-contractors, Houston Community College, had the lead
responsibility for this part of the program. In addition, OJTtraditionally
used to provide entry-level jobswas not appropriate for the experienced
white-collar participants at this site. Hence, OJT was used only to supply
23 bus drivers for the local transportation authority.
TEC/HCC classroom training was conducted in the form of tradi-
tional fixed-duration courses, timed according to the academic calen-
dar. Initial offerings included classes in air conditioning and refrigera-
tion, computer maintenance technology, and computer-command
automotive electronic technology.. In response to the mismatch be-
tween the mostly white-collar backgrounds of TEC/HCC participants
and the blue-collar orientation of its offerings. HCC later added a r:ourse
on computer-assisted drafting.
Thisproject demonstrated that a relatively inexpensive mix of lob-search assistanceand limited occupational skills training can be a cost-effective means of assistingsome displaced workers.
Sites were required by TDCA to operate,?,ervric two-tier job-searchassistance and retraining program withir certain specified parameters
See table 1.2 for prgram overview</t>
  </si>
  <si>
    <t xml:space="preserve">total cost: 1425000
Average Tier I/II costs were $725 at SER/JOBS, $1,099 at SEE, and
$2,981 to $3,381 at TEC/HCC. </t>
  </si>
  <si>
    <t>Table 1.2 
TEC/HCC Tier I was a six-week 7-rogram with three distinct segments:</t>
  </si>
  <si>
    <t>TEC/HCC conducted separate client assessments at three different
points in the program. An initial assessment was conducted by Career
Circles during the first week of participation. This activity was primarily
a self-assessment to help participants examine their personal preferences
and skills. TEC counselors then conducted their own assessments during
the job-search workshop that followed the Career Circles module. These
assessments were based more on personal interviews than on formal instruments. Last, participants v ho were referred for Tier H classroom
training were assessed informally by HCC staff to determine which
course offerings, if any, were suitable.</t>
  </si>
  <si>
    <t>Bloom 1990 ii</t>
  </si>
  <si>
    <t xml:space="preserve">Demonstration, a2,192-person randomized experimental evaluation of reemployment programsfor displaced workers conducted at three Texas sites during 1984-85.
assistingsome displaced workers
Program applicants were recruited fiom three sonrces:
1. UI claimants referred by TEC
2. Walk-ins generated by publicity and word of mouth
3. Plant-based outreach to mass layoffs
The overwhelming majority of applic;:nts were recruited through UI
claimant referrals; little recruitment was accomplished through walk-
ins or plant-specific outreach.
Eligibility criteria for the demonstration required that applicants be
in one of the following categories.
1. Unemployed with a poor chance of returning to work, as evidenced,
for example, by a permanent plant shutdown or long-term layoff
unrelated to regular cyclical activity;
2. Recipients of Unemployment Insurance benefits or benefit
exhaustees;
3. Faced with special barf.ers to reemployment, such as being an
older worker or not speaking English.
SEE initially focused recruitment on workers who had been laid off
from an Atari assembly plant and a Calvin Klein warehouse. Other
smaller plants also were targeted, but despite these efforts, as well as
referrals from th! Texas Rehabilitation Commission and the Adult Parole
Board, SEE needed to augment its referral pool. Consequently, it sought
help from TDCA to contract with the El Paso TEC office for UI clai-
mant referrals from specified industries
</t>
  </si>
  <si>
    <t>Texas Worker Adjustment Demonstration SEE</t>
  </si>
  <si>
    <t xml:space="preserve">Sites were required by TDCA to operate ,?,ervric two-tier job-search
assistance and retraining program withir certain specified parameters.
Table 1.1 illustrates how this program model was adopted and adapted.
TEC and HCC were public agencies
Thisproject demonstrated that a relatively inexpensive mix of lob-search assistanceand limited occupational skills training can be a cost-effective means of assistingsome displaced workers.
Sites were required by TDCA to operate,?,ervric two-tier job-searchassistance and retraining program withir certain specified parameters
See table 1.2 for prgram overview
SEE was a private for-profit voca-
tional education institution
Both SEE and SER/JOBS planned a single Tier I/II program of job-
search assistance for all participants, followed by occupational skills
training for some. SEE and SER/JOBS each planned to serve 250 per-
sons, half of whom were expected to receive classroom training or OJT.
ier I at SEE began with a week-long, half-day job-search workshop.
These workshops started with individual assessments, followed by a
mix of activities. Next came a job club that met on Wednesday after-
noons. Attendance was recommended for current workshop participants
and recent workshop graduates. The SEE job club invited local
employers to discuss the job market and meet participants. In addition,
it provided a forum for SEE job developers to share current leads with
participants, thus offering strong incentives for participants to attend
SER/JOBS provided classroom training to only 13 percent of its Tier
II participants (10 persom). This group was trained to become secretaries
and automobile mechanics. Given the site's objective, to place par-
ticipants in income-generating situations as quickly as possible, OJT
was used to the maximum feasible extent. Another factor that prompted
use of this option was thai OJT wages counted toward the site's resource
match. In addition, participants' prior wages were not so high that place-
ment in an OJT slot would produce major wage losses. Given all of
these factors, SER/JOBS exhausted its OJT budget and subsequently
felt this activity had been underfunded.
</t>
  </si>
  <si>
    <t xml:space="preserve">total cost: 288000
Average Tier I/II costs were $725 at SER/JOBS, $1,099 at SEE, and
$2,981 to $3,381 at TEC/HCC. </t>
  </si>
  <si>
    <t>Table 1.2 
Tier I at SEE began with a week-long, half-day job-search workshop.
These workshops started with individual assessments, followed by a
mix of activities. Next came a job club that met on Wednesday after-
noons. Attendance was recommended for current workshop participants
and recent workshop graduate</t>
  </si>
  <si>
    <t>SER/JOBS provided classroom training to only 13 percent of its Tier
II participants (10 persom). This group was trained to become secretaries
and automobile mechanics. Given the site's objective, to place par-
ticipants in income-generating situations as quickly as possible, OJT
was used to the maximum feasible extent</t>
  </si>
  <si>
    <t>Bloom 1990 iii</t>
  </si>
  <si>
    <t xml:space="preserve">Demonstration, a2,192-person randomized experimental evaluation of reemployment programsfor displaced workers conducted at three Texas sites during 1984-85.
assistingsome displaced workers
Program applicants were recruited fiom three sonrces:
1. UI claimants referred by TEC
2. Walk-ins generated by publicity and word of mouth
3. Plant-based outreach to mass layoffs
The overwhelming majority of applic;:nts were recruited through UI
claimant referrals; little recruitment was accomplished through walk-
ins or plant-specific outreach.
Eligibility criteria for the demonstration required that applicants be
in one of the following categories.
1. Unemployed with a poor chance of returning to work, as evidenced,
for example, by a permanent plant shutdown or long-term layoff
unrelated to regular cyclical activity;
2. Recipients of Unemployment Insurance benefits or benefit
exhaustees;
3. Faced with special barf.ers to reemployment, such as being an
older worker or not speaking English.
SER/JOBS's initial recnnt-
ment strategy relied on advertising and ward of mouth, but these pro-
duced few enrollments. Thus, SER/JOBS also requested that TDCA
contract with the El Paso TEC for UI chumant referrals.
</t>
  </si>
  <si>
    <t>Texas Worker Adjustment Demonstration SER/JOBS</t>
  </si>
  <si>
    <t xml:space="preserve">total cost: 295000 
Average Tier I/II costs were $725 at SER/JOBS, $1,099 at SEE, and
$2,981 to $3,381 at TEC/HCC. </t>
  </si>
  <si>
    <t xml:space="preserve">Table 1.2 
hese courses were three-week ex-
posures to each occupation, offered on a flexible open-entry, open-exit
basis. </t>
  </si>
  <si>
    <t>Occupational training
emphasized typing, bookkeeping, retail sales and medical-ward
clerkingtraditionally female jobs. These courses were three-week ex-
posures to each occupation, offered on a flexible open-entry, open-exit
basis.</t>
  </si>
  <si>
    <t>enter and exit</t>
  </si>
  <si>
    <t>mean: 36</t>
  </si>
  <si>
    <t xml:space="preserve">Study participants were recruited from four offices of the 
Michigan Employment Security Commission in southeast- 
ern Michigan, the state agency that provides unemployment 
insurance payments. The recruited sample of participants 
included those who returned the baseline Test 1 (TI) pretest 
questionnaire (73% of those eligible) and was composed of 
2,005 workers who had recently lost a job (M = 4.11 weeks 
since job loss) and were unemployed for no longer than 13 
weeks. The demographic characteristics of this sample 
closely resembled the U.S. unemployed population as 
reported by the U.S. Bureau of Labor Statistics (1992a). For 
example, in this sample, the median age was 34.7 years 
(M = 36.20 years, SD = 10.38) and included 45% men and 
55% women. Of the participants, 22% were African 
Americans and 76% were Whites, 41% were married, and 
the mean monthly income from their last job was $1,881. 
The U.S. unemployed population during 1991 had a median 
age of 30.4 years and included 58% men, 20% African 
Americans, 76% Whites, 41% married, and monthly 
earnings of $1,834. 
Using a short screening questionnaire to determine
eligibility, we recruited 1,801 respondents in the JOBS II
field study. Eligible respondents were those unemployed for
less than 13 weeks, still looking to find a job, and not
expecting to retire within the next 2 years or to be recalled
back to their former jobs. 
Those who met all of the above initial criteria
were asked to fill out a 5-page, self-administered screening questionnaire
described below to determine three additional final eligibility criteria and
to provide baseline pretest measures. Only 3,402 (Fig. 1, Box 3) met all
eligibility criteria for participation in the field experiment. Of the three
final exclusion criteria, the first included information that the respondent
had lost his~her job and was unemployed for over 13 weeks. The second criterion
was designed to exclude respondents who were likely to introduce selection and attrition bias due to a strong preference for the program offered
to the control or the experimental group. Thus the respondents were
told about two programs that were being offered by the University of Michigan on how to seek jobs. One program was described as a five halfday
(Monday through Friday) seminar series (the experimental condition);
the other was described as a self-guided booklet program (the control condition).
To ensure equal motivation to enter one or the other condition,
only persons who expressed no preference were randomly assigned to the
experimental and control conditions. Of the 7,956 selected initially, those
1,159 (14.6%) who expressed a preference for one of the programs (versus
having no preference) and the 108 respondents who refused both programs
(1.3%) were excluded from the study but were sent the job search booklet
and eliminated from the sample. The majority of those with a preference
preferred the self-administered program.
</t>
  </si>
  <si>
    <t xml:space="preserve">The intervention process 
was designed as an active learning experience that was 
intended to increase sense of mastery and motivation to 
search for a job by learning job-search skills and inoculation 
against setbacks 
Among those 1,249 who were assigned to the experimen- 
tal condition and became study participants, 46% (n = 578) 
failed to show up for the intervention but continued to 
provide data at the subsequent follow-ups (T2, T3, and T4). 
Of those 671 who showed up, 567, or 85%, showed up for at 
least four of the five workshop sessions. 
The JOBS seminar experimental condition consisted of five 4-hour 
sessions conducted during the morning hours of a 1-week period. All per- 
sons in the experimental condition were mailed an invitation to attend the 
seminar with a $5 bill incentive to cover transportation costs. Respondents 
assigned to the experimental condition were also told that they would re- 
ceive a $20 check payment for completing at least 4 of the 5 sessions and 
a certificate of participation. The certificate was awarded at the last session. 
Each training site was located in the geographical area in which re- 
cruitment to the site took place. The sites included community colleges, 
community centers, and rented conference rooms at local hotels. The 
rooms were large enough to accommodate 25 persons seated at movable 
chairs and tables. A semicircular seating layout was used to facilitate dis- 
cussion, and small groups were formed to carry out group exercises
The intervention seminars were delivered by three pairs of male and female 
cotrainers to groups ranging from 12 to 22 participants (M = 15.6). The 
seminar trainers included social workers, educational counselors, and high 
school teachers who were themselves unemployed at the time but were 
looking for work. 
The sessions covered a wide range of substantive, skill-related topics. 
The topics included examples and exercises in identifying and conveying 
one's job-related skills, using social networks to obtain job leads, contact- 
ing potential employers, preparing job applications and resum6s, and suc- 
cessfully going through a job interview. Each of the five sessions was 
standardized for the trainers in 8 to 12 pages of documentation per 4-hour 
session.
Those
randomized to the experimental condition received an
invitation to participate in the JOBS intervention program in
a site chosen for its proximity to the office from which they
were recruited.
</t>
  </si>
  <si>
    <t>The JOBS workshop experimental condition consisted of 
five 4-hr sessions conducted during the morning hours of a 
1-week period. The intervention workshops were delivered 
to 671 partici
The new JOBS II study included the 
hiring of a new team of six cotrainers and increasing their formal training 
from 80 to 240 hours. To increase efficiency and attendance, the interven- 
tion was shortened from eight sessions during a 2-week period (in JOBS 
I) to five sessions during a 1-week period (in JOBS II) with total number 
of intervention hours reduced by 30% (approximately from 28 to 20 hours).</t>
  </si>
  <si>
    <t>Researchers</t>
  </si>
  <si>
    <t xml:space="preserve"> Those 
randomized to the experimental condition received an 
invitation to participate in the JOBS intervention program in 
a site chosen for its proximity to the office from which they 
were recruited.</t>
  </si>
  <si>
    <t>mean: 30.1</t>
  </si>
  <si>
    <t>Table 2.3, Table 3.5</t>
  </si>
  <si>
    <t>it was intended to reach harder-to-employ clients 
TOPS was targeted to single heads-of-household who had been on welfare for at least six months, were not employed at enrollment, an' applied to participate. Tha women were subject to further screening by WEET staff wL-s exercised considerable discretion in deciding whether a potential client was appropriates for TOPS. Screening included identiff,cation of any barriers to participation (such as child care, health or basic literacy problems). In addition, some offices responding to concerns about the level of OJT placements tried to increase the placement rate by applying more rigorous screening criteria regarding motivation and educational attainment.
MDRC's evaluation of TOPS examined the experiences of all female heads-of-household accepted for TOPS throughout the period of its operation.
Nearly all TOPS sample members were white and over half were divorced or widowed. Half had children under the age of six. In keeping with TOP program goals, most of the sample members were relatively long-term AFDC recipients -- 63 percent had been receiving AFDC for more than two years -- and only one-third had recent employment experience. However, due to the additional screening criteria developed by local staff, sample members were relatively well educated: 75 percent had received a high school diploma or GED by the point of random assignment.
TOPS enrollment was limited to single heads-of-household who had been receiving AFDC for six consecutive months, and who were not employed at the time of enrollment. On the other
hand, staff were supposed to screen out eligible women who had child-care, transportation, health or other problems that could interfere with their participation, as well as women who were unable to read at the level of the materials used in the pre-vocational training classes.</t>
  </si>
  <si>
    <t xml:space="preserve">TOPS was distinguished from Maine's other WIN demonstration activities by three program elements. It was a prescribed sequence of activities--prevocational training, unpaid work experience, and subsidized on-the-job training, preferably in the private sector. Second, it was intended to reach harder-to-employ clients. Third, it intended to involve more intensive use of staff time
TOPS offered aprescribed sequence of activities that included pre-vocational training andunpaid work experience and ended in on-the-job training (OJT) positions.Operated as a small- scale, voluntary program, it wasone of manyemployment-related options available to recipients of Aid to Families withDependent Children (AFDC) in Maine.
OPS differed from other WIN Demonstration activities in Maine in that it used grant diversion
to finance part of the wage subsidies offered to employers who hired participants in the OJT component. Grant diversion is the financial mechanism through which all or part of a public assistance grant is used to finance program services for recipients.
The three phases of the TOPS sequence worked as follows:
I. Pre-vocational training lasted two to five weeks and stressed
personal growth as well as job-seeking and job-holding skills.
II. Work experience consisted of 20-hour per week, unpaid posi-
tions in the public or non-profit sector for up to 12 weeks.
The intent was to teach good work habits and provide partic-
ipants with an employer reference. It was offered to
participants who completed Phase I but were judged not to be
ready for an OJT placement.
III. On-the-lob training consisted of placement into subsidized
training positions, primarily in the privatz sector. The
training period was a maximum of six months, and the employer
subsidy was set at 50 percent of the new employee's wages.
Participants who demonstrated their motivation and acquisition
of basic work skills became candidates for OJT.
Participants in Phases I and II continued to receive their AFDC grants, were paid training-related allowances, and were eligible for basic education on a limited basis. Enrollees were not supposed to engage in any other education activities.
The intent behind TOPS'carefully sequencedsetofactivities --designed to address problemsarising from AFDC recipients' lowself-esteemas well as their lack of workexperience -- was to help thewomen obtainjobs that paid more than theminimum wage and offeredopportunities foradvancement.
Central WEET staff recognized that their system did not have the financial resources or the staff capacity to operate the full TOPS sequence. Therefore, they contracted with the state's major training system for the disadvantaged -- authorized under the Job Training Partnership Act (JTPA) -- to provide most of the Phase I and sane of the Phase III services and to help underwrite the OJT subsidy.
Approximately 90 percent of theTOPS experimentals partici-
pated in at least one of thethree TOPS components. Participation was highest in the pre-vocationaltraining and lowest in OJT; the most frequent combination of services was pre-vocational training followed by work experience.
Just over half of the control group also participated in
employment activities, which typically were less intensivethanthecombinationofTOPSservicesreceivedbytheexperimental group.
The pre-vocational training was designed to prepare participants for work by familiarizing them with job opportunities, employer expectations and job search techniques.
</t>
  </si>
  <si>
    <t>TOPSdid not pay for itself fromthe perspective ofgovernment budgets within a fiveyear period.
The total estimated cost of the TOPEogres came to $2,627
per experimental.However, because uontrols received someservices, the net cost of all employment and training serviceswas $2,244 per experimental.</t>
  </si>
  <si>
    <t xml:space="preserve">I. Pre-vocational training lasted two to five weeks and stressed
personal growth as well as job-seeking and job-holding skills.
II. Work experience consisted of 20-hour per week, unpaid posi-
tions in the public or non-profit sector for up to 12 weeks.
The intent was to teach good work habits and provide partic-
ipants with an employer reference. It was offered to
participants who completed Phase I but were judged not to be
ready for an OJT placement.
III. On-the-lob training consisted of placement into subsidized
training positions, primarily in the privatz sector. The
training period was a maximum of six months, and the employer
subsidy was set at 50 percent of the new employee's wages.
Participants who demonstrated their motivation and acquisition
of basic work skills became candidates for OJT.
Participants in PhasesI and II continued to receive their AFDC grants, were paid training-related allowances, andwere eligible for basiceducation on a limited basis.Enrollees were not supposed to engage in anyother education activities.As noted, a partial funding mechanism for theOJT component in Phase III was grant diversion.
A total of 297 experimentalswere enrolled in TOPS over the 15-monthintake period, well below theenrollment target
TrainingThe pre-vocational training component lastedtwo to five weeksand stressed personal growth as wellas the development of job-seeking andjob-holding skills
The length of thecourse varied from site to site, butgenerally wasbetween 12 and 20days, spread overa four- or five-week period.Mostsites scheduledpre-vocational classes in boththe morning and afternoon;in a few locations,time was set aside forremedial education or indiviftalcounseling.
</t>
  </si>
  <si>
    <t>In order to be conside-ad for a referral toan OJT position in JTPA'spreviously developed pool of jobs, theTOPS participants had to go throughanother, often informal,s,:reening at the end oftheir work experienceassignment.Interviews with job developersacross the state indicated thatthey were unlikely to refer candidatesto OJT positions if:
acandidates were stillunsure aboutthetypeofjob theywanted; their skills were inadequate or inappropriatefor the type ofjob they were seeking;
they lacked 'work maturity,*;
they were not really interestedin working.This category
included those who were worriedabout losing their Medicaidcoverage, housing subsidy, or AFDC eligibilityif they went towork.</t>
  </si>
  <si>
    <t>single moms</t>
  </si>
  <si>
    <t>Burghardt 1992 i</t>
  </si>
  <si>
    <t>mean: 28</t>
  </si>
  <si>
    <t xml:space="preserve">All single mothers who were members of an ethnic minority group and who applied for training at the participating CBOs …
MFSP applicants seemed to be more disadvantaged. MFSP applicants were 28 years old on average, compared withan average age of 31 among low-income single mothers nationwide. The ethnic composition of the MFSP applicant sample was quite similar to that of the low-income national sample (71 percent black and 25 percent Hispanic). However, nearly two-thirds of MFSP applicants versus 54 percent of low-income minority single mothers nationwide had children under 6 years of age. Fifty-six (56) percent of MFSP applicants versus 44 percent of the national sample of low-income minority single mothers were high school dropouts. MFSP applicants worked an average of 13 weeks and earned $4,700 in the year before application, while low-income minority single mothers nationwide worked an average of 18 weeks and earned $6,800 in 1986. Nearly 70 percent of the MFSP applicants had received AFDC over the same period, compared with about half of our nationwide low-income sample. MFSP applicants were also slightly more likely never to have been married. In summary, MFSP applicants were younger, had younger children, had less education and less work experience, received lower wages, and were more dependent on welfare than the national sample of low-income mothers.
</t>
  </si>
  <si>
    <t>4 different programs Minority Female Single Parent (MFSP) demonstration (AUL)</t>
  </si>
  <si>
    <t xml:space="preserve">Applicants were assigned randomly to a treatment group that was offered program services--including basic skills and job-skills assessments, counseling, remedial education, job-skill training, job-placement assistance, and child care assistance--or to a control group that was not eligible to receive services at the CBO but could seek them elsewhere in the community.
These four projects offered services that ranged from employability assessment and counseling to remedial education, to job-skill training and job placement, to child-care assistance. The purpose of this set of services was to address the barriers that make it difficult for poor single mothers to secure good jobs and escape their dependence on welfare.
the MFSP demonstration consisted of four projects in different locations, and the impacts of each project may be due to the characteristics of the CBO that ran the program or to the features of the community in which it operated, as well as to the training strategy adopted by each.
All of the projects delivered a range of employment-oriented services: counseling sessions to assess needs and to develop a training plan for each trainee; remedial work in basic reading, math, and communications skills; and job-skill training, job-search training, and job placement assistance. All of the projects selected particular occupational areas for which they prepared their trainees. In addition, the projects responded to the personal and logistical problems that pose barriers to training and employment. For example, they offered counseling to help participants make decisions about their employment and training goals, overcome life crises, and improve their self-esteem and motivation. Finally, all of the projects offered some type of child-care assistance to their clients--either providing child care directly or helping clients find a suitable provider, and either arranging for a government subsidy or paying for care directly. (Table 11.1 summarizes the major features of each CBO program.)
The philosophy, experience, and financial constraints of each CBO shaped its specific service
strategy. For example, the program leaders at AUL believed that it was important not to duplicate
existing services. Thus, AUL served largely as a "broker of services," funneling program participants
to training programs in the community and directly providing only those services that it could not
arrange for elsewhere. The other three projects provided most services in-house. CET and OIC
drew on more than 20 years of experience in providing education and training to disadvantaged
individuals. WOW's MFSP service strategy was shaped by the organization's lengthy experience as
a policy advocate for women in the labor market and its efforts to interest, train, and place women in nontraditional occupations.
Child care illustrates how financial constraints shaped services. The projects that offered child-
care subsidies through their local AFDC programs had to work within the parameters of these
programs, which often limited the types of care or program activities covered by the subsidies. For
example, some programs could use subsidies only for center-based care or only in specific centers, or only while the participant was engaged in job training, but not afterwards while the participant was looking for work.
REVIEW SECTION 2 (PAGE 15) FOR FURTHER DETAILS.
Training for specific jobs, Primarily clerical and health occupations. Also courses in programming, food service, and
retail trade
CET adopted an "integrated" model in which all participants were placed directly into occupational skill training for particular jobs available in the local area, supplemented with remedial basic education instruction to correct deficiencies in areas critical to job performance. ESL (English as a second language) or GED (general educational development) classes were offered to those who wished to take them. OIC and AUL adopted a "sequential" strategy, first placing women with poor reading, writing, and math skills in classroom courses to help them meet academic standards felt to be critical for further job-skill training or
</t>
  </si>
  <si>
    <t>In 1986 dollars, average costs ranged from $2,400 to nearly $6,000 per participant, as follows: AUL, $3,800; CET,
$3,900; OIC, $5,700; and WOW, $2,400 (see Table VI.1)</t>
  </si>
  <si>
    <t>Skill-training courses ranged from 8 weeks to 2 years; structure set by outside provider</t>
  </si>
  <si>
    <t>Table IV.1</t>
  </si>
  <si>
    <t>participation in MFSP was entirely voluntary.
Randomization into the program, selection of courses is up to case manager, according to abilities and interests of the person.</t>
  </si>
  <si>
    <t>Burghardt 1992 ii</t>
  </si>
  <si>
    <t>mean: 29</t>
  </si>
  <si>
    <t>4 different programs Minority Female Single Parent (MFSP) demonstration (CET)</t>
  </si>
  <si>
    <t>Applicants were assigned randomly to a treatment group that was offered program services--including basic skills and job-skills assessments, counseling, remedial education, job-skill training, job-placement assistance, and child care assistance--or to a control group that was not eligible to receive services at the CBO but could seek them elsewhere in the community.
These four projects offered services that ranged from employability assessment and counseling to remedial education, to job-skill training and job placement, to child-care assistance. The purpose of this set of services was to address the barriers that make it difficult for poor single mothers to secure good jobs and escape their dependence on welfare.
the MFSP demonstration consisted of four projects in different locations, and the impacts of each project may be due to the characteristics of the CBO that ran the program or to the features of the community in which it operated, as well as to the training strategy adopted by each.
All of the projects delivered a range of employment-oriented services: counseling sessions to assess needs and to develop a training plan for each trainee; remedial work in basic reading, math, and communications skills; and job-skill training, job-search training, and job placement assistance. All of the projects selected particular occupational areas for which they prepared their trainees. In addition, the projects responded to the personal and logistical problems that pose barriers to training and employment. For example, they offered counseling to help participants make decisions about their employment and training goals, overcome life crises, and improve their self-esteem and motivation. Finally, all of the projects offered some type of child-care assistance to their clients--either providing child care directly or helping clients find a suitable provider, and either arranging for a government subsidy or paying for care directly. (Table 11.1 summarizes the major features of each CBO program.)
The philosophy, experience, and financial constraints of each CBO shaped its specific service
strategy. For example, the program leaders at AUL believed that it was important not to duplicate
existing services. Thus, AUL served largely as a "broker of services," funneling program participants
to training programs in the community and directly providing only those services that it could not
arrange for elsewhere. The other three projects provided most services in-house. CET and OIC
drew on more than 20 years of experience in providing education and training to disadvantaged
individuals. WOW's MFSP service strategy was shaped by the organization's lengthy experience as
a policy advocate for women in the labor market and its efforts to interest, train, and place women in nontraditional occupations.
Child care illustrates how financial constraints shaped services. The projects that offered child-
care subsidies through their local AFDC programs had to work within the parameters of these
programs, which often limited the types of care or program activities covered by the subsidies. For
example, some programs could use subsidies only for center-based care or only in specific centers, or only while the participant was engaged in job training, but not afterwards while the participant was looking for work.
REVIEW SECTION 2 (PAGE 15) FOR FURTHER DETAILS.
Training for specific jobs, Primarily clerical and health occupations. Also courses in programming, food service, and
retail trade
CET adopted an "integrated" model in which all participants were placed directly into occupational skill training for particular jobs available in the local area, supplemented with remedial basic education instruction to correct deficiencies in areas critical to job performance. ESL (English as a second language) or GED (general educational development) classes were offered to those who wished to take them. OIC and AUL adopted a "sequential" strategy, first placing women with poor reading, writing, and math skills in classroom courses to help them meet academic standards felt to be critical for further job-skill training or
CET allowed trainees to start job trainin g
immediately . Courses were structured to permit "open entry" and "open exit ." enabling trainees to
master skills at their own pace . CET provided training in the basic reading and mathematics skills
relevant to the job . integrated that basic skill training with hands-on job skill training, and offere d
supplemental courses for those seeking a General Education Development (GED) certificate o r
needing training in English as a second language (ESL) . More so than any of the other MFS P
projects, CET focused its skill training on occupations in demand (phasing courses in and out o r
revising courses as market conditions changed) and aggressively marketed its trainees to loca l
employers .</t>
  </si>
  <si>
    <t xml:space="preserve">Training in most skills lasted 4 to 9 months.
 </t>
  </si>
  <si>
    <t>participation in MFSP was entirely voluntary.
Randomization into the program, Job-training courses open to all</t>
  </si>
  <si>
    <t>Burghardt 1992 iii</t>
  </si>
  <si>
    <t>4 different programs Minority Female Single Parent (MFSP) demonstration (OIC)</t>
  </si>
  <si>
    <t>Fixed-length skill courses lasted 6 to 9 months.</t>
  </si>
  <si>
    <t>participation in MFSP was entirely voluntary.
Randomization into the program.
Course placemente: 
-Standardized test of basic skills
-Considered motivation and personal skills
-Those with low skills or no high school
credential entered education classes first</t>
  </si>
  <si>
    <t>Burghardt 1992 iv</t>
  </si>
  <si>
    <t>4 different programs Minority Female Single Parent (MFSP) demonstration (WOW)</t>
  </si>
  <si>
    <t>BEST course 10 weeks  (basic education and skill training).
Electromechanics course 20 weeks</t>
  </si>
  <si>
    <t>participation in MFSP was entirely voluntary.
Randomization into the program.
Course placemente: 
-Standardized test of basic skills
- Those with better skills and interest were placed
in an electromechanics course; the others were
placed in BEST (basic education and skill
training).</t>
  </si>
  <si>
    <t>from  Burghardt 1992</t>
  </si>
  <si>
    <t>TABLE III.1</t>
  </si>
  <si>
    <t>Table 8.4, Table 8.5</t>
  </si>
  <si>
    <t>Local operators also had control over what services to offer to JTPA 
participants. The most common services provided by JTPA were class- 
room training in occupational skills, subsidized on-the-job training at pri- 
vate firms, and job search assistance. 
 Random assignment took place 
between 1987 and 1989, with the exact dates varying across training cen- 
ters.</t>
  </si>
  <si>
    <t>Fraker 2014 i</t>
  </si>
  <si>
    <t>14-19</t>
  </si>
  <si>
    <t xml:space="preserve">The YTDP served a sufficient number of youth to support a rigorous evaluation. The target 
population for the project was youth ages 14 through 19 who were receiving SSI and living in 
the Bronx at the time of their enrollment in the study. 
Youth with disabilities often have particularly difficult transitions to adulthood. In addition to the issues facing all transition-age youth, those with disabilities face special challenges related to health, social isolation, service needs, and the potential loss of benefits
</t>
  </si>
  <si>
    <t>Youth Transition Demonstration (YTD) - Bronx</t>
  </si>
  <si>
    <t>The Youth Transition Demonstration Project in Bronx County, 
New York, provided employment-focused services to youth ages 14 through 19. Services were 
delivered at two CUNY campuses, with CUNY students serving as support staff. The project 
delivered most of its services through a two-semester sequence of Saturday morning workshops, 
which included information and activities for parents and other family members as well as the 
youth participants. Participants were offered seven-week paid jobs, mainly on the two CUNY 
campuses, through New York City’s Summer Youth Employment Program. At the project’s 
completion in September 2010, it had served 387 randomly assigned treatment group youth. 
The CUNY YTDP provided youth with services intended to promote their independence and 
economic self-sufficiency. The project was designed to respond to gaps in transition services for 
youth and to promote self-determination and self-advocacy by the youth and their parents. 
Project services for youth included recreational and artistic activities; workshops on self-
determination, career development, and benefits planning; and individualized services, such as 
person-centered planning, benefits counseling, and referrals for supplementary services. 
Additionally, paid summer employment was available for all interested participants. The YTDP 
also engaged youths’ parents and other family members through one-on-one mentoring, as well 
as counseling and workshops on benefits planning, advocacy, and community services.
The project provided services to promote independence and economic self-
sufficiency among youth who were receiving SSI benefits
 Sample members were randomly assigned to a treatment group, which was 
eligible for YTDP services and the SSA waivers for YTD, or to a control group, which was 
eligible for neither but could access other services available in the community.
The project staff 
enrolled 79 percent of the treatment group members in project services in three cohorts 
corresponding to the summer and fall of each year, 2006−2008.</t>
  </si>
  <si>
    <t>Cost per participant: 8628</t>
  </si>
  <si>
    <t xml:space="preserve">11 months core and 9 months follow on (table I.1)
Participants could receive up to 
20 months of services, including 11 months of core services based on the YTDP curriculum and 
9 months of limited, post-curriculum services. All services ended in May 2010 and the project 
formally closed in September of that year. </t>
  </si>
  <si>
    <t>Table III.1, Table III.3, Table III.4</t>
  </si>
  <si>
    <t xml:space="preserve">Rangarajan, A., T. Fraker, T. Honeycutt, A. Mamun, J. Martinez, B. O’Day, and D. Wittenburg. “SSA’s Youth Transition Demonstration Projects: Evaluation Design Report.” Princeton, NJ: Mathematica Policy Research, 2009.
Martinez 2008
</t>
  </si>
  <si>
    <t>Both</t>
  </si>
  <si>
    <t>Sample members were randomly assigned to a treatment group, which was 
eligible for YTDP services and the SSA waivers for YTD, or to a control group, which was 
eligible for neither but could access other services available in the community. The project staff 
enrolled 79 percent of the treatment group members in project services in three cohorts 
corresponding to the summer and fall of each year, 2006−2008
It should be noted that youth enrollment in the evaluation was voluntary. Therefore, we would expect that youth particularly interested in receiving employment-related services were more likely to have volunteered to enroll. As a result, youth assigned to a control group and thus not eligible for YTD services might have been likely to seek similar services from other sources.</t>
  </si>
  <si>
    <t>voluntary to enrol</t>
  </si>
  <si>
    <t>youth with disabilities</t>
  </si>
  <si>
    <t>Fraker 2014 ii</t>
  </si>
  <si>
    <t>14-25</t>
  </si>
  <si>
    <t xml:space="preserve"> The target 
population for the project was youth ages 14 through 25 who were receiving Social Security 
disability benefits and living in the four counties in which the project operated at the time of their 
enrollment in the study. Using lists of Social Security beneficiaries provided by SSA, 
Mathematica identified youth who met the project eligibility criteria and recruited 880 of them 
into the study.28
About three-fifths of sample members were male and about three-quarters 
were between 18 and 25 years old when they enrolled in the evaluation. The largest racial 
category among the youth in the analytic sample was white (72 percent), followed by 
other/unknown (14 percent). Just under one-quarter of the youth across racial groups reported 
being Hispanic. A little more than half of the sample members were not attending school at 
baseline, whereas a little less than a third were attending a regular high school; the remainder 
were attending a special high school or other type of school (including college). A sizable 
minority of youth (46 percent) had never worked for pay at baseline
Slightly more than half of the 
sample members’ families had incomes of less than $25,000 per year. Almost half of the sample 
members were living with two parents, whereas about a third were living with a single parent; the 
remainder were either living by themselves or had other arrangements. Almost 80 percent of the 
youth had a mother who had graduated from high school and a similar proportion had a father 
who had done so. 
</t>
  </si>
  <si>
    <t>Youth Transition Demonstration (YTD) - Colorado Youth WINS</t>
  </si>
  <si>
    <t xml:space="preserve">The project service delivery area covered four 
geographically dispersed counties in Colorado. Youth WINS sought to maximize independence 
and economic self-sufficiency for youth participants through a person-centered approach, with an 
emphasis on filling gaps in existing services and providing comprehensive program navigation. 
The project’s front-line staff were based in One-Stop Workforce Centers. By the project’s 
completion in January 2010, it had served 401 randomly assigned treatment group youth. 
Youth WINS engaged participants in a structured discovery and planning process and then 
provided them with services consistent with their identified needs and goals, primarily by 
connecting them with the existing service system. Project services for youth included person-
centered planning, case management, referrals for supplementary services, benefits planning, and 
career development.
</t>
  </si>
  <si>
    <t>Cost per participant: 7114</t>
  </si>
  <si>
    <t>18 months (table I.1)</t>
  </si>
  <si>
    <t>Table IV.2</t>
  </si>
  <si>
    <t>Sample members were randomly assigned to a treatment group, which was 
eligible for Youth WINS services and the SSA waivers for YTD, or to a control group, which was 
eligible for neither but could access other services available in their communities. 
It should be noted that youth enrollment in the evaluation was voluntary. Therefore, we would expect that youth particularly interested in receiving employment-related services were more likely to have volunteered to enroll. As a result, youth assigned to a control group and thus not eligible for YTD services might have been likely to seek similar services from other sources.</t>
  </si>
  <si>
    <t>Fraker 2014 iii</t>
  </si>
  <si>
    <t>Table V.1</t>
  </si>
  <si>
    <t xml:space="preserve">Transition WORKS served a sufficient number of youth to support a rigorous evaluation. 
The target population for the project was youth ages 16 through 25 who were receiving Social 
Security disability benefits and living in Erie County at the time of their enrollment in the study. </t>
  </si>
  <si>
    <t xml:space="preserve">The Transition WORKS project in Erie County, New York 
(which includes the city of Buffalo), provided employment services and workshops on self-
determination and self-advocacy to youth ages 16 through 25. The project was designed to fill 
gaps in existing transition services and to maximize the economic self-sufficiency and 
independence of youth with disabilities by improving their self-determination and educational 
and employment outcomes. By the project’s completion in December 2009, it had served 380 
randomly assigned treatment group youth. 
Transition WORKS provided youth with services intended to promote their self-
determination and economic self-sufficiency. The project was designed to fill gaps in existing 
transition services in Erie County. It provided training on self-determination and self-advocacy 
for youth and their parents or guardians, transition planning, work-based experiences and other 
employment services, education support services, training on the organization of benefits-related 
paperwork, social and health services, and counseling on SSA benefits and waivers. </t>
  </si>
  <si>
    <t>Cost per participant: 5232</t>
  </si>
  <si>
    <t>Table V.2, Table V.3</t>
  </si>
  <si>
    <t xml:space="preserve"> Sample members 
were randomly assigned to a treatment group, which was eligible for Transition WORKS 
services and the SSA waivers for YTD, or to a control group, which was eligible for neither but 
could access other services available in the community.
It should be noted that youth enrollment in the evaluation was voluntary. Therefore, we would expect that youth particularly interested in receiving employment-related services were more likely to have volunteered to enroll. As a result, youth assigned to a control group and thus not eligible for YTD services might have been likely to seek similar services from other sources.</t>
  </si>
  <si>
    <t>Fraker 2014 iv</t>
  </si>
  <si>
    <t>Table VI.1</t>
  </si>
  <si>
    <t>BHBF served a sufficient number of youth to support a rigorous evaluation. The target 
population for the project was youth ages 16 through 22 who were receiving Social Security 
disability benefits and living in Miami-Dade County at the time of their enrollment in the study. 
Using lists of Social Security beneficiaries provided by SSA</t>
  </si>
  <si>
    <t>Youth Transition Demonstration (YTD) - Broadened Horizons, Brighter Futures</t>
  </si>
  <si>
    <t xml:space="preserve">The Broadened Horizons, Brighter Futures (BHBF) project 
in Miami-Dade County, Florida, served youth ages 16 through 22. In addition to the core YTD 
services, BHBF leveraged its relationships with its partners to provide its participants with 
financial literacy training and assistance in establishing individual development accounts. The 
project used its case management system to monitor the delivery of employment services to 
participants and to target services to youth to reduce the risk that they would not have a paid 
work experience. At the project’s completion in March 2012, it had served 388 randomly 
assigned treatment group youth
BHBF provided participating youth with person-centered planning, customized employment 
services, benefits counseling, education support services, financial literacy training, and access to 
IDAs. It also provided participants with case management services, including referrals to other 
organizations for services that BHBF could not provide directly. As the project matured, case 
management services became increasingly focused on reducing barriers to employment. 
ServiceSource bore most of the responsibility for delivering those services, with support from its 
two formal partners in the project. NDI provided training to BHBF staff on public benefits 
specific to Florida that were relevant to youth with disabilities. HSC delivered training to 
participants on financial literacy and connected them with local organizations that administered 
IDAs. </t>
  </si>
  <si>
    <t>Cost per participant: 6540</t>
  </si>
  <si>
    <t>Table VI.2, Table VI.3</t>
  </si>
  <si>
    <t>Sample 
members were randomly assigned to a treatment group, which was eligible for BHBF services 
and the SSA waivers for YTD, or to a control group, which was eligible for neither but could 
access other services available in the community. 
It should be noted that youth enrollment in the evaluation was voluntary. Therefore, we would expect that youth particularly interested in receiving employment-related services were more likely to have volunteered to enroll. As a result, youth assigned to a control group and thus not eligible for YTD services might have been likely to seek similar services from other sources.</t>
  </si>
  <si>
    <t>Fraker 2014 v</t>
  </si>
  <si>
    <t>Table VII.1</t>
  </si>
  <si>
    <t xml:space="preserve">The target population for the project was Montgomery County residents ages 16 to 21 who 
had been classified by MCPS or the public mental health system as having severe emotional 
disturbances or significant mental illnesses, and were either in their last two years of high school 
or had graduated or left school within the past year.54 In contrast to the other five random 
assignment YTD projects, CTP did not restrict enrollment to Social Security disability 
beneficiaries (including those receiving SSI, DI, and CDB).55 Another distinctive feature of 
CTP’s involvement in the evaluation is that the project, rather than Mathematica, was 
responsible for identifying eligible youth and recruiting them into the YTD evaluation. 
Recruitment was a major challenge for CTP, requiring repeated adjustments to strategies and 
staffing during the first 18 months of the project’s involvement in the evaluation. To meet target 
numbers, CTP may have loosened its interpretation of target population criteria, enrolling some 
youth that it might not previously have served, such as youth with Asperger’s syndrome and less 
significant mental health needs. Also, the CTP recruiters emphasized during their outreach 
efforts to youth that those who enrolled in the evaluation would have a chance to participate in a 
program that would help them find jobs. This may have yielded enrollees who were especially 
motivated to become employed. </t>
  </si>
  <si>
    <t xml:space="preserve">Youth Transition Demonstration (YTD) - Career Transition Program </t>
  </si>
  <si>
    <t xml:space="preserve">The Career Transition Program (CTP) in Montgomery 
County, Maryland provided employment, education, and mental health services to youth ages 16 
to 21 who had been diagnosed with severe emotional disturbances or significant mental illnesses. 
It recruited primarily students who were due to complete their high school educations within one 
or two years. Most of the youth who received CTP services were not receiving disability benefits 
but were believed to be at high risk of receiving them in the future, absent effective intervention. 
By the project’s completion in March 2012, it had served 374 randomly assigned treatment 
group youth.
CTP sought to increase participants’ self-sufficiency by providing them with counseling, 
linkages to available services, and individualized work experiences. The project provided about 
one year of core services to individual participants. These included formal assessments and goal 
setting as key elements in a person-centered planning process, assistance in obtaining either 
competitive paid employment, employment support, education counseling and support, benefits 
information and planning, and comprehensive case management, including referrals for 
additional services that CTP could not provide directly. The career transition specialists 
delivered most of these services; in doing so, they often formed strong one-to-one bonds with the 
participants. Participants who achieved their established goals could receive “follow-along” services. During this phase, participants were eligible for all CTP services, but their contacts 
with the career transition specialists were initiated by the youth and typically were less frequent 
than when they were receiving core services. </t>
  </si>
  <si>
    <t>Cost per participant: 8443</t>
  </si>
  <si>
    <t xml:space="preserve"> 9 to 18 months, with up to 
24 additional months (table I.1)</t>
  </si>
  <si>
    <t>Table VII.2, Table VII.3</t>
  </si>
  <si>
    <t>CTP served a sufficient number of youth to support a rigorous evaluation: 840 youth agreed 
to participate in the study, provided formal consent, and completed the baseline survey.56 These 
youth were randomly assigned to a treatment group that was eligible for CTP services and the 
SSA waivers for YTD (if they were beneficiaries), or to a control group that was eligible for 
neither but could access other services available in the community. 
It should be noted that youth enrollment in the evaluation was voluntary. Therefore, we would expect that youth particularly interested in receiving employment-related services were more likely to have volunteered to enroll. As a result, youth assigned to a control group and thus not eligible for YTD services might have been likely to seek similar services from other sources.</t>
  </si>
  <si>
    <t>Fraker 2014 vi</t>
  </si>
  <si>
    <t>Table VIII.1</t>
  </si>
  <si>
    <t>The service delivery area for Youth Works comprised 19 of West Virginia’s 55 counties. 
These widely dispersed counties were grouped into two regions, north and south, to facilitate 
project administration
Youth Works served a sufficient number of youth to support a rigorous evaluation. The 
target population for the project was youth ages 15 through 25 who were receiving Social 
Security disability benefits and living in the project’s service delivery area at the time of their 
enrollment in the study. Using lists of Social Security beneficiaries provided by SSA, 
Mathematica identified youth who met the project eligibility criteria and recruited 875 of them 
into the study.</t>
  </si>
  <si>
    <t>Youth Transition Demonstration (YTD) - West Virginia Youth Works</t>
  </si>
  <si>
    <t xml:space="preserve">West Virginia Youth Works provided employment-focused services to 
youth ages 15 through 25 in 19 of the state’s 55 counties. The project’s service delivery area 
included many of the state’s larger municipalities as well as a number of predominately rural 
counties. Within this area, services for youth with disabilities who were not participating in 
Youth Works were generally quite limited. The project used monitoring procedures and reports 
to focus staff service efforts on participants who had not yet had a paid work experience. By the 
project’s completion in March 2012, it had served 388 randomly assigned treatment group youth. 
Youth Works provided youth with services intended to promote their economic self-
sufficiency and independence. The project was designed to meet the unique service needs of 
individual participants and project staff often met with them one on one in their homes, schools, 
community centers, and workplaces. It provided participants with person-centered planning 
(such as work-readiness assessments and services), customized employment services (such as 
career exploration, job development, job coaching, job placement, and post-placement support)and benefits counseling. It also provided participants with case management services, including 
transportation assistance and referrals to other organizations for services that Youth Works was 
not well positioned to provide directly. </t>
  </si>
  <si>
    <t>Cost per participant: 7971</t>
  </si>
  <si>
    <t>Table VIII.2, Table VIII.3</t>
  </si>
  <si>
    <t>Sample members were randomly assigned to a treatment group, which was 
eligible for Youth Works services and the SSA waivers for YTD, or to a control group, which 
was eligible for neither but could access other services available in their communities.
It should be noted that youth enrollment in the evaluation was voluntary. Therefore, we would expect that youth particularly interested in receiving employment-related services were more likely to have volunteered to enroll. As a result, youth assigned to a control group and thus not eligible for YTD services might have been likely to seek similar services from other sources.</t>
  </si>
  <si>
    <t>persons who entered the formal labor market between 2001 and 2003</t>
  </si>
  <si>
    <t>Administrative, RAIS</t>
  </si>
  <si>
    <t>Delay: Mid-point of range after the beginning of the program minus 24 month (duration of the program)
Method: Semi parametric IV</t>
  </si>
  <si>
    <t>having a non - temporary job</t>
  </si>
  <si>
    <t>Completed sample</t>
  </si>
  <si>
    <t xml:space="preserve">Hourly wage variation between years t+2 and t </t>
  </si>
  <si>
    <t>Brazilian Reais</t>
  </si>
  <si>
    <t>Relatório Anual de Informações Sociais (RAIS)</t>
  </si>
  <si>
    <t>Method: Semi parametric IV</t>
  </si>
  <si>
    <t xml:space="preserve">Hourly wage variation between years t+3 and t </t>
  </si>
  <si>
    <t>Delay: Mid-point of range after the beginning of the program minus 24 month (duration of the program).
Method: Parametric IV</t>
  </si>
  <si>
    <t>Method: Parametric IV</t>
  </si>
  <si>
    <t>last week salaried job</t>
  </si>
  <si>
    <t>Numbers of observations based on proportions after first follow-up (150 treated and 178 control)</t>
  </si>
  <si>
    <t>Formal contract</t>
  </si>
  <si>
    <t>Unconditional monthly labor income</t>
  </si>
  <si>
    <t>Reais</t>
  </si>
  <si>
    <t>Conditional monthly labor income</t>
  </si>
  <si>
    <t xml:space="preserve">Last week salaried job </t>
  </si>
  <si>
    <t>Control</t>
  </si>
  <si>
    <t>Sample size at second follow was determined as follows: Attrition rate = 21%, then total attrited was 0.21*358 = 76 (also in table 4). This include 30 attrited in the first follow up, then we need to substract (76-30)/2 from each group (attrition was indp. of treatment)</t>
  </si>
  <si>
    <t xml:space="preserve">Formal Contract </t>
  </si>
  <si>
    <t>Data from table 7 is not clear, I make the assumption that conditional earnings must have lower sample, and adjust by number of observations in table 7</t>
  </si>
  <si>
    <t>Annual earnings 1993</t>
  </si>
  <si>
    <t>1994 NOK</t>
  </si>
  <si>
    <t>Administrative (public tax) and Survey</t>
  </si>
  <si>
    <t>Annual earnings 1994</t>
  </si>
  <si>
    <t>Cohort 1</t>
  </si>
  <si>
    <t>Real Soles</t>
  </si>
  <si>
    <t>Administrative, PROJOVEN
evaluation datasets</t>
  </si>
  <si>
    <t>There is no information about treatment and control group size by cohort, (only overall) I assume 50% (taken from pooled data in tabel 4)</t>
  </si>
  <si>
    <t>There is no information about treatment and control group size by cohort, (only overall) I assume 50% (taken from pooled data in tabel 4). Also adjust by attrition (given for overall sample).</t>
  </si>
  <si>
    <t>Cohort 2</t>
  </si>
  <si>
    <t>Cohort 3</t>
  </si>
  <si>
    <t>Cohort 4</t>
  </si>
  <si>
    <t>Cohort 5</t>
  </si>
  <si>
    <t>Swedish Born</t>
  </si>
  <si>
    <t>Employed with earning of at least 40000 SEK</t>
  </si>
  <si>
    <t>Swedish Income Panel
(SWIP) and
Ha¨ndel</t>
  </si>
  <si>
    <t>Foreign Born</t>
  </si>
  <si>
    <t>Persons 1-4 months of training</t>
  </si>
  <si>
    <t>Self reported monthly earnings</t>
  </si>
  <si>
    <t>nominal dollars</t>
  </si>
  <si>
    <t>Persons 4 plus months of training</t>
  </si>
  <si>
    <t>Current employment status</t>
  </si>
  <si>
    <t>p &lt; 0.01</t>
  </si>
  <si>
    <t>Month income</t>
  </si>
  <si>
    <t>Hr wage rate</t>
  </si>
  <si>
    <t>not significant at the 5% level</t>
  </si>
  <si>
    <t>Missouri</t>
  </si>
  <si>
    <t>Earnings after quarter of treatment</t>
  </si>
  <si>
    <t>Real dollars of 1997</t>
  </si>
  <si>
    <t>page 7 indicates number of unique individuals</t>
  </si>
  <si>
    <t>North Carolina</t>
  </si>
  <si>
    <t>Weekly earnings</t>
  </si>
  <si>
    <t>Table 6A1.1</t>
  </si>
  <si>
    <t>not significant at 5% level</t>
  </si>
  <si>
    <t>Percent employed</t>
  </si>
  <si>
    <t>Table 6A1.2</t>
  </si>
  <si>
    <t>Table 6A1.3</t>
  </si>
  <si>
    <t>significant at 5% level</t>
  </si>
  <si>
    <t>Low risk of depressive symptoms</t>
  </si>
  <si>
    <t>Reemployment, employed 20 hours or more per week</t>
  </si>
  <si>
    <t>Table III</t>
  </si>
  <si>
    <t>Treated</t>
  </si>
  <si>
    <t>Sd post Control</t>
  </si>
  <si>
    <t>High risk of depressive symptoms</t>
  </si>
  <si>
    <t>Average monthly earnings</t>
  </si>
  <si>
    <t>Table III.3</t>
  </si>
  <si>
    <t>Percent ever employed (%)</t>
  </si>
  <si>
    <t>Average hourly earnings</t>
  </si>
  <si>
    <t>Ever employed</t>
  </si>
  <si>
    <t>Administrative, JTPA, UI, TOPS</t>
  </si>
  <si>
    <t>p-val&lt;10%</t>
  </si>
  <si>
    <t>p-val&gt;10%</t>
  </si>
  <si>
    <t>p-val&lt;5%</t>
  </si>
  <si>
    <t>Average total earnings</t>
  </si>
  <si>
    <t>Dollars</t>
  </si>
  <si>
    <t>earnings in the first 18 months</t>
  </si>
  <si>
    <t>Table 8.4</t>
  </si>
  <si>
    <t>Table 8.5</t>
  </si>
  <si>
    <t>ever employed in paid job</t>
  </si>
  <si>
    <t>Survey and SSA administrative</t>
  </si>
  <si>
    <t>Table III.2.</t>
  </si>
  <si>
    <t>total earnings</t>
  </si>
  <si>
    <t>2008 dollars</t>
  </si>
  <si>
    <t>Employed in paid job at the time of the 36-month survey</t>
  </si>
  <si>
    <t>Table IV.2.</t>
  </si>
  <si>
    <t>Ever employed in a paid job in the past year</t>
  </si>
  <si>
    <t>Total earnings in the past year</t>
  </si>
  <si>
    <t>Table IV.3.</t>
  </si>
  <si>
    <t>Table V.2.</t>
  </si>
  <si>
    <t>Table V.3.</t>
  </si>
  <si>
    <t>Table VI.2.</t>
  </si>
  <si>
    <t>Table VI.3.</t>
  </si>
  <si>
    <t>Employed in paid job at the time of the 36-month surveya</t>
  </si>
  <si>
    <t>Table VII.2.</t>
  </si>
  <si>
    <t>Table VII.3.</t>
  </si>
  <si>
    <t>Table VIII.2.</t>
  </si>
  <si>
    <t>Table VIII.3</t>
  </si>
  <si>
    <t>Multilateral</t>
  </si>
  <si>
    <t>II</t>
  </si>
  <si>
    <t>Substract duration of the program, estimates are months after enrollment</t>
  </si>
  <si>
    <r>
      <t xml:space="preserve">Interventions that aim to teach soft skills may enhance employment prospects by giving youth better skills and confidence for looking for jobs and by making them more productive in their first months in the job by reducing the amount of time firms need to spend training them on the basics of working in a business environment.
Graduates receiving this intervention were invited to free intensive training on interpersonal skills in areas identified by Jordanian employers as essential yet typically missing in recent graduates. The training course was 45 h over a 9-day period (5 h per day), with a maximum of 30 participants in each training group. Training took place during September and October 2010. The training was provided by Business Development Center (BDC), a Jordanian NGO established in 2005 which has widespread local name recognition and a good reputation for skills training, having implemented USAID, UNCTAD, and a wide variety of local training programs. Training took place in 17 sessions offered throughout 6 governorates to maximize access. Training facilities and training content were identical across all 17 sessions. To minimize the effect of social and cultural restrictions on mobility, sessions were held during daylight hours at locally known and trusted institutions such as the Chambers of Industry and local universities where BDC has satellite training facilities.
BDC designed the course which covered effective communication and business writing skills (e.g., making a presentation, writing business reports, different types of correspondence), team building and team work skills (e.g., characteristics of a successful team, how to work in different roles within a team), time management, positive thinking and how to use this in business situations, excellence in providing customer service, and CV and interviewing skills. Sessions were based on active participation and cooperative learning rather than lectures, with games, visual learning experiences, group exercises, and active demonstrations used to teach and illustrate concepts. Appendix 3 provides some more detail of the training schedule and content.
Randomization into treatment and control groups was done via a computer. Students were first stratified into 16 strata on the basis of geographic region Amman (Amman, Salt, and Zarqa), and outside Amman (Irbid, Ajloun, and Karak), whether their end of high school (Tawjihi) examination score was above the sample median or not, whether they indicated at baseline that they planned to work full-time and thought it was likely or somewhat likely that they would have a job within 6 months of graduating, and whether or not they are usually permitted to travel to the market alone (a measure of empowerment). These variables were chosen as potential predictors of future employment, for which stratification over would improve power (Bruhn and McKenzie, 2009), as well as variables for which there may be potential heterogeneity in treatment impact.
The soft skills training intervention discussed in the paper was cross-randomized with a second intervention which provided wage subsidies (discussed in a companion paper, Groh et al., forthcoming). Appendix 1 shows that there was no significant interaction effect between the two treatments; hence, we can just compare all those who were allocated to soft skills training to all those who were not. Within each stratum, 44.4 % of the students were allocated to receive the soft skills training for a total treatment size of 599 and control group of 748.
</t>
    </r>
    <r>
      <rPr>
        <b/>
        <sz val="11"/>
        <rFont val="Calibri"/>
        <family val="2"/>
        <scheme val="minor"/>
      </rPr>
      <t xml:space="preserve">Compliance. </t>
    </r>
    <r>
      <rPr>
        <sz val="11"/>
        <rFont val="Calibri"/>
        <family val="2"/>
        <scheme val="minor"/>
      </rPr>
      <t xml:space="preserve">The soft skills training course was completed by 373 of the 599 graduates (62 %) assigned to treatment.
</t>
    </r>
  </si>
  <si>
    <r>
      <t xml:space="preserve">The cost of the training was approximately $150,000, which was based on up to 600 graduates attending—leading to a cost of $250 per assigned graduate and, given that
only 373 attended, an </t>
    </r>
    <r>
      <rPr>
        <b/>
        <sz val="11"/>
        <rFont val="Calibri"/>
        <family val="2"/>
        <scheme val="minor"/>
      </rPr>
      <t>effective cost of $400 per attendee.</t>
    </r>
  </si>
  <si>
    <r>
      <rPr>
        <b/>
        <u/>
        <sz val="11"/>
        <rFont val="Calibri"/>
        <family val="2"/>
        <scheme val="minor"/>
      </rPr>
      <t>T2: Training + Internship</t>
    </r>
    <r>
      <rPr>
        <sz val="11"/>
        <rFont val="Calibri"/>
        <family val="2"/>
        <scheme val="minor"/>
      </rPr>
      <t xml:space="preserve">
In 2010, the Government of Kenya with funding support from the World Bank launched the Kenya Youth Empowerment Project (KYEP) as a pilot in Nairobi and Mombasa, as well as in Kisumu at a later stage. The primary objective of the KYEP was to increase the employability and the earning potential of vulnerable youths by providing them with the skills and work experience demanded by private employers. Between 2011 and 2014, the program trained approximately 14,000 youths over its first five cycles and is expected to train additional 6,000 youths in its sixth and final cycle by the end of September 2015.
The pilot training and internship program was designed and implemented to address key
constraints on both demand and supply in the labor market. On the demand side, the program
mobilized private employers, gave them incentives to accept interns and teach them job‐relevant skills, and encouraged them to create jobs (and retain interns who successfully completed the program). On the supply side, the program aimed to reduce skills constraints in the six sectors where growth is expected according to Vision 2030, Kenya’s national development strategy, by providing youths with job‐relevant skills (technical and life skills) as well as workplace experience.
To ensure private sector ownership of the program and the effectiveness of the program’s demand driven design, the intervention operated as a private‐public partnership. The Government of Kenya set the strategic vision for youth employment and financed the program while KEPSA, a policy advocacy organization for private employers, defined the competencies needed by employers in the six growth sectors, mobilized and motivated employers to participate in the program, recruited training providers on a competitive basis, and managed and implemented the overall program.
The pilot program was designed in response to the issue raised by Kenyan employers that many youths who come out of schools and training centers lack the relevant work experience and competencies needed for employment. To ensure that the program was demand‐driven, employers’ organizations in each sector were invited to identify their skill needs and to develop sector‐specific training plans The program targets vulnerable youths defined as males and females between ages 15 and 29
years who have a minimum of eight years of schooling, have been out of school for at least one year, and are not in employment at the time of their application to the program. While not easy to verify, being out of school and being without a permanent job at the application stage were the main characteristics used to identify vulnerable youths or those at risk of longer‐term
unemployment or of becoming stuck in low‐productivity jobs. The minimum of eight years of
schooling was included as a way to ensure that the participants would have had a basic education and thus would be able to benefit from further training.
The KYEP program aims to equip youths with technical and social skills and to promote increased use of such skills at work. The technical skills in question include analytical skills specific to the sector, manual skills, and routine processes as well as basic computer skills such as word processing,
use of spreadsheets, and email. The life skills training aims to develop basic work‐related behavioral skills such as communication, leadership, self‐esteem, conflict resolution, decision‐making, and problem‐solving that are key to whether employers view a job applicant favorably or unfavorably.
The program has been widely advertised in Nairobi, Mombasa, and Kisumu counties to raise
awareness of its existence and to encourage young people to submit applications to KEPSA with proof of identity. In fact, KEPSA only verified the applicant’s age and residence eligibility in
defining the pool of eligible applicants. Given the high number of eligible applications received,
KEPSA randomly selected a number of eligible applicants based on the number of internships that they could offer per cycle. By design, the percentage of the selected youths who held tertiary qualifications was capped at 40 percent in each program cycle.
Given the limited absorptive capacity of existing formal labor markets in Kenya, the project provided internships in both the formal and informal sectors. Each program cycle offered a combination of training and work experience in private sector firms in the six growth sectors identified in Vision 2030, consisting of five formal sectors (energy, finance, ICT, manufacturing, and tourism) and one informal sector (Jua Kali).
The program was split into three months of training and three months of work experience, as
follows:
Training. Classroom‐based training courses were provided by private training institutions and
consisted of three phases:
a) Life skills training (two weeks) aimed at strengthening life and other non‐cognitive skills
(such as conflict resolution and communication skills).
b) Core business training (five weeks) focused on communication, customer care,
entrepreneurship, basic computer use, and office practices, among others. Interns placed in
firms operating in the five formal sectors received the five weeks of training while interns
placed in the informal sector received three weeks of training coupled with a two‐week
module on entrepreneurship skills training.
c) Sector‐specific training to promote specific technical skills (five weeks) in each of the five
formal sectors. For interns placed in the Jua Kali sector, the training plan consisted of three
weeks of sector‐specific training supplemented by an additional two weeks of work
experience.
Work experience (12 weeks) in selected private firms. Employers were expected to provide on‐the job training and mentoring. In the Jua Kali sector, internships consisted of apprenticeship training by master craftsmen. The master craftsmen had to pre‐qualify to be eligible for the program by participating in skills upgrading developed by the relevant sector organization for the informal sector under KEPSA.
The program offered a small monthly stipend of KES 6,000 to youths (equivalent to US$70) to
compensate them for their transportation and food costs during the six months of the program.
Employers were also given monthly compensation of KES 3,000 (equivalent to US$35) to offset the time spent overseeing the interns and to reimburse them for the costs of materials during the 12 weeks of the internships.</t>
    </r>
  </si>
  <si>
    <r>
      <t xml:space="preserve"> Participation in JTPA involved roughly 3 to 4 months of training at an average cost of about $2,400 per participant. In fiscal year 1995, JTPA received approximately $1.6 billion in funding. </t>
    </r>
    <r>
      <rPr>
        <b/>
        <sz val="11"/>
        <rFont val="Calibri"/>
        <family val="2"/>
        <scheme val="minor"/>
      </rPr>
      <t>(copied from GAO1996)</t>
    </r>
  </si>
  <si>
    <r>
      <t xml:space="preserve">3 to 4 months of training </t>
    </r>
    <r>
      <rPr>
        <b/>
        <sz val="11"/>
        <rFont val="Calibri"/>
        <family val="2"/>
        <scheme val="minor"/>
      </rPr>
      <t>(copied from GAO1996)</t>
    </r>
  </si>
  <si>
    <r>
      <t xml:space="preserve">Vocational training, as defined by the Brazilian Census Bureau (Instituto
Brasileiro de Geografia e Estatística – IBGE) in the PME, is an activity dedicated
to providing skills for a specific occupation. This kind of training usually has a
low duration and could be provided by schools or other institutions (e.g.
churches, unions and NGOs). The programs focus on practical applications of
skills learned through classroom instruction3 and a certification is granted upon
completion of the course.I48
About 20% of the individuals aged between 21 and 54 years have attended a program of this type before, and more than 90% of those who have attended vocational training actually completed the program. According to Table 1, more than half of the programs are privately provided; but national training institutes (SENAI, SENAC, SEBRAE and others) and government programs also have important contributions, with shares corresponding to 28% and 16% of the total.
The empirical analysis in this paper uses data from the PME, which is conducted
by the Brazilian Census Bureau (IBGE). Every month, information about 100,000
individuals aged 10 years or more is collected by the survey in the six main
metropolitan areas of the country </t>
    </r>
    <r>
      <rPr>
        <b/>
        <sz val="11"/>
        <rFont val="Calibri"/>
        <family val="2"/>
        <scheme val="minor"/>
      </rPr>
      <t>(Belo Horizonte, Porto Alegre, Recife, Rio de Janeiro, São Paulo and Salvador. About 25% of the Brazilian individuals aged between 21 and 54 years live in one of these six metropolitan areas)</t>
    </r>
    <r>
      <rPr>
        <sz val="11"/>
        <rFont val="Calibri"/>
        <family val="2"/>
        <scheme val="minor"/>
      </rPr>
      <t>. Each household that enters the survey is
interviewed for four consecutive months, not interviewed for the next 8 months,
and interviewed once again for the next 4 months. Therefore, it is possible to
follow the same individual for 16 months.</t>
    </r>
  </si>
  <si>
    <t>this effect weights by the number of terminees in 1989. 
Substract duration of the program, estimates are months after enrollment</t>
  </si>
  <si>
    <t>this effect weights by the number of terminees in 1989
Substract duration of the program, estimates are months after enrollment</t>
  </si>
  <si>
    <t>this effect excludes 3% of outliers
Substract duration of the program, estimates are months after enrollment</t>
  </si>
  <si>
    <t>Late estimations
Beta may be wrong since the parameter is for unemployment. Paper comments that intervention increases unemployment</t>
  </si>
  <si>
    <t>Was not able to find month of delay.
Values don't agree with paper. We change values according to table 5</t>
  </si>
  <si>
    <t>Was not able to find month of delay
Values don't agree with paper. We change values according to table 5</t>
  </si>
  <si>
    <t>Months of delay estimated based on Information in Figure 1.
Employment at the level of household, not individuals</t>
  </si>
  <si>
    <t>Months of delay: Median point of 2 endlines
not necessarily paid job</t>
  </si>
  <si>
    <t>Sample size computed using share subsample/total sample from Table 1. Attrition is from Table 1.  Nc is computed as N_subsample*Nc/N
Paper include another estimate using log that can be used directly</t>
  </si>
  <si>
    <t>It is hard to estimate months of delay. Treatment is continous and the starting moment is heterogeneous.
We added missing values of y_t and y_c endline</t>
  </si>
  <si>
    <t>TT effecs.Model without Unobservable Heterogeneity
Y_control from table 8</t>
  </si>
  <si>
    <t>Nt, Nc, N not reported.
very broad definition of employment, includes work without payment</t>
  </si>
  <si>
    <t>Nt= N in column All in Table 1* (1- share male (from Table 2a). Nc = Nt, assuming 1 matched individual per each control. 
very broad definition of employment, includes work without payment</t>
  </si>
  <si>
    <t>Nt= N in column All in Table 1* share male (from Table 2a). Nc = Nt, assuming 1 matched individual per each control. 
very broad definition of employment, includes work without payment</t>
  </si>
  <si>
    <t>Nt= column All in Table 1. Nc = Nt, assuming 1 matched individual per each control. 
very broad definition of employment, includes work without payment</t>
  </si>
  <si>
    <t>Only a small percentage (15 percent)of individuals who were offered training actually received it, so training impacts would need to bequite large (on the order of $1,500 a quarter) to be detected.
Here they compare only those who chose classroom training, to control gropu (in treatment 2 they could choose between CT, OJT or relocation)
Page 83 from Corson 1989 for delay: 7 weeks plus 18.4 weeks of classroom training is 25.4 weeks (5.8 months ~ 2 quartes) since initial UI claim date. Quarter 1 in the paper refers the first 3 months following the date of claim (Corson 1989 table 3 page 25). So I code quarter 4 thats is ~ 5 months
Multiply base period (average per period) by 4 to get treatment value at baseline</t>
  </si>
  <si>
    <t>DID estimates.
Months of delay were calculated as follow:
3 x # quarters after entrance.
We don't have information about length of treatment 
Paper reports en table 3 a Net Impact (percent change in annual earnings) different to DiD estimate.</t>
  </si>
  <si>
    <t>Assuming end on July 2005. And an average "delay" of July 2008 (36 months) and December 2014 (114 months) which is 75 months.
N is from pooled sample. I use N reported on page 11 and assume Nt and Nc from the distribution of estimation table.
Y_treated_baseline should be endline according to paper. Y_control_baseline is reported in table 1</t>
  </si>
  <si>
    <t>The number of observations seem too low. Not clear if they had a problem of a lot of missing data at baseline or an error when generating the results. Nc is computed using proportion of control vs treated + control at baseline.
Regarding previous comment, # observations is low because it is a sample of the beneficiaries from the program</t>
  </si>
  <si>
    <t>0-4</t>
  </si>
  <si>
    <t>less than 25</t>
  </si>
  <si>
    <t>more than 25</t>
  </si>
  <si>
    <t>public, private</t>
  </si>
  <si>
    <t>orden</t>
  </si>
  <si>
    <t>Context</t>
  </si>
  <si>
    <t>poverty &amp; incomplete education</t>
  </si>
  <si>
    <t>incomplete education &amp; poverty</t>
  </si>
  <si>
    <t>?</t>
  </si>
  <si>
    <t>. Services to eligible claimants continued into fall 1987 to ensure that all eligibleswho wanted the full set of demonstration services were able to receive them
Staff from the local JTPA Service Delivery Area (SDA)program operator worked directly with these claimants to develop the training options.</t>
  </si>
  <si>
    <t>While participation in the SCE was voluntary, eligible
Plan Jefes beneficiaries who opted to participate had to
forgo their allowance and register with the public employment
service (PES) office. PES offices are then responsible for analyzing the labor market history of each candidate and assessing
whether they meet the eligibility requirements. Once the
application is approved, a ‘‘contract of adhesion” (Convenio
de Adhesio´ n) including all rights and obligations is signed.</t>
  </si>
  <si>
    <t>firms hire trainnes that are later enrolled in training</t>
  </si>
  <si>
    <t>The choice of program was a
joint decision between the individual and a case worker at the employment office, with
the preferred program usually available if individuals met the formal criteria of being
25–55 years old and eligible for UI benefits</t>
  </si>
  <si>
    <t>Treatment</t>
  </si>
  <si>
    <t>Method</t>
  </si>
  <si>
    <t>Group of training programs geared towards facilitating the reintegration of unemployed individuals (with a completed vocational training degree) into the labor market by improving their skills and providing signals to potential employees.</t>
  </si>
  <si>
    <t xml:space="preserve">The training provided specific human capital like computer or accounting courses. The courses focus was on classroom training but some included on the job training. The courses lasted between several months up to two years and the participants received a certificate at the end of the course. </t>
  </si>
  <si>
    <t>Garment factories that employed women for garment production. The women had an average age of 27 years and about 60% of them had completed secondary education.</t>
  </si>
  <si>
    <t>The objective of the program was to improve life skills of women. The participants received classroom training in life skills (time management, effective communication, problem-solving, and financial literacy). The total duration of the program was 80 hours and each worker attended two hours per week after work.</t>
  </si>
  <si>
    <t>The intervention targeted women from low-income households, between the ages of 18 and 39 years, with five or more completed grades of schooling.</t>
  </si>
  <si>
    <t>Six month instruction and up to two hours per day training in tailoring and sewing. Participants received a certificate at the end of the program. As a commitment device, participants were required to deposit 50 rupees per month, and after completion of the program, they received 350 rupees. The program cost in education was Rs. 1910 per person.</t>
  </si>
  <si>
    <t>Women graduating from 2 year programs in community colleges to find employment.</t>
  </si>
  <si>
    <t>Free intensive training on interpersonal skills for women about to graduate from college in order to increase confidence looking for jobs and to make them more productive in the first months in the job. The training course was 45 h over a 9-day period (5 h per day), with a maximum of 30 participants in each training group.
The course demanded active participation and cooperative learning. It covered effective communication and business writing skills (e.g., making a presentation, writing business reports, different types of correspondence), team building and team work skills (e.g., characteristics of a successful team, how to work in different roles within a team), time management, positive thinking and how to use this in business situations, excellence in providing customer service, and CV and interviewing skills.</t>
  </si>
  <si>
    <t>Young unemployed women living in informal settlements, aged between 18 and 35 years, with complete secondary education and at least one year after finishing school.</t>
  </si>
  <si>
    <t xml:space="preserve">The treatment included technical training in Information Communication Technology (150 hours) and life skills (self-awareness, emotional intelligence, problem solving, goal setting, job searching, and health practices, 40 hours), along with on-the-job experience through internships (8 weeks) and job placement support (6 months). 
Treatment 1 - ICT Training + Life skills Training + Internship
</t>
  </si>
  <si>
    <t xml:space="preserve">The purpose of the intervention was to improve the employability and income-generating capacity of disadvantaged young women.
The treatment included technical training in Information Communication Technology (150 hours) in skills such as how to manage files and folders, to how to make, edit and share digital videos and to how to set up a computer network. The program also provided on-the-job experience through internships (8 weeks) and job placement support (6 months). 
</t>
  </si>
  <si>
    <r>
      <t xml:space="preserve">Out-of-school Kenyan youths ranging in age from roughly 17 to 28 years old who had </t>
    </r>
    <r>
      <rPr>
        <sz val="11"/>
        <color rgb="FF000000"/>
        <rFont val="Calibri"/>
        <family val="2"/>
        <scheme val="minor"/>
      </rPr>
      <t>already received some vocational training but wanted to further their skills.</t>
    </r>
  </si>
  <si>
    <t xml:space="preserve">The program gave to the participants unrestricted vouchers (to attend either public or private technical training institutes) or restricted vouchers (only for public schools).
The vocational training voucher program was designed for students who had already received some vocational training but wanted to further their skills. Each participant was able to use the voucher in the institution of his or her choosing. The training programs varied from institution to institution with a median value of the voucher of 460 USD, a mean duration of 12 months of training.
</t>
  </si>
  <si>
    <t xml:space="preserve">The program, PJyE, was designed to improve the employment opportunities of at-risk youth, by building their vocational and soft skills. The randomized field experiment examines the impact of imbedding the soft skills component into PJyE.
The program provides in-classroom training and an internship in a private business. It also financed participants’ transportation, medical and accident insurance, and provided them with a small stipend.
This program involves vocational training combined with soft skills training and an internship. The classroom components takes place in institutes known as Operation Centers for the System (COS) that are authorized by the National Institute for Professional Training (INFOTEP). This component consistend on vocational training (hard skills) for 150 hours in occupations such as sales, beauty salon, tourism and hospitality. Also it consisted on personal skills development (soft skills) for 75 hours, that focused on promoting self-esteem and self-realization, communication skills, conflict resolution, life planning, time management, teamwork, decision-making, hygiene and health, and coaching on risky behaviors. After the classroom training phase all participants were also assigned to 240 hours of internship in private companies with a daily stipend of US$2 and basic insurance. In 2009, the program offered 520 courses for 49 occupations.
</t>
  </si>
  <si>
    <t>The program, “Programa Juventud y Empleo” (PJyE) targeted individuals between 16 and 29 years old who were unemployed or underemployed and did not have completed secondary school. Eligible applicants’ households per capita income must not exceed US$120 per month and they must be located in regions known as Priority I and II according the SIUBEN index. A special effort is made to enroll women. PJyE targets the poorest sectors of the population.</t>
  </si>
  <si>
    <t xml:space="preserve">The program, PJyE, was designed to improve the employment opportunities of at-risk youth, by building their vocational and soft skills. 
The program provides in-classroom training and an internship in a private business. It also financed participants’ transportation, medical and accident insurance, and provided them with a small stipend.
This program involves soft skills training and an internship. The soft skills components takes place in institutes known as Operation Centers for the System (COS) that are authorized by the National Institute for Professional Training (INFOTEP). This component consistend on personal skills development (soft skills) for 75 hours, that focused on promoting self-esteem and self-realization, communication skills, conflict resolution, life planning, time management, teamwork, decision-making, hygiene and health, and coaching on risky behaviors. After the classroom training phase all participants were also assigned to 240 hours of internship in private companies with a daily stipend of US$2 and basic insurance. In 2009, the program offered 520 courses for 49 occupations.
</t>
  </si>
  <si>
    <t xml:space="preserve">Juventud y Empleo (JE) is a labor training program for disadvantaged youth in the
Dominican Republic that learns from the previous evaluation experience. Mainly by including a waitlist in the randomization procedure. It aims to improve the labor market entry of youth between 16 and 29 years of age who did not complete high school. It has been in operation since 2001.
</t>
  </si>
  <si>
    <t>The Centros Operadores del Sistema, COS are in charge of the 225 hours of training, that split in two parts: 75 hours of basic or life skills training (self- esteem and work habits), and 150 hours of technical or vocational training (technical training needs of local employers). Training at the COS is followed by an internship in a private sector firm, that is chosen by beneficiaries´ preferred vocation and the availability of the desired course. . Once they reach 35 potential participants, the program coordinating unit randomly selects those who are offered the training course</t>
  </si>
  <si>
    <t>The sample used for the study comprises West Germans who become unemployed between the beginning of February 2000 and the end of January 2002, after being employed continuously for at least 3 months. Persons were aged between 25 and 53 years old.</t>
  </si>
  <si>
    <t xml:space="preserve">The papers divides ALMP in three: Short Term Training (STT), Complete Further Training (CFT) and Unemployment compensation. The first two are part of this meta-analysis. The main goal of German ALMP is to permanently reintegrate unemployed individuals and individuals who are at risk of becoming unemployed back into employment. This article focuses on training programs during the time period 2000–2002
Short-term training programs last only 2–12 weeks the mean duration is slightly over 4 weeks, and they typically have one or several of the following three goals. A first goal is to assess job-seekers’ labor market opportunities and their suitability for different jobs. This may also entail profiling and developing a strategy to find a job. A second goal is to test job-seekers’ willingness to work and to improve their job search skills. This may involve job application training. The third goal is the provision of specific skills that are necessary to improve job-seeker’s labor market prospects, for example, through computer courses or commercial training.
</t>
  </si>
  <si>
    <t xml:space="preserve">The papers divides ALMP in three: Short Term Training (STT), Complete Further Training (CFT) and Unemployment compensation. The first two are part of this meta-analysis. The main goal of German ALMP is to permanently reintegrate unemployed individuals and individuals who are at risk of becoming unemployed back into employment. This article focuses on training programs during the time period 2000–2002
Further training programs typically last between several months and 1 year, thus representing medium-term programs. Their goals are to maintain, update, adjust, and extend occupational skills. The programs cover a wide range of fields and may also comprise practical elements such as on-the-job training or working in practice firms. Typical examples include training on marketing and sales strategies, computer-assisted bookkeeping, and operating construction machines, and completing specialist courses in specific legal fields. Depending on their practical content, we distinguish between classroom further training and practical further training. Retraining programs involve training on a new vocational degree according to the German system of vocational education. They last 2–3 years. Eligibility for one of the training programs requires registration as a job-seeker at the local labor office. This involves a counseling interview with the caseworker. For participation in the longer further training and retraining programs, individuals also have to fulfill a minimum work requirement of 1 year, and they must be entitled to unemployment benefits.
</t>
  </si>
  <si>
    <t>(Fortbildung und Umschulung) FuU targets at employed persons, practically oriented, and therefore very different from classroom-education.</t>
  </si>
  <si>
    <t>Participation in FuU may lead either to an update or upgrade of existing occupational education or to a new occupational certificate that should significantly improve the trainee's labor market prospects. Most often the qualification program takes place in external institutions but it may also be located in the firm where a person is employed. The program can be full-time or part-time, and its duration has to be more than two weeks and is usually restricted to a maximum duration of two years for full-time program.</t>
  </si>
  <si>
    <t>Group of training programs geared towards facilitating the reintegration of unemployed individuals (with a completed vocational training degree) into the labor market by improving their skills and providing signals to potential employees. Short-Term Training (STT) focuses on hard-to-place and low-skilled individuals</t>
  </si>
  <si>
    <t xml:space="preserve">Short-Term Training (STT) courses with an intended duration of no more than six
weeks. They were intended to inform job seekers about employment options and possibilities for participation in more comprehensive programs, as well as to provide participants with suitable employer contacts. Furthermore, individuals were taught some general labor market relevant skills, including job search assistance, counseling, and communication training. In general, participants did not obtain any official certificate at the end.
</t>
  </si>
  <si>
    <t>Training Opportunities in the Private Sector (TOPS) targets single women heads-of-household who had been on welfare for at least six months and are harder-to-employ.</t>
  </si>
  <si>
    <t xml:space="preserve">TOPS had a sequence of activities: prevocational training (for two to five weeks and stressed
personal growth as well as job-seeking and job-holding skills), unpaid work experience(20-hour per week, unpaid positions in the public or non-profit sector for up to 12 weeks) , and subsidized on-the-job training, preferably in the private sector (a maximum of six months, and the employer subsidy was set at 50 percent of the new employee's wages). It was a small- scale, voluntary program. it used grant diversion to finance part of the wage subsidies offered to employers who hired participants in the OJT component. Grant diversion is the financial mechanism through which all or part of a public assistance grant is used to finance program services for recipients.
</t>
  </si>
  <si>
    <t>The WIA Adult program provides employment and training assistance to adults who face significant barriers to employment. Prioritizes individuals who receive public assistance, individuals living with low incomes, and veterans within these groups. The treatment population in this study includes any individual who exited the program between July 1, 2007 and June 30, 2008 (the “2007‐2008 cohort”) or between July 1, 2009 and June 30, 2010 (the “2009‐2010 cohort”).</t>
  </si>
  <si>
    <t>Prioritizes individuals who receive public assistance, individuals living with low incomes, and veterans within these groups.</t>
  </si>
  <si>
    <t>A demonstration conducted at three Texas sites during 1984-85 to assist some displaced workers. Eligibility criteria required individuals to be unemployed with poor a poor chance of returning to work, recipients of Unemployment Insurance benefits or to be facing barriers to reemployment such as being an older worker or not speaking English.</t>
  </si>
  <si>
    <t xml:space="preserve">The Texas Employment Commission (TEC) and Houston Community College (HCC) were public agencies that implemented the program. TEC/HCC planned two treatments
Tier I, only provides job-search assistance to 250 persons. Tier I/II, was designed to serve 350 persons to start with with job-search assistance, then, about 200 were expected to receive classroom training or on-the-job training (OJT). The final part of Tier I was a job club, a less structured experience that enabled participants to use program facilities such as reference materials, a telephone message center, a phone bank, a xerox machine, and typewriters
OJT was used only to supply 23 bus drivers for the local transportation authority.
Initial offerings included classes in air conditioning and refrigeration, computer maintenance technology, and computer-command automotive electronic technology. HCC later added a course on computer-assisted drafting.
</t>
  </si>
  <si>
    <t xml:space="preserve">El Paso School for Educationa Enrichment (SEE) was a private for-profit vocational education institution. Both SEE planned a single Tier I/II program of job-search assistance for all participants, followed by occupational skills training for some. SEE planned to serve 250 persons, half of whom were expected to receive classroom training or OJT.
Tier I at SEE began with a week-long, job-search workshop. These workshops started with individual assessments, followed by a mix of activities. Next came a job club where they invited local employers to discuss the job market and meet participants. In addition, it provided a forum for SEE job developers to share current leads with participants, thus offering strong incentives for participants to attend
</t>
  </si>
  <si>
    <t xml:space="preserve">Greater El Paso SER Jobs for progress (SER/JOBS) with SEE planned a single Tier I/II program of job-search assistance for all participants, followed by occupational skills training for some. SEE and SER/JOBS each planned to serve 250 persons, half of whom were expected to receive classroom training or OJT.
SER/JOBS provided classroom training to only 13 percent of its Tier II participants (10 persom). This group was trained to become secretaries and automobile mechanics. 
</t>
  </si>
  <si>
    <t>All single mothers who were members of an ethnic minority group and who applied for training at the participating Community-based organization (CMO). The Minority Female single parent demonstration (MFSP) applicants seemed to be more disadvantaged. Applicants were 28 years old on average; the ethnic composition of the MFSP applicant sample was quite similar to that of the low-income national sample.</t>
  </si>
  <si>
    <t xml:space="preserve">All of the projects delivered a range of employment-oriented services: counseling sessions to assess needs and to develop a training plan for each trainee; remedial work in basic reading, math, and communications skills; and job-skill training, job-search training, and job placement assistance. These four projects, selected particular occupational areas for which they prepared their trainees. In addition, the projects responded to the personal and logistical problems that pose barriers to training and employment.
Center for Employment Training (CET) in San Jose, California and Opportunities Industrialization Center (OIC) of Rhode Island in Providence had more than 20 years of experience in providing education and training to disadvantaged individuals. OIC and AUL adopted a "sequential" strategy, first placing women with poor reading, writing, and math skills in classroom courses to help them meet academic standards felt to be critical for further job-skill training or employment, and offering them job-skill training only after they had met certain academic standards.
</t>
  </si>
  <si>
    <t xml:space="preserve">All of the projects delivered a range of employment-oriented services: counseling sessions to assess needs and to develop a training plan for each trainee; remedial work in basic reading, math, and communications skills; and job-skill training, job-search training, and job placement assistance. These four projects, selected particular occupational areas for which they prepared their trainees. In addition, the projects responded to the personal and logistical problems that pose barriers to training and employment.
The Atlanta Urban League (AUL) in Atlanta, Georgia sought to determine whether comprehensive employability programs operated by community-based organizations could have a significant and lasting effect on the lives of low-income single mothers who want to work. The treatment group was offered program services--including basic skills and job-skills assessments, counseling, remedial education, job-skill training, job-placement assistance, and child care assistance. The purpose of this set of services was to address the barriers that make it difficult for poor single mothers to secure good jobs and escape their dependence on welfare.
OIC and AUL adopted a "sequential" strategy, first placing women with poor reading, writing, and math skills in classroom courses to help them meet academic standards felt to be critical for further job-skill training or employment, and offering them job-skill training only after they had met certain academic standards.
</t>
  </si>
  <si>
    <t xml:space="preserve">All of the projects delivered a range of employment-oriented services: counseling sessions to assess needs and to develop a training plan for each trainee; remedial work in basic reading, math, and communications skills; and job-skill training, job-search training, and job placement assistance. These four projects, selected particular occupational areas for which they prepared their trainees. In addition, the projects responded to the personal and logistical problems that pose barriers to training and employment.
Center for Employment Training (CET) in San Jose, California and Opportunities Industrialization Center (OIC) of Rhode Island in Providence had more than 20 years of experience in providing education and training to disadvantaged individuals. CET adopted an "integrated" model all participants were placed into occupational skill training for particular jobs available in the local area, supplemented with remedial basic education instruction to correct deficiencies in areas critical to job performance. ESL (English as a second language) or GED (general educational development) classes were offered to those who wished to take them.
</t>
  </si>
  <si>
    <t xml:space="preserve">All of the projects delivered a range of employment-oriented services: counseling sessions to assess needs and to develop a training plan for each trainee; remedial work in basic reading, math, and communications skills; and job-skill training, job-search training, and job placement assistance. These four projects, selected particular occupational areas for which they prepared their trainees. In addition, the projects responded to the personal and logistical problems that pose barriers to training and employment.
Wider Opportunities for Women (WOW) in Washington, D.C. was shaped by the organization's lengthy experience as a policy advocate for women in the labor market and its efforts to interest, train, and place women in nontraditional occupations. WOW offered two courses to which trainees were assigned largely on the basis of a test of their academic skills. For women whose basic skills test scores were lower, WOW offered the Basic Employability Skills Training (BEST) program--a 10-week course that included work on motivation, basic reading and math, and job-search skills. Better-prepared trainees were offered an electromechanics course, covering such job-related topics as electricity, mechanics, and tools, in addition to the topics covered in BEST. The intent of this course was to prepare clients for immediate employment or further training in a range of jobs not traditionally open to women.
</t>
  </si>
  <si>
    <t xml:space="preserve">The JOBSTARTS program reaches a population largely unserved by existing programs. Targets school dropouts between 17 and 21 years of age, who did not have a high school diploma or GED, read below the eighth-grade level, and satisfied the JTPA definition of “economically disadvantaged” (defined primarily by household income or receipt of public assistance).
JOBSTART was implemented in 13 study sites: four adult schools (three adult vocational schools and one community college); six community-based organizations (CBOs); and three nonresidential Job Corps programs: Buffalo (NY), Atlanta (GA), New York (NY), Hartford (CT), San Jose (CA), Chicago (IL), Pittsburgh (PA), Monterey Park (CA), Dallas (TX), Denver (CO), Los Angeles (CA), Phoenix (AZ), Corpus Christi (TX). The demonstration ran from 1985 to 1989.
</t>
  </si>
  <si>
    <t xml:space="preserve">The program model required a specified minimum amount of both basic education and occupational training. The program model did not specify any particular curricula, though it did encourage - but not require - sites to offer computer-assisted instruction. The intervention may be divided in four components: Basic Education, Occupational skills training, Support services to facilitate participation and Job Placement services. 
The 200-hour minimum of education was based on reading skills, followed by 500 hours of training. The occupational skills component required classroom, no specific curriculum was required, it included a combination of theory and hands-on experience. Suppport services such as transportation and childcare. Job placement assistance. The guidelines required sites to identify possible training- related jobs for participants and to assist them in securing employment, but were not specific about how this should be done. 
All sites instructed the youths on work disciplines, employer expectations, and job search techniques, but the intensity of this effort ranged from informal guidance by counselors and other staff to more than 50 class hours in one site. All sites provided assistance in seeking employment when the youths left the program, although in two of the three sequential/brokered sites (CREC in Hartford and BSA in New York City), the responsibility fell solely on the training provider.
</t>
  </si>
  <si>
    <t>The demonstration provides reemployment services to experienced workers who were likely to face prolonged spells of unemployment. Individuals who did not receive their firs UI payment were excluded. The program targets people of 25 years or older. Among the excluded individuals are those who had to be employed for less than three years in their previous work, those who had a recall day for another job, and those who were hired through.</t>
  </si>
  <si>
    <t xml:space="preserve">The demonstration includes three packages of services: (1) job-search assistance (JSA) only; (2) JSA combined with training or relocation assistance; and (3) JSA combined with a cash bonus for early reemployment. The current evaluation is the second one, that includes training.
UI claimants were offered one of the three service packages. Claimants were assigned randomly to this control group or to one of the three treatments.The initial components of all the treatments were the same: notification, orientation, testing,a job-search workshop, and an assessment/counseling interview. In the following week, they attended a job-search workshop, consisting of five half-day sessions, and a follow-up, one-on-one counseling/assessment session scheduled for the subsequent week. 
After the assessment/counseling interview, the nature of the three treatments differed. Claimants in the second treatment group--JSA plus training or relocation were also informed about the resource center and their obligation to maintain contact during their job search. In addition, they were told about the availability of classroom and on-the-job training. A caseworker developed the training options. These claimants were also told about the availability of relocation assistance, which could he used for out-of-area job search and moving expenses by those who elected not to pursue training.
</t>
  </si>
  <si>
    <t xml:space="preserve">We restrict our sample to female between 18 to 65 in single-parent household. 
</t>
  </si>
  <si>
    <t xml:space="preserve">The evaluation is held in two states. We divide training into three categories on the basis of the intensity of the activity: participants who went through an assessment but received no other training; participants in job readiness or job search activities; and participants who received more intensive training, including basic education, vocational skills training, or other longer-term programs. 
North Carolina focused primarily on getting recipients into jobs and secondarily on training
to improve skills. While North Carolina’s TANF program began with a “primary focus” on “job placement assistance.” Missouri’s approach was less clear. Having emphasized long-term training under JOBS, Missouri’s program was modified in the direction of work-first only in the face of federal pressure implicit in the TANF rules. Nonetheless, Missouri’s TANF program, which began in December 1996, retained a greater emphasis on long-term training, and by 2000, Missouri had managed another policy turnaround, adopting rules that increased
the ability of TANF recipients to engage in long-term training.
We evaluate the intensive services which includes any effects of other services received
by such individuals, and impact estimates must be interpreted accordingly.
</t>
  </si>
  <si>
    <t>The ethnic makeup of the samples in different sites varies, reflecting general differences in the overall ethnic composition of the counties from which the samples were drawn. In Atlanta and Detroit almost all sample members are African-American. About half of the sample members in Grand Rapids, Riverside, Columbus, and Oklahoma City and two-thirds of those in Portland are white. Only Riverside has a substantial portion (one-third) of Hispanic sample members. Between 55 and 66 percent of enrollees had a high school diploma or GED when they entered the program, and in all sites at least some enrollees had some college or post-secondary schooling. On average, however, sample members had completed just 11 years of school before enrolling. Sample members who lacked a high school diploma or GED lacked any work history in the year prior to enrolling in the welfare-to-work program, and already had received welfare for two years or more cumulatively before entering the program are considered “most disadvantaged”; the proportion of sample members in all sites so defined ranges from 5 percent in Oklahoma City to 25 percent in Riverside and Detroit.</t>
  </si>
  <si>
    <t xml:space="preserve">Seven programs (Atlanta, Grand Rapids, and Riverside HCD; Columbus Integrated and Traditional; and Detroit and Oklahoma City) can be characterized as “education-focused.” Enrollees were initially assigned to some type of skill building activity, which depended on the level of education of the individuals and according to case manager criteria. The activities available to the participants were Adult Basic Education classes, English as a Second Language, vocational training or employment-oriented skills courses at local community colleges
</t>
  </si>
  <si>
    <t xml:space="preserve">The Youth Transition Demonstration (YTD) – Bronx targets youth with disabilities ages 14 through 19 who were receiving SSI and living in the Bronx at the time of their enrollment in the study. </t>
  </si>
  <si>
    <t xml:space="preserve">Youth WINS engaged participants in a structured discovery and planning process and then 
provided them with services consistent with their identified needs and goals, primarily by 
connecting them with the existing service system. Project services for youth included person-
centered planning, case management, referrals for supplementary services, benefits planning, and career development.
</t>
  </si>
  <si>
    <t xml:space="preserve">The target population was youth ages 14 through 25 who were receiving Social Security disability benefits and living in the four counties in which the project operated at the time of their enrollment in the study. </t>
  </si>
  <si>
    <t>The project service delivery area covered four geographically dispersed counties in Colorado. Youth WINS sought to maximize independence and economic self-sufficiency for youth participants through a person-centered approach, with an emphasis on filling gaps in existing services and providing comprehensive program navigation. The project’s front-line staff were based in One-Stop Workforce Centers. Youth WINS engaged participants in a structured discovery and planning process and then provided them with services consistent with their identified needs and goals, primarily by connecting them with the existing service system. Project services for youth included person-centered planning, case management, referrals for supplementary services, benefits planning, and career development.</t>
  </si>
  <si>
    <t xml:space="preserve">Transition WORKS served a sufficient number of youth to support a rigorous evaluation. The target population for the project was youth ages 16 through 25 who were receiving Social Security disability benefits and living in Erie County at the time of their enrollment in the study. </t>
  </si>
  <si>
    <t xml:space="preserve">The Transition WORKS project in Erie County, New York, provided employment services and workshops on self-determination and self-advocacy to youth with disabilities ages 16 through 25. It look to improve their self-determination and educational and employment outcomes. 
It provided training on self-determination and self-advocacy for youth and their parents or guardians, transition planning, work-based experiences and other employment services, education support services, training on the organization of benefits-related paperwork, social and health services, and counseling on SSA benefits and waivers.
</t>
  </si>
  <si>
    <t xml:space="preserve">Broadened Horizons, Brighter Futures (BHBF) served a sufficient number of youth to support a rigorous evaluation. The target population for the project was youth ages 16 through 22 who were receiving Social Security disability benefits and living in Miami-Dade County at the time of their enrollment in the study. </t>
  </si>
  <si>
    <t>In addition to the core YTD services, BHBF leveraged its relationships with its partners to provide its participants with financial literacy training and assistance in establishing individual development accounts. The project used its case management system to monitor the delivery of employment services to participants and to target services to youth to reduce the risk that they would not have a paid work experience. At the project’s completion in March 2012, it had served 388 randomly assigned treatment group youth</t>
  </si>
  <si>
    <t xml:space="preserve">The target population for the project was Montgomery County residents ages 16 to 21 who 
had been classified by MCPS or the public mental health system as having severe emotional 
disturbances or significant mental illnesses, and were either in their last two years of high school or had graduated or left school within the past year
</t>
  </si>
  <si>
    <t xml:space="preserve">The Career Transition Program (CTP) in Montgomery County, Maryland provided employment, education, and mental health services to youth who had been diagnosed with severe emotional disturbances or significant mental illnesses. It recruited primarily students who were due to complete their high school educations within one or two years. Most of the youth who received CTP services were not receiving disability benefits but were believed to be at high risk of receiving them in the future, absent effective intervention. 
CTP sought to increase participants’ self-sufficiency by providing them with counseling, 
linkages to available services, and individualized work experiences. The project provided about 
one year of core services to individual participants. These included formal assessments and goal setting as key elements in a person-centered planning process, assistance in obtaining either competitive paid employment, employment support, education counseling and support, benefits information and planning, and comprehensive case management, including referrals for additional services that CTP could not provide directly. 
</t>
  </si>
  <si>
    <t>Youth Works targets youth ages 15 through 25 who were receiving Social Security disability benefits and living in the project’s service delivery area at the time of their enrollment in the study.</t>
  </si>
  <si>
    <t xml:space="preserve">Youth Works provided youth with services intended to promote their economic self-sufficiency and independence. The project was designed to meet the unique service needs of individual participants and project staff often met with them one on one in their homes, schools, community centers, and workplaces. It provided participants with person-centered planning 
(such as work-readiness assessments and services), customized employment services (such as 
career exploration, job development, job coaching, job placement, and post-placement support) and benefits counseling. It also provided participants with case management services, including transportation assistance and referrals to other organizations for services that Youth Works was not well positioned to provide directly. 
</t>
  </si>
  <si>
    <t>holistic</t>
  </si>
  <si>
    <t>job training</t>
  </si>
  <si>
    <t>remove</t>
  </si>
  <si>
    <t>doubt</t>
  </si>
  <si>
    <t>Etiquetas de fila</t>
  </si>
  <si>
    <t>Total general</t>
  </si>
  <si>
    <t>Cuenta de Evaluation
ID</t>
  </si>
  <si>
    <r>
      <rPr>
        <b/>
        <sz val="11"/>
        <rFont val="Calibri"/>
        <family val="2"/>
        <scheme val="minor"/>
      </rPr>
      <t xml:space="preserve">Specific Professional Skills and Techniques (SPST) </t>
    </r>
    <r>
      <rPr>
        <sz val="11"/>
        <rFont val="Calibri"/>
        <family val="2"/>
        <scheme val="minor"/>
      </rPr>
      <t>programs focus on providing more specific human capital like computer or accounting courses. The goal of SPST is to facilitate the reintegration of unemployed individuals into the labor market by improvingtheir skills and providing signals to potential employees. A completed vocational training degree is usually required to take part in this type of training. The courses focus on
classroom training, but may also provide some practical experience. In case of successful
completion, participants usually earn a certicate describing the content of the course and
the newly acquired knowledge and experience. Due to the wide variety of courses with
durations from several months to up to two years, SPST is the most exible program and represents the largest share among all public-sponsored training programs.</t>
    </r>
  </si>
  <si>
    <t xml:space="preserve">Entra21 is a job training program for low-income youth that targets vulnerable, unemployed </t>
  </si>
  <si>
    <t xml:space="preserve">The evaluation of Entra21 is based on the first cohort of the program in Cordoba, Argentina in which participants were randomly assigned to a treatment or a control group. Its objective is to improve employment opportunities of at-risk youth by building technical and life-skills through courses and work experience in the private sector.
The training includes a regionally standardized classroom-based life-skills training module, as well as vocational training and internships. Coursework was divided in different modules: 100 hours of technical classroom training, 64 hours of lifeskills training, and 16 extra hours which varied from basic skills to extra classroom technical training according to each type of course. 
The internship phase included a small monthly monetary incentive from the municipal government to cover basic workplace insurance. Firms were required to employ the intern for up to 4 months, with a maximum of 20 hours per week.
Entra 21 ’s cost is higher than other programs in the region due to the number of training hours provided. One of the hallmarks of the program is the private sector’s active involvement in its components. It is a small, and more costly than the typical government program.          
</t>
  </si>
  <si>
    <t>mean duration (holistic)</t>
  </si>
  <si>
    <t xml:space="preserve">The Youth Training Program (YTP) is a program offered almost every year by Argentina’s Ministry of Labor between 1993 and 1999. It targets people more than 16 years old, not employed and with only primary or secondary education levels. Most beneficiaries are characterized by a low socioeconomic and educational level (completed no more than secondary), difficulties in integrating into the labor market, and little labor experience.
</t>
  </si>
  <si>
    <t>The program’s objective is to increase the beneficiaries’ prospects in the labor market. It offers training and internships subsidized by the federal government. The project also offers participants a daily stipend to cover transportation costs. For 6 to 12 weeks beneficiaries receive training in knowledge and technical skills. During the 8 weeks of the internship they engage in the main tasks of occupation for which they have been trained. The sector in which training was concentrated are agriculture, industry, services, and construction.</t>
  </si>
  <si>
    <t xml:space="preserve">During Argentina´s most severe economic crisis (2001–02) the Conditional Cash Transfer program Unemployed Heads of Household Plan (Plan Jefes y Jefas de Hogar Desocupados) or Plan Jefes was launched, to provide support during the crisis. As a part of this program, the intervention Seguro de Capacitación y Empleo (SCE) was launched. The general Plan Familias focused on families whose heads faced serious employability difficulties, while, SCE, was aimed at Plan Jefes’ participants who had better opportunities to enter the labour market
</t>
  </si>
  <si>
    <t>Participants in the SCE receive a monthly stipend of 225 pesos (75 pesos more than the allowance provided by Plan Jefes) during the first 18 months and 200 pesos during the last 6 months for a maximum period of two years. Additionally to the benefits from Plan Jefes, SCE individuals would receive support in skills upgrading, vocational training, job seeking, and job placement.</t>
  </si>
  <si>
    <t xml:space="preserve">Skill Training for Advancing Resources (henceforth, STAR) objective´s is to enhance employment. It targets individuals aged 14-18 years from poor households, who are out of school for at least a year. If a participant is disable, the age range is 15-21 years old. 
</t>
  </si>
  <si>
    <t>During 6 months beneficiaries receive classroom training and for other 6 months they receive on-the job training. Classroom training curriculum includes theoretical training on specific trades, and soft-skills training. On-the-job training is provided through apprenticeship. The program is subsidized with a travel allowance ($15) and allowance of ($25) for each apprentice.</t>
  </si>
  <si>
    <t xml:space="preserve">Galpão´s objective is improving employment and labor earnings of at-risk youth living in the Favelas (squatters’ slum) in Rio de Janeiro, Brazil. Individuals filled a pre-inscription questionnaire and only those whose monthly household income was under two minimum salaries and between 17 and 29 years old were considered for the next phase. They took take mathematics and Portuguese tests on basic concepts. After that, the youth invited are the ones that after an interview process, are not involved in criminal activities. </t>
  </si>
  <si>
    <t xml:space="preserve">The Galpão was designed to improve the employment and labor earnings of at-risk youth living in the Favelas (squatters’ slum) in Rio de Janeiro, Brazil.
During 6 months they have vocational or technical skills which prepares them for jobs mainly in construction and soldering. The main courses are mathematics and Portuguese, while the socio emotional skills involve principles like respect, tolerance, confidence, prudence, courage, ethics, and civic responsibility.
</t>
  </si>
  <si>
    <t>The Galpão Aplauso program targets individuals who live in slums (favelas) in Rio de Janeiro and earn less than two minimum wages, participants were maximum 29 years old. Eligible individuals go through mathematics and Portuguese tests, those with highest scores were offered a slot. If an individual was involved in gang activities he was not offered a slot.</t>
  </si>
  <si>
    <t>Galpão Aplauso program was designed to improve socio-economic and labor market outcomes of youth by teaching basic academic skills (mathematics and Portuguese), vocational skills and work-readiness skills. Work-readiness skills emphasized conducts and behaviors required for success in a formal workplace. Also, it uses expressive arts and theatre as a pedagogical tool.</t>
  </si>
  <si>
    <t>Lei do Aprendiz or Apprentice’s Act targets individuals between 14 and 17 years old since 2000 to 2005 after that year the law changed and older individuals could be beneficiaries. The years Corseuil analyzes are 2001 to 2006 and workers aged 17 or 18 who entered the formal labor market between 2001 and 2003 under an apprenticeship contract.</t>
  </si>
  <si>
    <t xml:space="preserve">Apprentice’s Act concedes payroll subsidies to firms that hire and train young workers under temporary contracts for at least minimum wage during maximum 6 hours per day. The program intends to help young workers in the transition from school to work. Additionally, workers are required to enroll at school and to take formal training. </t>
  </si>
  <si>
    <t>3 to 4 months</t>
  </si>
  <si>
    <t>JTPA was targeted to Individuals facing barriers to employment and needing special training to obtain productive employment.  Persons receiving means-tested government transfers or who had low family incomes in the preceding six months</t>
  </si>
  <si>
    <t>Program applicants were recruited, screened to determine their eligibility, assessed to determine their service needs and wants, and recommended for services. The services included employment training for specific occupations, job search assistance and remedial education.  The service providers were vocational-technical high schools, community colleges, proprietary schools, and community-based organizations. During the period of evaluation, participation in involved roughly 3 to 4 months of training at an average cost of about $2,400 per participant.</t>
  </si>
  <si>
    <t xml:space="preserve">average duration of 6.2 months (or 629 hours). </t>
  </si>
  <si>
    <t>The program replicated the Center for Employment Training, which was a training program in California that showed considerable success. Eligible youth had to be economically disadvantaged, between the ages of 14 and 21 and out-of-school.</t>
  </si>
  <si>
    <t xml:space="preserve">The program consisted in: (i) provision of employment and training services in a worklike setting; (ii) provision of active job placement assistance; (iii) full time commitment from trainees and (iv) employers’ involvement in the design and delivery of training. The program had at an average duration of 6.2 months (or 629 hours). </t>
  </si>
  <si>
    <t>no average duration</t>
  </si>
  <si>
    <t>The program evaluates the Missouri’s JTPA program implementation. The participants were at least 22 years old and less than 65 applicants and considered economically disadvantaged.</t>
  </si>
  <si>
    <t>Program applicants were recruited, screened to determine their eligibility, assessed to determine their service needs and wants, and recommended for services. The services included employment training for specific occupations, job search assistance and remedial education. The service providers were vocational-technical high schools, community colleges, proprietary schools, and community-based organizations. No average duration is provided.</t>
  </si>
  <si>
    <t>nearly one-quarter stayed for over a year, and 28 percent stayed for less
than three months. About 85 percent of participants reported receiving academic and vocational
instruction in Job Corps, and the average participant received nearly 1,200 hours of instruction.</t>
  </si>
  <si>
    <t>The program, Job Corps, provided assistance to disadvantaged youths aged 16–24. To be eligible for Job Corps, applicants must meet several criteria including, but not limited to, age, poverty status, citizenship, need for additional education and training, and mental stability.</t>
  </si>
  <si>
    <t xml:space="preserve">Participants received intensive vocational training, academic education, and a wide range of other services, including counseling, social skills training, and health education. Most centers were operated by private contractors and located in both rural and urban areas.
Job Corps offered vocational training in more than 75 trades, and a typical center offered 10 or 11 trades. The vocational curricula were developed with input from business and labor organizations, and emphasize the achievement of specific competencies necessary to work in a trade. Academic education aims to alleviate deficits in reading, math, and writing skills, and to provide a General Educational Development (GED) certificate. Job Corps has a uniform, computer-based curriculum for major academic courses. Most academic and vocational instruction is individualized and self-paced. The length of time a youth spends at Job Corps varies widely, but at the time of the study, the average participant was enrolled for eight months.
A unique feature of Job Corps is that most participants reside at a center while training. receive meals, health and dental care, and can participate in student government and recreation activities.
</t>
  </si>
  <si>
    <t>Participants must be New York City residents, 16 to 24 years old, eligible to work in the United States, and neither in school nor working. Severely disadvantaged young adults and young adults that do not need program services to improve their employability were screen out of the program. Participants must score at least a sixth-grade reading level on the Test for Adult Basic Education (TABE), which is administered as part of the application process. They cannot have a postsecondary degree and must observe a semester-long waiting period if they recently graduated from high school or dropped out of high school or college.</t>
  </si>
  <si>
    <t xml:space="preserve">YAIP is a multiphase program that enrolls youth in cohorts, with a new cohort starting
every four months; participants in a particular cohort move through the program together. The program has three phases with a total duration of about a year: 
Phase 1: The first 2 to 4 weeks of the program (duration varies by provider) prepare participants for the workplace by providing various job-readiness and personal development activities. Youth are paid minimum wage for 25 hours per week, 6 and workshops are typically five hours per day. 
Phase 2: During the 10 to 12 weeks of this phase, youth are expected to work 20 hours a week in their internship placement and continue to earn minimum wage. Their earnings are fully subsidized. Once a week, youth attend five-hour educational workshops at the training center, for which they are also paid minimum wage. These workshops cover topics including job readiness, healthy living, money and time management, and conflict resolution.
Phase 3: The nine months following youths’ completion of their internship is the follow-up phase of YAIP. During this time, providers are expected to help participants secure and maintain an “outcome placement.” Outcome placements include participation in unsubsidized employment, education, training, or the military. Providers also offer support services during this phase, including housing assistance, counseling, and transportation assistance, among other types of support. 
</t>
  </si>
  <si>
    <t>The program aims to serve middle-of-the-road high school students who maintain a GPA of 2.0 to 3.0. The organization seeks out youth who will be in their senior year of high school during the upcoming program year. . The Urban Alliance program targets high school seniors because program staff believe the program is most effective at reaching young people during this transitional year. they consider to have a high proportion of youth at risk of not connecting to further education or meaningful work.</t>
  </si>
  <si>
    <t xml:space="preserve">The Urban Alliance High School Internship Program has four primary components: professional and life skills training, paid internships, coaching and mentoring, and alumni services.
Training: Training targeted to prepare students for work and includes three to six weeks (varying by city) of pre-work training before the start of the internship. Program participants are expected to attend training for one to one and a half hours every day after school during that period. Topics include workplace etiquette and culture, as well as hard skills such as faxing and Microsoft Excel basics. They also learn job search and interview skills. During the intership, training is only on Fridays after school. After the school year ends, youth attend half-day workshops every Friday.
Paid Internships: Participants go to their internships from 2:00 to 5:00 p.m. after school Monday through Thursday. Interns work full days Monday through Thursday during the summer. The settings and responsibilities for internships vary, but most are office settings and include such tasks as filing, copying, and answering phones. Other jobs include greeting and directing guests in hotels or banks. Some interns also work in educational or day care settings. Interns earn a starting hourly wage close to their city’s minimum wage ($8.25 in DC and $7.25 in Baltimore during this study, though both these hourly rates are now higher). The programs pays the interns’ wages.
Participants also receive coaching, mentorship and alumni services after the official end of the program
</t>
  </si>
  <si>
    <t xml:space="preserve">Eligible respondents were those unemployed for less than 13 weeks, still looking to find a job, and not expecting to retire within the next 2 years or to be recalled back to their former jobs. 
</t>
  </si>
  <si>
    <t xml:space="preserve">The intervention process was designed as an active learning experience that was  intended to increase sense of mastery and motivation to  search for a job by learning job-search skills and inoculation against setbacks. The JOBS seminar experimental condition consisted of five 4-hour 
sessions conducted during the morning hours of a 1-week period. They included the application of problem-solving and decision-making group processes, inoculation against setbacks, provision of social support and positive regard from the trainers, and learning and practicing job search skills. Each of the five sessions was standardized for the trainers in 8 to 12 pages of documentation per 4-hour session.
</t>
  </si>
  <si>
    <t>About 20% of the individuals aged between 21 and 54 years have attended a program of this type before, and more than 90% of those who have attended vocational training actually completed the program</t>
  </si>
  <si>
    <t xml:space="preserve">The programs focus on practical applications of skills learned through classroom instruction and a certification is granted upon completion of the course.
Almost all training programs require class attendance and two-thirds of the training is done during the day. Computer literacy represents almost 30% of the courses for those who have completed a vocational training program before, while programs that focus on commerce and manufacturing activities account for 14.1% and 16.9%, respectively.
</t>
  </si>
  <si>
    <t>Beneficiaries had at most 35 years old. It targets especially the less favourable and the youth. The student should have graduated in public secondary school or being enrolled at least in the second year of high school.</t>
  </si>
  <si>
    <t>The PRONATEC (National Program of Access to Professional Education and Employment) is a vocational education program launched in 2011. The program is designated to increase the access to professional skill formation in order to expand labor market opportunities for the population. One of its main initiative, the “Students’ Training Scholarship”, is a voucher-type scholarship which finances graduated or students still attending public school to attend secondary-level vocational education courses. The workload for each technical course ranges 800 to 1,200 hours additionally to an internship that lasts approximately two years. The course requires a minimum attendance of 75% of the total class.</t>
  </si>
  <si>
    <t>Jóvenes al Bicentenario targets vulnerable Chilean youth between 18 and 29 years old with elementary school or incomplete high school.</t>
  </si>
  <si>
    <t xml:space="preserve">The program´s objective is to improve youth employability by connecting them to the labor market requirements. The program has six stages: (1) inscription, (2) diagnosis, (3) interview, (4) training, (5) internship, (6) job search. </t>
  </si>
  <si>
    <t>To be eligible for the Chilean Bono Trabajador Activo (BTA) voucher, applicants must be employed; be between 18 and 65 years old; have contributed to social security at least 12 months; have contributed at least 6 months during the year prior to the application; and, have, a monthly gross wage lower than US$1,200 (CLP 600,000).</t>
  </si>
  <si>
    <t>The BTA, consists of a grant that allows workers to choose labor training courses from a list. The courses take place at technical training organizations (OTECs, for its acronym in Spanish).
The courses last between 80 and 140 hours (over a 6-month period). In general, the maximum BTA funding amounts to US$800 (approximately CLP 400,000) per beneficiary. Under certain circumstances beneficiaries can take more expensive courses. Before the training, the individuals pay 20% of the total course fees, which is reimbursed to the beneficiary at the end of the course if he or she accomplishes the course.</t>
  </si>
  <si>
    <t>The Jóvenes en Acción program was a training program for urban young unemployed as part of a wider strategy called Red de Apoyo Social in Colombia. It provided a safety net for the poorest sectors of the population after the crisis that hit the country in the late 1990s. The program targets young people between the ages of 18 and 25 in the two lowest socioeconomic strata of the population</t>
  </si>
  <si>
    <t xml:space="preserve">The program Jóvenes en Acción provided three months of in-classroom training and three months of on-the-job training. Training institutions in the seven largest cities of the country chose the courses to be taught as part of the program and received applications. The program’s goal, was to increase the employability of the young beneficiaries and provide them support for building was what called by the program, their project of life. </t>
  </si>
  <si>
    <t xml:space="preserve">The program Jóvenes con Futuro targets low-income youth between 16 to 29 years old, incomplete high school, without reintegration, unemployed, not studying during daytime and haven’t been beneficiaries of 6 other government programs. </t>
  </si>
  <si>
    <t>The program´s target is to improve youth´s living conditions. Three modules make JCF last a total of 9 months or 1,200 hours. It focuses on life abilities such as inter-personal relationships, group work also in technical abilities such as reading, writing and mathematics. Additionally, it includes Information and Communication Technologies (ICT) training. The program offers 20 areas based in market necessities during 480 hours in five sites. The internship takes place in public or private enterprises during 440 hours.</t>
  </si>
  <si>
    <t>Beneficiaries mean age is 32 years old. Training takes place at one of 24 training sites</t>
  </si>
  <si>
    <t>The purpose of the Danish system of Labour Market Training Programmes (the AMU programme) is to maintain and improve the qualifications of the labour force. There are 600 different training courses opened for employed as well as unemployed workers. A course will on average last 2 weeks. Unemployed workers can obtain compensation equivalent to Unemployment Insurance (UI) benefits while in training. For workers who are not eligible for UI benefits, Government provides them with additional incentives to participate. Courses are free of charge.</t>
  </si>
  <si>
    <t xml:space="preserve">Vulnerable youth between the ages of 15 and 29 with a minimum of 8 years of schooling, out of school for at least a year and without a job at the time of the application. </t>
  </si>
  <si>
    <t xml:space="preserve">Participants training included technical skills (specific to the sector, manual skills and basic computer skills) and life skills (communication, leadership, self‐esteem, conflict resolution, decision‐making, and problem‐solving) and provided an stipend of KES 6,000 to youths (equivalent to US$70) and a subsidy to employers of KES 3,000 (equivalent to US$35). The program had a total duration of 6 months (3 months of training and 3 months of work experience).
Training. Classroom‐based training courses were provided by private training institutions and
consisted of three phases:
a) Life skills training (two weeks) aimed at strengthening life and other non‐cognitive skills
(such as conflict resolution and communication skills).
b) Core business training (five weeks) focused on communication, customer care,
entrepreneurship, basic computer use, and office practices, among others. Interns placed in
firms operating in the five formal sectors received the five weeks of training while interns
placed in the informal sector received three weeks of training coupled with a two‐week
module on entrepreneurship skills training.
c) Sector‐specific training to promote specific technical skills (five weeks) in each of the five
formal sectors. For interns placed in the Jua Kali sector, the training plan consisted of three
weeks of sector‐specific training supplemented by an additional two weeks of work
experience.
Work experience (12 weeks) in selected private firms. Employers were expected to provide on‐the job training and mentoring. In the Jua Kali sector, internships consisted of apprenticeship training by master craftsmen. The master craftsmen had to pre‐qualify to be eligible for the program by participating in skills upgrading developed by the relevant sector organization for the informal sector under KEPSA.
</t>
  </si>
  <si>
    <t xml:space="preserve">Women with an average age of 23 years (between 16 to 27) with at least complete primary education. The average participant was more educated, more literate, more likely to be engaged in an income-generating activity, and owns more assets than the average Liberian women of the same age group. </t>
  </si>
  <si>
    <t xml:space="preserve">The program combined six months of classroom-based technical and life skills training, with a focus on skills with high market demand, followed by six months of follow-up support to enter wage employment or start a business. The participants received training in one of the following areas: 1) hospitality, 2) professional cleaning / waste management, 3) office / computer skills, 4) professional house / office painting, 5) security guard services, and 6) professional driving.
The service providers held both morning and afternoon sessions; trainings were held in the communities where the girls reside; and every site offered free childcare. Staff from the program had unannounced monitoring visits to check the quality of the services and providers were awarded a bonus for each participants that they successfully place in a job.
</t>
  </si>
  <si>
    <t xml:space="preserve">The intervention targeted youth between the ages of 15 and 25 living in Morocco’s Oriental Region with basic literacy. </t>
  </si>
  <si>
    <t xml:space="preserve">The course provide a short but intensive training of around 100 hours. It included three primary modules (financial education, life and business skills) and youth were not able to opt in for any one specific component.
The first component focused on financial education providing participants (personal budgeting, savings, debt management, knowledge about banking services, and financial negotiations).
Second, the community engagement and life-skills component focused on improving personal competencies, problem solving, and conflict management. Built on role play and group work, the units aimed to help youth understand and manage emotions, develop confidence and assertiveness, manage and reduce stress, deal with problems and conflicts, and develop improved abilities to work with teams.
Third, the business and entrepreneurial skills component included exercises and role-play activities designed to allow them to assess their own abilities regarding business development, to conduct market research for a business idea, and to plan a business (including the development of a pricing strategy, how to evaluate costs, and how to determine profit margins).
</t>
  </si>
  <si>
    <t>Participants were 16 to 35 years old with less than 10 years of formal education and a self-reported non-farm per capita household income of less than 3000 Nepali rupees (NRs) per month or, in the case of farming families, less than 6 months of food sufficiency.</t>
  </si>
  <si>
    <t xml:space="preserve">Participants were able to select training in technical skills vary across a wide range of trades (e.g., incense stick rolling, carpentry, tailoring, welding and masonry). There were different providers: from formal technical education and vocational training (TEVT) institutions, public and private providers, to skilled artisans offering apprenticeships. The courses had a duration between four weeks to 3 months.
The providers received an outcome-based payment if the participants were employed.
</t>
  </si>
  <si>
    <t>Participants were able to select training in technical skills vary across a wide range of trades (e.g., incense stick rolling, carpentry, tailoring, welding and masonry)</t>
  </si>
  <si>
    <t>Households located in 24 communities in one of Nicaragua’s poorest municipalities. The household had at least one female member between 16 and 60 years old. More than 80% of the targeted households were estimated to live on average with less than US$2 per capita per day.</t>
  </si>
  <si>
    <t>The program included: (i) training on community organization and gender awareness, (ii) training in technical or business skills to develop or expand small-scale household enterprises, livestock, or agricultural activities of their choice, (iii) capital transfers in the form of cash, seeds, or livestock, and (iv) follow-up technical assistance. It offered each beneficiary between four and six training sessions. The weight or importance given to each part was dependent in the interest or specific needs of each person. The program had a cost of 602 USD.</t>
  </si>
  <si>
    <t>The program was implemented in six municipalities in the Northwest of Nicaragua, selected because they had been affected by a drought the previous year and had high prevalence of extreme rural poverty.</t>
  </si>
  <si>
    <t>It included a basic conditional cash transfer plus a scholarship for a vocational training. The beneficiary households that were randomly selected for the vocational training package were eligible for a scholarship that allowed one of the adult household members to choose among a number of vocational training courses offered in the main town of the municipality. The courses aimed at providing participants with new skills for income diversification outside of subsistence farming. The program had a cost of 470 USD per participant and a duration of 3 months.</t>
  </si>
  <si>
    <t xml:space="preserve">Unemployed adults in Norway. </t>
  </si>
  <si>
    <t>The programme is organized as off-the-job courses. Most of the courses are short, from 5 to 20 weeks. The courses are free of charge and all participants get a training allowance. The courses are provided by the employment service, often in co-operation with other public and private institutions. Vocational training dominates the course offerings, with a wide range of subjects and crafts covered. The average cost per participant was 860 USD.</t>
  </si>
  <si>
    <t>The beneficiaries were 16-24 year olds from poor households, with low levels of formal education, and none or minimum labor market experience, and underemployed, unemployed or out-of-the labor force at the time of the intervention.</t>
  </si>
  <si>
    <t>The program consisted in vocational training and had two main components. The first is a learning phase where training courses are directly provided by training centers for three months. The second is an internship phase at private firms where trainees acquire on-the-job experience; the internship has a length of three months during which the trainee receives a market wage paid by the internship firm. The training courses are selected by the participants during the application process.</t>
  </si>
  <si>
    <t>Unemployed workers and employed workers with risk of redundancy</t>
  </si>
  <si>
    <t>The pro gram goal was to train and retrain to reduce skill mismatch. The training for the unemployed took place predominantly in private training institutions while employed trainees did undergo retraining or further training at the firm that had approached the local employment office for financial support of these training measures. The average duration of training was 2.5 months.</t>
  </si>
  <si>
    <t>The program targeted youth with lower education levels and 90% of participants had less than secondary school education. Over 60 percent of participating youth were employed in some form of income generating activity. About a quarter of participating youth reported that they were employed (working for someone other than their family for wages) and a quarter were self-employed. The remaining working youth earned wages from a cooperative or by working for their family.</t>
  </si>
  <si>
    <t xml:space="preserve">The treatment consisted in classroom training and on-the-job training. Classroom training lasted five months and included work readiness component, training in business start-up and self-employment, technical training (hairdressing, hospitality, masonry, carpentry and welding). After that training, participants went into a three-month internship for the majority of the participants.  </t>
  </si>
  <si>
    <t xml:space="preserve">The participants were between 15 and 35 years old, with some secondary education and resided in one of the five urban areas where the program was implemented. </t>
  </si>
  <si>
    <t>The classroom based training included basic literacy and numeracy skills, training in a trade choose by the participant such as welding, catering, auto mechanics, solar engineering, catering and hotel management, electricity, electrical installation, tailoring and design, and building and construction. This phase had a duration of six months. The program provided on-the-job training for three months as apprentices with local master apprentices in small or large businesses related to their trades of choice. The program costed 600 USD per participant.</t>
  </si>
  <si>
    <t xml:space="preserve">Those eligible for training are mainly unemployed persons who are job seekers and
persons at risk of becoming unemployed. Both Swedish and foregin-born persons were eligible.
</t>
  </si>
  <si>
    <t>The public employment offices assigned job seekers to training courses. It estimates the effect of all vocational training programs in Sweden. There is no information about the type of program and median duration.</t>
  </si>
  <si>
    <t>The program targeted unemployed people and prioritized those individuals in a weak position in the labor market. Participant were between 25 and 55 years old and eligible for unemployment benefits.</t>
  </si>
  <si>
    <t xml:space="preserve">Vocational courses for adults are mainly offered as active labor market programs.
The content of the LMT is typically highly varied, with the five largest sectors represented
being technology and science, health care, administration, manufacturing and
service. 
</t>
  </si>
  <si>
    <t xml:space="preserve">The program was targeted to the general unemployed population (not just for disadvantaged youth). To be eligible to participate in the course, individuals had to be at least 15 years in age, with at least primary education, and meet other skill pre-requisites which depend on the course they wish to participate in (for example, software courses may require some pre-existing IT knowledge or skills). </t>
  </si>
  <si>
    <t>Participants choose training courses in a wide range of vocations. These programs average 336 hours over three months, are available for a wide range of subjects, and were offered by both private and public providers. The courses were provided free to the trainees, and the trainees receive a small stipend of 15 Turkish lira (US$10 in 2010) per day during the course period (which averages three months). Only the most popular courses were included in the evaluation in order to secure over-subscription and allow for randomization. The total cost to the government of providing a course was 2429 TL per person (US$1619).</t>
  </si>
  <si>
    <t xml:space="preserve">Adult program counselors meet with customers, provide active case management, and coordinate training. For each customer, the overarching goal is employment or enhancement within his or her occupation. Generally, Adult program customers work to increase their earnings, retain employment, and diversify their occupational skills.
The Adult program provides services through a network of 48 WorkForce Centers. Adult program counselors meet with customers, provide active case management, and coordinate training. In contrast to some other states, Minnesota tracks “core” services in a separate data system from “intensive” and “training” services; the participant group we use in this study excludes those who only received “core” services. </t>
  </si>
  <si>
    <t>Chen 2015</t>
  </si>
  <si>
    <t xml:space="preserve">Job Corps was established in 1964 under the Economic Opportunity Act with the purpose of providing
assistance to disadvantaged youths aged 16–24. It is an intense program with more than 110 centers
throughout the USA and offers academic, vocational, and social training, as well as health care,
counseling, and job placement services. To be eligible for Job Corps, applicants must meet several
criteria including, but not limited to, age, poverty status, citizenship, need for additional education
and training, and mental stability.
With the passing of WIA, JC formulated its current eligibility criteria. Applicants must meet the following criteria in order to be considered eligible for admission in JC: (1) be of age 16 to 24; (2) have registered with the selective service board if aged 18 or older; (3) have parental consent; (4) be a legal U.S. resident; (5) be economically disadvantaged1 ; (6) need additional education, training or job skills; (7) live in a disruptive environment; (8) have a clean health history; (9) be free of serious behavioral problems; (10) have an adequate child care plan and (11) possess the capability and aspirations to benefit from JC.
</t>
  </si>
  <si>
    <t>Job Corps (JC)</t>
  </si>
  <si>
    <t>"participants receive intensive vocational training, academic education, and a wide range of other services, including counseling, social skills training, and health education." Clases son en centros particulares que han ganado una licitación con el estado</t>
  </si>
  <si>
    <t>Chen 2017</t>
  </si>
  <si>
    <t>Davis 2017</t>
  </si>
  <si>
    <t>14-21, mean: 18.4</t>
  </si>
  <si>
    <t xml:space="preserve">The data cover both juvenile and adult arrests
from 2001 through two (2013 cohort) or three (2012 cohort) years post-random assignment.
Youth who have never been arrested will not be in the ISP records, so we assign zero arrests
for individuals not matched to the data.
The youth who benefit most on post-program employment are younger, more often
engaged in school, more Hispanic, more female, and less likely to have an arrest record
(though nearly a third of the biggest benefiters have been arrested prior to the program).
In other words, the youth who have the largest improvements in formal sector employment are not the disconnected youth whom employment programs typically target.
In the first year of the program, youth ages 14 - 21 were recruited from 13 Chicago public
high schools. To ensure that the study population was at risk of the key behavior of interest,
the schools were chosen because they had the highest number of youth at risk of violence
involvement in the city, as identified by a separate research partner. Program providers
encouraged all youth attending or planning to attend these schools to apply to the program,
marketing it as a summer jobs program with more work hours (and so more opportunity for
income) than Chicago’s standard summer programming. A total of 1,634 youth (about 13
percent of the prior year’s student population in these schools) applied for the 700 available
program slots.
</t>
  </si>
  <si>
    <t>One Summer Chicago Plus (OSC+)</t>
  </si>
  <si>
    <t xml:space="preserve">We then randomly selected 350 youth for the jobs-only treatment arm
and 350 for the jobs + SEL treatment arm. Both groups had an adult job mentor. The
remaining applicants were randomly ordered within blocks and treatment groups to form
a waitlist. When 30 treatment youth declined to participate, the ﬁrst 30 control youth (in
the same block and treatment group as the decliners) were o ered the program, for a total
treatment group of 730.
Youth could work for a total of 8 weeks10 at a range of employers in the non-proﬁt an government sectors. The jobs involved tasks such as supervising younger youth at summer
camps, clearing lots to plant a community garden, improving infrastructure at local schools,
and providing administrative support at aldermen’s o ces. Because of restrictions imposed
by a funder, there were no private sector jobs in this program year.
Because the school district lengthened
the 2013-14 school year, the shorter summer necessitated a 6-week instead of an 8-week
program, during which all youth received the SEL programming. Funding restrictions were
lifted, so private sector jobs were included. Eligibility was limited to youth ages 16-22 in
order to reduce the burden of obtaining work permits among 14- and 15-year olds. DFSS also
encouraged treatment youth to keep participating in programming o ered by the community
service agencies after the summer ended, which included a mix of additional SEL activities,
job mentoring, and social outings such as sporting events and DJ classes. These activities
were much lower intensity than the summer programming, and students received a small
stipend (about $200) rather than an hourly wage for participation. Because of the city’s
focus on violence reduction, DFSS also decided to limit the program to male youth.
in both
years treatment groups were offered a 6-8 week part-time summer job at minimum wage
($8.25/hour) along with a job mentor - a constantly-available adult to assist youth in learn
ing
to be successful employees and help them deal with barriers to employment.
Youth were offered
a 5 hour per day, 5 day per week summer job at minimum wage ($8.25 per hour). All youth
were assigned a job mentor - an adult to assist them in learning to be successful employees and
to help them deal with barriers to employment - at a ratio of about 10 to 1. Characteristics
of mentors varied: Some were staff at the program providers, some were college students
home for the summer, and some were temporary employees from the community. Mentors
participated in a one-day training (which has been revised and extended in later years of the
program) and were paid a salary. DFSS administered the program through contracts with
local non-profit agencies.
One hypothesis for why prior youth employment programs require lengthy intervention to
improve outcomes is that disadvantaged adolescents may lack the “soft skills” to benefit from
lower-intensity programming. To test whether targeting some of these skills could improve
the impact of the program, some youth also spent 2 of the 5 daily hours in a social-emotional
learning (SEL) curriculum based on cognitive behavioral therapy principles.8 The 2012 program explicitly tested the effects of replacing 2 daily hours of work with this curriculum
using two treatment arms; everyone in 2013 participated in both work and SEL.
The SEL curriculum varied somewhat by provider,9 but the lessons focused on emotional
and conflict management, social information processing, and goal setting. They aimed to
teach youth to understand and manage the aspects of their emotions and behavior that might
interfere with successful participation and employment (e.g., the inclination, not uncommon
among adolescents, to snap defensively at someone offering constructive criticism).
</t>
  </si>
  <si>
    <t>The program costs
about $3,000 per participant to administer and has an average net impact on earnings of
about $1,014 across both program years. Beneﬁt-cost comparisons for active labor mar-
ket programs generally treat program wages as a transfer from government to participants
(LaLonde, 2003; Mcconnell and Glazerman, 2001), which would leave $1,986 as administra-
tive costs.35</t>
  </si>
  <si>
    <t>in both
years treatment groups were offered a 6-8 week part-time summer job at minimum wage
($8.25/hour) along with a job mentor - a constantly-available adult to assist youth in learn
ing
to be successful employees and help them deal with barriers to employment.</t>
  </si>
  <si>
    <t>government</t>
  </si>
  <si>
    <t>Table A11</t>
  </si>
  <si>
    <t>private subsidized</t>
  </si>
  <si>
    <t>2hr soft skill training, 3h internship</t>
  </si>
  <si>
    <t>These agencies recruited applicants, offered participating youth a
brief training, hired the mentors, recruited employers, placed youth in summer jobs, provided
daily lunch and bus passes when appropriate, monitored youths’ progress over the course of
the summer, and if youth were fired, worked with them to find an alternative placement</t>
  </si>
  <si>
    <t>youth at risk</t>
  </si>
  <si>
    <t>The youth who benefit most on post-program employment are younger, more often
engaged in school, more Hispanic, more female, and less likely to have an arrest record</t>
  </si>
  <si>
    <t>treatment groups were offered a 6-8 week part-time summer job at minimum wage
($8.25/hour) along with a job mentor some youth also spent 2 of the 5 daily hours in a social-emotional
learning (SEL) curriculum based on cognitive behavioral therapy principles</t>
  </si>
  <si>
    <t>dollars</t>
  </si>
  <si>
    <t>Administrative (UI)</t>
  </si>
  <si>
    <t>log wages</t>
  </si>
  <si>
    <t>Non- Hispanic</t>
  </si>
  <si>
    <t>Butler 2012</t>
  </si>
  <si>
    <t>BT</t>
  </si>
  <si>
    <t>Butler 2012 i</t>
  </si>
  <si>
    <t xml:space="preserve">The study targeted TANF recipients who had received cash assistance for at least 12 months 
since 1997 (when Pennsylvania’s TANF program began) or who did not have a high school 
diploma or GED certificate, and who were not currently employed or participating in work 
activities. Recipients who met the study criteria were randomly assigned at four Philadelphia 
TANF offices into one of two program groups or a control group. Recipients who were as-
signed to one of the program groups were referred by TANF agency staff to their assigned 
program — TWC or STEP — and were required to participate. Control group members were 
encouraged, but not required, to participate in work or education activities (other than TWC and 
STEP). 
At study entry, sample members were 29 years of age, on average, and most were sin-
gle mothers. Just over 80 percent are black/non-Hispanic and about 14 percent are Hispanic. 
Many of the sample members had considerable barriers to employment, including low educa-
tion levels, limited employment history, and responsibilities caring for young children. About 
92 percent of the sample had been employed previously, but two-thirds had worked a year or 
less in the prior three years. On average, sample members had received 40 months of TANF 
benefits since 1997. </t>
  </si>
  <si>
    <t>7 different programs Hard-to-Employ (HtE) Demonstration and Evaluation Project (Transitional work corporation)</t>
  </si>
  <si>
    <t xml:space="preserve">The program focusing on pre-employment services, the Success Through Employment 
Preparation (STEP) program, was run by JEVS Human Services (previously Jewish Employ-
ment and Vocational Service), a nonprofit social service agency. Unlike TWC, STEP was 
developed specifically for this study and served only study participants. In the STEP program, 
outreach staff first conducted home visits to address issues that might keep individuals from 
participating. Once participants enrolled, the program began with an extensive assessment 
period to identify their barriers to employment and to develop an individualized treatment plan 
that included offering services such as life skills classes, GED preparation, support groups, 
counseling by behavioral health specialists, ongoing case management, and referrals to outside 
organizations for those with severe barriers. Once barriers had been addressed, participants 
worked with job developers to find jobs. </t>
  </si>
  <si>
    <t>. The analysis concluded that the 
cost of providing TWC services was about $3,500 per TWC group member</t>
  </si>
  <si>
    <t>After a two-week orienta-tion focusing on job-readiness skills, participants were placed in a transitional job, typically at a government or nonprofit agency. They were officially employed and paid minimum wage by TWC. Recipients were required to work 25 hours per week and to participate in 10 hours of professional development activities at TWC, such as job search and job-readiness instruction, preparation for the General Educational Development (GED) exam, and other classes</t>
  </si>
  <si>
    <t>Table 4.1</t>
  </si>
  <si>
    <t>menor a 25</t>
  </si>
  <si>
    <t>missing</t>
  </si>
  <si>
    <t>program for poor women with children</t>
  </si>
  <si>
    <t xml:space="preserve">The study targeted TANF recipients who had received cash assistance for at least 12 months since 1997 or who did not have a high school diploma or GED certificate, and who were not currently employed or participating in work activities. The study focuses on hard to employ individuals. Most program participants were single mother with an average age of 29 years and with considerable barriers to employment, including low education levels, limited employment history, and responsibilities caring for young children. </t>
  </si>
  <si>
    <t>The program started with a two-week orientation focusing on job-readiness skills. After that, participants were placed in a transitional job, typically at a government or nonprofit agency. They were officially employed and paid minimum wage by the program. Recipients were required to work 25 hours per week and to participate in 10 hours of professional development activities at the program, such as job search and job-readiness instruction, preparation for the General Educational Development (GED) exam, and other classes. The program also provided job retention services and bonus payments for six to nine months after participants obtained a permanent job.</t>
  </si>
  <si>
    <t>Butler 2012 ii</t>
  </si>
  <si>
    <t>7 different programs Hard-to-Employ (HtE) Demonstration and Evaluation Project (Success through employment preparation)</t>
  </si>
  <si>
    <t>At study entry, sample members were 29 years of age, on average, and most were sin-gle mothers. Just over 80 percent are black/non-Hispanic and about 14 percent are Hispanic. Many of the sample members had considerable barriers to employment, including low educa-tion levels, limited employment history, and responsibilities caring for young children. About 92 percent of the sample had been employed previously, but two-thirds had worked a year or less in the prior three years. On average, sample members had received 40 months of TANF benefits since 1997.</t>
  </si>
  <si>
    <t xml:space="preserve">The cost of providing STEP services was about $6,600 per 
STEP group member. </t>
  </si>
  <si>
    <t xml:space="preserve">However, despite the encouragement of staff, 
sample members did not participate in the program for many hours; on aver-
age, those who enrolled attended a total of 68 hours of activities at the pro-
gram site (plus, in some cases, other activities in the community). This trans-
lates into two to three weeks of full-time participation. </t>
  </si>
  <si>
    <t xml:space="preserve"> Once participants enrolled, the program began with an extensive assessment 
period to identify their barriers to employment and to develop an individualized treatment plan 
that included offering services such as life skills classes, GED preparation, support groups, 
counseling by behavioral health specialists, ongoing case management, and referrals to outside 
organizations for those with severe barriers. Once barriers had been addressed, participants 
worked with job developers to find jobs. </t>
  </si>
  <si>
    <t>case manager</t>
  </si>
  <si>
    <t>The program conducted home visits to potential participants to address issues that might keep them from 
participating. Once participants enrolled, the program began with an extensive assessment 
period to identify their barriers to employment and to develop an individualized treatment plan 
that included offering services such as life skills classes, GED preparation, support groups, 
counseling by behavioral health specialists, ongoing case management, and referrals to outside 
organizations for those with severe barriers. Once barriers had been addressed, participants 
worked with job developers to find jobs.</t>
  </si>
  <si>
    <t>Friedlander 1988</t>
  </si>
  <si>
    <t>DU</t>
  </si>
  <si>
    <t>Friedlander 1988 i</t>
  </si>
  <si>
    <t>Table 2.3</t>
  </si>
  <si>
    <t>Page 38 -40 &amp;  See page 64</t>
  </si>
  <si>
    <t>MDRC's Work / Welfare Study Baltimore</t>
  </si>
  <si>
    <t>Table 2.1 page 56
These programs required the participation of portions of the AFDC caseload which are mandatory under federal  WIN program regulations (primarily women whose youngest child is over 6).
Virginia enrolled its entire WIN mandatory caseload (page 8)
Baltimore enrolled both WIN mandatory applicants and recipients, but only recipients that just became mandatory. It provided a mixture of job search, unpaid work experience, education,  and training. page 55
Virginia enrolled its entire WIN mandatory caseload. Education and training were not provided by the program, participants were referred to JTPA and community schools open to all who qualified. Enrollees participated in training and education at the same rate as controls.</t>
  </si>
  <si>
    <t>Page 8 (150 to 1050), page 31, page 58
Table 2.7</t>
  </si>
  <si>
    <t>Page 8, 3 weeks + 13 weeks</t>
  </si>
  <si>
    <t>see table 2.1, components where given when judge appropiate</t>
  </si>
  <si>
    <t xml:space="preserve">The program was targeted to AFDC single parents (mostly women), with no children under the age of six, and no other barrier to work participation. </t>
  </si>
  <si>
    <t xml:space="preserve">The program provided a mix of components (including job search, unpaid work experience and training). Participants were assigned to components according to the assessment of case workers and the availability of slots. </t>
  </si>
  <si>
    <t>Friedlander 1988 ii</t>
  </si>
  <si>
    <t>MDRC's Work / Welfare Study Virginia</t>
  </si>
  <si>
    <t>Table 2.1 page 57
These programs required the participation of portions of the AFDC caseload which are mandatory under federal  WIN program regulations (primarily women whose youngest child is over 6).
Virginia enrolled its entire WIN mandatory caseload (page 8)
Baltimore enrolled both WIN mandatory applicants and recipients, but only recipients that just became mandatory. It provided a mixture of job search, unpaid work experience, education,  and training. page 55
Virginia enrolled its entire WIN mandatory caseload. Education and training were not provided by the program, participants were referred to JTPA and community schools open to all who qualified. Enrollees participated in training and education at the same rate as controls.</t>
  </si>
  <si>
    <t xml:space="preserve">The program implemented required job search for all participants, but work experience, education and training were used as follow up activities. Education and training were not provided by the program itself but by referral to existing training programs in the US (JTPA programs). </t>
  </si>
  <si>
    <t>Andrén 2004 i</t>
  </si>
  <si>
    <t>20-55, mean: 30</t>
  </si>
  <si>
    <t>Table I</t>
  </si>
  <si>
    <t>Our study continues in this tradition but differs in some aspects. First, we study
three different training cohorts; people who received training (i.e., participated in a
labor market program) during 1984-1985, 1987-1988, and 1990-1991; three two-year
periods. 
The sample is stratiﬁed into two parts: the ﬁrst is a 1 percent sample of the Swedish-born population and the second is a 10 percent sample of the foreign-born population
The two first cohorts of the Swedish born trainees have on average higher
educations while this difference changes in the third cohort, where the groups have a
similar educational level. Hence, at the beginning of the 1980s, when the
unemployment level was low, the more highly educated were selected (or
self-selected) into training to a larger extent than in the beginning of the 1990s
when the unemployment level was increasing. This might be a sign of a policy change
in the sense that instead of re-educating people with existing educations, the focus
turned to educating those with no or only lower levels of education. Another difference
that is more striking is that trainees on average have shorter earlier unemployment
spells the year before training compared to the non-trainees. This indicates that those
with shorter unemployment spells were selected into labor market training (either by
themselves or by the administrator). This difference remains the same for all three
cohorts."</t>
  </si>
  <si>
    <t>Our study continues in this tradition but differs in some aspects. First, we study
three different training cohorts; people who received training (i.e., participated in a
labor market program) during 1984-1985, 1987-1988, and 1990-1991; three two-year
periods</t>
  </si>
  <si>
    <t>DID-PSM</t>
  </si>
  <si>
    <t>Table XIV</t>
  </si>
  <si>
    <t xml:space="preserve">doesn´t state </t>
  </si>
  <si>
    <t>The study evaluates the effect of participation in any labor market training available in Sweden.</t>
  </si>
  <si>
    <t>Any job training program.</t>
  </si>
  <si>
    <t>Black 2003 i</t>
  </si>
  <si>
    <t>mean: 37</t>
  </si>
  <si>
    <t xml:space="preserve">"For claimants found to be eligible
for profiling, the Kentucky DES provides
CBER with data from the claimants’ intake
forms.4 CBER then provides local Department
of Employment Services’ offices with the profiling
scores of claimants in their area and the
list of those chosen to receive reemployment
services. Finally, those claimants selected to
receive reemployment services are contacted
through the mail to inform them of their rights
and responsibilities under the program.
Because of capacity constraints, local offices
at some times during the year are not able to
serve the entire population of claimants, making
it necessary to ration entry into the program.
CBER allocates program slots at each local
office, serving those claimants with the highest
profiling scores. In the marginal score group,
where there are enough slots to serve some but
not all claimants with a given score, CBER
randomly assigns persons to either a treatment
group required to participate in reemployment
services as a condition of continued UI receipt
or a control group exempt from this requirement.
We call these sets of claimants “profiling
tie groups,” or PTGs—groups of claimants in a
given office filing claims in a given week who
have the marginal profiling score for that office
in that week. This design differs from typical
experimental evaluations of employment and
training programs wherein all program applicants
are randomly assigned."
"Claimants predicted by
the profiling model to exhaust between 95 and
100 percent of their unemployment benefits receive
a score of 20, claimants predicted to exhaust
between 90 and 95 percent of their
unemployment benefits receive a 19, and so on.
The WPRS system was implemented in October
of 1994; we make use of UI spells starting
between that date and June 30, 1996."
</t>
  </si>
  <si>
    <t>Worker Profiling and Reemployment Services (WPRS)</t>
  </si>
  <si>
    <t>The Kentucky WPRS system begins with
claimants providing information about their employment
history and characteristics while filing
their claims. For claimants found to be eligible
for profiling, the Kentucky DES provides
CBER with data from the claimants’ intake
forms.4 CBER then provides local Department
of Employment Services’ offices with the profiling
scores of claimants in their area and the
list of those chosen to receive reemployment
services. Finally, those claimants selected to
receive reemployment services are contacted
through the mail to inform them of their rights
and responsibilities under the program. A copy
of the letter sent by the Department of Employment
Services appears as Exhibit 1 on the AER
web site (http://www.aeaweb.org/aer/contents/).
In the letter, the claimant is told:
You have been indentified as a dislocated worker and selected under the UI Claimant Profiling Program to receive job search assistance services. You are obligated under the law to participate. Failure to report or participate in reemployment services without justifiable cause may result in denial of your unemployment insurance benefits.
This program is designed to provide job search assistance services to those UI claimants identified as being most likely to need assistance in finding new employment. We will assess your needs and work with you to decide which services may
increase your chances of finding a good job. Services may include counseling, job search workshops, testing, job referral
and placement, or if needed, referral to more intensive services, such as training.
In the marginal score group,
where there are enough slots to serve some but
not all claimants with a given score, CBER
randomly assigns persons to either a treatment
group required to participate in reemployment
services as a condition of continued UI receipt
or a control group exempt from this requirement.
We call these sets of claimants “profiling
tie groups,” or PTGs—groups of claimants in a
given office filing claims in a given week who
have the marginal profiling score for that office
in that week. This design differs from typical
experimental evaluations of employment and
training programs wherein all program applicants
are randomly assigned.
Within ten working days following notification of the program, claimants selected for treatment report to a local office for an orientation where they learn about the program and complete a questionnaire. Using this information, Employment Services staff assesses the claimants and then refers them to specific services, such as assisted job search, employment counseling, job search workshops, and retraining programs.
Among those claimants who attended the orientation, 76.7 percent were referred to less expensive job search and job preparation activities. These less expensive services are also less intensive, typically consuming from four to six hours of claimant time. In contrast, only 13.8 percent were referred to (relatively) more expensive, and intensive, education and training programs</t>
  </si>
  <si>
    <t>11.93 USD per treated claimant</t>
  </si>
  <si>
    <t>Figure 1 (TIMELINE FOR TYPICAL UI CLAIMANT IN
KENTUCKY WPRS PROGRAM)</t>
  </si>
  <si>
    <t>Among those claimants who attended the orientation,
76.7 percent were referred to less
expensive job search and job preparation activities.</t>
  </si>
  <si>
    <t>hard to employ</t>
  </si>
  <si>
    <t>The evaluation targets UI recipients that were scored as highly likely to exhaust their UI benefits before finding a job. Those who are selected as treated individuals get a mandatory letter of training, otherwise they do not recieve UI benefits. When there are more treated individuals than slots, those who get the highest test scores get the treatment.</t>
  </si>
  <si>
    <t xml:space="preserve">The participation in the program was mandatory for UI recipients that were indentified as likely to exhaust UI benefits. The services included counseling, job search workshops, testing, job referral and placement, or if needed, referral to more intensive services, such as training. A case manager chose the specific activation measure in order to increase chances of finding a job.
Within ten working days following notification of the program, claimants selected for treatment report to a local office for an orientation where they learn about the program and complete a questionnaire. Using this information, Employment Services staff assesses the claimants and then refers them to specific services, such as assisted job search, employment counseling, job search workshops, and retraining programs.
Among those claimants who attended the orientation, 76.7 percent were referred to less expensive job search and job preparation activities. These less expensive services are also less intensive, typically consuming from four to six hours of claimant time. In contrast, only 13.8 percent were referred to (relatively) more expensive, and intensive, education and training programs
</t>
  </si>
  <si>
    <t>Centro de Microdatos 2008</t>
  </si>
  <si>
    <t>mean: 22</t>
  </si>
  <si>
    <t>Cuadro 2.25:</t>
  </si>
  <si>
    <t xml:space="preserve">De acuerdo a los Términos de Referencia del Programa ejecución 2005, para
OTEC adscritas al Registro Especial, los beneficiarios del programa en el
período 2005 debían cumplir las siguientes características:
• Ser de escasos recursos.
• Hombres y mujeres entre 20 y 30 años.
Personas mayores de 30 años sólo en el caso que carecieran de
educación media completa y mayores de 16 años y menores de 20
años con responsabilidad parental.
• Mínimo 8° básico u otro tipo de escolaridad equivalente.
• Ser preferentemente desertores escolares o con escolaridad
incompleta.
• Cesantes, que buscan trabajo por primera vez, trabajadores
dependientes de baja calificación laboral e independientes informales.
• No encontrarse cursando estudios en la educación formal (“a
excepción de aquellos que lo hagan en una modalidad que permita que
el joven logre un cumplimiento satisfactorio tanto de las actividades
educativas como de capacitación laboral”)
• No haber sido beneficiarios del programa previamente, a excepción de
los que pasen a una segunda etapa formativa.
Para fines de la presente evaluación se consideró como población potencial a
quienes, según la Encuesta Casen 2006, vivían en condiciones de pobreza.
Además, se aplicaron otras condiciones de elegibilidad definidas
explícitamente por el programa, es decir, población entre 20 y 30 años, que
como mínimo había cursado 8° básico u otra escolaridad equivalente, que no
se encontraba estudiando a la fecha de levantamiento, y se encontraba
desempleada u ocupada en un trabajo dependiente o independiente.
Asimismo, se utilizó como criterio el haber residido en el año 2006 en alguna
de las regiones donde Sence financió cursos de formación en oficios a través
del Programa Especial de Jóvenes. En el año 2006 los beneficiarios
potenciales del Programa eran aproximadamente 101 mil personas, de los
cuales 44 por ciento eran mujeres y 56 por ciento eran hombres.
Para fines del presente estudio se estimó la población objetivo como aquellas
personas que formaban parte de la población potencial, pero además no
habían completado la educación media (científico humanista o técnico
profesional), según Casen 2006. En el año 2006 la población objetivo del
Programa era aproximadamente 39 mil personas, entre quienes 35 por ciento
eran mujeres y 65 por ciento eran hombres.
Se consideraron beneficiarios efectivos del Programa todos quienes fueron
“atendido(s) por el programa”6, en el horizonte de evaluación. Se definió
como beneficiarios totales a la suma de beneficiarios inscritos más
reemplazantes, pues los denominados reemplazados desertaron del
Programa antes de alcanzar el 20% de asistencia a clases (y, por lo tanto, no
fueron sujeto de pago para el CPC que los seleccionó).
</t>
  </si>
  <si>
    <t>Programa de Formación en Oficios para Jóvenes de Escasos Recursos</t>
  </si>
  <si>
    <t>El objetivo general del programa de capacitación laboral, es mejorar las
condiciones de empleabilidad de los beneficiarios, a través de acciones de
capacitación, con experiencia laboral o asistencia técnica”4. El Programa se en empresas, la fase asistencia técnica y la fase de seguimiento.
La Fase Lectiva
Es la etapa de formación, la que se desarrolla tanto en aulas como en talleres
prácticos. La extensión definida para esta etapa no puede ser mayor a 500
horas por alumno. Del total de horas de la fase lectiva, 88 horas deben
dedicarse a la formación y reforzamiento de habilidades para el trabajo a
través del Módulo de Formación para el Trabajo, el Módulo de Formación
para la Empleabilidad y el Módulo de Nuevas Tecnologías de la Información.
La Fase Experiencia Laboral en Empresas
La fase de experiencia laboral, pretende facilitar la inserción laboral de los
jóvenes y proporcionarles el acceso a una experiencia de trabajo concreta.
Su duración es de 384 horas. Los ejecutores tienen un plazo de 15 días
hábiles incorporar a los alumnos a las prácticas laborales, una vez terminada
la fase lectiva de los alumnos.
La duración de esta práctica laboral es de aproximadamente de dos meses, y
debe contemplar la asistencia técnica al beneficiario durante el desarrollo de
esta fase. Se debe considerar la realización de actividades individuales o
grupales, de manera de orientar a los beneficiarios en el periodo que
desarrollen su experiencia laboral.
La Fase Asistencia Técnica
Esta etapa dirigida a los alumnos de los cursos de la modalidad
independiente, tiene como objetivo “orientar a resolver los problemas
técnicos y productivos específicos del trabajador independiente, que
constituyan un obstáculo para su desarrollo y crecimiento”.
Esta etapa debe iniciarse a más tardar 15 días hábiles después de finalizadas
las horas de capacitación, con una duración de 24 horas por beneficiario
distribuidas en seis meses.
La Fase de Seguimiento
Durante esta fase, los OTEC deben recolectar la información de la situación
laboral de sus egresados 6 meses después de su egreso del programa de
formación en oficios.
La oferta de capacitaciones se incrementó en el año 2005 respecto a los años
anteriores, este aumentó se registró en los cupos más no en la oferta de
cursos. En total se oferto 79 cursos y 1675 cupos. El 65% de los cupos
estuvieron concentrados en la Región Metropolitana. Sólo 5 de los cursos
estuvieron orientados a la modalidad independiente
El número de OTEC participantes en el PEJ se ha reducido significativamente
de 14 en el año 2003 a 9 en el año 2006. Esta reducción al parecer tendría
dos explicaciones: las exigencias del Sence de que los OTEC cumplan con
determinados estándares y las restricciones que enfrentas los OTEC al estar
en el registro especial que limitan la actividad de los OTEC.</t>
  </si>
  <si>
    <t>see Cuadro 5.4
between 900 and 1200 thousand of chilean pesos, 2005</t>
  </si>
  <si>
    <t>500 hours of technical training (including 84 of JSA) + 384 of internship</t>
  </si>
  <si>
    <t>Cuadro 2.26, Cuadro 2.27</t>
  </si>
  <si>
    <t>some class, some OJT</t>
  </si>
  <si>
    <t>Targets poor individuals between 20-30 years old with incomplete basic education</t>
  </si>
  <si>
    <t xml:space="preserve">There were two treatment arms, one for employees and the other one for independent workers. There were three components in the program, but not all participants took all components. The first component was a learning phase with a duration of 500 hours. The second component was an internship with a duration of 384 hours (two months). The third component was for participants that classified themselves as independent workers, and consisted in technical advice for the entrepreneur for a duration of 24 hours distributed in 6 hours. </t>
  </si>
  <si>
    <t>Centro de Microdatos 2006</t>
  </si>
  <si>
    <t>mean: 32.1</t>
  </si>
  <si>
    <t>Cuadro 6.2</t>
  </si>
  <si>
    <t>Cuadro 2.4:</t>
  </si>
  <si>
    <t>Giorgi 2005 i</t>
  </si>
  <si>
    <t>UK</t>
  </si>
  <si>
    <t>Missing</t>
  </si>
  <si>
    <t>targeted at 18- to 24-year-old
unemployed people.
The NDYP is the major welfare-to-work programme in the UK targeted
at 18- to 24-year-old unemployed people receiving jobseeker’s allowance
(JSA) for at least six months.1 About 1 million young Britons, 75 per cent of
whom were male, had been involved in the programme by December 2003
(since January 1998). The age limits for eligibility were established
according to the financial feasibility of the policy, while targeting the
programme at young people. The upper age limit of 24 was chosen for
financial reasons; before the policy was implemented, some cost simulations
were performed defining such a boundary rather than a slightly higher or
lower age. 
The eligibility rules present a sharp discontinuity in the participation
function. Only jobseekers younger than 25 by the time they reach the end of
the sixth month of unemployment are eligible for treatment and, given the
mandatory nature of the policy, they are forced into the programme if they
are to retain their benefit. This particular feature allows, consistent with the
regression discontinuity design approach (Thistlethwaite and Campbell,
1960; Hahn, Todd and van der Klaauw, 2001), the identification of the
programme effect under a minimal set of assumptions. The estimation relies
on ordinary least squares (OLS), where different specifications are
presented with increasing flexibility. In a companion paper, De Giorgi
(2005), the estimation is performed non-parametrically by local linear regressions. The approach followed there is more in line with the nonparametric
nature of the identification strategy arising from a regression
discontinuity design. That work focuses on the detailed analysis of the
policy, as well as on possible indirect effects, while presenting interesting
results on the performance of different estimators in a regression
discontinuity design framework.</t>
  </si>
  <si>
    <t>The New Deal for Young People (NDYP)</t>
  </si>
  <si>
    <t xml:space="preserve">The NDYP is a mandatory2 multistage programme, with a first 
part (the Gateway) devoted to intensive job search, followed (if 
unsuccessful) by an option and eventually by a Follow-Through period 
(similar to the Gateway, but shorter). The natural aim of the programme is to 
enhance employability at both the extensive (finding a job) and intensive 
(high-quality long-lasting employment) margins, while acquiring skills and 
motivation. 
Following a period of six months6 in 
‘open’ unemployment, 18- to 24-year-olds (JSA recipients) are forced into 
the programme in order to be still eligible for the benefit. It is therefore a 
mandatory policy administered to everyone in the UK who, after six months 
of unemployment, is aged between 18 and 24. The aim of the policy is to 
move individuals off welfare and back to work. It has been structured to take 
into account different types of unemployed people with different degrees of 
disaffection to the labour market, ranging from simple difficulties in finding 
a match due to lack of effort or to wrongly addressed job-search processes, 
to basic skills problems or discouragement. The idea was to have a flexible 
policy able to cope with specific needs, providing at the same time a 
significant sanction for non-compliers. Before the NDYP was implemented, 
very weak requirements were imposed on the unemployed so that they could 
receive JSA in principle indefinitely. 
The first part of the treatment (the Gateway period) is devoted to 
intensive job-search assistance and some basic skills training – for example, 
CV writing. Participants are obliged to meet a personal mentor once every   
two weeks and report and prove the actions taken in order to gain 
employment. Such actions typically consist of applications, direct contact 
between possible employers and caseworker, etc. 
During the Gateway period, the participant receives benefit equal to the 
JSA (about £40 per week). If a regular job is not found during the Gateway, 
a second phase follows: Options. On the basis of personal considerations, 
and given individual characteristics, the caseworker and the participant 
agree on the option to be taken.7 The Options period can last from 6 to 12 
months (for full-time training or education). Common practice among units 
of delivery (see Blundell et al. (2004)) was to try to place the unemployed 
person in a subsidised job during the second month of treatment. In the case 
of subsidised employment, the treated person receives the salary paid by the 
employer, who gets, for a maximum of six months, a subsidy of £60 per 
week plus £750 as a one-off payment for the compulsory (minimum) one-
day-a-week training he has to provide.8 The second option – education or  
training – is targeted at youths lacking basic skills and it can last up to 12 
months. While attending such courses, the unemployed person receives 
benefit identical to the JSA. The third option is that of a voluntary sector job 
where the participant receives at least as much as the JSA plus £400 spread 
over the six months. The same monetary treatment is granted in the fourth 
option – the Environmental Task Force – which is basically a governmental 
job. This option is intended to be the last possible placement. Participants 
are allocated to the last two options in the third and fourth months of the 
Gateway. Eventually, a third phase follows: the Follow-Through, which is 
essentially a maximum of 13 weeks similar to the initial Gateway. It consists 
of intensive job search as well as training courses to maintain the skills 
acquired during the Options period. </t>
  </si>
  <si>
    <t>The annual cost ofJSA (£2,080) for all those on New Deal options (to
calculate the benefit savings).</t>
  </si>
  <si>
    <t>"Participants are obliged to meet a personal mentor once every two weeks and report and prove the actions taken in order to gain
employment
The Options period can last from 6 to 12
months (for full-time training or education)"
4 months of intensive JSA, followed by training (either in class or OJT) that can last between 6 to 12 months</t>
  </si>
  <si>
    <t>RDD</t>
  </si>
  <si>
    <t>6-12</t>
  </si>
  <si>
    <t>missings</t>
  </si>
  <si>
    <t>none, force program</t>
  </si>
  <si>
    <t xml:space="preserve">The program targeted 18 to 24-year-old unemployed people receiving jobseeker’s allowance 
(JSA) for at least six months. The age limits for eligibility were established according to the financial feasibility of the policy, while targeting the programme at young people. 
</t>
  </si>
  <si>
    <t xml:space="preserve">The program was a mandatory policy administered to everyone in the UK who, after six months of unemployment, is aged between 18 and 24. The first part is devoted to intensive job search, followed (if unsuccessful) by an option (subsidized job, training, voluntary work). 
The first part of the treatment (the Gateway period) is devoted to intensive job-search assistance and some basic skills training – for example, CV writing. Participants are obliged to meet a personal mentor once every two weeks and report and prove the actions taken in order to gain employment.  If a regular job is not found during the Gateway, a second phase follows: Options. On the basis of personal considerations, and given individual characteristics, the caseworker and the participant agree on the option to be taken. The Options period can last from 6 to 12 months (for full-time training or education). Common practice was to try to place the unemployed person in a subsidised job during the second month of treatment. In the case of subsidised employment, the treated person receives the salary paid by the 
employer, who gets, for a maximum of six months, a subsidy of £60 per week plus £750 as a one-off payment for the compulsory (minimum) one-day-a-week training he has to provide.8 The second option – education or  training – is targeted at youths lacking basic skills and it can last up to 12 months. The third option is that of a voluntary sector job where the participant receives at least as much as the JSA plus £400 spread over the six months. The same monetary treatment is granted in the fourth option – the Environmental Task Force – which is basically a governmental job. This option is intended to be the last possible placement. Participants 
are allocated to the last two options in the third and fourth months of the Gateway. Eventually, a third phase follows: the Follow-Through, which is essentially a maximum of 13 weeks similar to the initial Gateway. It consists of intensive job search as well as training courses to maintain the skills acquired during the Options period. 
</t>
  </si>
  <si>
    <t>De Giorgi 2005</t>
  </si>
  <si>
    <t>Van Reenen 2003</t>
  </si>
  <si>
    <t>Table 11.7, Table 11.6</t>
  </si>
  <si>
    <t>Graversen 2008 ii</t>
  </si>
  <si>
    <t>Graversen 2008 i</t>
  </si>
  <si>
    <t>&lt;30 to 50+</t>
  </si>
  <si>
    <t>To assess the effectiveness of an
activation program two Danish counties – Storstrøm County
and South Jutland County each with approximately 250,000
inhabitants – participated in a field experiment.
In the experiment half of the newly unemployed UI benefit
recipients who registered themselves as unemployed at the
Public Employment Service (PES) during the period from
November 1, 2005 to February 28, 2006, were assigned to an
activation program.</t>
  </si>
  <si>
    <t>Quickly Back to Work (QBW)</t>
  </si>
  <si>
    <t>In the experiment half of the newly unemployed UI benefit
recipients who registered themselves as unemployed at the
Public Employment Service (PES) during the period from
November 1, 2005 to February 28, 2006, were assigned to an
activation program.
The individuals constituting the treatment
group of the experiment were all born between the 1st and the
15th of a given month. The other half of the newly unemployed UI benefit recipients received the normal services from the PES.
These individuals constituting the control group were born on
the 16th or a later day of a given month. Since selection into
treatment or control group is based on birth dates within a given
month and there is no reason to think that the timing of birth
within a particular month is related to job finding rates, the
experiment is truly random.
After 5–6 weeks of unemployment individuals had to
participate in a two-week job search program. After that the
individuals had to attend meetings once a week or once every
second week. The purpose of the meetings was to assist individuals
in their job search and to monitor their job search
efforts. The individuals could also receive job offers mediated
by the PES. After 4 months of unemployment individuals had to
participate in an activation program with a duration of at least
3 months. Individuals who did not find a job after 6–7 months
had to participate in a longer meeting with a case worker and a
new job plan was made containing a description of the activities
to improve the chances of finding a job.</t>
  </si>
  <si>
    <t>The procedure used in the experiment was as follows. When
an individual notified the PES that he/she was unemployed,
within 1.5 weeks the individual received a letter saying that he/
she was selected to participate in the program. The letter also
gave a short description of the activities contained in the program.
After 5–6 weeks of unemployment individuals had to
participate in a two-week job search program. After that the
individuals had to attend meetings once a week or once every
second week. The purpose of the meetings was to assist individuals
in their job search and to monitor their job search
efforts. The individuals could also receive job offers mediated
by the PES. After 4 months of unemployment individuals had to
participate in an activation program with a duration of at least
3 months. Individuals who did not find a job after 6–7 months
had to participate in a longer meeting with a case worker and a
new job plan was made containing a description of the activities
to improve the chances of finding a job.</t>
  </si>
  <si>
    <t>Newly unemployed UI benefit recipients in two Danish counties. Those who were born the first 15 days of a given month were treated.</t>
  </si>
  <si>
    <t>Half of the newly unemployed UI benefit recipients were assigned to treatment. After 5–6 weeks of unemployment individuals had to participate in a two-week job search program. After that the individuals had to attend meetings once a week or once every_x000D_
second week. The purpose of the meetings was to assist individuals in their job search and to monitor their job search efforts. The individuals could also receive job offers mediated by the unemployment agency. After 4 months of unemployment individuals had to participate in an activation program with a duration of at least 3 months. Individuals who did not find a job after 6–7 months had to participate in a longer meeting with a case worker and a new job plan was made containing a description of the activities to improve the chances of finding a job.</t>
  </si>
  <si>
    <t>Holistic</t>
  </si>
  <si>
    <t>Martins 2014</t>
  </si>
  <si>
    <t>Portugal</t>
  </si>
  <si>
    <t>As indicated above, and crucially for identiﬁcation purposes, the programme was targeted
at speciﬁc groups of unemployed individuals. These groups were the UBRs of a certain
age range (45 or above) or of a certain unemployment beneﬁt (UB) duration range (six
months or more). These criteria establish clear diﬀerences in programme eligibility across UB
duration levels, which we explore through a fuzzy regression discontinuity approach (Lee &amp;
Lemieux 2010). In particular, in this paper we focus on those aged 44 or less that are targeted
exclusively by the UB duration criteria. We then study the eﬀects of the programme in terms
of reemployment and other outcome variables on UBRs unemployed for six months or more
in comparison with UBRs employed for less than six months.
"Two speciﬁc groups were considered, namely UBRs aged 45 or older, and UBRs unemployed
for at least six months. These two groups were seen to be of greater interest in terms of a more
intense activation work to be delivered by the PES. Moreover, from an operational perspec-
tive, the Convocat´orias programme was implemented gradually, given capacity restrictions
across jobcentres, in some cases also involving a greater priority to meetings with UBRs of
lower schooling levels. In this paper, we focus exclusively on the second group (subsidised
unemployment spells of six or more months), in particular UBRs with unemployment spells of
between 1 and 12 months and not older than 44. The latter restriction ensures that we focus
exclusively on the UBRs only subject to the six-month stream of Convocat´orias."</t>
  </si>
  <si>
    <t>Convocatorias</t>
  </si>
  <si>
    <t>Following the meetings, and
depending on the speciﬁc individual assessment conducted by their caseworkers, including fur-
ther monitoring of the job search eﬀorts, the targeted unemployed would be directed towards
active labour market measures, including counselling, traineeships, job subsidies, training, or
workfare. Some unemployed would also be directed towards job interviews, if good matches
with available vacancies were found. The introduction of Convocat´orias also corresponded to
a shift in the activation work of the public employment service, towards greater eﬀort targeted
at those registered with the public employment service for longer periods of time, including
unemployment beneﬁts recipients
The programme studied in this paper, Convocat´orias, is one of such measures. The pro-
gramme is based on the requirement that the Portuguese PES (IEFP, Instituto do Emprego
e Forma¸c˜ao Proﬁssional) calls up all UBRs of speciﬁc proﬁles for meetings with caseworkers
in jobcentres. Moreover, the programme allows jobcentres to establish the content of the meeting and their follow-up, subject to the broad guidelines that the PES should take actions
that can activate UBRs and increase their rates of transition to employment. In terms of the
terminology we introduced in Section 2, Convocat´orias strengthened both the extensive and
intensive margins of activation, by widening the range of UBRs subject to jobcentre meetings
and by increasing their involvement in ALMPs, respectively.
In practical terms, the content of the initial meetings and their follow-up actions were var-
ied, depending on the speciﬁc proﬁle of each unemployed individual. In general, the jobcentres
monitored the jobsearch eﬀort exerted by the UBR and updated their records regarding the
proﬁle of the UBR with a view to facilitating matches with available vacancies. In several
occasions, the UBR’s personal employment plan, which sets requirements such as a minimum
number of monthly job applications to be sent by each person, were also updated. Moreover,
depending on the speciﬁc proﬁle of each individual, the jobcentre would conduct a num-
ber of additional actions. These included jobsearch counselling, job interviews participation
requirements, training, self-employment support, and workfare or traineeship placements.
An additional important aspect concerns the UBR proﬁles targeted by the programme.
Two speciﬁc groups were considered, namely UBRs aged 45 or older, and UBRs unemployed
for at least six months. These two groups were seen to be of greater interest in terms of a more
intense activation work to be delivered by the PES. Moreover, from an operational perspec-
tive, the Convocat´orias programme was implemented gradually, given capacity restrictions
across jobcentres, in some cases also involving a greater priority to meetings with UBRs of
lower schooling levels. In this paper, we focus exclusively on the second group (subsidised
unemployment spells of six or more months), in particular UBRs with unemployment spells of
between 1 and 12 months and not older than 44. The latter restriction ensures that we focus
exclusively on the UBRs only subject to the six-month stream of Convocat´orias. The group
of unemployed aged 45 or older is more challenging to examine, at least based on a regression
discontinuity approach as the one used here, given that the unemployed that register when
they are 45 or older are typically entitled to longer unemployment beneﬁt provision</t>
  </si>
  <si>
    <t>more than 6 and less than 12 month in UB</t>
  </si>
  <si>
    <t>Fuzzy RD</t>
  </si>
  <si>
    <t>The target population of the study are unemployed people with unemployment spells of between 1 and 12 months and not older than 44.</t>
  </si>
  <si>
    <t xml:space="preserve">All unemployment beneﬁts recipients (UBR) were required to attend specific meetings with caseworkers in jobcentres. The program allows jobcentres to establish the content of the meeting and their follow-up in order to take actions that increase the rate of transition to employment. In general, the jobcentres monitored the job search eﬀort exerted by the UBR and updated their records regarding the proﬁle of the UBR with a view to facilitating matches with available vacancies. In several occasions, the UBR’s personal employment plan, which sets requirements such as a minimum number of monthly job applications to be sent by each person, were also updated. Moreover, depending on the speciﬁc proﬁle of each individual, the jobcentre would conduct a number of additional actions. These included job search counselling, job interviews participation requirements, training, self-employment support, and workfare or traineeship placements. </t>
  </si>
  <si>
    <t>Freedman 1996</t>
  </si>
  <si>
    <t>1988-1990</t>
  </si>
  <si>
    <t>Table 1.2 complementary paper</t>
  </si>
  <si>
    <t xml:space="preserve">"This paper summarizes the latest findings on the effectiveness of California's Greater Avenues for 
Independence (GAIN) Program, a statewide initiative aimed at increasing the employment and self- 
sufficiency of recipients of Aid to Families with Dependent Children (AFDC), the nation's major 
cash welfare program. GAIN'S effects are estimated for a sample of 33,000 persons from six 
counties -- including single parents (AFDC-FGs) and unemployed heads of two-parent households 
(AFDC-Us) -- who entered the program between early 1988 and mid-1990. Each sample member 
was then assigned at random to either an experimental group, who were required to participate in 
GAIN, or to a control group who were precluded from the program but could seek other services in 
their community. The paper compares average earnings and AFDC payments for each group over a 
five-year follow-up, beginning with the first quarter after random assignment (i.e., from quarters 2 
through 21). Differences in average earnings and AFDC payments for each group represent the 
effects, or impacts, of GAIN.
The counties also varied in ethnic and racial composition. Whites made up almost h e entire 
AFDC-FG sample in Butte and slightly more than half the sample in Riverside and Tulare. In 
contrast, African-Americans predominated among AFDC-FGs in Alameda and made up the largest 
percentage of sample members in Los Angeles (about 45 percent; most of the other sample 
members in Los Angeles were of Hispanic origin). In San Diego. whites represented about 40 
percent of the AFDC-FG sample, with the remainder of the sample more or less evenly divided 
among Hispanics and African-Americans. Hispanics comprised at least a quarter of the sample in 
Los Angeles, Riverside, San Diego, and Tulare. In general, the AFDC-U samples included 
smaller percentages of whites and African-Americans and larger percentages of persons of Hispanic and Indochinese ethnicity. Most notably, nearly 60 percent of AFDC-Us in Los Angeles were of 
Indoclunese origin, primarily members of refugee families from Vietnam. 
"Impact results are presented for 22,791 (AFDC-FG) single heads of household and 10,142
unemployed heads of two-parent (AFDC-U) households who entered the GAIN program in
Alameda, Bune, Los Angeles, Riverside, San Diego, and Tulare Counties between March 1988
and June 1990
In all counties, women comprised the overwhelming majority of AFDC-FGs, whereas men
predominated among AFDC-Us. With some exceptions, the AFDC-FG sample was limited to
parents whose youngest child was at least six years old at the time of random assignment.
Otherwise, sample members in the six counties differed in important ways. For instance, in four
counties, the research sample included recently-approved applicants for AFDC, as well as ongoing
recipients, whereas Alameda and Los Angeles limited intake into the GAIN program (and into the
research sample) to long-term AFDC recipients."
</t>
  </si>
  <si>
    <t>California's Greater Avenues for
Independence (GAIN)</t>
  </si>
  <si>
    <t>Under the GAIN program model that operated in all six counties during most of the follow-up,
enrollees were tested on reading and math skills during their orientation meeting. Those who scored
below minimum levels on either exam, did not complete high school or receive a GED degree, or
who were not proficient in English were determined to be in need of basic education and usually
assigned to classes in Adult Basic Education, GED preparation, or English as a Second Language.
Enrollees determined not to need basic education were most often assigned to job search activities.
California's decision to offer basic education services for AFDC recipients on an unprecedented
scale is in sharp contrast to many recent state-wide welfare-to-work initiatives which emphasize
short-term job search activities. For this reason, the longer-term results of the GAIN program are
of particular interest and provide a benchmark against which results from these alternative strategies
can be measured. As with any welfare-to-work program that stresses longer-term skill building
activities, it is expected that many of the positive effects of the program will be seen in later years
in the form of more stable employment, higher earnings, and lower incidence of AFDC receipt for
AFDC recipients exposed to the program.</t>
  </si>
  <si>
    <t xml:space="preserve"> For the single-parent sample in all six
counties combined, over a five-year period, county welfare departments were estimated to have spent
an average of $2,899 per experimental, about 60 percent of which was for case management functions.
In addition, schools and other non-welfare agencies spent $1,515 per experimental to provide education
and training instruction as part of the GAIN program, bringing the total cost of GAIN to $4,415 per
experimental</t>
  </si>
  <si>
    <t>Table 2.3 of complementary paper. 
For those who took basic education: 12 months.
For those who took training: 10 months</t>
  </si>
  <si>
    <t>Riccio 1994</t>
  </si>
  <si>
    <t>Under the GAIN program model that operated in all six counties during most of the follow-up,
enrollees were tested on reading and math skills during their orientation meeting. Those who scored
below minimum levels on either exam, did not complete high school or receive a GED degree, or
who were not proficient in English were determined to be in need of basic education and usually
assigned to classes in Adult Basic Education, GED preparation, or English as a Second Language.
Enrollees determined not to need basic education were most often assigned to job search activities.</t>
  </si>
  <si>
    <t>single mothers under AFDC</t>
  </si>
  <si>
    <t>The program was targeted aimed at increasing the employment and self- 
sufficiency of recipients of Aid to Families with Dependent Children (AFDC). It was composed by 45% African Americans and the rest is mostly Hispanic.</t>
  </si>
  <si>
    <t xml:space="preserve">Enrollees were initially assigned to some type of skill building activity, which depended on the level of education of the individuals and according to case manager criteria. The activities available to the participants were Adult Basic Education classes, English as a Second Language, vocational training or employment-oriented skills courses at local community colleges. </t>
  </si>
  <si>
    <t>Geckeler 2017</t>
  </si>
  <si>
    <t>Exhibit II-2</t>
  </si>
  <si>
    <t xml:space="preserve">he LARCA program provided chronically absent and dropout youth, ages 
16 to 24, with education, training and employment services, alongside case management and 
other supportive services, using a career pathways model
 Program group members were
enrolled in the program and control group members were referred to other programs and
services in the community. 
a candidate had to be 
• 16 to 24 years old;
• a resident of Los Angeles County;
• a high school dropout or student designated as “chronically absent” and performing 
below grade level (the latter designation was added by EWDD in August 2014); and
• low-income, eligible to work in the United States, and otherwise eligible for WIA youth 
services.18 </t>
  </si>
  <si>
    <t>Los Angeles Reconnections Career Academy (LARCA)</t>
  </si>
  <si>
    <t xml:space="preserve">The following is a summary of LARCA program services.
• LARCA participants had access to robust secondary education services. Providersoffered tutoring services and worked to re-enroll participants in programs leading to ahigh school diploma or equivalent certification.
• Providers placed participants into construction, green technology, and health caretraining. Training providers included the LARCA providers themselves, proprietarytraining programs, and public and private colleges and universities. Training programsoffered the possibility of earning college credit and industry recognized credentials.
• Providers helped participants enroll in postsecondary education at local colleges,especially Los Angeles Community College District (LACCD) colleges. Participantsenrolled in LACCD colleges as part of the LARCA program’s vocational trainingcomponent, but also to complete additional training or other college-level courses.
• Program group members received employment services from the LARCA program.Program group received paid work experiences and employment search and placementservices, provided or arranged by the LARCA program.
• The LARCA program provided participants with a variety of services designed tosupport education, training, and employment services. Program services included casemanagement, assessments, supportive services, financial literacy training, and workreadiness training.
Vocational training introduced LARCA program participants to the in-demand fields of healthcare, construction, and green technology, with different providers offering different types of training. Some providers focused on one area of study. For example, YO! Watts provided trainings solely in the field of healthcare. Others offered a range of program areas. YPI San Fernando offered programs in construction, conservation, healthcare, and child development. Exhibit IV-I describes each provider’s vocational training program, indicating the organization that provided the training and the type of training program it offered.
</t>
  </si>
  <si>
    <t>LARCA program cost
$10,193,778
1,066
$9,563</t>
  </si>
  <si>
    <t>Program enrollment lasted 22 months from January 2013 through October 2014 and the program operated in full until October 2015, offering follow-up services to completed participants up through April 2016.</t>
  </si>
  <si>
    <t>Exhibit V-1</t>
  </si>
  <si>
    <t>to attend to meetings</t>
  </si>
  <si>
    <t xml:space="preserve">The program's participants were 16 to 24 years old, high school dropouts or students designated as “chronically absent” and performing below grade level and low-income, eligible to work in the United States, and otherwise eligible for youth services. _x000D_
</t>
  </si>
  <si>
    <t>The following is a summary of LARCA program services.
• Tutoring services and worked to re-enroll participants in programs leading to a high school diploma or equivalent certification.
• Providers placed participants into construction, green technology, and health caretraining. 
• Providers helped participants enroll in postsecondary education at local colleges,especially Los Angeles Community College District (LACCD) colleges. 
• Program group received paid work experiences and employment search and placement services, provided or arranged by the LARCA program.</t>
  </si>
  <si>
    <t>Quint 1994</t>
  </si>
  <si>
    <t>16-22, mean: 18.8</t>
  </si>
  <si>
    <t>offered comprehensive education,
training, and assistance to teenage mothers who had dropped out of
high school.
New Chance targeted young mothers aged 16 to 22 who gave birth as
teenagers and were receiving welfare
New
Chance was developed specifically for a highly disadvantaged subgroup of high school dropouts. This
target population typically faces a number of formidable barriers to achieving economic self-
sufficiency, including low levels of basic skills, a lack of education credentials, limited work experience, the risk of early subsequent childbearing, and a variety of personal and family problems.
New Chance was designed as a comprehensive intervention that could address many of these barriers.
Mothers 16 to 22 years old who: (1) first gave birth at age 19 or younger; (2) receive AFDC; (3) do not
have a high school diploma or GED; and (4) are not pregnant when they enter the program.</t>
  </si>
  <si>
    <t>The New Chance Demonstration</t>
  </si>
  <si>
    <t>they were operatedby community service organizations, schools and school districts, a community college, a PrivateIndustry Council (the nonprofit entity that administers funding under the federal Job TrainingPartnership Act, JTPA), and an agency overseen by the county government; one program representeda unique collaboration between a school district and the Job Corps
New Chance services were defined in guidelines developed by MDRC and were typicallyoffered in two distinct phases.Phase I activities were diverse, but a major focus was on educationservices, which consisted primarily of instruction in basic academic skills and, for those with betterskills, preparation for the GED test.Employability development classes, which were also offeredduring the first phase, included career exploration and instruction in pre-employment skills (e.g., howto find a job). A variety of personal development services were provided: health education classesand, at some sites, health care services; family planning classes; and life skills education.Casemanagement, including individual counseling, was another feature of the New Chance programs, whichwere intentionally small in scale and were designed to offer a warm and supportivebut demandingenvironment. Most Phase I services were offered at the program sitean integrated "one-stopshopping" approach designed to facilitate participation.
Phase II activities, which were designed to begin when enrollees had received their GEDs orhad been in the program for five months, tended to be more employment-focused and were generallyoffered off-site. These activities included skills training for specific occupations, paid or unpaid workinternships designed to expose participants to work settings, and job placement assistance. While notpart of the formal program model, college attendance was a post-GED activity for some of the youngwomen. 
The New Chance model was designed to be intensive as well as comprehensive. Programactivities were scheduled for 20 to 30 hours per week, and participants were allowed to remain in theprogram for up to 18 months, with up to an additional year of follow-up case management.As notedearlier, New Chance programs generally enrolled eligible young mothers on a voluntary basis,although in some cases participation could fulfill the requirements of mandatory welfare-to-workprograms.</t>
  </si>
  <si>
    <t>Sponsor agencies spent an average of $5,073 per experimental, excluding
child care costs, operating New Chance. Child care costs amounted to anadditional $2,573 per experimental.</t>
  </si>
  <si>
    <t>The New Chance model was designed to be intensive as well as comprehensive. Program
activities were scheduled for 20 to 30 hours per week, and participants were allowed to remain in the
program for up to 18 months, with up to an additional year of follow-up case management. As noted
earlier, New Chance programs generally enrolled eligible young mothers on a voluntary basis,
although in some cases participation could fulfill the requirements of mandatory welfare-to-work
program
Average length of participation for those who took any education program was 25.7 weeks (table 3) and 8 weeks of skills training / unpaid work.
At all sites, education was a central activity during Phase I, usually scheduled for about 12 to15 hours per week.Parenting and life skills classes were each scheduled for about 2 hours weeklyduring the first phase.Education proved to be one of the easiest components to implement, in partbecause most sites had prior experience in offering education classes and in part because enrolleeswere themselves interested in getting their GED certificate
Despite the different service traditions of the sponsor agencies and despite a start-up period
of only about six to eight months the sites were all able to mount the Phase I components of the
New Chance model and to deliver a treatment that was reasonably uniform. However, building the
program infrastructure required considerable and ongoing effort; the programs have continued to
evolve and mature over time.
At all sites, education was a central activity during Phase I, usually scheduled for about 12 to
15 hours per week. Parenting and life skills classes were each scheduled for about 2 hours weekly
during the first phase. Education proved to be one of the easiest components to implement, in part
because most sites had prior experience in offering education classes and in part because enrollees
were themselves interested in getting their GED certificate.</t>
  </si>
  <si>
    <t>Table 8.1</t>
  </si>
  <si>
    <t>The program offered comprehensive education,
training, and assistance to teenage mothers who had dropped out of
high school.</t>
  </si>
  <si>
    <t xml:space="preserve">There were two distinct phases for treated individuals. Phase I activities were diverse, but a major focus was on education services, which consisted primarily of instruction in basic academic skills and, for those with better skills, preparation for the GED test. Employability development classes, which were also offered during the first phase, included career exploration and instruction in pre-employment skills (e.g., how to find a job). A variety of personal development services were provided: health education classes and, at some sites, health care services; family planning classes; and life skills education. Case management, including individual counseling, was another feature of the New Chance programs, which were intentionally small in scale and were designed to offer a warm and supportive  but demanding environment. Most Phase I services were offered at the program site an integrated "one-stop shopping" approach designed to facilitate participation.
Phase II activities, which were designed to begin when enrollees had received their GEDs or had been in the program for five months, tended to be more employment-focused and were generally offered off-site. These activities included skills training for specific occupations, paid or unpaid work internships designed to expose participants to work settings, and job placement assistance. While not part of the formal program model, college attendance was a post-GED activity for some of the young women. 
Program activities were scheduled for 20 to 30 hours per week, and participants were allowed to remain in the program for up to 18 months, with up to an additional year of follow-up case management.
</t>
  </si>
  <si>
    <t>Miller 2012</t>
  </si>
  <si>
    <t>18-62, mean: 33.4</t>
  </si>
  <si>
    <t>Table 1.3</t>
  </si>
  <si>
    <t xml:space="preserve">"WASC was designed to meet the career planning needs of
low-income people who are working but whose jobs pay low wages and may provide few or no
benefits and who have little support to learn what they need in order to advance. Given the
focus of the workforce system on job placement for unemployed individuals, one would not
expect low-wage working individuals to find much in the way of advancement services in the
absence of WASC nor to find easy access to such services if they were available. Nevertheless,
some control group members in the WASC demonstration did find and take advantage of
services in the community. This section describes the differences between the participation in
WASC services by program group members and the participation in services available in the
community by control group members.
WASC recruited two broad and sometimes overlapping target groups: (1) low-income,
low-wage workers and (2) low-income, reemployed dislocated workers, or those who have lost
a job and become reemployed at a lower wage rate. Initially, eligibility was restricted to those
earning no more than $9 per hour, or roughly the 25th percentile of hourly wages in the United
States in late 2004,8 and with household incomes of no more than 130 percent of the federal
poverty line. The income cutoff was used to ensure that most people
After the pilot phase, however, it became evident that recruiting enough individuals into
the study was going to be a major challenge.9 Several strategies were implemented to assist with
recruitment, including raising the eligibility guidelines to a wage cap of $15 per hour.10 Several
months later, the family income threshold was also increased, to 200 percent of the poverty line.
Although $15 per hour and 200 percent of poverty is a higher target than program designers had
planned, most individuals who eventually enrolled into the study were earning less than $10 per
hour and had family incomes below 130 percent of the poverty line."
WASC also attempted to target a population who had limited prior connection to the 
welfare system, in order to focus on a group who needed the most assistance with work sup-
ports and to reach a broad segment of the low-income, low-wage population. Accordingly, the 
eligibility guidelines also stipulated that (1) current recipients of Temporary Assistance for 
Needy Families (TANF) were not eligible to enroll in the demonstration, even if they were 
currently working, and (2) a maximum of 50 percent of all WASC sample members in each site 
could be current food stamp recipients.
The number of study partici-
pants, by site, is 1,176 individuals in Dayton, 971 individuals in San Diego, and 705 individuals 
in Bridgeport. 
"
</t>
  </si>
  <si>
    <t>Work Advancement and Support Center (WASC)</t>
  </si>
  <si>
    <t xml:space="preserve">The Work Advancement and Support Center (WASC) demonstration aimed to offer intensive
retention and advancement services to low-wage working individuals — that is, services to
stabilize their employment, improve their skills, and find better-paying jobs. At the same time,
WASC attempted to make it easier for these workers to receive public benefits, or work supports.
• Identify advancement and income stabilization goals using the Income Improvement
and Advancement Plan (IIAP), a written plan that detailed shortterm
and long-term advancement goals and the steps to reach them, the individual’s
motivation for participating in WASC and wanting to advance, and
the individual’s interest in applying for work supports.
• Use the Work Advancement Calculator — a Web-based tool that was designed
specifically for the WASC demonstration — to screen for work supports
eligibility and to demonstrate how increases in earnings would affect
work support receipt and total income.
• Provide eased access to work supports by, for example, enabling working
people to apply for supports directly through the WASC unit, rather than at a
welfare office; simplifying applications; providing one staff person to handle
applications for all work supports; and providing flexible office hours.
• Maintain regular contact (two-way communication at least monthly) with at
least 75 percent of the caseload (which should be no more than 100 customers
per career coach) to be sure that participants were continuing to work toward
the goals they had established in their IIAP while also maintaining their current
employment.
These differences in service delivery and the populations across the three sites resulted
in each site’s emphasizing, to varying degrees, different parts of the advancement model.
Essentially, the sites could be characterized as follows:
• Dayton implemented the strongest combination of career coaching and access
to training, including college, and easier access to work supports, especially in
redetermination for food stamps.6
• San Diego implemented a “mostly coaching” model, as it lacked flexible
training dollars, and access to WIA formula-funded training was very limited
for working people. It also offered easier access to work supports, particularly
in eased access to child care funding and application and redetermination for
food stamps.
• Bridgeport implemented a “mostly training” model (though seemingly focused
on a few occupations); it did have access to flexible training dollars,
while the capacity of its coaching staff (with one or two exceptions) was limited
by turnover, relative lack of experience, and other factors. Bridgeport’s
program also offered easier access to work supports, including relatively
quick access to a work support specialist.
To conduct random assignment, staff in the participating sites recruited interested individuals
into the One-Stop Center’s offices. Once an individual was determined to be eligible for
the study, consented to participate in the research, and filled out a baseline questionnaire, site
staff submitted the information online, and an MDRC-created algorithm assigned the individual
at random to either the WASC group or the control group. If assigned to the WASC group, the
individual typically went directly to an orientation and first meeting with a career coach.
Individuals who were assigned to the control group received a gift card for participating in the
study and were escorted to the main One-Stop entrance, where they could access any services
for which they were eligible. WASC services were available to each participant for two years in
all three sites.
</t>
  </si>
  <si>
    <t>WASC services were available to each participant for two years in
all three sites.</t>
  </si>
  <si>
    <t>Table 4.2, Table 4.5, Table 4.8</t>
  </si>
  <si>
    <t xml:space="preserve">The program was designed for low-income people who are working but whose jobs pay low wages and may provide few or no benefits and who have little support to learn what they need in order to advance. The target population was: (1) low-income, low-wage workers and (2) low-income, reemployed dislocated workers, or those who have lost a job and become reemployed at a lower wage rate. Due to difficulties enrolling participants, the wage-cap for eligibility was increased to 15 USD per hour, 200% the poverty line. </t>
  </si>
  <si>
    <t xml:space="preserve">The program tried to stabilize employment, improve skills and find better paying jobs for low-wage working individuals. In addition, the program attempted to facilitate access to public benefits available to participants. The participants receives the following services:
• Career coaching. Coaches worked with participants to identify and pursue short- and long-term advancement goals; move up at their current employers or find better jobs elsewhere; or, for those with unstable employment, identify and address barriers to job retention. 
• Skills development. Staff referred participants to education and training programs and helped them secure funding to cover the costs, through WIA or other funds, which typically paid full tuition costs. 
• Education about available work supports. Staff used a Web-based tool called the “Work Advancement Calculator,” which uses household information to identify all the benefits for which participants appeared to be eligible and to calculate the likely effect of these benefits on household income. 
• Simplified procedures to apply for work supports. Staff assisted participants with applications for all programs, reduced the amount of documentation required across different programs, extended the interval between recertification for benefits, and offered nonstandard office hours.
WASC services were available to each participant for two years, but there were not force to take any service.
</t>
  </si>
  <si>
    <t>Any Formal Employment</t>
  </si>
  <si>
    <t>Administrative (Chicago public schools, Illinois State Police and Illinois Department of Employment Security)</t>
  </si>
  <si>
    <t>2012 Sample</t>
  </si>
  <si>
    <t>2013 sample</t>
  </si>
  <si>
    <t>All Earnings</t>
  </si>
  <si>
    <t>Survery and administrative (unemployment insurence)</t>
  </si>
  <si>
    <t>Total earnings from unsubsidized employment</t>
  </si>
  <si>
    <t>National Directory of New Hires (NDNH) database</t>
  </si>
  <si>
    <t>Total Earnings</t>
  </si>
  <si>
    <t xml:space="preserve">Percent employed quarterly </t>
  </si>
  <si>
    <t>Welfare and unemployment insurance records</t>
  </si>
  <si>
    <t>significant at 1% level</t>
  </si>
  <si>
    <t>Average earnings per quarter</t>
  </si>
  <si>
    <t>Swedish Born 1984</t>
  </si>
  <si>
    <t>log
earnings</t>
  </si>
  <si>
    <t>Administrative (SWIP)</t>
  </si>
  <si>
    <t>Swedish Born 1987</t>
  </si>
  <si>
    <t>Swedish Born 1990</t>
  </si>
  <si>
    <t>Foreign Born 1984</t>
  </si>
  <si>
    <t>Foreign Born 1987</t>
  </si>
  <si>
    <t>Foreign Born 1990</t>
  </si>
  <si>
    <t>Earnings in the year after
the start of the UI claim</t>
  </si>
  <si>
    <t>Administrative (Kentucky UI)</t>
  </si>
  <si>
    <t>Ocupado</t>
  </si>
  <si>
    <t>Administrative (SINEACE)</t>
  </si>
  <si>
    <t>Cuadro 2.26</t>
  </si>
  <si>
    <t>not significant</t>
  </si>
  <si>
    <t>Ocupado con contrato</t>
  </si>
  <si>
    <t>Ingresos laborales</t>
  </si>
  <si>
    <t>Pesos chilenos 2007</t>
  </si>
  <si>
    <t>p-val&lt;1%</t>
  </si>
  <si>
    <t>Cuadro 2.27</t>
  </si>
  <si>
    <t>Cuadro 2.28</t>
  </si>
  <si>
    <t>(re)-employment</t>
  </si>
  <si>
    <t>New Deal Evaluation Database, NDED and
JUVOS</t>
  </si>
  <si>
    <t>TABLE 1</t>
  </si>
  <si>
    <t>Apr.-June '98</t>
  </si>
  <si>
    <t>Re employment</t>
  </si>
  <si>
    <t>July-Sept.</t>
  </si>
  <si>
    <t>Oct.-Dec.</t>
  </si>
  <si>
    <t>Jan.-Mar. '99</t>
  </si>
  <si>
    <t>Apr-June</t>
  </si>
  <si>
    <t>July-Sept</t>
  </si>
  <si>
    <t>Jan.-Mar. '00</t>
  </si>
  <si>
    <t>Jan.-Mar. '01</t>
  </si>
  <si>
    <t>Oct.-Dec</t>
  </si>
  <si>
    <t>Probability of leaving unemployment</t>
  </si>
  <si>
    <t>Table 11.6</t>
  </si>
  <si>
    <t>Outflows to employment</t>
  </si>
  <si>
    <t>Table 11.7</t>
  </si>
  <si>
    <t>Increase of probability of being employed</t>
  </si>
  <si>
    <t>Administrative (PES)</t>
  </si>
  <si>
    <t>Reemployment probability</t>
  </si>
  <si>
    <t>Administrative (Social Security)</t>
  </si>
  <si>
    <t>Income level</t>
  </si>
  <si>
    <t>Euros</t>
  </si>
  <si>
    <t>more than 34</t>
  </si>
  <si>
    <t>more than 35</t>
  </si>
  <si>
    <t xml:space="preserve">Alameda </t>
  </si>
  <si>
    <t xml:space="preserve">Average total earnings </t>
  </si>
  <si>
    <t>Butte</t>
  </si>
  <si>
    <t>Los Angeles</t>
  </si>
  <si>
    <t>Riverside</t>
  </si>
  <si>
    <t>San Diego</t>
  </si>
  <si>
    <t>Tulare</t>
  </si>
  <si>
    <t>administrative data collected 
by public agencies</t>
  </si>
  <si>
    <t>2012 dollar</t>
  </si>
  <si>
    <t>TABLE 8.1</t>
  </si>
  <si>
    <t>Average earnings</t>
  </si>
  <si>
    <t>TABLE 8.3</t>
  </si>
  <si>
    <t>Dayton</t>
  </si>
  <si>
    <t>Ever employed in a UI-covered job</t>
  </si>
  <si>
    <t>unemployment insurance (UI) administrative records from Ohio and from
responses to the WASC 12-Month Survey</t>
  </si>
  <si>
    <t>Earnings from UI covered jobs</t>
  </si>
  <si>
    <t>Table 4.5</t>
  </si>
  <si>
    <t>Monthly unemployment rate (multiplied by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</si>
</sst>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_-* #,##0.00\ _€_-;\-* #,##0.00\ _€_-;_-* &quot;-&quot;??\ _€_-;_-@_-"/>
    <numFmt numFmtId="165" formatCode="&quot;$&quot;#,##0_);[Red]\(&quot;$&quot;#,##0\)"/>
    <numFmt numFmtId="166" formatCode="0.0%"/>
    <numFmt numFmtId="167" formatCode="#,##0.000"/>
    <numFmt numFmtId="168" formatCode="0.000"/>
    <numFmt numFmtId="169" formatCode="0.0"/>
    <numFmt numFmtId="170" formatCode="0.0000000"/>
    <numFmt numFmtId="171" formatCode="_-* #,##0\ _€_-;\-* #,##0\ _€_-;_-* &quot;-&quot;??\ _€_-;_-@_-"/>
  </numFmts>
  <fonts count="2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20"/>
      <color theme="1"/>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sz val="12"/>
      <color theme="1"/>
      <name val="Calibri"/>
      <family val="2"/>
      <scheme val="minor"/>
    </font>
    <font>
      <b/>
      <sz val="11"/>
      <name val="Calibri"/>
      <family val="2"/>
      <scheme val="minor"/>
    </font>
    <font>
      <sz val="11"/>
      <name val="Calibri"/>
      <family val="2"/>
      <scheme val="minor"/>
    </font>
    <font>
      <b/>
      <i/>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b/>
      <u/>
      <sz val="1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rgb="FFFFFF99"/>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1">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1" fillId="0" borderId="0"/>
    <xf numFmtId="0" fontId="10" fillId="0" borderId="0"/>
    <xf numFmtId="0" fontId="18" fillId="0" borderId="0" applyNumberFormat="0" applyFill="0" applyBorder="0" applyAlignment="0" applyProtection="0"/>
    <xf numFmtId="9" fontId="19"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9" fillId="0" borderId="0"/>
    <xf numFmtId="0" fontId="8" fillId="0" borderId="0"/>
    <xf numFmtId="0" fontId="8" fillId="0" borderId="0"/>
    <xf numFmtId="0" fontId="7" fillId="0" borderId="0"/>
    <xf numFmtId="0" fontId="7" fillId="0" borderId="0"/>
    <xf numFmtId="0" fontId="6" fillId="0" borderId="0"/>
    <xf numFmtId="0" fontId="6" fillId="0" borderId="0"/>
    <xf numFmtId="0" fontId="6" fillId="0" borderId="0"/>
    <xf numFmtId="0" fontId="6" fillId="0" borderId="0"/>
    <xf numFmtId="0" fontId="14"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164" fontId="19" fillId="0" borderId="0" applyFont="0" applyFill="0" applyBorder="0" applyAlignment="0" applyProtection="0"/>
    <xf numFmtId="0" fontId="4" fillId="0" borderId="0"/>
    <xf numFmtId="0" fontId="4" fillId="0" borderId="0"/>
    <xf numFmtId="0" fontId="4" fillId="0" borderId="0"/>
    <xf numFmtId="0" fontId="4" fillId="0" borderId="0"/>
  </cellStyleXfs>
  <cellXfs count="154">
    <xf numFmtId="0" fontId="0" fillId="0" borderId="0" xfId="0"/>
    <xf numFmtId="0" fontId="12" fillId="0" borderId="0" xfId="0" applyFont="1"/>
    <xf numFmtId="0" fontId="13" fillId="0" borderId="0" xfId="0" applyFont="1"/>
    <xf numFmtId="0" fontId="16" fillId="2" borderId="1" xfId="4" applyFont="1" applyFill="1" applyBorder="1" applyAlignment="1">
      <alignment horizontal="center" vertical="center" wrapText="1"/>
    </xf>
    <xf numFmtId="2" fontId="16" fillId="2" borderId="2" xfId="4" applyNumberFormat="1" applyFont="1" applyFill="1" applyBorder="1" applyAlignment="1">
      <alignment horizontal="center" vertical="center" wrapText="1"/>
    </xf>
    <xf numFmtId="0" fontId="16" fillId="2" borderId="2" xfId="4" applyFont="1" applyFill="1" applyBorder="1" applyAlignment="1">
      <alignment horizontal="center" vertical="center" wrapText="1"/>
    </xf>
    <xf numFmtId="0" fontId="21" fillId="0" borderId="0" xfId="11" applyFont="1" applyAlignment="1">
      <alignment horizontal="center" vertical="center" wrapText="1"/>
    </xf>
    <xf numFmtId="0" fontId="21" fillId="0" borderId="0" xfId="11" applyFont="1" applyFill="1" applyAlignment="1">
      <alignment horizontal="center" vertical="center" wrapText="1"/>
    </xf>
    <xf numFmtId="9" fontId="21" fillId="0" borderId="0" xfId="4" applyNumberFormat="1" applyFont="1" applyFill="1" applyAlignment="1">
      <alignment horizontal="center" vertical="center" wrapText="1"/>
    </xf>
    <xf numFmtId="0" fontId="21" fillId="0" borderId="0" xfId="4" applyFont="1" applyFill="1" applyAlignment="1">
      <alignment horizontal="center" vertical="center" wrapText="1"/>
    </xf>
    <xf numFmtId="0" fontId="21" fillId="0" borderId="0" xfId="14" applyFont="1" applyFill="1" applyBorder="1" applyAlignment="1">
      <alignment horizontal="center" vertical="center" wrapText="1"/>
    </xf>
    <xf numFmtId="0" fontId="21" fillId="0" borderId="0" xfId="4" applyFont="1" applyFill="1" applyAlignment="1">
      <alignment horizontal="center" vertical="center"/>
    </xf>
    <xf numFmtId="0" fontId="21" fillId="0" borderId="0" xfId="14" applyNumberFormat="1" applyFont="1" applyFill="1" applyAlignment="1">
      <alignment horizontal="center" vertical="center" wrapText="1"/>
    </xf>
    <xf numFmtId="0" fontId="0" fillId="0" borderId="0" xfId="0" quotePrefix="1"/>
    <xf numFmtId="168" fontId="16" fillId="2" borderId="2" xfId="4" applyNumberFormat="1" applyFont="1" applyFill="1" applyBorder="1" applyAlignment="1">
      <alignment horizontal="center" vertical="center" wrapText="1"/>
    </xf>
    <xf numFmtId="0" fontId="16" fillId="2" borderId="1" xfId="14" applyFont="1" applyFill="1" applyBorder="1" applyAlignment="1">
      <alignment horizontal="center" vertical="center" wrapText="1"/>
    </xf>
    <xf numFmtId="0" fontId="16" fillId="2" borderId="1" xfId="27" applyFont="1" applyFill="1" applyBorder="1" applyAlignment="1">
      <alignment horizontal="center" vertical="center" wrapText="1"/>
    </xf>
    <xf numFmtId="0" fontId="16" fillId="2" borderId="1" xfId="27" applyFont="1" applyFill="1" applyBorder="1" applyAlignment="1">
      <alignment horizontal="center" vertical="center"/>
    </xf>
    <xf numFmtId="0" fontId="16" fillId="2" borderId="2" xfId="28" applyFont="1" applyFill="1" applyBorder="1" applyAlignment="1">
      <alignment horizontal="center" vertical="center" wrapText="1"/>
    </xf>
    <xf numFmtId="0" fontId="21" fillId="0" borderId="0" xfId="29" applyFont="1" applyFill="1" applyAlignment="1">
      <alignment horizontal="center" vertical="center" wrapText="1"/>
    </xf>
    <xf numFmtId="0" fontId="21" fillId="0" borderId="0" xfId="28" applyFont="1" applyFill="1" applyAlignment="1">
      <alignment horizontal="center" vertical="center"/>
    </xf>
    <xf numFmtId="0" fontId="21" fillId="0" borderId="0" xfId="29" applyFont="1" applyFill="1" applyAlignment="1">
      <alignment horizontal="center" vertical="center"/>
    </xf>
    <xf numFmtId="0" fontId="21" fillId="0" borderId="0" xfId="28" applyFont="1" applyFill="1" applyBorder="1" applyAlignment="1">
      <alignment horizontal="center" vertical="center" wrapText="1"/>
    </xf>
    <xf numFmtId="0" fontId="21" fillId="0" borderId="0" xfId="27" applyFont="1" applyFill="1" applyAlignment="1">
      <alignment horizontal="center" vertical="center"/>
    </xf>
    <xf numFmtId="0" fontId="21" fillId="0" borderId="0" xfId="27" applyFont="1" applyFill="1" applyAlignment="1">
      <alignment horizontal="center" vertical="center" wrapText="1"/>
    </xf>
    <xf numFmtId="0" fontId="21" fillId="0" borderId="0" xfId="27" quotePrefix="1" applyFont="1" applyFill="1" applyAlignment="1">
      <alignment horizontal="center" vertical="center"/>
    </xf>
    <xf numFmtId="165" fontId="21" fillId="0" borderId="0" xfId="27" applyNumberFormat="1" applyFont="1" applyFill="1" applyAlignment="1">
      <alignment horizontal="center" vertical="center" wrapText="1"/>
    </xf>
    <xf numFmtId="0" fontId="21" fillId="0" borderId="0" xfId="30" applyFont="1" applyFill="1" applyAlignment="1">
      <alignment horizontal="center" vertical="center" wrapText="1"/>
    </xf>
    <xf numFmtId="0" fontId="21" fillId="0" borderId="0" xfId="28" applyFont="1" applyFill="1" applyAlignment="1">
      <alignment horizontal="center" vertical="center" wrapText="1"/>
    </xf>
    <xf numFmtId="0" fontId="21" fillId="0" borderId="0" xfId="28" applyNumberFormat="1" applyFont="1" applyFill="1" applyAlignment="1">
      <alignment horizontal="center" vertical="center" wrapText="1"/>
    </xf>
    <xf numFmtId="0" fontId="21" fillId="0" borderId="0" xfId="28" quotePrefix="1" applyFont="1" applyFill="1" applyAlignment="1">
      <alignment horizontal="center" vertical="center"/>
    </xf>
    <xf numFmtId="0" fontId="16" fillId="2" borderId="2" xfId="27" applyFont="1" applyFill="1" applyBorder="1" applyAlignment="1">
      <alignment horizontal="center" vertical="center" wrapText="1"/>
    </xf>
    <xf numFmtId="0" fontId="23" fillId="0" borderId="0" xfId="29" applyFont="1" applyFill="1" applyAlignment="1">
      <alignment horizontal="center" vertical="center" wrapText="1"/>
    </xf>
    <xf numFmtId="0" fontId="23" fillId="0" borderId="0" xfId="27"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21" fillId="4" borderId="0" xfId="29" applyFont="1" applyFill="1" applyAlignment="1">
      <alignment horizontal="center" vertical="center" wrapText="1"/>
    </xf>
    <xf numFmtId="0" fontId="21" fillId="4" borderId="0" xfId="27" applyFont="1" applyFill="1" applyAlignment="1">
      <alignment horizontal="center" vertical="center"/>
    </xf>
    <xf numFmtId="0" fontId="21" fillId="4" borderId="0" xfId="27" applyFont="1" applyFill="1" applyAlignment="1">
      <alignment horizontal="center" vertical="center" wrapText="1"/>
    </xf>
    <xf numFmtId="0" fontId="23" fillId="4" borderId="0" xfId="27" applyFont="1" applyFill="1" applyAlignment="1">
      <alignment horizontal="center" vertical="center"/>
    </xf>
    <xf numFmtId="0" fontId="23" fillId="4" borderId="0" xfId="27" applyFont="1" applyFill="1" applyAlignment="1">
      <alignment horizontal="center" vertical="center" wrapText="1"/>
    </xf>
    <xf numFmtId="0" fontId="23" fillId="4" borderId="0" xfId="28" applyFont="1" applyFill="1" applyAlignment="1">
      <alignment horizontal="center" vertical="center"/>
    </xf>
    <xf numFmtId="0" fontId="23" fillId="4" borderId="0" xfId="29" applyFont="1" applyFill="1" applyAlignment="1">
      <alignment horizontal="center" vertical="center" wrapText="1"/>
    </xf>
    <xf numFmtId="0" fontId="23" fillId="4" borderId="0" xfId="29" applyFont="1" applyFill="1" applyAlignment="1">
      <alignment horizontal="center" vertical="center"/>
    </xf>
    <xf numFmtId="0" fontId="21" fillId="4" borderId="0" xfId="27" quotePrefix="1" applyFont="1" applyFill="1" applyAlignment="1">
      <alignment horizontal="center" vertical="center" wrapText="1"/>
    </xf>
    <xf numFmtId="0" fontId="21" fillId="0" borderId="0" xfId="14" applyNumberFormat="1" applyFont="1" applyFill="1" applyBorder="1" applyAlignment="1">
      <alignment horizontal="center" vertical="center" wrapText="1"/>
    </xf>
    <xf numFmtId="0" fontId="21" fillId="0" borderId="0" xfId="16" applyFont="1" applyFill="1" applyAlignment="1">
      <alignment horizontal="center" vertical="center" wrapText="1"/>
    </xf>
    <xf numFmtId="0" fontId="23" fillId="0" borderId="0" xfId="4" applyFont="1" applyFill="1" applyAlignment="1">
      <alignment horizontal="center" vertical="center" wrapText="1"/>
    </xf>
    <xf numFmtId="0" fontId="3" fillId="0" borderId="0" xfId="14" applyFont="1" applyFill="1" applyAlignment="1">
      <alignment horizontal="center" vertical="center" wrapText="1"/>
    </xf>
    <xf numFmtId="0" fontId="3" fillId="0" borderId="0" xfId="14" applyNumberFormat="1" applyFont="1" applyFill="1" applyAlignment="1">
      <alignment horizontal="center" vertical="center" wrapText="1"/>
    </xf>
    <xf numFmtId="0" fontId="3" fillId="0" borderId="0" xfId="18" applyFont="1" applyAlignment="1">
      <alignment horizontal="center" vertical="center"/>
    </xf>
    <xf numFmtId="0" fontId="3" fillId="0" borderId="0" xfId="14" applyFont="1" applyAlignment="1">
      <alignment horizontal="center" vertical="center"/>
    </xf>
    <xf numFmtId="0" fontId="3" fillId="0" borderId="0" xfId="14" applyFont="1" applyAlignment="1">
      <alignment horizontal="center" vertical="center" wrapText="1"/>
    </xf>
    <xf numFmtId="0" fontId="3" fillId="0" borderId="0" xfId="28" applyFont="1" applyAlignment="1">
      <alignment horizontal="center" vertical="center"/>
    </xf>
    <xf numFmtId="0" fontId="3" fillId="0" borderId="0" xfId="28" applyNumberFormat="1" applyFont="1" applyAlignment="1">
      <alignment horizontal="center" vertical="center"/>
    </xf>
    <xf numFmtId="0" fontId="3" fillId="0" borderId="0" xfId="28" applyFont="1" applyFill="1" applyAlignment="1">
      <alignment horizontal="center" vertical="center"/>
    </xf>
    <xf numFmtId="0" fontId="3" fillId="0" borderId="0" xfId="28" applyFont="1" applyFill="1" applyAlignment="1">
      <alignment horizontal="center" vertical="center" wrapText="1"/>
    </xf>
    <xf numFmtId="0" fontId="3" fillId="0" borderId="0" xfId="28" applyNumberFormat="1" applyFont="1" applyFill="1" applyAlignment="1">
      <alignment horizontal="center" vertical="center" wrapText="1"/>
    </xf>
    <xf numFmtId="0" fontId="3" fillId="0" borderId="0" xfId="28" applyFont="1" applyAlignment="1">
      <alignment horizontal="center" vertical="center" wrapText="1"/>
    </xf>
    <xf numFmtId="0" fontId="3" fillId="0" borderId="0" xfId="28" applyNumberFormat="1" applyFont="1" applyAlignment="1">
      <alignment horizontal="center" vertical="center" wrapText="1"/>
    </xf>
    <xf numFmtId="0" fontId="3" fillId="0" borderId="0" xfId="15" applyFont="1" applyFill="1" applyAlignment="1">
      <alignment horizontal="center" vertical="center" wrapText="1"/>
    </xf>
    <xf numFmtId="0" fontId="21" fillId="0" borderId="0" xfId="28" applyNumberFormat="1" applyFont="1" applyFill="1" applyBorder="1" applyAlignment="1">
      <alignment horizontal="center" vertical="center" wrapText="1"/>
    </xf>
    <xf numFmtId="0" fontId="3" fillId="0" borderId="0" xfId="0" applyFont="1" applyAlignment="1">
      <alignment horizontal="center" vertical="center"/>
    </xf>
    <xf numFmtId="0" fontId="3" fillId="0" borderId="0" xfId="14" applyFont="1" applyFill="1" applyAlignment="1">
      <alignment horizontal="center" vertical="center"/>
    </xf>
    <xf numFmtId="0" fontId="3" fillId="0" borderId="0" xfId="17" applyFont="1" applyAlignment="1">
      <alignment horizontal="center" vertical="center" wrapText="1"/>
    </xf>
    <xf numFmtId="0" fontId="3" fillId="0" borderId="0" xfId="28" quotePrefix="1" applyFont="1" applyFill="1" applyAlignment="1">
      <alignment horizontal="center" vertical="center"/>
    </xf>
    <xf numFmtId="0" fontId="3" fillId="0" borderId="0" xfId="4" applyFont="1" applyFill="1" applyAlignment="1">
      <alignment horizontal="center" vertical="center"/>
    </xf>
    <xf numFmtId="0" fontId="3" fillId="0" borderId="0" xfId="4" applyFont="1" applyFill="1" applyAlignment="1">
      <alignment horizontal="center" vertical="center" wrapText="1"/>
    </xf>
    <xf numFmtId="9" fontId="3" fillId="0" borderId="0" xfId="6" applyFont="1" applyFill="1" applyAlignment="1">
      <alignment horizontal="center" vertical="center"/>
    </xf>
    <xf numFmtId="2" fontId="3" fillId="0" borderId="0" xfId="4" applyNumberFormat="1" applyFont="1" applyFill="1" applyAlignment="1">
      <alignment horizontal="center" vertical="center"/>
    </xf>
    <xf numFmtId="170" fontId="3" fillId="0" borderId="0" xfId="4" applyNumberFormat="1" applyFont="1" applyFill="1" applyAlignment="1">
      <alignment horizontal="center" vertical="center"/>
    </xf>
    <xf numFmtId="0" fontId="3" fillId="0" borderId="0" xfId="4" applyFont="1" applyAlignment="1">
      <alignment horizontal="center" vertical="center"/>
    </xf>
    <xf numFmtId="0" fontId="3" fillId="0" borderId="0" xfId="4" applyFont="1" applyAlignment="1">
      <alignment horizontal="center" vertical="center" wrapText="1"/>
    </xf>
    <xf numFmtId="10" fontId="3" fillId="0" borderId="0" xfId="4" applyNumberFormat="1" applyFont="1" applyFill="1" applyAlignment="1">
      <alignment horizontal="center" vertical="center"/>
    </xf>
    <xf numFmtId="0" fontId="3" fillId="0" borderId="0" xfId="11" applyFont="1" applyFill="1" applyAlignment="1">
      <alignment horizontal="center" vertical="center" wrapText="1"/>
    </xf>
    <xf numFmtId="0" fontId="3" fillId="0" borderId="0" xfId="4" quotePrefix="1" applyFont="1" applyFill="1" applyAlignment="1">
      <alignment horizontal="center" vertical="center"/>
    </xf>
    <xf numFmtId="0" fontId="3" fillId="0" borderId="0" xfId="11" applyFont="1" applyAlignment="1">
      <alignment horizontal="center" vertical="center" wrapText="1"/>
    </xf>
    <xf numFmtId="1" fontId="3" fillId="0" borderId="0" xfId="4" applyNumberFormat="1" applyFont="1" applyFill="1" applyAlignment="1">
      <alignment horizontal="center" vertical="center"/>
    </xf>
    <xf numFmtId="166" fontId="3" fillId="0" borderId="0" xfId="6" applyNumberFormat="1" applyFont="1" applyFill="1" applyAlignment="1">
      <alignment horizontal="center" vertical="center"/>
    </xf>
    <xf numFmtId="0" fontId="3" fillId="3" borderId="0" xfId="4" quotePrefix="1" applyFont="1" applyFill="1" applyAlignment="1">
      <alignment horizontal="center" vertical="center" wrapText="1"/>
    </xf>
    <xf numFmtId="0" fontId="3" fillId="3" borderId="0" xfId="4" applyFont="1" applyFill="1" applyAlignment="1">
      <alignment horizontal="center" vertical="center"/>
    </xf>
    <xf numFmtId="0" fontId="3" fillId="0" borderId="0" xfId="4" applyFont="1" applyFill="1" applyBorder="1" applyAlignment="1">
      <alignment horizontal="center" vertical="center" wrapText="1"/>
    </xf>
    <xf numFmtId="10" fontId="3" fillId="0" borderId="0" xfId="4" applyNumberFormat="1" applyFont="1" applyAlignment="1">
      <alignment horizontal="center" vertical="center" wrapText="1"/>
    </xf>
    <xf numFmtId="166" fontId="3" fillId="0" borderId="0" xfId="4" applyNumberFormat="1" applyFont="1" applyAlignment="1">
      <alignment horizontal="center" vertical="center" wrapText="1"/>
    </xf>
    <xf numFmtId="1" fontId="3" fillId="0" borderId="0" xfId="4" applyNumberFormat="1" applyFont="1" applyAlignment="1">
      <alignment horizontal="center" vertical="center" wrapText="1"/>
    </xf>
    <xf numFmtId="168" fontId="3" fillId="0" borderId="0" xfId="4" applyNumberFormat="1" applyFont="1" applyAlignment="1">
      <alignment horizontal="center" vertical="center"/>
    </xf>
    <xf numFmtId="2" fontId="3" fillId="0" borderId="0" xfId="4" applyNumberFormat="1" applyFont="1" applyAlignment="1">
      <alignment horizontal="center" vertical="center"/>
    </xf>
    <xf numFmtId="3" fontId="3" fillId="0" borderId="0" xfId="4" applyNumberFormat="1" applyFont="1" applyFill="1" applyAlignment="1">
      <alignment horizontal="center" vertical="center"/>
    </xf>
    <xf numFmtId="3" fontId="3" fillId="3" borderId="0" xfId="4" applyNumberFormat="1" applyFont="1" applyFill="1" applyAlignment="1">
      <alignment horizontal="center" vertical="center"/>
    </xf>
    <xf numFmtId="4" fontId="3" fillId="0" borderId="0" xfId="4" applyNumberFormat="1" applyFont="1" applyFill="1" applyAlignment="1">
      <alignment horizontal="center" vertical="center"/>
    </xf>
    <xf numFmtId="167" fontId="3" fillId="0" borderId="0" xfId="4" applyNumberFormat="1" applyFont="1" applyFill="1" applyAlignment="1">
      <alignment horizontal="center" vertical="center"/>
    </xf>
    <xf numFmtId="167" fontId="3" fillId="3" borderId="0" xfId="4" applyNumberFormat="1" applyFont="1" applyFill="1" applyAlignment="1">
      <alignment horizontal="center" vertical="center"/>
    </xf>
    <xf numFmtId="166" fontId="3" fillId="0" borderId="0" xfId="4" applyNumberFormat="1" applyFont="1" applyFill="1" applyAlignment="1">
      <alignment horizontal="center" vertical="center"/>
    </xf>
    <xf numFmtId="9" fontId="3" fillId="0" borderId="0" xfId="4" applyNumberFormat="1" applyFont="1" applyFill="1" applyAlignment="1">
      <alignment horizontal="center" vertical="center"/>
    </xf>
    <xf numFmtId="9" fontId="3" fillId="0" borderId="0" xfId="6" applyNumberFormat="1" applyFont="1" applyFill="1" applyAlignment="1">
      <alignment horizontal="center" vertical="center"/>
    </xf>
    <xf numFmtId="168" fontId="3" fillId="0" borderId="0" xfId="4" applyNumberFormat="1" applyFont="1" applyFill="1" applyAlignment="1">
      <alignment horizontal="center" vertical="center"/>
    </xf>
    <xf numFmtId="10" fontId="3" fillId="0" borderId="0" xfId="6" applyNumberFormat="1" applyFont="1" applyAlignment="1">
      <alignment horizontal="center" vertical="center" wrapText="1"/>
    </xf>
    <xf numFmtId="166" fontId="3" fillId="0" borderId="0" xfId="6" applyNumberFormat="1" applyFont="1" applyAlignment="1">
      <alignment horizontal="center" vertical="center" wrapText="1"/>
    </xf>
    <xf numFmtId="169" fontId="3" fillId="0" borderId="0" xfId="4" applyNumberFormat="1" applyFont="1" applyFill="1" applyAlignment="1">
      <alignment horizontal="center" vertical="center"/>
    </xf>
    <xf numFmtId="0" fontId="3" fillId="0" borderId="0" xfId="14" applyNumberFormat="1" applyFont="1" applyFill="1" applyAlignment="1">
      <alignment horizontal="center" vertical="center"/>
    </xf>
    <xf numFmtId="9" fontId="3" fillId="0" borderId="0" xfId="14" applyNumberFormat="1" applyFont="1" applyFill="1" applyAlignment="1">
      <alignment horizontal="center" vertical="center"/>
    </xf>
    <xf numFmtId="0" fontId="3" fillId="0" borderId="0" xfId="14" quotePrefix="1" applyFont="1" applyFill="1" applyAlignment="1">
      <alignment horizontal="center" vertical="center"/>
    </xf>
    <xf numFmtId="0" fontId="3" fillId="0" borderId="0" xfId="14" quotePrefix="1" applyNumberFormat="1" applyFont="1" applyFill="1" applyAlignment="1">
      <alignment horizontal="center" vertical="center"/>
    </xf>
    <xf numFmtId="171" fontId="3" fillId="0" borderId="0" xfId="26" applyNumberFormat="1" applyFont="1" applyFill="1" applyAlignment="1">
      <alignment horizontal="center" vertical="center"/>
    </xf>
    <xf numFmtId="169" fontId="3" fillId="0" borderId="0" xfId="14" applyNumberFormat="1" applyFont="1" applyFill="1" applyAlignment="1">
      <alignment horizontal="center" vertical="center"/>
    </xf>
    <xf numFmtId="0" fontId="3" fillId="0" borderId="0" xfId="18" applyFont="1" applyFill="1" applyAlignment="1">
      <alignment horizontal="center" vertical="center"/>
    </xf>
    <xf numFmtId="2" fontId="3" fillId="0" borderId="0" xfId="14" quotePrefix="1" applyNumberFormat="1" applyFont="1" applyFill="1" applyAlignment="1">
      <alignment horizontal="center" vertical="center"/>
    </xf>
    <xf numFmtId="2" fontId="3" fillId="0" borderId="0" xfId="14" applyNumberFormat="1" applyFont="1" applyFill="1" applyAlignment="1">
      <alignment horizontal="center" vertical="center"/>
    </xf>
    <xf numFmtId="0" fontId="3" fillId="0" borderId="0" xfId="23" applyFont="1" applyFill="1" applyAlignment="1">
      <alignment horizontal="center" vertical="center"/>
    </xf>
    <xf numFmtId="0" fontId="3" fillId="0" borderId="0" xfId="17" applyFont="1" applyFill="1" applyAlignment="1">
      <alignment horizontal="center" vertical="center"/>
    </xf>
    <xf numFmtId="0" fontId="3" fillId="0" borderId="0" xfId="0" applyFont="1" applyFill="1" applyAlignment="1">
      <alignment horizontal="center" vertical="center"/>
    </xf>
    <xf numFmtId="0" fontId="3" fillId="0" borderId="0" xfId="17" applyFont="1" applyFill="1" applyAlignment="1">
      <alignment horizontal="center" vertical="center" wrapText="1"/>
    </xf>
    <xf numFmtId="9" fontId="3" fillId="0" borderId="0" xfId="0" applyNumberFormat="1" applyFont="1" applyFill="1" applyAlignment="1">
      <alignment horizontal="center" vertical="center"/>
    </xf>
    <xf numFmtId="0" fontId="3" fillId="0" borderId="0" xfId="0" applyFont="1" applyAlignment="1">
      <alignment horizontal="center" vertical="center" wrapText="1"/>
    </xf>
    <xf numFmtId="0" fontId="3" fillId="0" borderId="0" xfId="0" applyFont="1" applyFill="1" applyBorder="1" applyAlignment="1">
      <alignment horizontal="center" vertical="center"/>
    </xf>
    <xf numFmtId="0" fontId="3" fillId="0" borderId="0" xfId="27" applyFont="1" applyFill="1" applyAlignment="1">
      <alignment horizontal="center" vertical="center"/>
    </xf>
    <xf numFmtId="0" fontId="3" fillId="0" borderId="0" xfId="27" applyFont="1" applyFill="1" applyAlignment="1">
      <alignment horizontal="center" vertical="center" wrapText="1"/>
    </xf>
    <xf numFmtId="0" fontId="3" fillId="0" borderId="0" xfId="29" applyFont="1" applyFill="1" applyAlignment="1">
      <alignment horizontal="center" vertical="center" wrapText="1"/>
    </xf>
    <xf numFmtId="0" fontId="3" fillId="0" borderId="0" xfId="27" quotePrefix="1" applyFont="1" applyFill="1" applyAlignment="1">
      <alignment horizontal="center" vertical="center" wrapText="1"/>
    </xf>
    <xf numFmtId="0" fontId="3" fillId="0" borderId="0" xfId="29" applyFont="1" applyFill="1" applyAlignment="1">
      <alignment horizontal="center" vertical="center"/>
    </xf>
    <xf numFmtId="0" fontId="3" fillId="0" borderId="0" xfId="27" quotePrefix="1" applyFont="1" applyFill="1" applyAlignment="1">
      <alignment horizontal="center" vertical="center"/>
    </xf>
    <xf numFmtId="0" fontId="3" fillId="0" borderId="0" xfId="23" applyFont="1" applyAlignment="1">
      <alignment horizontal="center" vertical="center"/>
    </xf>
    <xf numFmtId="0" fontId="3" fillId="0" borderId="0" xfId="16" applyFont="1" applyAlignment="1">
      <alignment horizontal="center" vertical="center"/>
    </xf>
    <xf numFmtId="0" fontId="3" fillId="0" borderId="0" xfId="27" applyFont="1" applyAlignment="1">
      <alignment horizontal="center" vertical="center"/>
    </xf>
    <xf numFmtId="0" fontId="3" fillId="0" borderId="0" xfId="28" applyNumberFormat="1" applyFont="1" applyFill="1" applyAlignment="1">
      <alignment horizontal="center" vertical="center"/>
    </xf>
    <xf numFmtId="0" fontId="21" fillId="0" borderId="0" xfId="0" applyFont="1" applyFill="1" applyAlignment="1">
      <alignment horizontal="center" vertical="center"/>
    </xf>
    <xf numFmtId="0" fontId="21" fillId="0" borderId="0" xfId="0" applyFont="1" applyFill="1" applyBorder="1" applyAlignment="1">
      <alignment horizontal="center" vertical="center"/>
    </xf>
    <xf numFmtId="0" fontId="23" fillId="4" borderId="0" xfId="0" applyFont="1" applyFill="1" applyAlignment="1">
      <alignment horizontal="center" vertical="center"/>
    </xf>
    <xf numFmtId="0" fontId="23" fillId="4" borderId="0" xfId="0" applyFont="1" applyFill="1" applyBorder="1" applyAlignment="1">
      <alignment horizontal="center" vertical="center"/>
    </xf>
    <xf numFmtId="0" fontId="23" fillId="3" borderId="0" xfId="0" applyFont="1" applyFill="1" applyBorder="1" applyAlignment="1">
      <alignment horizontal="center" vertical="center"/>
    </xf>
    <xf numFmtId="0" fontId="3" fillId="4" borderId="0" xfId="0" applyFont="1" applyFill="1" applyAlignment="1">
      <alignment horizontal="center" vertical="center"/>
    </xf>
    <xf numFmtId="0" fontId="21" fillId="4" borderId="0" xfId="28" applyFont="1" applyFill="1" applyAlignment="1">
      <alignment horizontal="center" vertical="center"/>
    </xf>
    <xf numFmtId="0" fontId="23" fillId="0" borderId="0" xfId="0" applyFont="1" applyFill="1" applyAlignment="1">
      <alignment horizontal="center" vertical="center"/>
    </xf>
    <xf numFmtId="0" fontId="26" fillId="0" borderId="0" xfId="0" applyFont="1" applyAlignment="1">
      <alignment horizontal="center" vertical="center" wrapText="1"/>
    </xf>
    <xf numFmtId="0" fontId="26" fillId="0" borderId="0" xfId="0" applyFont="1" applyFill="1" applyAlignment="1">
      <alignment horizontal="center" vertical="center"/>
    </xf>
    <xf numFmtId="0" fontId="3" fillId="0" borderId="0" xfId="0" applyFont="1" applyFill="1" applyAlignment="1">
      <alignment horizontal="center" vertical="center" wrapText="1"/>
    </xf>
    <xf numFmtId="0" fontId="26" fillId="0" borderId="0" xfId="0" applyFont="1" applyAlignment="1">
      <alignment horizontal="center" vertical="center"/>
    </xf>
    <xf numFmtId="0" fontId="21" fillId="0" borderId="0" xfId="0" applyFont="1" applyAlignment="1">
      <alignment horizontal="center" vertical="center"/>
    </xf>
    <xf numFmtId="0" fontId="18" fillId="0" borderId="0" xfId="20" applyFont="1" applyFill="1" applyAlignment="1">
      <alignment horizontal="center" vertical="center"/>
    </xf>
    <xf numFmtId="0" fontId="21" fillId="0" borderId="0" xfId="28" quotePrefix="1" applyFont="1" applyFill="1" applyAlignment="1">
      <alignment horizontal="center" vertical="center" wrapText="1"/>
    </xf>
    <xf numFmtId="0" fontId="3" fillId="4" borderId="0" xfId="27" applyFont="1" applyFill="1" applyAlignment="1">
      <alignment horizontal="center" vertical="center"/>
    </xf>
    <xf numFmtId="0" fontId="21" fillId="0" borderId="0" xfId="16" applyFont="1" applyAlignment="1">
      <alignment horizontal="center" vertical="center"/>
    </xf>
    <xf numFmtId="0" fontId="3" fillId="0" borderId="0" xfId="16" applyFont="1" applyAlignment="1">
      <alignment horizontal="center" vertical="center" wrapText="1"/>
    </xf>
    <xf numFmtId="16" fontId="3" fillId="0" borderId="0" xfId="0" quotePrefix="1" applyNumberFormat="1" applyFont="1" applyAlignment="1">
      <alignment horizontal="center" vertical="center"/>
    </xf>
    <xf numFmtId="16" fontId="3" fillId="0" borderId="0" xfId="0" applyNumberFormat="1" applyFont="1" applyAlignment="1">
      <alignment horizontal="center" vertical="center"/>
    </xf>
    <xf numFmtId="0" fontId="3" fillId="0" borderId="0" xfId="0" applyFont="1" applyFill="1" applyBorder="1" applyAlignment="1">
      <alignment horizontal="center" vertical="center" wrapText="1"/>
    </xf>
    <xf numFmtId="0" fontId="23" fillId="0" borderId="0" xfId="28" applyNumberFormat="1" applyFont="1" applyFill="1" applyAlignment="1">
      <alignment horizontal="center" vertical="center" wrapText="1"/>
    </xf>
    <xf numFmtId="0" fontId="23" fillId="0" borderId="0" xfId="0" applyFont="1" applyAlignment="1">
      <alignment horizontal="center" vertical="center"/>
    </xf>
    <xf numFmtId="0" fontId="23" fillId="0" borderId="0" xfId="28" applyFont="1" applyFill="1" applyAlignment="1">
      <alignment horizontal="center" vertical="center"/>
    </xf>
    <xf numFmtId="0" fontId="23" fillId="0" borderId="0" xfId="0" applyFont="1" applyAlignment="1">
      <alignment horizontal="center" vertical="center" wrapText="1"/>
    </xf>
    <xf numFmtId="0" fontId="23" fillId="0" borderId="0" xfId="14" quotePrefix="1" applyFont="1" applyFill="1" applyAlignment="1">
      <alignment horizontal="center" vertical="center"/>
    </xf>
    <xf numFmtId="0" fontId="2" fillId="0" borderId="0" xfId="4" applyFont="1" applyFill="1" applyAlignment="1">
      <alignment horizontal="center" vertical="center" wrapText="1"/>
    </xf>
    <xf numFmtId="0" fontId="2" fillId="0" borderId="0" xfId="4" applyFont="1" applyFill="1" applyAlignment="1">
      <alignment horizontal="center" vertical="center"/>
    </xf>
  </cellXfs>
  <cellStyles count="31">
    <cellStyle name="Hipervínculo" xfId="1" builtinId="8" hidden="1"/>
    <cellStyle name="Hipervínculo" xfId="20" builtinId="8"/>
    <cellStyle name="Hipervínculo visitado" xfId="2" builtinId="9" hidden="1"/>
    <cellStyle name="Hipervínculo visitado" xfId="7" builtinId="9" hidden="1"/>
    <cellStyle name="Hipervínculo visitado" xfId="8" builtinId="9" hidden="1"/>
    <cellStyle name="Hipervínculo visitado" xfId="9" builtinId="9" hidden="1"/>
    <cellStyle name="Hipervínculo visitado" xfId="10" builtinId="9" hidden="1"/>
    <cellStyle name="Hyperlink 2" xfId="5"/>
    <cellStyle name="Millares" xfId="26" builtinId="3"/>
    <cellStyle name="Normal" xfId="0" builtinId="0"/>
    <cellStyle name="Normal 2" xfId="3"/>
    <cellStyle name="Normal 2 2" xfId="12"/>
    <cellStyle name="Normal 3" xfId="4"/>
    <cellStyle name="Normal 3 2" xfId="11"/>
    <cellStyle name="Normal 3 2 2" xfId="14"/>
    <cellStyle name="Normal 3 2 2 2" xfId="18"/>
    <cellStyle name="Normal 3 2 2 2 2" xfId="23"/>
    <cellStyle name="Normal 3 2 2 2 3" xfId="28"/>
    <cellStyle name="Normal 3 2 2 3" xfId="21"/>
    <cellStyle name="Normal 3 2 3" xfId="17"/>
    <cellStyle name="Normal 3 2 3 2" xfId="29"/>
    <cellStyle name="Normal 3 3" xfId="13"/>
    <cellStyle name="Normal 3 3 2" xfId="16"/>
    <cellStyle name="Normal 3 3 2 2" xfId="24"/>
    <cellStyle name="Normal 3 3 2 3" xfId="27"/>
    <cellStyle name="Normal 3 4" xfId="25"/>
    <cellStyle name="Normal 4" xfId="15"/>
    <cellStyle name="Normal 4 2" xfId="19"/>
    <cellStyle name="Normal 4 2 2" xfId="30"/>
    <cellStyle name="Normal 4 3" xfId="22"/>
    <cellStyle name="Porcentaje" xfId="6" builtinId="5"/>
  </cellStyles>
  <dxfs count="0"/>
  <tableStyles count="0" defaultTableStyle="TableStyleMedium9" defaultPivotStyle="PivotStyleMedium4"/>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Diego Uriarte" id="{A0D31A42-DBAB-40D6-AC4D-364C507872D5}" userId="S::duriarte@grade.org.pe::7235fbcb-b4d4-4155-a2ba-c57636500f77"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renda" refreshedDate="43570.452831134258" createdVersion="6" refreshedVersion="6" minRefreshableVersion="3" recordCount="83">
  <cacheSource type="worksheet">
    <worksheetSource ref="A1:AP87" sheet="7. Evaluations"/>
  </cacheSource>
  <cacheFields count="41">
    <cacheField name="Source ID" numFmtId="0">
      <sharedItems containsBlank="1"/>
    </cacheField>
    <cacheField name="Paper_x000a_ ID" numFmtId="0">
      <sharedItems/>
    </cacheField>
    <cacheField name="Coder_x000a_ ID" numFmtId="0">
      <sharedItems/>
    </cacheField>
    <cacheField name="Evaluation_x000a_ID" numFmtId="0">
      <sharedItems count="69">
        <s v="Alzua 2016"/>
        <s v="Elias 2004"/>
        <s v="Mourelo 2017"/>
        <s v="Das 2017"/>
        <s v="Calero 2016"/>
        <s v="Calero 2017 i"/>
        <s v="Corseuil 2013"/>
        <s v="Reis 2015"/>
        <s v="Soares 2017"/>
        <s v="Acero 2009"/>
        <s v="Kaplan 2015"/>
        <s v="Attanasio 2011"/>
        <s v="Santa Maria 2009"/>
        <s v="Rosholm 2009"/>
        <s v="Acevedo 2017 i"/>
        <s v="Acevedo 2017 ii"/>
        <s v="Ibarraran 2014"/>
        <s v="Biewen 2014 i"/>
        <s v="Biewen 2014 ii"/>
        <s v="Fitzenberger 2000"/>
        <s v="Fitzenberger 2016 i"/>
        <s v="Fitzenberger 2016 ii"/>
        <s v="Adhvaryu 2016"/>
        <s v="Maitra 2017"/>
        <s v="Groh 2016"/>
        <s v="Alvares de Azevedo 2013 i"/>
        <s v="Alvares de Azevedo 2013 ii"/>
        <s v="Hicks 2015"/>
        <s v="Honorati 2015"/>
        <s v="Adoho 2014 i"/>
        <s v="Bausch 2016"/>
        <s v="Chakravarty 2016"/>
        <s v="De Hoop 2018"/>
        <s v="Macours 2013"/>
        <s v="Raaum 2002 iii"/>
        <s v="Diaz 2006"/>
        <s v="Kluve 2008 i"/>
        <s v="Alcid 2014"/>
        <s v="Rosas 2017"/>
        <s v="Andrén 2006"/>
        <s v="Stenberg 2015"/>
        <s v="Hirshleifer 2016"/>
        <s v="Auspos 1988"/>
        <s v="Bendewald 2016"/>
        <s v="Bloom 1990 i"/>
        <s v="Bloom 1990 ii"/>
        <s v="Bloom 1990 iii"/>
        <s v="Burghardt 1992 i"/>
        <s v="Burghardt 1992 ii"/>
        <s v="Burghardt 1992 iii"/>
        <s v="Burghardt 1992 iv"/>
        <s v="Cave 1993 i"/>
        <s v="Corson 1996"/>
        <s v="Dyke 2006 i"/>
        <s v="Fraker 2014 i"/>
        <s v="Fraker 2014 ii"/>
        <s v="Fraker 2014 iii"/>
        <s v="Fraker 2014 iv"/>
        <s v="Fraker 2014 v"/>
        <s v="Fraker 2014 vi"/>
        <s v="Freedman 2000"/>
        <s v="GAO 1996"/>
        <s v="Hendra 2016"/>
        <s v="Miller 2003"/>
        <s v="Mueser 2007"/>
        <s v="Schochet 2008"/>
        <s v="Skemer 2017"/>
        <s v="Theodos 2017"/>
        <s v="Vinokur 1995"/>
      </sharedItems>
    </cacheField>
    <cacheField name="Country" numFmtId="0">
      <sharedItems/>
    </cacheField>
    <cacheField name="Year of start of evaluation" numFmtId="0">
      <sharedItems containsMixedTypes="1" containsNumber="1" containsInteger="1" minValue="1980" maxValue="2016"/>
    </cacheField>
    <cacheField name="Age at baseline" numFmtId="0">
      <sharedItems containsBlank="1" containsMixedTypes="1" containsNumber="1" minValue="44.5" maxValue="44.5"/>
    </cacheField>
    <cacheField name="Table on context statistics" numFmtId="0">
      <sharedItems containsBlank="1"/>
    </cacheField>
    <cacheField name="Context_x000a_description" numFmtId="0">
      <sharedItems longText="1"/>
    </cacheField>
    <cacheField name="Program name" numFmtId="0">
      <sharedItems containsBlank="1"/>
    </cacheField>
    <cacheField name="Treatment and compliance_x000a_description" numFmtId="0">
      <sharedItems longText="1"/>
    </cacheField>
    <cacheField name="Cost _x000a_description" numFmtId="0">
      <sharedItems containsBlank="1" longText="1"/>
    </cacheField>
    <cacheField name="Duration_x000a_description" numFmtId="0">
      <sharedItems containsBlank="1" longText="1"/>
    </cacheField>
    <cacheField name="Implementer " numFmtId="0">
      <sharedItems/>
    </cacheField>
    <cacheField name="Method" numFmtId="0">
      <sharedItems/>
    </cacheField>
    <cacheField name="Table/Figure with detailed effects" numFmtId="0">
      <sharedItems containsBlank="1"/>
    </cacheField>
    <cacheField name="Paper ID_x000a_Complementary 1" numFmtId="0">
      <sharedItems containsBlank="1"/>
    </cacheField>
    <cacheField name="Paper ID_x000a_Complementary 2" numFmtId="0">
      <sharedItems containsBlank="1"/>
    </cacheField>
    <cacheField name="Comments" numFmtId="0">
      <sharedItems containsBlank="1" longText="1"/>
    </cacheField>
    <cacheField name="To review_x000a_ (Y/N)" numFmtId="0">
      <sharedItems containsBlank="1"/>
    </cacheField>
    <cacheField name="Why " numFmtId="0">
      <sharedItems containsBlank="1"/>
    </cacheField>
    <cacheField name="Type of program (skills: technical soft job readiness)" numFmtId="0">
      <sharedItems/>
    </cacheField>
    <cacheField name="type of program class internship" numFmtId="0">
      <sharedItems/>
    </cacheField>
    <cacheField name="jovenes" numFmtId="0">
      <sharedItems/>
    </cacheField>
    <cacheField name="Where is the internship (public, private, subsidized)" numFmtId="0">
      <sharedItems containsBlank="1"/>
    </cacheField>
    <cacheField name="Where is the classroom intervention (public, private)" numFmtId="0">
      <sharedItems/>
    </cacheField>
    <cacheField name="length of classroom (months)" numFmtId="0">
      <sharedItems containsString="0" containsBlank="1" containsNumber="1" minValue="0.25" maxValue="24"/>
    </cacheField>
    <cacheField name="length of classroom (hours)" numFmtId="0">
      <sharedItems containsString="0" containsBlank="1" containsNumber="1" minValue="20" maxValue="1200"/>
    </cacheField>
    <cacheField name="length of internship (months)" numFmtId="0">
      <sharedItems containsString="0" containsBlank="1" containsNumber="1" minValue="1.6" maxValue="24"/>
    </cacheField>
    <cacheField name="length of internship (hours)" numFmtId="0">
      <sharedItems containsString="0" containsBlank="1" containsNumber="1" containsInteger="1" minValue="80" maxValue="480"/>
    </cacheField>
    <cacheField name="# of citations" numFmtId="0">
      <sharedItems containsSemiMixedTypes="0" containsString="0" containsNumber="1" containsInteger="1" minValue="0" maxValue="284"/>
    </cacheField>
    <cacheField name="LatinAmericanCaribe (LAC)" numFmtId="0">
      <sharedItems/>
    </cacheField>
    <cacheField name="Decision making" numFmtId="0">
      <sharedItems longText="1"/>
    </cacheField>
    <cacheField name="Type of decision" numFmtId="0">
      <sharedItems/>
    </cacheField>
    <cacheField name="what do they choose" numFmtId="0">
      <sharedItems containsBlank="1"/>
    </cacheField>
    <cacheField name="vulnerable yes/no" numFmtId="0">
      <sharedItems/>
    </cacheField>
    <cacheField name="vulnerability type" numFmtId="0">
      <sharedItems containsBlank="1"/>
    </cacheField>
    <cacheField name="orden" numFmtId="0">
      <sharedItems containsSemiMixedTypes="0" containsString="0" containsNumber="1" containsInteger="1" minValue="1" maxValue="83"/>
    </cacheField>
    <cacheField name="Context" numFmtId="0">
      <sharedItems containsBlank="1" longText="1"/>
    </cacheField>
    <cacheField name="Treatment" numFmtId="0">
      <sharedItems containsBlank="1" longText="1"/>
    </cacheField>
    <cacheField name="holistic" numFmtId="0">
      <sharedItems count="4">
        <s v="job training"/>
        <s v="holistic"/>
        <s v="remove"/>
        <s v="doub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3">
  <r>
    <s v="Other"/>
    <s v="Alzua 2016"/>
    <s v="PG"/>
    <x v="0"/>
    <s v="Argentina"/>
    <n v="2010"/>
    <s v="18-30, mean: 23.55"/>
    <s v="Table 1"/>
    <s v="Entra21 is a job training program for low-income youth in Cordoba, Argentina. The program_x000a_specifically targets vulnerable, unemployed youths who have some secondary schooling._x000a__x000a_To be considered eligible, individuals had to be unemployed or underemployed, between the ages of 18 and 30, be a high school dropout or graduate, and have a total family income below the poverty line._x000a__x000a_The pool of applicants was not representative of Cordoba’s youth, but it was fairly representative of those from low-income backgrounds._x000a_"/>
    <s v="entra21"/>
    <s v="Entra21 is a job training program for low-income youth in Cordoba, Argentina. Our experimental impact evaluation is based on the first cohort of the program, for which participants were assigned to a treatment or a control group through a public lottery. In total, 560 young people applied to the program and 407 were eligible for the first cohort of trainees._x000a__x000a_Entra21 is a regional initiative of job training programs for low-income youth in Latin America. The program is financed by the Multilateral Investment Fund (MIF, based in Washington, DC) and administered at the regional level by the International Youth Foundation (IYF). IYF partners with local organizations, mostly in the private sector (nongovernmental organizations, professional, and business associations), which are the program’s implementers._x000a__x000a_entra21 was implemented in several countries in the region. The local organization in charge of the version of the program examined here is the Agencia para el Desarrollo Económico de la Ciudad de Córdoba (ADEC), a public-private nonprofit set up by professional and business associations and Cordoba’s Municipality._x000a__x000a_The program’s main objective is to improve the employment opportunities of at-risk youth by building their technical skills and life-skills through courses and work experience in the private sector._x000a_The training includes a regionally standardized classroom-based life-skills training module, as well as vocational training and internships coordinated with private sector employers. In addition to basic information, communications technology, and life-skills training, the classroom component offered training in a specific profession, metier, or skill considered to be in demand by actual firms, as well as general labor market related skills. The participants also took part in an internship to acquire on-the-job skills. Courses were offered in the following fields: cooking and catering, sales and administration, and factory workers (“operarios”). Coursework was divided in different modules: 100 hours of technical classroom training, 64 hours of lifeskills training, and 16 extra hours which varied from basic skills to extra classroom technical training according to each type of course. _x000a__x000a_Classroom training took place between mid-November 2010 and February 2011, and was followed by the internship phase (although several participants started internships before completing their coursework and did both concurrently). For the internship, firms were offered a small monthly monetary incentive from the municipal government to cover basic workplace insurance. The program was promoted as offering a free recruiting service for firms with no legal obligation of continuing an employment relationship after the end of the internship. Firms were required to employ the intern for up to 4 months,with a maximum of 20 hours per week, to pay a proportion of the minimum wage according to hours worked, to provide a workplace mentor, and to issue a written certificate of the work experience and training for the intern at the end of the period._x000a__x000a_From the 407 eligible applicants, 220 were randomly assigned to participate in the program through this public lottery (for an expected intake of about 200). The remaining 187 were excluded from the program. Out of the total of 220 assigned to treatment group, 146 participated in the program, while the 74 remaining either declined participation at the beginning of the training or could not be reached by the implementing agency. A total of 106 participants completed the training phase, although several others participated partially in the training and/or internship. The scaling up factor used to compute TOT is 0.481 (there were no control contamination)._x000a__x000a_The program’s main objective is to improve the employment opportunities of at-risk youth by building their technical skills and life-skills through courses and work experience in the private sector. Program administrators highlight that entra21 aims to increase the probability of finding “good quality” jobs in the formal sector, with the objective of reducing joblessness and informality, which are very high among young and vulnerable individuals in the region.                                                                                                          _x000a__x000a_entra21 ’s higher cost is due to the number of training hours provided, which is greater than that of most training programs in the region. The training includes a regionally standardized classroom-based life-skills training module, as well as vocational training and internships coordinated with private sector employers. _x000a__x000a_In addition to basic information, communications technology, and life skills training, the classroom component offered training in a specific profession, metier, or skill considered to be in demand by actual firms, as well as general labor market related skills. The participants also took part in an internship to acquire on-the-job skills.                                                                                                                                                               _x000a__x000a_All eligible applicants were entered in a lottery drawing which designated those who would be offered to participate in the program (the treatment group) and those who would become part of the control group.4 The lottery took place on November 9th, 2010 with the presence of public officials and members of the several organizations that collaborated in the program (training partners, business associations, etc.), and to stress the transparency of the process, a public notary certified the draw._x000a__x000a_The edition of the entra21 program that we study was administered by a public-private non-profit set up by professional and business associations and Cordoba’s Municipality (Argentina), in close coordination with private sector employers._x000a__x000a_Although governments can participate in its implementation, one of the hallmarks of the program is the private sector’s very active involvement in its various project components, especially in terms of influencing the programs’ training methods and curricula. In addition to not being a national program, it is usually smaller, and more costly than the typical government program.                                                                                                             _x000a_"/>
    <s v="The cost of operation per trainee in the program analyzed here was approximately 1,722 USD."/>
    <s v="3 months classroom training and 1 months of 20h per week internship"/>
    <s v="NGO"/>
    <s v="Randomization"/>
    <s v="Figure 1"/>
    <m/>
    <m/>
    <s v="For duration, we know that the program started in November 2010, the classes finished in February 2011 and the internship in March 2011 (for most participants). "/>
    <m/>
    <m/>
    <s v="both"/>
    <s v="both"/>
    <s v="both"/>
    <s v="private-subsidized"/>
    <s v="private"/>
    <n v="4"/>
    <n v="180"/>
    <n v="4"/>
    <n v="80"/>
    <n v="11"/>
    <s v="yes"/>
    <s v="Classroom training took place between mid-November 2010 and February 2011, and was followed by the internship phase (although several participants started internships before completing their coursework and did both concurrently). "/>
    <s v="centralized"/>
    <m/>
    <s v="yes"/>
    <s v="poverty &amp; incomplete education"/>
    <n v="9"/>
    <m/>
    <m/>
    <x v="0"/>
  </r>
  <r>
    <s v="McKenzie 2017"/>
    <s v="Elias 2004 i"/>
    <s v="DH"/>
    <x v="1"/>
    <s v="Argentina"/>
    <n v="1996"/>
    <s v="16 +_x000a_Mean: 23"/>
    <s v="Table 1 - 8"/>
    <s v="The Youth Training Program (YTP) was the most important training program undertaken by Argentina’s Ministry of Labor between 1993 and 1999. This program was implemented throughout Argentina and was offered almost every year. Central and local governments shared in program administration. The program was targeted primarily at people less than 30 years old, not employed and with only primary or secondary education levels._x000a__x000a_A total of 23,500 beneficiaries participated in the fifth round of the YTP. These were mainly young people (the minimum age is 16) characterized by a low socioeconomic and educational level (completed no more than secondary), difficulties in integrating into the labor market, and little labor experience._x000a__x000a_The participants were 37 percent women and 63 percent males. AGE: 66 percent were between 16 and 24, 15 percent between 25 and 29, and 19 percent were 30 years old or more. 74 percent of males were single, and the rest were either married or lived in consensual union (a distinction not specified in this paper), of which 21 percent had children. The proportion of single women was 50 percent, the proportion of married women was 41.4 percent, and 8.6 percent of female beneficiaries were separated or divorced. 60 percent of women had children. In total (men and women), 24 percent of beneficiaries had children but no partner, and 16 percent of the women who took at least one course were single mothers. On average, the beneficiary’s family consisted of five or six people and for each working person in the household there were three people who did not work. 29 percent had only elementary education, 51 percent had incomplete high school education, and 20 percent had completed high school. The average monthly income per capita of the beneficiaries’ households was $122 for women and $155 for males. 20 percent of female beneficiaries and 11 percent of male beneficiaries lived in homes where income per capita did not exceed $50, and 50 percent and 40 percent, respectively, lived in homes with income per capita less than $100. _x000a__x000a_Among female beneficiaries, 18 percent were head of family and 23 percent were primary economic supports. We observe that among those that are single and without children, 14.5 percent were head of family and 37 percent were the primary economic support._x000a__x000a_If we analyze the geographic distribution of the beneficiaries, we observe that 13.5 percent come from rural areas (populations with less than 2,000 inhabitants), 6.7 percent live in towns with populations between 2,000 and 10,000, and 14 percent live in towns ranging from 10,000 to 50,000 people. The rest live in medium and large urban areas (50,000 or more inhabitants). The regional distribution is shown in Table 7."/>
    <s v="Youth Training Program (YTP)"/>
    <s v="The Youth Training Program is a federal government initiative that began in 1994. The program’s main objective is to increase the beneficiaries’ prospects in the labor market. The project uses targeting mechanisms to serve particularly disadvantaged segments of the labor force, especially those unemployed because of a discrepancy between their training and skills and the demands of the productive sector._x000a__x000a_The federal government finances the courses. This includes educational materials, tools, health and safety equipment, honoraria of the institutions and firms offering courses and internships, and other aspects necessary to the program. The project offers participants a daily stipend to cover transportation costs ($4 per day during training and $8 per day during the internship). In order to promote women’s participation in training activities, women with children less than five years old receive an additional subsidy. Payment to institutions and stipends for participants make up almost 95 per cent of program costs._x000a__x000a_There are two stages in the program: the training phase and the internship phase. During the first, participants acquire the knowledge and technical skills of an occupation. The activities stress the development of work habits and strengthen the necessary skills on a day-to-day basis, e.g.: reading and writing, mathematical operations, problem resolution, logical reasoning, team work, interaction with peers and superiors, understanding instructions, and so on. In this stage, employment search preparation is also considered. The training phase lasts between 6 to 12 weeks and takes place at a site proposed by the chosen institution._x000a__x000a_During the internship phase, the beneficiaries apply what they learned in the first phase and acquire experience in a real labor environment, where they engage in the main tasks of the occupation for which they have been trained. During the internship, there is periodic feedback between the educational institution and the course participants in order to increase the educational character of the internship and to facilitate the acquisition of skills. This phase lasts around 8 weeks._x000a__x000a_Most of the training offered in the fifth round of this program was concentrated in the following economic sectors: agriculture, industry, services, and construction. The specific names of each course are listed in Appendix C. No course had more than 20 participants."/>
    <s v="USD 2,000 per participant (on average)"/>
    <s v="3 months (90 days on average)_x000a__x000a_Training: 6 - 12 weeks + Internship: 8 weeks_x000a__x000a_Total: 14 to 20 weeks."/>
    <s v="Government"/>
    <s v="DID"/>
    <m/>
    <m/>
    <m/>
    <m/>
    <m/>
    <m/>
    <s v="both"/>
    <s v="both"/>
    <s v="both"/>
    <s v="private-subsidized"/>
    <s v="private"/>
    <n v="3"/>
    <m/>
    <n v="2"/>
    <m/>
    <n v="25"/>
    <s v="yes"/>
    <s v="Most of the training offered in the fifth round of this program was concentrated in the following economic sectors: agriculture, industry, services, and construction. The specific names of each course are listed in Appendix C. No course had more than 20 participants."/>
    <s v="decentralized"/>
    <s v="the course"/>
    <s v="yes"/>
    <s v="poverty"/>
    <n v="24"/>
    <m/>
    <m/>
    <x v="0"/>
  </r>
  <r>
    <s v="Biewen 2014"/>
    <s v="Mourelo 2017"/>
    <s v="DH"/>
    <x v="2"/>
    <s v="Argentina"/>
    <n v="2003"/>
    <s v="26+"/>
    <s v="Table 3"/>
    <s v="In 2001–02, Argentina suffered one of the most severe economic crises in its history. In addition to the detrimental macroeconomic effects, the crisis had severe consequences on social conditions. Indeed, the unemployment rate increased by more than 6 percentage points in two years to reach 21.5 per cent in May 2002 and the employment rate decreased by more than 3 percentage points during the same period. Moreover, the share of people living below the poverty line increased from 37 per cent just prior to the crisis to 57 per cent in May 2002. This was accompanied by widespread political instability and social unrest._x000a__x000a_In this context, the Unemployed Heads of Household Plan (Plan Jefes y Jefas de Hogar Desocupados) or Plan Jefes was launched in May 2002 as the main measure to provide income support during the 2001–02 crisis. The Plan provided a monthly allowance of 150 pesos to unemployed heads of households with children under the age of 18 or disabled dependants. To participate, eligible individuals had to register and request participation at their local municipality or any local office of the Ministry of Labour. At its inception the plan was only conditional on basic health care and school attendance of children. Yet, soon after, a work requirement was included to ensure that the benefits reached those individuals that were in most need (Galasso and Ravallion, 2004). In exchange, participants had to work 20 hours per week in sectors benefitting society, such as basic community work. It is estimated that the Plan Jefes provided income to about 2 million beneficiaries at its peak in May 2003. Moreover, the empirical evidence highlights its effectiveness in protecting beneficiaries’ income and reducing their probability of falling into extreme poverty._x000a__x000a_Subsequently, in 2004, the economic recovery started to take root, consolidated by an annual GDP growth rate of 8.9 per cent, which resulted in an increase in households’ income. As a consequence, by 2010 the number of Plan Jefes’ beneficiaries was considerably reduced owing mainly to an increase in the employment rate among participants, but also due to the transfer to other programmes (Madoery, 2011). Indeed, since 2006, the Plan Jefes was reformed to give way to new programmes that responded better to the economic recovery of the country and were better targeted to meet the needs of the diverse Plan Jefes’ participants. The reform involved the implementation of two main programmes: Plan Familias and the SCE. On the one hand, Plan Familias focused on families whose heads faced serious employability difficulties (i.e. female unemployed heads of household with two or more children under the age of 18 and not having completed secondary education) and was administered by the Ministry of_x000a_Social Development. Plan Familias conferred a benefit indefinitely, which was proportional to the number of children at home and conditional on basic health care and school attendance of these children. The SCE, on the other hand, was aimed at Plan Jefes’ participants who had better opportunities to enter the labour market (i.e. male or female heads of household with one child under the age of 18 and having completed secondary education)."/>
    <s v="Plan Jefes training component"/>
    <s v="Participants in the SCE receive a monthly stipend of 225 pesos6 (75 pesos more than the allowance provided by Plan Jefes) during the first 18 months and 200 pesos during the last 6 months (all these transfers are taken into account for old-age pension) for a maximum period of two years. Allowances may be interrupted if the participant fails to comply with the commitments undertaken under the contract of adhesion. In addition to the income provision, the programme aims to support individuals through the following instruments: (i) support for the completion of primary and secondary education; (ii) vocational training and apprenticeships; (iii) labour intermediation services; (iv) indirect job creation measures (e.g. employment subsidies); and (v) promotion of self-employment and microenterprise creation. In exchange, participants commit to attending regularly the PES office to develop a career plan, participating in training, apprenticeship or vocational orientation activities and accepting job offers that correspond to their profile and experience. Unlike Plan Jefes, beneficiaries of the SCE that get a job may continue to receive the benefit for a specific period of time (up to twelve months in the case of a job in the public sector and up to six months in the private sector). Thus, the potential disincentive to labour market participation is reduced, since the beneficiaries can accept a job offer without losing the benefit"/>
    <m/>
    <m/>
    <s v="Government"/>
    <s v="DID"/>
    <m/>
    <m/>
    <m/>
    <m/>
    <m/>
    <m/>
    <s v="technical, job-readniess"/>
    <s v="classroom"/>
    <s v="more than 25"/>
    <m/>
    <s v="public"/>
    <n v="6"/>
    <n v="450"/>
    <m/>
    <m/>
    <n v="9"/>
    <s v="yes"/>
    <s v="While participation in the SCE was voluntary, eligible_x000a_Plan Jefes beneficiaries who opted to participate had to_x000a_forgo their allowance and register with the public employment_x000a_service (PES) office. PES offices are then responsible for analyzing the labor market history of each candidate and assessing_x000a_whether they meet the eligibility requirements. Once the_x000a_application is approved, a ‘‘contract of adhesion” (Convenio_x000a_de Adhesio´ n) including all rights and obligations is signed."/>
    <s v="through interview"/>
    <m/>
    <s v="no"/>
    <m/>
    <n v="45"/>
    <m/>
    <m/>
    <x v="1"/>
  </r>
  <r>
    <s v="Betcherman 2004"/>
    <s v="Das 2017"/>
    <s v="DH"/>
    <x v="3"/>
    <s v="Bangladesh"/>
    <n v="2016"/>
    <s v="14-18"/>
    <s v="Table 1.1"/>
    <s v="Bangladesh is a lower middle-income country with a population of 160 million.10 As of 2010, 31.5% of its population live in poverty (BBS, 2012). The Constitution of Bangladesh has guaranteed the rights to primary education for all, and the amount of public investment in education is substantial. About 12.27% of total public expenditures (i.e., 2.5% of GDP) is allocated for the education sector, of which almost half is for primary and mass education. Further, several NGOs invest substantial amount of resources in education for childr en from poor families. Despite all these initiatives, school dropout rate remains high. According to BANBEIS (2015) school dropout rates at the primary and secondary level are 21% and 43.18%, respectively._x000a__x000a_Many school dropout youth or adolescents in Bangladesh end up unemployed. A recent study using data from 35 slums from urban areas shows that 32% of youth aged 15-19 years are neither enrolled in school nor in the job market (Chowdhury et al., 2017). National level data, on the other hand, show that 9.9% of youth aged 15-19 years were unemployed in 2015-16 (BBS, 2017). The rate is higher among females (11.5%) compared to males (9.3%). Poverty is reported to be a proximate cause of school dropout in Bangladesh (Sabates et al., 2010). Hence, programs that address youth unemployment are likely to contribute to poverty reduction_x000a__x000a_BRAC started a training program titled ‘Skill Training for Advancing Resources (henceforth, STAR)’ in 2012. The objective of the program is to produce a well-trained and empowered manpower among youth and thus enhance employment. The program targets individuals aged 14-18 years from poor households, who are out of school for at least a year. For disable participants, however, age range is from 15-21 years. Maximum grade passed by the target group is 8. In addition, per capita monthly income of their families must be less than BDT 3,000 (i.e., $1.12 per person per day at nominal exchange rate or $3.42 per person per day at 2015 PPP exchange rate). The program is operated through BRAC field office, known as branch office._x000a__x000a_BRAC staffs make door-to-door visits in communities/villages surrounding the branch office to identify eligible participants. They use a small questionnaire, containing questions on the eligibility criteria. Initially, the program was developed by BRAC together with ILO and UNICEF in order to support the Bureau of Non-Formal Education (BNFE)’s 2nd phase of the Basic Education for Hard to Reach Urban Working Children (BEHTRUWC) project. The model later continued serving the poor and disadvantaged school dropouts from both rural and urban areas. "/>
    <s v="Skill Training for Advancing Resources_x000a_(STAR)"/>
    <s v="Program participants are provided with both classroom and on-the job training. The duration_x000a_of on-the-job training is six months with five days a week. The classroom training, by contrast, is_x000a_provided for a period of six months with three and a half hours a week. The program cycle is_x000a_completed in six months. Classroom training curriculum includes theoretical training on specific trades, and soft-skills training (financial literacy, market assessment and basic communicative English). The theoretical training is provided by trainers from local government and nongovernment training institutions. A trainee is provided training on a single trade. Typically, the program provides training on tailoring, fridge/AC repairing, embroidering, electronic device repairing, wooden furniture making, beauty parlour training, and graphics designing. Selection of trade for a participant depends on his/her interest. Once training is completed, BRAC links the participants with potential employers for wage employments. And for those keen on selfemployment, BRAC offers information, guidance and technical assistance._x000a__x000a_On-the-job training is provided through apprenticeship under a local Master Crafts Person_x000a_(MCP). Main characteristics of the MCPs selected by BRAC are as follows: (i) the owner of_x000a_small firms in the local markets; (ii) experienced as a skilled crafts person in the particular trade at least for 5 years; (iii) availability of sufficient space in his/her workplace to accommodate apprentice; (iv) previous successful experience in managing apprentices; (v) education level at least grade five; (vi) workplaces is located within the eight km radius of BRAC field office; and (vii) availability of toilet facilities at the work place.17 The MCPs are provided orientation on: (i) objectives of the STAR program; (ii) their responsibility to apprentice; and (iii) decent working environment._x000a__x000a_On-the-job training is provided through placing trainees with local MCPs. Hence, the total number of participants targeted from each branch office is contingent upon the number of MCPs available. It also depends on administrative issues like staffing as each field staff has to manage about 50-70 participants. The program is subsidized. As travel allowance, each trainee is provided with BDT 1,200 ($15) per month. On the other hand, the MCPs are provided with an allowance of BDT 2,000 ($25) per month for each apprentice placement. For 2016 cohort, total costs per participant were BDT 2,900. I discuss the costs of the program in detail in section 1.6.5."/>
    <s v="Average cost per participant of on-thejob_x000a_training (2016 cohort) was BDT 26,116. Do not include clasroom training"/>
    <s v="12 months"/>
    <s v="NGO"/>
    <s v="Randomization"/>
    <m/>
    <m/>
    <m/>
    <m/>
    <m/>
    <m/>
    <s v="technical, job-readniess"/>
    <s v="both"/>
    <s v="less than 25"/>
    <s v="private-subsidized"/>
    <s v="private"/>
    <n v="6"/>
    <n v="84"/>
    <n v="6"/>
    <n v="480"/>
    <n v="0"/>
    <s v="no"/>
    <s v=". Selection of trade for a participant depends on his/her interest. Once training is completed, BRAC links the participants with potential employers for wage employments"/>
    <s v="decentralized"/>
    <s v="course"/>
    <s v="yes"/>
    <s v="incomplete education &amp; poverty"/>
    <n v="20"/>
    <m/>
    <m/>
    <x v="0"/>
  </r>
  <r>
    <s v="Kluve 2017"/>
    <s v="Calero 2016"/>
    <s v="DH"/>
    <x v="4"/>
    <s v="Brazil"/>
    <n v="2012"/>
    <s v="17-29_x000a_mean: 23"/>
    <s v="Table 1"/>
    <s v="The Instituto Stimulu Brazil, a small-scale Brazilian non-governmental organization and the Inter-American Development Bank launched the Galpão program in 2009. It was designed with the sole primary objective of improving the employment and labor earnings of at-risk youth living in the Favelas (squatters’ slum) in Rio de Janeiro, Brazil._x000a_In the first stage, all individuals interested in the program fill a “pre-inscription” questionnaire that includes information related to the personal and household situation, current employment, and education status, among other factors. This information is used to identify individuals with a monthly household income under two minimum salaries and between 17 and 29 years old. Those who meet these criteria are considered for the next phase._x000a_In the second stage, individuals are invited to take mathematics and Portuguese tests on basic concepts. They also go through an interview process. The interview attempts to identify youth who are involved in criminal activities. If the interview reveals that the person is involved in such activities, he is not invited to participate in the program—regardless of his performance on the tests. The youth who perform best on the tests are invited to enroll in the program. Given that the number of eligible individuals is greater than the number of slots available in the program, youth are randomly assigned to the program._x000a_Brazil presents an interesting context for studying youth risk behavior because it ranks 11th among 90 countries in the rate of firearm-related deaths, with 21.9 deaths per 100,000 inhabitants (Waiselfisz 2015). Victims of this violence are more likely to be among the young, and youth violence has shown a sharp increase in the last three decades. According to Waiselfisz (2015), the homicide rate by firearms rose from 12.8 to 47.6 per 100,00 inhabitants between 1980 and 2012—an increase of 271.8% (see Fig. 1). Higher rates of violence have also exposed youth to other types of risks. For instance, the use of illegal drugs (e.g., marijuana or cocaine) has also increased in recent years among the young,2 and criminal organizations continually recruit young individuals, particularly those with low income, little education, and no religious attachment (Carvalho and Soares 2013)._x000a_"/>
    <s v="Galpão"/>
    <s v="The Instituto Stimulu Brazil, a small-scale Brazilian non-governmental organization and the Inter-American Development Bank launched the Galpão program in 2009. It was designed with the sole primary objective of improving the employment and labor earnings of at-risk youth living in the Favelas (squatters’ slum) in Rio de Janeiro, Brazil._x000a_In comparison with other youth training programs in Latin America (LAC), Galpão offers treatment over a long time frame.6 Participants remain in the program 6 months, 5 h a day, 5 days a week. The training includes 300 h of vocational or technical skills, 180 h of training on academic or basic skills, and 120 h on socio-emotional skills. The vocational or technical training prepares youth for jobs mainly in the areas of construction and soldering. The academic or basic skills training includes remedial courses in mathematics and Portuguese. Some of the concepts that the participants learn in these courses are used in the vocational training. For example, to build a metal bench, they use basic concepts from geometry such as an understanding of angles. The socio-emotional skills classes emphasize certain values and basic principles like respect, tolerance, confidence, prudence, courage, ethics, and civic responsibility._x000a_The novel dimension of the project is the pedagogical approach, which makes extensive use of arts and theater. Almost all sessions start with group activities to facilitate the understanding of skills and concepts. The activities include exercises that make extensive use of artistic and theatrical techniques and are directed by program instructors with an artistic background. Unlike other youth training programs, the project did not have an explicit job placement service or a formal internship program. Rather, it relied on informal contacts with private sector partners and partnerships with local firms._x000a_The program’s facilities were located in the port area, away from the Favelas. Because of the high incidence of violence in the Favelas and the youth being unable to move among communities owing to the existence of gangs, the location was chosen in a neutral downtown space. Recognizing that this might be a constraint to participation, the program covered the transportation costs of the participants._x000a__x000a_Galpão’s participants are selected in a two-stage process. In the first stage, all individuals interested in the program fill a “pre-inscription” questionnaire that includes information related to the personal and household situation, current employment, and education status, among other factors. This information is used to identify individuals with a monthly household income under two minimum salaries and between 17 and 29 years old. Those who meet these criteria are considered for the next phase._x000a_In the second stage, individuals are invited to take mathematics and Portuguese tests on basic concepts. They also go through an interview process. The interview attempts to identify youth who are involved in criminal activities. If the interview reveals that the person is involved in such activities, he is not invited to participate in the program— regardless of his performance on the tests. The youth who perform best on the tests are invited to enroll in the program. Given that the number of eligible individuals is greater than the number of slots available in the program, youth are randomly assigned to the program._x000a__x000a_This paper uses experimental data collected through the randomized trial of Galpão. Given that the number of eligible individuals was greater than the number of slots available in the program, youth were randomly assigned to either the treatment group or the comparison group. In total, 451 youth were eligible. Approximately half of them were randomly assigned to the treatment group and the other half to the control group. There are data for the three cohorts implemented in 2012: the first cohort began in April, the second in June, and the third in July. The data include the socio-demographic characteristics of the individuals as well as information on their cognitive skill (a cognitive test), socio-emotional skills (Grit Scale and a Social and Personal Competencies Scale), risk behavior, earnings, and employment status._x000a__x000a_Compliance. Around 90% of the treatment group attended the training, and none of the individuals of the control group participated in the program._x000a_"/>
    <s v="The cost per participant is R$ 810 (USD 385) a month or R$ 4680 (USD 2225) for the entire training. Transportation costs represent around 27% of the monthly cost."/>
    <s v="6 months_x000a__x000a_25h x week_x000a__x000a_6 months _x000a__x000a_300 hours vocational training_x000a_180 academic and basic skills_x000a_120 socio emotional skills"/>
    <s v="NGO"/>
    <s v="Randomization"/>
    <m/>
    <m/>
    <m/>
    <m/>
    <m/>
    <m/>
    <s v="both"/>
    <s v="classroom"/>
    <s v="both"/>
    <m/>
    <s v="private"/>
    <n v="6"/>
    <m/>
    <m/>
    <m/>
    <n v="4"/>
    <s v="yes"/>
    <s v="Galpão’s participants are selected in a two-stage process. In the first stage, all individuals interested in the program fill a “pre-inscription” questionnaire that includes information related to the personal and household situation, current employment, and education status, among other factors. This information is used to identify individuals with a monthly household income under two minimum salaries and between 17 and 29 years old. Those who meet these criteria are considered for the next phase._x000a_In the second stage, individuals are invited to take mathematics and Portuguese tests on basic concepts. They also go through an interview process. The interview attempts to identify youth who are involved in criminal activities. If the interview reveals that the person is involved in such activities, he is not invited to participate in the program— regardless of his performance on the tests. The youth who perform best on the tests are invited to enroll in the program. Given that the number of eligible individuals is greater than the number of slots available in the program, youth are randomly assigned to the program._x000a_"/>
    <s v="centatralized"/>
    <m/>
    <s v="yes"/>
    <s v="favelas"/>
    <n v="16"/>
    <m/>
    <m/>
    <x v="0"/>
  </r>
  <r>
    <s v="Escudero 2017"/>
    <s v="Calero 2017 i"/>
    <s v="BT/DU"/>
    <x v="5"/>
    <s v="Brazil"/>
    <n v="2012"/>
    <s v="mean: 23"/>
    <s v="Table 4, Table 5"/>
    <s v="These data were used for screening purposes, ensuring that youth met the program's_x000a_eligibility criteria, such as income limits (participants’ families could not earn more than two minimum wages), and age restrictions (participants could not be older than 29 years old). In the second stage, eligible youth were contacted and administered mathematics and_x000a_Portuguese tests. Program slots were oﬀered to those who scored highest in the academic tests. A pre-program interview was also conducted, mainly as a means to identify those who were actively involved in dealing drugs or in gang activity; those identiﬁed as participating in those activities were not oﬀered a slot, regardless of their academic scores._x000a__x000a_The data indicate that the youths in our sample are on_x000a_average around 23 years old and predominantly male.16 The house-_x000a_holds in which these youths live have an average of about four_x000a_household members. Almost all respondents (97 percent) report that_x000a_they can read and write. Few of them live in households that receive_x000a_social beneﬁts like the Bolsa Família or Familia Carioca, two govern-_x000a_ment conditional cash payments made to poor households.17_x000a__x000a_among disadvantaged youth living in Rio de Janeiro's_x000a_slums (or favelas), _x000a__x000a_youth in the marginalized_x000a_communities in Rio's favelas"/>
    <s v="Galpão program"/>
    <s v="The program sought to improve the socio-economic and labor market_x000a_ Of the 451 program applicants, 381 answered the_x000a_baseline survey: 163 in the treatment group, 195 in the control group,_x000a_and 23 non-randomly assigned treated youths (pre-selected). _x000a__x000a_outcomes of youth by teaching basic academic skills (including_x000a_remedial courses in both mathematics and Portuguese), vocational_x000a_skills (e.g., construction-related skills, carpentry, soldering), and work-_x000a_readiness skills. These work-readiness skills emphasized conducts and_x000a_behaviors required for success in a formal workplace, such as the_x000a_importance of being on time, the importance of ﬁnishing tasks, as well_x000a_as the proper way to address colleagues in the workplace._x000a__x000a_the use of expressive arts and_x000a_theatre as a pedagogical tool. This tool is used as part of a training_x000a_program that also includes vocational and academic training, as well as_x000a_training in work-readiness skills._x000a__x000a_Given that the program was oversubscribed, it was possible to_x000a_employ an experimental design to evaluate the program, by which_x000a_eligible beneﬁciaries were be randomly assigned to either a treatment_x000a_or a control group. The randomized selection was double blinded.6_x000a_Program administrators called applicants and informed them of their_x000a_status, and applicants that had been randomly selected-in were allowed_x000a_to enroll. The experiment was also structured with an exception_x000a_mechanism that allowed Galpão administrators to exclude certain_x000a_individuals from the process of random assignment.7 These pre-_x000a_selected individuals were identiﬁed before the randomization took_x000a_place and excluded from the experiment.8_x000a__x000a_The program's physical location was an important part of its_x000a_intervention strategy. Existing cultural spaces built within the favelas_x000a_had increasingly become non-viable due to violence surrounding these_x000a_areas, which limited the participation of youth across different communities._x000a_Young people could not move from one community to_x000a_another because of the partitioning of the favelas by rival gangs which_x000a_control the drug trade and other illicit activities in the city. The_x000a_program's response was to create a neutral downtown space, located_x000a_in the port area, away from the favelas. The concept of a neutral and_x000a_inclusive space was also woven into the program's pedagogic methodology."/>
    <s v="Galpão was a relatively expensive program. Based on administrative data, the average cost per youth in 2013 was $810 Brazilian Reais (about $386 US dollars) a month, or $4680 Reais_x000a_(about $2229 US dollars) for the entire curriculum per student."/>
    <s v="The program's duration was approximately six months, and included ﬁve hours of training a day, and for ﬁve days a week, delivered in three shifts—morning, afternoon, and evening. The_x000a_treatment included 300 h of vocational training, 180 h of training on_x000a_basic skills, and 120 h in work-readiness skills."/>
    <s v="NGO"/>
    <s v="Randomization"/>
    <s v="Table 6"/>
    <m/>
    <m/>
    <m/>
    <m/>
    <m/>
    <s v="both"/>
    <s v="classroom"/>
    <s v="both"/>
    <m/>
    <s v="private"/>
    <n v="6"/>
    <n v="600"/>
    <m/>
    <m/>
    <n v="10"/>
    <s v="yes"/>
    <s v="The randomized selection was double blinded.6_x000a_Program administrators called applicants and informed them of their_x000a_status, and applicants that had been randomly selected-in were allowed_x000a_to enroll."/>
    <s v="through interview"/>
    <m/>
    <s v="yes"/>
    <s v="poverty"/>
    <n v="60"/>
    <m/>
    <m/>
    <x v="0"/>
  </r>
  <r>
    <s v="Card 2015"/>
    <s v="Corseuil 2013"/>
    <s v="BT/DU"/>
    <x v="6"/>
    <s v="Brazil"/>
    <n v="2001"/>
    <s v="17-18"/>
    <s v="Figure 3, Table 4"/>
    <s v="From 2000 to 2005, only individuals aged 14 to 17 years old _x000a_could participate in the program. Individuals aged 18 years old or more were not _x000a_eligible._x000a__x000a_We use data from 2001 to 2006. Over this period RAIS contains an average of 50 _x000a_million worker-establishment records per year. In our analysis, we restrict attention to _x000a_workers aged 17 or 18 who entered the formal labor market between 2001 and 2003. _x000a_We only collect information for those youths that were in a temporary job in the first _x000a_job and marked those that were under an apprenticeship contract. We followed all _x000a_workers in our sample for three years (excluding the first), so we are able to compute _x000a_average program impacts for the medium/long term. _x000a__x000a_The sample used in the regression analysis is composed of youths aged 17 to 18 years _x000a_old who were temporary workers and who had obtained their first jobs in the formal _x000a_labor market between 2001 and 2003. All workers in this group are followed for a _x000a_period of three years after the year of their first appearance in the data. _x000a__x000a_Table 4 displays the main characteristics of the workers in the sample, where around ¼ _x000a_is composed of apprentices (11483 out of 44855). Almost half of the sample are 17 _x000a_years old, around 2/3 are males, the majority has between 9 and 11 years of schooling _x000a_(which means more than primary school but less than a secondary degree), over 70% _x000a_were in the sales or service sectors, and about ¾ were living in the Southeast or the _x000a_South regions, the richest of the country. The year of youth’s entrance in the formal _x000a_sector was not so equally distributed, with the year of 2002 being the year of entrance _x000a_with less than 1/3 of the sample. "/>
    <s v="Lei do Aprendiz, Apprentice’s Act"/>
    <s v="The main goal of the paper is to evaluate a very large youth program in Brazil, the _x000a_Apprenticeship program (Lei do Aprendiz, Apprentice’s Act). This is a targeted active _x000a_labor market program conducted by the Labor Ministry, which concedes payroll _x000a_subsidies to firms that hire and train young workers under temporary contracts. The _x000a_program intends to provide training to young workers and help them to successfully _x000a_complete the transition from school to work. One of its main objectives is to place _x000a_participants in good (formal) first jobs and, hopefully, help them to stay in the formal _x000a_segment of the labor market. _x000a__x000a_Young workers hired under the Apprenticeship program are required to enroll at school _x000a_if still at primary school, and to take formal training, either through official qualification _x000a_agencies, the so-called Sistema S (Senai, Senac, etc.), or at ONGs that specialize in such _x000a_training that are certified by the Labor Ministry. _x000a__x000a_The maximum number of working hours allowed for young workers hired under the _x000a_program is six hours per day. Payments should be at least the hourly minimum wage. _x000a_There is a payroll subsidy in the form of a lower deposit on the worker’s FGTS account _x000a_(Fundo de Garantia por Tempo de Serviço, a job-separation fund). Firms should deposit _x000a_only 2% of the basic wage on this fund, instead of the rate of either 8% or 8.5% that _x000a_prevails for other workers.11 Contracts are temporary with a maximum length of two _x000a_years. _x000a_"/>
    <s v="R$ 10 an hour by student by course (value for 2014 extracted from Soares 2017)"/>
    <m/>
    <s v="Government"/>
    <s v="IV"/>
    <s v="Table 5"/>
    <s v="Soares 2017"/>
    <m/>
    <s v="Soares 2017 evaluates a new version of the program where the cut-off age has been increased"/>
    <s v="Y"/>
    <s v="Soares 2017 reports similar ev. With age cut off changed, and randomized."/>
    <s v="technical"/>
    <s v="both"/>
    <s v="less than 25"/>
    <s v="private-subsidized"/>
    <s v="public, private"/>
    <m/>
    <n v="1000"/>
    <n v="24"/>
    <m/>
    <n v="5"/>
    <s v="yes"/>
    <s v="Young workers hired under the Apprenticeship program are required to enroll at school_x000a_if still at primary school, and to take formal training, either through official qualification_x000a_agencies, the so-called Sistema S (Senai, Senac, etc.), or at ONGs that specialize in such_x000a_training that are certified by the Labor Ministry."/>
    <s v="centralized"/>
    <s v="firm to apply"/>
    <s v="no"/>
    <m/>
    <n v="59"/>
    <m/>
    <m/>
    <x v="2"/>
  </r>
  <r>
    <s v="Attanasio 2011 i"/>
    <s v="Reis 2015"/>
    <s v="DH"/>
    <x v="7"/>
    <s v="Brazil"/>
    <n v="2006"/>
    <s v="21-54"/>
    <s v="Table 2"/>
    <s v="Vocational training, as defined by the Brazilian Census Bureau (Instituto_x000a_Brasileiro de Geografia e Estatística – IBGE) in the PME, is an activity dedicated_x000a_to providing skills for a specific occupation. This kind of training usually has a_x000a_low duration and could be provided by schools or other institutions (e.g._x000a_churches, unions and NGOs). The programs focus on practical applications of_x000a_skills learned through classroom instruction3 and a certification is granted upon_x000a_completion of the course.I48_x000a__x000a_About 20% of the individuals aged between 21 and 54 years have attended a program of this type before, and more than 90% of those who have attended vocational training actually completed the program. According to Table 1, more than half of the programs are privately provided; but national training institutes (SENAI, SENAC, SEBRAE and others) and government programs also have important contributions, with shares corresponding to 28% and 16% of the total._x000a__x000a_The empirical analysis in this paper uses data from the PME, which is conducted_x000a_by the Brazilian Census Bureau (IBGE). Every month, information about 100,000_x000a_individuals aged 10 years or more is collected by the survey in the six main_x000a_metropolitan areas of the country (Belo Horizonte, Porto Alegre, Recife, Rio de Janeiro, São Paulo and Salvador. About 25% of the Brazilian individuals aged between 21 and 54 years live in one of these six metropolitan areas). Each household that enters the survey is_x000a_interviewed for four consecutive months, not interviewed for the next 8 months,_x000a_and interviewed once again for the next 4 months. Therefore, it is possible to_x000a_follow the same individual for 16 months."/>
    <s v="National Vocational Training"/>
    <s v="Almost all training programs require class attendance and two-thirds of the training is done during the day. Computer literacy represents almost 30% of the courses for those who have completed a vocational training program before, while programs that focus on commerce and manufacturing activities account for 14.1% and 16.9%, respectively._x000a__x000a_"/>
    <m/>
    <m/>
    <s v="Government"/>
    <s v="DID"/>
    <m/>
    <m/>
    <m/>
    <m/>
    <m/>
    <m/>
    <s v="technical"/>
    <s v="classroom"/>
    <s v="both"/>
    <m/>
    <s v="public, private"/>
    <m/>
    <n v="200"/>
    <m/>
    <m/>
    <n v="9"/>
    <s v="yes"/>
    <s v=" The educational level required to attend vocational_x000a_training is very heterogeneous. Computer literacy, language, seamstress, cook,_x000a_massage therapist, secretary, manicurist, pedicurist, hairdresser, waiter, chef,_x000a_tour guide, bricklayer, cake decorator, makeup artist and surgical technologist_x000a_courses are a few examples of vocational training programs."/>
    <s v="decentralized"/>
    <s v="the course"/>
    <s v="no"/>
    <m/>
    <n v="47"/>
    <m/>
    <m/>
    <x v="0"/>
  </r>
  <r>
    <s v="Biewen 2014"/>
    <s v="Soares 2017"/>
    <s v="DH"/>
    <x v="8"/>
    <s v="Brazil"/>
    <n v="2012"/>
    <m/>
    <s v="Table 3"/>
    <s v="The PRONATEC (National Program of Access to Professional Education and Employment) is a vocational education program sponsored by the Brazilian federal government. It was launched in 2011, in the midst of an emerging financing trend focused on vocational courses in the country. The program is designated to increase the access to professional skill formation in order to expand labor market opportunities for the population – especially the less favourable and the youth public. From 2011 to 2014, the average growth rate of enrolment in vocational courses2 was approximately 46% in the country, representing an annual average investment of R$ 1.52 billions distributed over_x000a_more 3,200 municipalities (Souza, et. al. 2015)._x000a__x000a_One of its main initiative, the “Students’ Training Scholarship”, is a voucher-type scholarship which finances graduated or students still attending public school to attend secondary-level vocational education courses45. This initiative was responsible to an accumulated amount of 584,473 enrolments from 2011 to 2014 (Souza et al. 2015). The program works as the following procedure: i. Interested professional education institutions propose to the federal government – through the respective state’s secretary of education – an offering of a determinate number of vacancies due to be financed by the program; ii. The responsible government entity (Ministry of Education) authorizes, if applicable, the opening of those courses by those partner schools (which may be public or private); iii. The school open an application process directed to the interest eligible public. In case of excessive demand and oversubscription of a course, the vocational school may resort to lottery, (which should be realized in partnership with the secretary of education) to assign the vacancies._x000a__x000a_We will exploit a randomized selection process that took place from 2012 to 2014 in four SENAI institutions and in one SENAC entity, located in four municipalities in Santa Catarina federal state: Chapec´o, Itapiranga, Xanxerˆe and S˜ao Miguel do Oeste."/>
    <s v="PRONATEC"/>
    <s v="Vocational courses of secondary-level financed by the Student Training Scholarship, should_x000a_meet some curriculum criteria. The minimum workload for each technical course should range from 800 to 1,200 hours additionally to the assigned professional internship workload - which corresponds to a course lasting approximately two years. As said above, the student should have graduated in public secondary school or being enrolled at least in the second year of high school._x000a__x000a_Also, in order to obtain the secondary technical degree, it is required a minimum attendance_x000a_rate of 75% of the total vocational class’ workload and that the student must have completed the general secondary education as well. In 2014, the “hour-value” stipulated for each student were around R$ 10.00 by course (Secretariat of Professional and Technological Education report, 2013)."/>
    <s v="R$ 10 an hour_x000a__x000a_Average minimum cost of course: R$ 10,000"/>
    <s v="Minimum: 800 to 1,200 hours (8 to 12 months)_x000a__x000a_avg. minimum: 1,000 hours (10 months)"/>
    <s v="Government"/>
    <s v="Randomization"/>
    <m/>
    <m/>
    <m/>
    <m/>
    <m/>
    <m/>
    <s v="technical"/>
    <s v="both"/>
    <s v="less than 25"/>
    <s v="private-subsidized"/>
    <s v="public"/>
    <n v="7.1999999999999993"/>
    <n v="400"/>
    <n v="16.8"/>
    <m/>
    <n v="0"/>
    <s v="yes"/>
    <s v="firms hire trainnes that are later enrolled in training"/>
    <s v="centralized"/>
    <m/>
    <s v="no"/>
    <m/>
    <n v="56"/>
    <m/>
    <m/>
    <x v="0"/>
  </r>
  <r>
    <s v="Tripney 2013"/>
    <s v="Acero 2009 ii"/>
    <s v="CH"/>
    <x v="9"/>
    <s v="Chile"/>
    <n v="2008"/>
    <s v="18 - 29_x000a_mean: 23"/>
    <s v="Tabla 26"/>
    <s v="El grupo objetivo del programa son jóvenes entre 18 y 29 años, en condición de vulnerabilidad, que tengan educación primaria completa y que no hayan completado estudios de educación superior._x000a__x000a_Presenta un excelente cumplimiento, con un 2,3% de los beneficiarios de capacitación fuera del rango de edad estipulado para participar en el programa y un 1,8% sin la escolaridad exigida._x000a__x000a_Más atención merece el hecho que los seleccionados para tratamiento provienen de hogares con menores recursos económicos. Ello no es debido a diferencias significativas en el número de personas trabajadas en el hogar, ya que los tests estadísticos indican claramente que los hogares de seleccionados para el grupo de tratamiento y de control no difieren en este punto. En cambio, sí parece ser debido a mayores ingresos del resto de miembros del hogar (sean ingresos autónomos o transferencias) ya que persisten las diferencias a favor de los controles cuando se calcula el promedio del ingreso per capita del hogar, excluyendo del cómputo a los propios encuestados.48 Si bien esto no arriesga la calidad de la aleatorización y, por ende, del diseño de la evaluación, debe tenerse en cuenta que los hogares de los tratados cuentan con menos recursos que los de los controles. _x000a__x000a_La Tabla 26 permite también caracterizar a la muestra de estudio. Los tratados tienen en promedio 23 años de edad, únicamente un 11% son jefes de hogar, un 28% están casados o conviven con su pareja y viven en hogares de 4,5 integrantes. En promedio cuentan con 11,8 años de escolaridad, la mayoría de ellos (75,9%) ha estudiado educación básica en establecimientos municipales y prácticamente la mitad ha repetido algún curso en educación básica o media. Como era de esperar, viven en hogares de escasos recursos (76.000 pesos de ingreso autónomo per cápita del hogar) y sus padres en promedio no terminaron educación media (9,2 y 9,0 años de escolaridad materna y paterna, espectivamente). Un 18,8% viven en condiciones de hacinamiento y el arriendo promedio (real o dividendo) de sus hogares asciende a casi 90.000 pesos._x000a_"/>
    <s v=" Jóvenes al Bicentenario"/>
    <s v="El programa Jóvenes al Bicentenario tiene como objetivo declarado “mejorar la empleabilidad de los jóvenes, conectándolos al desarrollo de trayectorias de capacitación que les permitan adquirir las destrezas necesarias para desempeñarse en el mundo del trabajo a partir del conocimiento de un oficio”. _x000a__x000a_El programa consta de 6 etapas consecutivas: (i) inscripción; (ii) derivación a diagnóstico; (iii) entrevista de diagnóstico; (iv) capacitación; (v) práctica laboral e (vi) intermediación laboral. Para proximadamente unas 21.000 personas correctamente inscritas, se negociaron con la Dirección de Presupuestos 13.000 cupos para diagnósticos, 10.100 para capacitación, 8.000 para prácticas y 2.000 para intermediación laboral para la cohorte de beneficiarios del año 2008._x000a__x000a_Las etapas de diagnóstico y capacitación eran ejecutadas por OTEC diferentes. La elección del curso de capacitación era responsabilidad de la OTEC encargada de realizar la entrevista de diagnóstico, donde se detectaban los intereses y habilidades de los participantes y se establecía una terna de cursos (o “paquetes” de capacitación) que mejor se adecuaban al perfil del participante. Éste ordenaba dicha terna en función de sus preferencias y el programa intentaba entregar, en la medida de lo posible, la capacitación arecibir en función de las mismas. El programa contemplaba entregar a un 60% de los participantes en la capacitación un promedio de 400 horas formativas en el aula y el restante 40% podía llegar hasta las 800 horas. Las prácticas laborales tenían una duración prevista de 360 horas._x000a_Deserción durante etapas y en las transiciones entre etapas del programa: Al considerar sólo la información obtenida de las encuestas, la tasa de deserción en la fase de capacitación es del 16,2%, pero baja un 12,6%, si se restringe la muestra a aquellos encuestados que aparecen efectivamente en los registros del SENCE. En la práctica laboral, la tasa de deserción es del 4,7% y 5,1% utilizando los criterios anteriores, respectivamente. _x000a__x000a_Mayores son las tasas de salida del programa entre etapas. De los individuos que completan el diagnóstico, se estima que un 84% ingresa a la capacitación. Un 74% de los encuestados que completan la capacitación pasa a la práctica laboral. Entre los motivos aducidos con mayor frecuencia para abandonar el programa está el haber encontrado empleo y empezar estudios, pudiendo estas razones ser consideradas como salidas exitosas si los empleos tienen las condiciones adecuadas (formalidad, nivel de salario, entre otros), los estudios son formales o las capacitaciones son de calidad. Estas salidas corresponden a un 45% del autoreporte de los no asistentes al diagnóstico, a un 28% de los diagnosticados que no iniciaron la capacitación, un 36% de las y los desertores en la etapa de capacitación, y un 25% de aquellos participantes que completaron la capacitación, pero que no iniciaron la práctica. En su conjunto, un 21,5% de la deserción se debe a salidas potencialmente exitosas del programa. Sin embargo, el principal motivo reportado de salida del programa tras el diagnóstico es no haber sido llamado a la siguiente etapa (40% de respuestas entre los participantes que no entran en la capacitación). Igualmente, un 43% de los desertores tras completar la capacitación no asistió a una práctica, porque no se la ofrecieron. La no convocatoria a etapas posteriores es esperable, al menos en parte, por los cupos decrecientes para etapas sucesivas del programa, pero apunta implícitamente a una entrega insuficiente de información a las y los participantes. De hecho, un 18% de las personas que no asistieron al diagnóstico lo hizo porque no contaba con información suficiente. Finalmente, debe destacarse que un 16% de quienes abandonaron la capacitación lo hizo porque no era lo que esperaba._x000a__x000a_Existe una considerable heterogeneidad en las tasas de entrada y deserción en las etapas de capacitación y práctica laboral según la región de implementación del programa. A modo de ejemplo, a partir del autoreporte de los encuestados, no hubo desertores en la etapa de capacitación en la Región de O’Higgins mientras que cuatro de cada diez participantes abandonaron el programa en dicha etapa en la Araucanía. La deserción en la práctica laboral oscila entre un 0% en Coquimbo y casi un 10% en Bío Bío. De la misma manera, hay un rango de variación de 20 puntos porcentuales en las tasas de entrada en capacitación y práctica laboral entre regiones. Existe igualmente una importante heterogeneidad en los tiempos de espera entre regiones, de manera que en algunas (III, V, VI) son más del doble que en otras (IV, XIV)._x000a__x000a_Esto no puede ser explicado únicamente por una mayor complejidad en la gestión, ya que las diferencias se dan incluso entre regiones con un número similar de beneficiarios, y parecen influir en la mayor o menor salida de los participantes entre etapas. Se espera que la experiencia de gestión ganada, la instalación de un sistema de información y el mayor  atractivo de los cursos de capacitación al entregar más contenidos hayan reducido la magnitud de este problema para las cohortes de beneficiarios de los años 2009 y 2010._x000a__x000a_Caracterización de los participantes que terminan el programa. Las mujeres, los individuos con menor experiencia laboral previa, con menos recursos en el hogar y de mayor edad son quienes presentan mayor probabilidad de completar el programa. Al agregar todas estas características individuales, es posible indicar que en general son los beneficiarios más vulnerables los que completan el programa. Por ello, las diferencias estadísticamente significativas a favor de los tratados “completos” en los tests de medias en las variables de impacto respecto al universo de controles estarían subestimando el impacto del programa. Este punto queda confirmado al reestimar los resultados de impacto tras identificar previamente mediante una metodología de propensity score matching a los controles adecuados más parecidos para el grupo de tratados “completos”._x000a__x000a_Como se desprende de la Tabla 26, las medias de las muestras de tratados y controles son idénticas para prácticamente todas las variables consideradas, lo que confirma la calidad del proceso de aleatorización. Únicamente existen diferencias significativas para el porcentaje de individuos que cursó educación media en establecimientos municipales y en el ingreso autónomo per capita del hogar. Un 65% de los individuos seleccionados para tratamiento fue escolarizado en educación media en establecimientos públicos frente a un 69% de los seleccionados para el grupo de control. La explicación inmediata de ello es que una mayor proporción de controles ingresó en establecimientos particulares subvencionados, pero no es posible dar una respuesta clara a esta discrepancia estadística a partir de los datos disponibles._x000a_"/>
    <s v="el costo por participante está por encima de los USD 2.000"/>
    <s v="- Un 60% de los participantes en la capacitación  de 400 horas formativas y el restante 40% hasta las 800 horas. _x000a_- Las prácticas laborales tenían una duración 360 horas."/>
    <s v="Government"/>
    <s v="Randomization"/>
    <s v="Tabla 27, 30, 32"/>
    <m/>
    <m/>
    <s v="En la práctica un 52% cursó 250 o menos horas de capacitación, un 46% entre 250 y 400 horas y el 2% restante entre 400 y 773 horas. Un 15% de asistentes a los talleres de formación que no completaron ni una hora de capacitación._x000a__x000a_Un 30% realizó hasta 270 horas de práctica laboral, un 38% entre 270 y 360 horas, un 28% entre 360 y 480 horas y el 10% restante más de 480 horas._x000a__x000a_Ver cuadro 2 para tasas de take-up de las diferentes fases del programa."/>
    <m/>
    <m/>
    <s v="technical"/>
    <s v="both"/>
    <s v="both"/>
    <s v="private-subsidized"/>
    <s v="public"/>
    <n v="6"/>
    <n v="800"/>
    <n v="4"/>
    <n v="360"/>
    <n v="6"/>
    <s v="yes"/>
    <s v="Las etapas de diagnóstico y capacitación eran ejecutadas por OTEC diferentes. La elección del curso de capacitación era responsabilidad de la OTEC encargada de realizar la entrevista de diagnóstico, donde se detectaban los intereses y habilidades de los participantes y se establecía una terna de cursos (o “paquetes” de capacitación) que mejor se adecuaban al perfil del participante. Éste ordenaba dicha terna en función de sus preferencias y el programa intentaba entregar, en la medida de lo posible, la capacitación arecibir en función de las mismas. El programa contemplaba entregar a un 60% de los participantes en la capacitación un promedio de 400 horas formativas en el aula y el restante 40% podía llegar hasta las 800 horas. Las prácticas laborales tenían una duración prevista de 360 horas."/>
    <s v="through interview"/>
    <m/>
    <s v="yes"/>
    <s v="incomplete education"/>
    <n v="1"/>
    <m/>
    <m/>
    <x v="0"/>
  </r>
  <r>
    <s v="Kluve 2017"/>
    <s v="Kaplan 2015 i"/>
    <s v="DH"/>
    <x v="10"/>
    <s v="Chile"/>
    <s v="2011_x000a_"/>
    <s v="mean: 34.16"/>
    <s v="Table 1"/>
    <s v="Chile represents an interesting case among developing countries. In the last two decades, the country has experienced both strong economic growth and accelerated poverty reduction._x000a__x000a_The unemployment rate is still high among the poor (17 percent among the poorest quintile compared to 8 percent at national level), however, and inequality is substantial._x000a__x000a_Despite the signi cant economic development observed in Chile during recent decades, inequality is still persistent. Chile has the most unequal distribution of income among OECD countries (OCDE, 2012), and one similar to the average of the Latin American region (L opez-Calva and Lustig 2010). The main source of household income (80 percent) in Chile comes from labor income (CASEN, 2009), which suggests that this is an important component related to inequality in the country. Moreover, workers in Chile exhibit an important de cit of basic skills. For instance, according to Centro de Microdatos (2013), 44 percent_x000a_of adults in Chile are functionally illiterate (42 percent in reading comprehension and 51 percent in basic quantitative skills). There is a consensus in Chile that investing in human capital accumulation and productivity would lead to better labor conditions for workers, which would contribute to increasing the living standards to the level of developed countries_x000a__x000a_In 2011 Chile implemented a series of measures to strengthen its training system, including the BTA program. In terms of budget, the BTA represents the second largest program of the National Training and Employment Service (Servicio Nacional de Capacitacion y Empleo, or SENCE). In 2011, the BTA budget was US$32.3 million (approximately 16.2 billion Chilean Pesos [CLP]), representing 15 percent of the total resources allocated to SENCE during that year (Ministerio de Hacienda, 2010).7 The BTA's main objective is to increase the earnings and job mobility of workers by addressing their training needs. The BTA consists of a grant that allows bene ciaries to choose the subject (from a list prede ned by SENCE) and location of the labor training._x000a__x000a_To be eligible for the voucher, applicants must be employed; be at least 18 years old and no more than 60 for women and 65 for men; have contributed to social security at least 12 months (continuously or discontinuously) during their professional lives; have contributed at least 6 months (continuously or discontinuously) during the year prior to the application; and, have, on average, a monthly gross wage lower than US$1,200 (CLP 600,000)."/>
    <s v="Bono Trabajador Activo"/>
    <s v="The BTA, managed by SENCE, consists of a grant that allows workers to choose labor training courses from a prede ned list. The courses take place at technical training organizations (OTECs, for its acronym in Spanish)._x000a__x000a_By design, the training courses last between 80 and 140 hours (distributed, on average, over a 6-month period). In general, the maximum BTA funding amounts to US$800 (approximately CLP 400,000) per bene ciary. For more expensive courses, the funding might increase up to US$1,000 (CLP 500,000). Before the training starts, the bene ciary is asked to pay 20 percent of the_x000a_total course fees. This initial copayment is designed as a guarantee, which is reimbursed to the bene ciary at the end of the course if he or she attends at least 75 percent of the training, passes the course, and completes a satisfaction survey. If these conditions are not met, the OTEC may retain the copayment._x000a__x000a_Originally, the BTA was designed to sort eligible workers according to an employability index (EI). The workers with the lower scores were to be given priority in receiving the vouchers. In practice, however, the EI was never used. Although the EI was designed as a targeting mechanism, it was not used during the  rst year of the program because of the expected low demand for vouchers. Instead, all eligible applicants were awarded training vouchers, subject to availability of slots in each course. This assignment mechanism has a direct impact on the evaluation methods used, as discussed later herein."/>
    <s v="Up to US$ 800 per beneficiary"/>
    <s v="6 months_x000a_(80-140 hours)"/>
    <s v="Government"/>
    <s v="DID"/>
    <s v="Figure 1"/>
    <m/>
    <m/>
    <m/>
    <s v="N"/>
    <m/>
    <s v="technical"/>
    <s v="classroom"/>
    <s v="both"/>
    <m/>
    <s v="public"/>
    <n v="6"/>
    <n v="110"/>
    <m/>
    <m/>
    <n v="13"/>
    <s v="yes"/>
    <s v="The workers with the lower scores were to be given priority in receiving the vouchers. In practice, however, the EI was never used. Although the EI was designed as a targeting mechanism, it was not used during the  rst year of the program because of the expected low demand for vouchers. "/>
    <s v="decentralized"/>
    <s v="voucher"/>
    <s v="yes"/>
    <s v="poverty"/>
    <n v="39"/>
    <m/>
    <m/>
    <x v="0"/>
  </r>
  <r>
    <m/>
    <s v="Attanasio 2011 i"/>
    <s v="AY"/>
    <x v="11"/>
    <s v="Colombia"/>
    <n v="2005"/>
    <s v="18-25_x000a_mean: 21.1"/>
    <s v="Table 4A"/>
    <s v="The Jóvenes en Acción program was a training program for urban young unemployed that was implemented in the early 2000s in Colombia as part of a wider strategy called Red de Apoyo Social, aimed at providing a safety net for the poorest sectors of the population after the crisis that hit the country in the late 1990s._x000a_The program targets young people between the ages of 18 and 25 in the two lowest socioeconomic strata of the population. Training institutions in the seven largest cities of the country chose the courses to be taught as part of the program. _x000a_It was initially funded with a USD$70 million loan from the Inter-American Development Bank, and was targeted to unemployed youths 18 to 25, who belonged to the poorest population classified in the two lowest levels of a score, called SISBEN._x000a_In 1998, Colombia was hit by the strongest recession in almost 60 years. While the economy had an average gross domestic product (GDP) growth of 3 percent for the entire decade of the 1990s, in 1999 Colombia’s GDP growth fell to −6.0 percent. The economy only recovered to 3 percent GDP growth again in 2003. Given the absence of safety nets in the Colombian economy and the devastating effect that the recession was having on the poorest segments of the population, in 2001 the Colombian government introduced three new social programs to help those hardest hit by the recession. _x000a_As DNP (2000b) highlights, unemployment rates of youths between 18 and 25 years of age of the ten largest metropolitan areas, living in the first and second lowest deciles of the income distribution, at the turn of the Millennium were 62.8 percent and 52.8 percent respectively. The program was implemented in the seven main cities of the country: Bogotá, Medellín, Cali, Barranquilla, Bucaramanga, Manizales and Cartagena. The program, according to AKM, it actually began to enroll them in 2002, and, by 2005, it had enrolled 80,000 students. Table 1 presents some descriptive statistics based on the baseline information of applicants, and also based on their follow-up information from SISPRO and SISBEN. Our baseline information includes 3,956 applicants, 54% of whom are women. In Panel A, we notice that at the moment they applied to the program, they were on average 21 years old, 18 percent were married with an average of 10 years of education. 52% of applicants were employed and 38% of the total were wage earners. Their average earnings were COP$103 thousands (at December 2013 pesos). Only 8.9% worked in the formal sector, 7.8% had a written contract, and they worked an average of 12.3 days per month and 25.9 hours per week. Men were less likely to be married, and more likely to be working, and in particular, to be wage earners, with higher earnings, more formal and more likely with a written contract. Finally, they worked more days per month and hours per week (Table 1, Panel A)._x000a_(In Attanasio 2011): Monthly wage and salary earnings are 95,417 Colombian pesos (COP), or US$40.37/ month or US$1.35/day. If these individual earnings were the only source of income in their households, then these individuals would be living in poverty, or close to extreme poverty, as defined by the World Bank. Self-employment earnings are even lower._x000a_"/>
    <s v="Jovenes en Accion"/>
    <s v="The program Jóvenes en Acción (which translates as Youth in Action) was introduced between 2001 and 2005 and provided three months of in-classroom training and three months of on-the-job training to young people between the ages of 18 and 25 in the two lowest socioeconomic strata of the population. Training institutions in the seven largest cities of the country chose the courses to be taught as part of the program and received applications. Each institution was then asked to select more individuals than they had capacity for in each of the classes it offered. Subsequently, the program randomly offered training to as many people as there were slots available in each class from among the individuals initially chosen by the training institutions. The remaining youths were then used as a control group not selected into training. The advantage of this design is that it attempts to capture the process of trainee selection as it would take place in practice, rather than force the training institutions to train individuals they would otherwise not choose to train. This means that the results focus on the population of individuals good enough to be accepted into such a program._x000a_The program’s goal, was to increase the employability of the young beneficiaries and provide them support for building was what called by the program, their project of life. More specifically, its objectives were: (i) to develop the youths’ occupational skills, so to increase their likelihood to become employed and improve their performance at work, (ii) to promote the private supply of relevant job training programs for poor youths, and (iii) to put productive poor youths and training institutions closer to firms._x000a_Training consisted of three months of classroom training and three months of on-the-job training. Classroom training was provided by private training institutions, which had to participate in a bidding process to be able to participate in the program. The training institutions were selected based on the following criteria: legal registration, economic solvency, quality of teaching, and ability to place trainees after the classroom phase into internships with registered employers. In 2005, there were a total of 114 training institutions offering 441 detailed types of courses to 989 classes with a total of 26,615 slots for trainees, which means that the average class had 27 students. The vocational skills provided by the courses were very diverse. Appendix Table A1 provides the distribution of courses further grouped into 70 categories. The greatest number of courses was offered in administrative occupations (such as sales, secretarial work, marketing, warehouse and inventory work, and archival work). However, there were also a large number of courses in manual occupations (such as seamstresses, electricians, and cooking assistants), as well as courses in fairly skilled occupations including (IT specialists, data entry, surveyors, and accountant assistants). Private training institutions played a fundamental role in determining what courses were offered, how they were marketed, and how they were designed. The average number of hours of training per instructor was about 7.56 hours per day.9 Of the participating training institutions 43.2 percent were for profit and 56.8 percent were nonprofit. Training institutions were paid according to market prices and were paid conditional on completion of training by the participants of the program. On-the-job training was provided by legally registered companies, which provided unpaid internships to the participants. There were a total of 1,009 companies that participated in the program. These companies operated in manufacturing (textiles, food and beverages, pharmaceuticals, and electricity), retail and trade, and services (including security, transportation, restaurants, health, childcare, and recreation). The internships offered an average of 5.19 daily hours of on-the-job training (with a standard deviation of 0.53). The program provided a cash transfer of about US$2.20 per day to male and female trainees without young children throughout the 6 months in the program to cover for transportation and lunch, which was provided conditional on participation in the program. The amount was increased to about US$3.00 per day for women with children under 7 years of age to help cover childcare expenses._x000a_Jóvenes en Acción essentially consisted of training courses designed and provided by private institutions, known as ECAP. The course had to have three main components: (i) classroom training; (ii) on-the-job training; and (iii) the youth’s project of life._x000a_We evaluate Jóvenes en Acción, which provided subsidized training to poor young people living in urban areas. The program, Jóvenes en Acción, reached 80,000 young people (or approximately 50 percent of the target population) and was given to various cohorts over a period of four years. The first cohort received training in 2002 and the last one received training in 2005. This analysis evaluates this last cohort, which is the one that was randomly assigned to training._x000a_The aim was to develop occupational skills, social skills and broader career objectives. The program also included a small stipend of about USD$2.20 per day for trainees without children under seven years of age, and to about USD$3.00 per day for women with children under seven._x000a_The first component was expected to last between 280 and 350 hours and was focused both on the development of basic abilities for becoming employed (independent of the specific field), and the development of occupation specific skills. The former objective was pursued by providing the youths with basic social abilities and developing their soft skills: teaching them to be proactive, resourceful and open to feedback; improving their verbal and written communication skills; their analytic, deductive and daily work problems solving skills; by encouraging them to assimilate and understand their job’s organizational environment; by developing teamwork skills, etc. The latter goal was pursued by providing training in the specific field of their interest, including the expertise in the use of equipment and tools, didactic material, and the procurement of services; products or services production, etc._x000a_The second component consisted of three months of on-the-job training, and was about 480 hours long, conditional on the labor schedule of the specific firms in which the youths were trained. The training institutions, ECAPs, when designing the training courses, they had to identify participating employers that would take the young trainees on an apprenticeship basis. The ECAPS also wrote a training plan to facilitate the completion in the firm of the training process that began in their classrooms. It also includes an assessment of the youths’ performance in terms of their achievements, agreed upon by the firm, the ECAP, and the youth._x000a_The third component, the project of life, pursued the youths’ comprehensive human development, orienting them towards a positive visualization of their abilities, personal and work perspectives; providing them with tools for decision-making. It encouraged the youths to reflect on their work, their imminent insertion in the labor force, and its meaning with respect to their future labor market perspectives, helping them build their labor identity. This component took place all through the six months of the intervention._x000a_Compliance among applicants is 97%, our ITT estimates should not differ substantially from the average treatment effect in this population._x000a_The randomization worked as follows. For each class that was oversubscribed, each site or training institution was instructed to select a list of up to 50 percent more applicants than they had capacity for. The population at risk of random assignment were, thus, all applicants, and the risk sets were all classes in each site. _x000a_To summarize, we conclude that while the randomization proved successful for women, there seem to be some question marks with regard to the experimental integrity for men. Because of these concerns with random assignment of men, as well as the differential attrition of men from our sample, the results for this group should be interpreted with some caution._x000a_"/>
    <s v="The program spent US$60 million or 750 USD per participant._x000a__x000a_See Table 6 in Attanasion 2015 for Cost-Benefit Analysis."/>
    <s v="January 2005 - July 2005, 3 month of classroom training and 3 months of on-the-job training"/>
    <s v="Government"/>
    <s v="Randomization"/>
    <s v="Table 4A"/>
    <s v="Attanasio 2011 i"/>
    <m/>
    <s v="I got duration data from Attanasio 2011 i, since is the same evaluation."/>
    <m/>
    <m/>
    <s v="both"/>
    <s v="both"/>
    <s v="both"/>
    <s v="private-subsidized"/>
    <s v="private"/>
    <n v="3"/>
    <m/>
    <n v="3"/>
    <m/>
    <n v="243"/>
    <s v="yes"/>
    <s v="Appendix Table A1 provides the distribution of courses further grouped into 70 categories. The greatest number of courses was offered in administrative occupations (such as sales, secretarial work, marketing, warehouse and inventory work, and archival work). However, there were also a large number of courses in manual occupations (such as seamstresses, electricians, and cooking assistants), as well as courses in fairly skilled occupations including (IT specialists, data entry, surveyors, and accountant assistants).Private training institutions played a fundamental role in determining what courses were offered, how they were marketed, and how they were designed"/>
    <s v="decentralized"/>
    <s v="the course"/>
    <s v="yes"/>
    <s v="poverty"/>
    <n v="10"/>
    <m/>
    <m/>
    <x v="0"/>
  </r>
  <r>
    <s v="Crepon 2016"/>
    <s v="Attanasio 2015 i"/>
    <s v="CH"/>
    <x v="11"/>
    <s v="Colombia"/>
    <n v="2005"/>
    <s v="18-25_x000a_mean: 21.1"/>
    <s v="Table 1, Table 2"/>
    <s v="The Jóvenes en Acción program was a training program for urban young unemployed that was implemented in the early 2000s in Colombia as part of a wider strategy called Red de Apoyo Social, aimed at providing a safety net for the poorest sectors of the population after the crisis that hit the country in the late 1990s._x000a_The program targets young people between the ages of 18 and 25 in the two lowest socioeconomic strata of the population. Training institutions in the seven largest cities of the country chose the courses to be taught as part of the program. _x000a_It was initially funded with a USD$70 million loan from the Inter-American Development Bank, and was targeted to unemployed youths 18 to 25, who belonged to the poorest population classified in the two lowest levels of a score, called SISBEN._x000a_In 1998, Colombia was hit by the strongest recession in almost 60 years. While the economy had an average gross domestic product (GDP) growth of 3 percent for the entire decade of the 1990s, in 1999 Colombia’s GDP growth fell to −6.0 percent. The economy only recovered to 3 percent GDP growth again in 2003. Given the absence of safety nets in the Colombian economy and the devastating effect that the recession was having on the poorest segments of the population, in 2001 the Colombian government introduced three new social programs to help those hardest hit by the recession. _x000a_As DNP (2000b) highlights, unemployment rates of youths between 18 and 25 years of age of the ten largest metropolitan areas, living in the first and second lowest deciles of the income distribution, at the turn of the Millennium were 62.8 percent and 52.8 percent respectively. The program was implemented in the seven main cities of the country: Bogotá, Medellín, Cali, Barranquilla, Bucaramanga, Manizales and Cartagena. The program, according to AKM, it actually began to enroll them in 2002, and, by 2005, it had enrolled 80,000 students. Table 1 presents some descriptive statistics based on the baseline information of applicants, and also based on their follow-up information from SISPRO and SISBEN. Our baseline information includes 3,956 applicants, 54% of whom are women. In Panel A, we notice that at the moment they applied to the program, they were on average 21 years old, 18 percent were married with an average of 10 years of education. 52% of applicants were employed and 38% of the total were wage earners. Their average earnings were COP$103 thousands (at December 2013 pesos). Only 8.9% worked in the formal sector, 7.8% had a written contract, and they worked an average of 12.3 days per month and 25.9 hours per week. Men were less likely to be married, and more likely to be working, and in particular, to be wage earners, with higher earnings, more formal and more likely with a written contract. Finally, they worked more days per month and hours per week (Table 1, Panel A)._x000a_(In Attanasio 2011): Monthly wage and salary earnings are 95,417 Colombian pesos (COP), or US$40.37/ month or US$1.35/day. If these individual earnings were the only source of income in their households, then these individuals would be living in poverty, or close to extreme poverty, as defined by the World Bank. Self-employment earnings are even lower._x000a_"/>
    <s v="Jovenes en Accion"/>
    <s v="The program Jóvenes en Acción (which translates as Youth in Action) was introduced between 2001 and 2005 and provided three months of in-classroom training and three months of on-the-job training to young people between the ages of 18 and 25 in the two lowest socioeconomic strata of the population. Training institutions in the seven largest cities of the country chose the courses to be taught as part of the program and received applications. Each institution was then asked to select more individuals than they had capacity for in each of the classes it offered. Subsequently, the program randomly offered training to as many people as there were slots available in each class from among the individuals initially chosen by the training institutions. The remaining youths were then used as a control group not selected into training. The advantage of this design is that it attempts to capture the process of trainee selection as it would take place in practice, rather than force the training institutions to train individuals they would otherwise not choose to train. This means that the results focus on the population of individuals good enough to be accepted into such a program._x000a_The program’s goal, was to increase the employability of the young beneficiaries and provide them support for building was what called by the program, their project of life. More specifically, its objectives were: (i) to develop the youths’ occupational skills, so to increase their likelihood to become employed and improve their performance at work, (ii) to promote the private supply of relevant job training programs for poor youths, and (iii) to put productive poor youths and training institutions closer to firms._x000a_Training consisted of three months of classroom training and three months of on-the-job training. Classroom training was provided by private training institutions, which had to participate in a bidding process to be able to participate in the program. The training institutions were selected based on the following criteria: legal registration, economic solvency, quality of teaching, and ability to place trainees after the classroom phase into internships with registered employers. In 2005, there were a total of 114 training institutions offering 441 detailed types of courses to 989 classes with a total of 26,615 slots for trainees, which means that the average class had 27 students. The vocational skills provided by the courses were very diverse. Appendix Table A1 provides the distribution of courses further grouped into 70 categories. The greatest number of courses was offered in administrative occupations (such as sales, secretarial work, marketing, warehouse and inventory work, and archival work). However, there were also a large number of courses in manual occupations (such as seamstresses, electricians, and cooking assistants), as well as courses in fairly skilled occupations including (IT specialists, data entry, surveyors, and accountant assistants). Private training institutions played a fundamental role in determining what courses were offered, how they were marketed, and how they were designed. The average number of hours of training per instructor was about 7.56 hours per day.9 Of the participating training institutions 43.2 percent were for profit and 56.8 percent were nonprofit. Training institutions were paid according to market prices and were paid conditional on completion of training by the participants of the program. On-the-job training was provided by legally registered companies, which provided unpaid internships to the participants. There were a total of 1,009 companies that participated in the program. These companies operated in manufacturing (textiles, food and beverages, pharmaceuticals, and electricity), retail and trade, and services (including security, transportation, restaurants, health, childcare, and recreation). The internships offered an average of 5.19 daily hours of on-the-job training (with a standard deviation of 0.53). The program provided a cash transfer of about US$2.20 per day to male and female trainees without young children throughout the 6 months in the program to cover for transportation and lunch, which was provided conditional on participation in the program. The amount was increased to about US$3.00 per day for women with children under 7 years of age to help cover childcare expenses._x000a_Jóvenes en Acción essentially consisted of training courses designed and provided by private institutions, known as ECAP. The course had to have three main components: (i) classroom training; (ii) on-the-job training; and (iii) the youth’s project of life._x000a_We evaluate Jóvenes en Acción, which provided subsidized training to poor young people living in urban areas. The program, Jóvenes en Acción, reached 80,000 young people (or approximately 50 percent of the target population) and was given to various cohorts over a period of four years. The first cohort received training in 2002 and the last one received training in 2005. This analysis evaluates this last cohort, which is the one that was randomly assigned to training._x000a_The aim was to develop occupational skills, social skills and broader career objectives. The program also included a small stipend of about USD$2.20 per day for trainees without children under seven years of age, and to about USD$3.00 per day for women with children under seven._x000a_The first component was expected to last between 280 and 350 hours and was focused both on the development of basic abilities for becoming employed (independent of the specific field), and the development of occupation specific skills. The former objective was pursued by providing the youths with basic social abilities and developing their soft skills: teaching them to be proactive, resourceful and open to feedback; improving their verbal and written communication skills; their analytic, deductive and daily work problems solving skills; by encouraging them to assimilate and understand their job’s organizational environment; by developing teamwork skills, etc. The latter goal was pursued by providing training in the specific field of their interest, including the expertise in the use of equipment and tools, didactic material, and the procurement of services; products or services production, etc._x000a_The second component consisted of three months of on-the-job training, and was about 480 hours long, conditional on the labor schedule of the specific firms in which the youths were trained. The training institutions, ECAPs, when designing the training courses, they had to identify participating employers that would take the young trainees on an apprenticeship basis. The ECAPS also wrote a training plan to facilitate the completion in the firm of the training process that began in their classrooms. It also includes an assessment of the youths’ performance in terms of their achievements, agreed upon by the firm, the ECAP, and the youth._x000a_The third component, the project of life, pursued the youths’ comprehensive human development, orienting them towards a positive visualization of their abilities, personal and work perspectives; providing them with tools for decision-making. It encouraged the youths to reflect on their work, their imminent insertion in the labor force, and its meaning with respect to their future labor market perspectives, helping them build their labor identity. This component took place all through the six months of the intervention._x000a_Compliance among applicants is 97%, our ITT estimates should not differ substantially from the average treatment effect in this population._x000a_The randomization worked as follows. For each class that was oversubscribed, each site or training institution was instructed to select a list of up to 50 percent more applicants than they had capacity for. The population at risk of random assignment were, thus, all applicants, and the risk sets were all classes in each site. _x000a_To summarize, we conclude that while the randomization proved successful for women, there seem to be some question marks with regard to the experimental integrity for men. Because of these concerns with random assignment of men, as well as the differential attrition of men from our sample, the results for this group should be interpreted with some caution._x000a_"/>
    <s v="The program spent US$60 million or 750 USD per participant._x000a__x000a_See Table 6 in Attanasion 2015 for Cost-Benefit Analysis."/>
    <s v="January 2005 - July 2005, 3 month of classroom training and 3 months of on-the-job training"/>
    <s v="Government"/>
    <s v="Randomization"/>
    <s v="Figure 1_x000a_Figure 2_x000a_Figure 3_x000a_"/>
    <s v="Attanasio 2011 i"/>
    <m/>
    <s v="I got duration data from Attanasio 2011 i, since is the same evaluation."/>
    <m/>
    <m/>
    <s v="both"/>
    <s v="both"/>
    <s v="both"/>
    <s v="private-subsidized"/>
    <s v="private"/>
    <n v="3"/>
    <m/>
    <n v="3"/>
    <m/>
    <n v="243"/>
    <s v="yes"/>
    <s v="Appendix Table A1 provides the distribution of courses further grouped into 70 categories. The greatest number of courses was offered in administrative occupations (such as sales, secretarial work, marketing, warehouse and inventory work, and archival work). However, there were also a large number of courses in manual occupations (such as seamstresses, electricians, and cooking assistants), as well as courses in fairly skilled occupations including (IT specialists, data entry, surveyors, and accountant assistants).Private training institutions played a fundamental role in determining what courses were offered, how they were marketed, and how they were designed"/>
    <s v="decentralized"/>
    <s v="the course"/>
    <s v="yes"/>
    <s v="poverty"/>
    <n v="11"/>
    <m/>
    <m/>
    <x v="0"/>
  </r>
  <r>
    <s v="Cave 1993 i"/>
    <s v="Santa Maria 2009 i"/>
    <s v="DH"/>
    <x v="12"/>
    <s v="Colombia"/>
    <n v="2007"/>
    <s v="16 - 29_x000a_mean: 21"/>
    <m/>
    <s v="El programa Jóvenes con Futuro fue creado en el año 2005 por iniciativa de la alcaldía de_x000a_Medellín y bajo la tutela de la Secretaria de Desarrollo Social, con el objetivo principal de ayudar a los jóvenes, de escasos recursos y buenas conductas sociales, a mejorar sus condiciones de vida._x000a__x000a_Requisitos para ingresar al programa:_x000a_1. 16-29 años_x000a_2. Pertenecer a los estratos 1,2,3_x000a_3. Minimo 7o. grado de educacion secundaria_x000a_4. No ser del programa de reinseccion_x000a_5. No estar trabajando_x000a_6. No estar estudiando de dia_x000a_7. No haber pertenecido a:_x000a_Programas de Formación para el Trabajo como Joven Competitivo_x000a_Jóvenes Rurales_x000a_Formación BID- ITM_x000a_Jóvenes en Acción_x000a_Jóvenes con Futuro 2006"/>
    <s v="Jovenes con Futuro"/>
    <s v="El programa JCF está conformado por tres módulos de formación, que agregados representan_x000a_un total de 1200 horas durante nueve meses._x000a__x000a_Componente de desarrollo humano integral: enfocado en las habilidades de vida como_x000a_son las relaciones inter-personales, el trabajo en grupo, la orientación socio-laboral y la_x000a_definición de un proyecto de vida. Parte de este componente se dedica al_x000a_fortalecimiento de las habilidades de lectura, escritura y matemáticas. Adicionalmente,_x000a_este componente comprende la formación en Tecnologías de la Información y la_x000a_Comunicación (TIC’s) así como en el módulo de emprendimiento de la alcaldía de_x000a_Medellín (Cultura E). La duración es de este componente es de 280 horas._x000a__x000a_Componente de formación del área técnica: en una de las 20 áreas ofrecidas por el_x000a_Programa con base en las necesidades del mercado laboral. La duración de éste módulo_x000a_educativo es de 480 horas y fue ofrecido por (5) entidades de capacitación._x000a__x000a_Componente de práctica laboral: con empresas locales y organizaciones públicas o_x000a_sociales como parte del proceso de formación. La duración de este componente es de_x000a_440 horas."/>
    <m/>
    <s v="9 months_x000a_(1200 hours)"/>
    <s v="Government"/>
    <s v="DID"/>
    <m/>
    <m/>
    <m/>
    <m/>
    <m/>
    <m/>
    <s v="both"/>
    <s v="both"/>
    <s v="both"/>
    <s v="private-subsidized"/>
    <s v="private"/>
    <n v="9"/>
    <n v="1200"/>
    <n v="11"/>
    <n v="440"/>
    <n v="3"/>
    <s v="yes"/>
    <s v="Componente de formación del área técnica: en una de las 20 áreas ofrecidas por el_x000a_Programa con base en las necesidades del mercado laboral. La duración de éste módulo_x000a_educativo es de 480 horas y fue ofrecido por (5) entidades de capacitación._x000a__x000a_Componente de práctica laboral: con empresas locales y organizaciones públicas o_x000a_sociales como parte del proceso de formación. La duración de este componente es de_x000a_440 horas._x000a_"/>
    <s v="decentralized"/>
    <s v="the course"/>
    <s v="yes"/>
    <s v="poverty"/>
    <n v="50"/>
    <m/>
    <m/>
    <x v="0"/>
  </r>
  <r>
    <s v="Hirshleifer 2016 i"/>
    <s v="Rosholm 2009 i"/>
    <s v="CP"/>
    <x v="13"/>
    <s v="Denmark"/>
    <n v="1994"/>
    <s v="mean: 31.52"/>
    <s v="Table 2"/>
    <s v="Training takes place at one of 24 training sites. In 1994, 1 18,000 persons undertook training of this type, corresponding to 4.1% of the labour force and to 45% of all trainees at AMU sites in 1994. This translates into the equivalent of 8274 full-time workers._x000a__x000a__x000a_The experiment included 938 persons in total. We lost 17 observations due to missing identification numbers and we had to delete an additional 111 persons due to non-response.11 For the 111 individuals we know whether they are randomised in or out of the experiment12 and we are able to merge administrative records on them. However, we are not able to assert whether they actually received any training."/>
    <s v="Labour Market Training Programmes (AMU)"/>
    <s v="The purpose of the Danish system of Labour Market Training Programmes (the AMU programme) is to maintain and improve the qualifications of the labour force. In addition, it should assist in facilitating adjustments to structural changes in the labour market (say, shifts in the demand for labour). The programme is large, and it operates on many target groups. The type of training considered in this study is 'competence enhancing training for (mainly) unskilled workers._x000a__x000a_time workers. There are approximately 600 different training courses to choose from. A course will on average last 2 weeks. These courses are open for employed as well as unemployed workers. When there are more applicants for a given course than the maximum capacity of that course, the selection procedure is such that employed workers are given first priority, unemployed workers with a work contract conditional on participation in the course are given second priority and other unemployed workers have the lowest priority. Within these three groups assignment is based on first-come first-served. Unemployed workers can obtain compensation equivalent to Unemployment Insurance (UI) benefits while in training, but participation in training does not extend eligibility for UI benefits. For workers who are not eligible for UI benefits, and thus receive means-tested social assistance benefits, this typically corresponds to a non-negligible increase in income, providing them with additional incentives to participate._x000a__x000a_types of vocational training courses are very teacher intensive, with typically 35-40 hours of classroom training per week, with a limited number of participants, and they courses were free of charge for participants (or participating firms) at the time._x000a_The AMU experiment was conducted in 1994. The types restricted to those directed towards certain industries. participants in the experiment received training in the area for operating a pick-up truck, truck, crane, bus, etc.), population of participants. The remaining courses were courses' and 'introductory computer courses'. To ease with starting dates in May and June and with finishing and only five training sites participated. These sites were the 24 training sites in Denmark. There was full compliance around one-third of all AMU programmes in Denmark the country._x000a__x000a_The selected courses last from 1 to 7 weeks, with an average potential negative consequences of the experiment workers, a certain design mechanism was used: only could be used for the experiment. Moreover, only the in April 1994 applied for participation in one of the the experiment. This ensured that those randomised in better off in the sense that they would now be able would have been given the lowest of priority under unemployed and applied the latest - while at the same group members - were actually randomised out of programmes been very likely to participate even without the experiment. implies that the experiment will be evaluating the effects normally on the margin of participation.9 Finally, sites because of the experiment alone. Therefore, in case of too cancellation, caseworkers were allowed to call in control group members. _x000a__x000a_This leaves us with 810 persons, of whom 423 were in the treatment group and 387 were in the control group. Of the 423 in the treatment group, 218 (52%) received training, while the remaining 205 did not show up. These two subgroups of the treatment group are called the treated and no- shows, respectively. In the control group, 86 (22%) ended up receiving training during May and June 1994 in one of the courses they were supposedly randomised out of. This is the group of crossovers, while the last group, those in the control group not receiving treatment in the treatment period, we denote as real controls. It is thus a highly imperfect experiment, as ideally there should have been 100% treated in the treatment group, or at the very least 100% real controls in the control group. The fact that the fraction of no-shows is close to one half cannot be attributed to the ongoing experiment, since participants were not informed about being part of the experiment. We conjecture, therefore, that the degree of no-show in this experiment is equal to that under normal operating procedures."/>
    <s v="On the cost side, the government spent some â‚-220 million on operating expenses in 1994 (2006 prices). On top of this there are compensating wage subsidies for employed as well as unemployed participants amounting to another â‚-188 million (2006 prices): in total around 0.3% of GDP at the time. Supplying an average course of 2 weeks' duration would therefore cost the government â‚-1.900 per participant. This"/>
    <s v="Between: 1 - 7 weeks Avg: 2 weeks_x000a__x000a_typically 35-40 hours of classroom training per week"/>
    <s v="Government"/>
    <s v="Randomization"/>
    <s v="Figure 1, 2"/>
    <m/>
    <m/>
    <m/>
    <m/>
    <m/>
    <s v="technical"/>
    <s v="classroom"/>
    <s v="both"/>
    <m/>
    <s v="public"/>
    <n v="0.5"/>
    <n v="80"/>
    <m/>
    <m/>
    <n v="58"/>
    <s v="no"/>
    <s v="There are approximately 600 different training courses to choose from. A course will on average last 2 weeks. "/>
    <s v="decentralized"/>
    <s v="the course"/>
    <s v="no"/>
    <m/>
    <n v="49"/>
    <m/>
    <m/>
    <x v="0"/>
  </r>
  <r>
    <s v="Other"/>
    <s v="Acevedo 2017 i"/>
    <s v="AY"/>
    <x v="14"/>
    <s v="Dominican Republic"/>
    <n v="2009"/>
    <s v="16-29, mean: 21"/>
    <s v="Tables 4, 5"/>
    <s v="The program, “Programa Juventud y Empleo” (PJyE), was designed to improve the employment opportunities of at-risk youth._x000a__x000a_Eligible program applicants were individuals between the ages of 16 and 29, found to be at-risk, and Dominican Republic citizens in possession of a personal_x000a_identification card. At-risk was defined as unemployed or underemployed and not having completed secondary school. Moreover, eligible applicants must belong to households with a per capita income not exceeding US$120 per month and located in regions known as Priority I and II according the SIUBEN index.7 A special effort is made to reach out to enroll women. These criteria were meant to target PJyE to the poorest sectors of the population._x000a__x000a_Baseline data presented in Table 4 suggests that the program’s selection process was  successful in reaching its target population of young Dominicans with low education levels, from poor households and who were unemployed or underemployed. On average, applicants were 21 years old; 62% were female; and 79% of applicants were single. Almost all applicants had not completed secondary school, which reflected the program’s focus on youth who have either dropped out or put off completion of their secondary education._x000a__x000a_Confirming program eligibility rules, unemployment amongst applicants was substantially higher than for the same age group in the general population. About 60% of applicants reported being unemployed during the week before their application; whereas, the national labor force survey (Encuesta Nacional de Fuerza de Trabajo (ENFT)) reported 24% unemployment for the same age group during the first semester of 2009."/>
    <s v="Juventud y Empleo"/>
    <s v="[Vocational training combined with soft skills training and an internship]_x000a__x000a_We use an at-scale randomized field experiment to examine the impact of imbedding a soft skills component into an at-scale vocational training for youth in the Dominican Republic on skill development, future expectations, labor market outcomes, and well-being. The program, “Programa Juventud y Empleo” (PJyE), was designed to improve the employment opportunities of at-risk youth,2 given the relatively high level of  unemployment among youth. PJyE’s main objective is to improve the employment opportunities of at-risk youth by building their vocational and soft skills. The program provides in-classroom training and an internship in a_x000a_private business. It also financed participants’ transportation, medical and accident insurance, and provided them with a small stipend._x000a_There are two treatment arms: (1) vocational training combined with soft skills training and an internship and (2) soft skills only training with an internship._x000a__x000a_PJyE built job skills through classroom training and internships, offered by private_x000a_institutes known as Operation Centers for the System (COS) that are authorized by the National_x000a_Institute for Professional Training (INFOTEP)._x000a__x000a_The classroom component of the program consisted of vocational training (hard skills) and/or personal skills development (soft skills). The vocational training module included 150 hours of training in occupations, such as sales, beauty salon assistant, tourism and hospitality, carpentry, electricity and others. The personal skills component consisted of 75 hours focused on promoting self-esteem and self-realization, communication skills, conflict resolution, life planning, time management, teamwork, decision-making, hygiene and health, and coaching on risky behaviors. Once the in-classroom training phase was completed, all participants were also assigned to 240- hour internships at private companies, for which participants received a daily stipend of_x000a_approximately US$2 and basic insurance. During this period, participants received oversight and job counseling._x000a__x000a_PJyE follows what Card et al. (2011) call the “Chilean model” of job training programs in Latin America, where private institutions rather than employers provide classroom training and arrange for internships. The vocational training curricula were developed jointly with the private sector to cover the technical skills that participants would need for the subsequent internship phase. In 2009, the program offered 520 courses for 49 occupations._x000a__x000a_The personal skills development component consisted of 75 classroom hours and assignments to be completed by students after class. The curricula aimed to develop participant’s “soft skills” contributing to their development as human beings and to provide participants with the tools to face and manage social risks. Major crosscutting themes in the curricula include values, attitudes and basic personal skills (self-fulfillment, basic cognitive abilities, and social skills) for a successful family, and social and work life._x000a__x000a_Of the more than 20,000 youth that applied for the program in 2009, 16,373 fulfilled the eligibility requirements and were selected by their respective COS to be part of the selection process. Of this group, by means of random assignment, 10,397 individuals were offered admission to a hard and soft skills course and 1,604 were offered admission to a soft-skills only course, with the remainder either waitlisted or assigned to the control group. Follow-up surveys were conducted on a random sample of individuals from treatment and_x000a_control groups. The evaluation sample included a total of 4,700 youth, of whom 1,638 applicants had been offered admission to a hard and soft skills course, 1,613 to a soft-skills only course and 1,449 applicants were from the control group (see Figure 1)._x000a__x000a_For the analysis, we work with the sample of individuals who responded to both the third round of the telephone survey and to the final household survey. We also excluded individuals from training centers that did not offer both the combined training and soft-skills only training (Vezza et al., 2014). The final analytic sample consists of 1,051 males and 1,728 females from 70 COSs._x000a__x000a__x000a_"/>
    <s v="The estimated cost of the JE program was about US$330 per trainee"/>
    <s v="3 months of classroom training, 3 months of internship"/>
    <s v="Government"/>
    <s v="Randomization"/>
    <m/>
    <m/>
    <m/>
    <s v="Information on costs is from Card 2011. From email by Sebastian Martinez we know that the classroom training was 150 hours for hard skills, and the internship was 240 hours. This group finished the program in 3+3 months. "/>
    <m/>
    <m/>
    <s v="both"/>
    <s v="both"/>
    <s v="both"/>
    <s v="private-subsidized"/>
    <s v="private"/>
    <m/>
    <n v="225"/>
    <n v="2"/>
    <n v="240"/>
    <n v="8"/>
    <s v="yes"/>
    <s v="The personal skills component consisted of 75 hours focused on promoting self-esteem and self-realization, communication skills, conflict resolution, life planning, time management, teamwork, decision-making, hygiene and health, and coaching on risky behaviors. Once the in-classroom training phase was completed, all participants were also assigned to 240- hour internships at private companies, for which participants received a daily stipend of_x000a_approximately US$2 and basic insurance. During this period, participants received oversight and job counseling._x000a_"/>
    <s v="centralized"/>
    <m/>
    <s v="yes"/>
    <s v="poverty &amp; incomplete education"/>
    <n v="2"/>
    <s v="The program, “Programa Juventud y Empleo” (PJyE) targeted individuals between 16 and 29 years old who were unemployed or underemployed and did not have completed secondary school. Eligible applicants’ households per capita income must not exceed US$120 per month and they must be located in regions known as Priority I and II according the SIUBEN index. A special effort is made to enroll women. PJyE targets the poorest sectors of the population."/>
    <s v="The program, PJyE, was designed to improve the employment opportunities of at-risk youth, by building their vocational and soft skills. The randomized field experiment examines the impact of imbedding the soft skills component into PJyE._x000a_The program provides in-classroom training and an internship in a private business. It also financed participants’ transportation, medical and accident insurance, and provided them with a small stipend._x000a_This program involves vocational training combined with soft skills training and an internship. The classroom components takes place in institutes known as Operation Centers for the System (COS) that are authorized by the National Institute for Professional Training (INFOTEP). This component consistend on vocational training (hard skills) for 150 hours in occupations such as sales, beauty salon, tourism and hospitality. Also it consisted on personal skills development (soft skills) for 75 hours, that focused on promoting self-esteem and self-realization, communication skills, conflict resolution, life planning, time management, teamwork, decision-making, hygiene and health, and coaching on risky behaviors. After the classroom training phase all participants were also assigned to 240 hours of internship in private companies with a daily stipend of US$2 and basic insurance. In 2009, the program offered 520 courses for 49 occupations._x000a_"/>
    <x v="0"/>
  </r>
  <r>
    <s v="Other"/>
    <s v="Acevedo 2017 i"/>
    <s v="AY"/>
    <x v="15"/>
    <s v="Dominican Republic"/>
    <n v="2009"/>
    <s v="16-29, mean: 21"/>
    <s v="Tables 4, 5"/>
    <s v="The program, “Programa Juventud y Empleo” (PJyE), was designed to improve the employment opportunities of at-risk youth."/>
    <s v="Juventud y Empleo"/>
    <s v="[Soft skills training and an internship]_x000a__x000a_We use an at-scale randomized field experiment to examine the impact of imbedding a soft skills component into an at-scale vocational training for youth in the Dominican Republic on skill development, future expectations, labor market outcomes, and well-being. The program, “Programa Juventud y Empleo” (PJyE), was designed to improve the employment opportunities of at-risk youth,2 given the relatively high level of  unemployment among youth. PJyE’s main objective is to improve the employment opportunities of at-risk youth by building their vocational and soft skills. The program provides in-classroom training and an internship in a_x000a_private business. It also financed participants’ transportation, medical and accident insurance, and provided them with a small stipend._x000a_There are two treatment arms: (1) vocational training combined with soft skills training and an internship and (2) soft skills only training with an internship._x000a__x000a_This evaluation: (2) soft skills only training with an internship._x000a__x000a__x000a_PJyE built job skills through classroom training and internships, offered by private_x000a_institutes known as Operation Centers for the System (COS) that are authorized by the National_x000a_Institute for Professional Training (INFOTEP)._x000a__x000a_The classroom component of the program consisted of vocational training (hard skills) and/or personal skills development (soft skills). The vocational training module included 150 hours of training in occupations, such as sales, beauty salon assistant, tourism and hospitality, carpentry, electricity and others. The personal skills component consisted of 75 hours focused on promoting self-esteem and self-realization, communication skills, conflict resolution, life planning, time management, teamwork, decision-making, hygiene and health, and coaching on risky behaviors. Once the in-classroom training phase was completed, all participants were also assigned to 240- hour internships at private companies, for which participants received a daily stipend of_x000a_approximately US$2 and basic insurance. During this period, participants received oversight and job counseling._x000a__x000a_PJyE follows what Card et al. (2011) call the “Chilean model” of job training programs in Latin America, where private institutions rather than employers provide classroom training and arrange for internships. The vocational training curricula were developed jointly with the private sector to cover the technical skills that participants would need for the subsequent internship phase. In 2009, the program offered 520 courses for 49 occupations._x000a__x000a_Of the more than 20,000 youth that applied for the program in 2009, 16,373 fulfilled the eligibility requirements and were selected by their respective COS to be part of the selection process. Of this group, by means of random assignment, 10,397 individuals were offered admission to a hard and soft skills course and 1,604 were offered admission to a soft-skills only course, with the remainder either waitlisted or assigned to the control group. Follow-up surveys were conducted on a random sample of individuals from treatment and_x000a_control groups. The evaluation sample included a total of 4,700 youth, of whom 1,638 applicants had been offered admission to a hard and soft skills course, 1,613 to a soft-skills only course and 1,449 applicants were from the control group (see Figure 1)._x000a__x000a_For the analysis, we work with the sample of individuals who responded to both the third round of the telephone survey and to the final household survey. We also excluded individuals from training centers that did not offer both the combined training and soft-skills only training (Vezza et al., 2014). The final analytic sample consists of 1,051 males and 1,728 females from 70 COSs."/>
    <s v="The estimated cost of the JE program was about US$330 per trainee"/>
    <s v="1.5 months of classroom training, 3 months of internship"/>
    <s v="Government"/>
    <s v="Randomization"/>
    <m/>
    <m/>
    <m/>
    <s v="Information on costs is from Card 2011.  From email by Sebastian Martinez we know that the classroom soft skills training was 75 hours, and the internship was 240 hours. This group finished the program in 1.5+3=4.5 months"/>
    <m/>
    <m/>
    <s v="soft"/>
    <s v="both"/>
    <s v="both"/>
    <s v="private-subsidized"/>
    <s v="private"/>
    <m/>
    <n v="225"/>
    <n v="2"/>
    <n v="240"/>
    <n v="8"/>
    <s v="yes"/>
    <s v="Of this group, by means of random assignment, 10,397 individuals were offered admission to a hard and soft skills course and 1,604 were offered admission to a soft-skills only course, with the remainder either waitlisted or assigned to the control group"/>
    <s v="decentralized"/>
    <s v="the course"/>
    <s v="yes"/>
    <s v="poverty &amp; incomplete education"/>
    <n v="3"/>
    <s v="The program, “Programa Juventud y Empleo” (PJyE) targeted individuals between 16 and 29 years old who were unemployed or underemployed and did not have completed secondary school. Eligible applicants’ households per capita income must not exceed US$120 per month and they must be located in regions known as Priority I and II according the SIUBEN index. A special effort is made to enroll women. PJyE targets the poorest sectors of the population."/>
    <s v="The program, PJyE, was designed to improve the employment opportunities of at-risk youth, by building their vocational and soft skills. _x000a_The program provides in-classroom training and an internship in a private business. It also financed participants’ transportation, medical and accident insurance, and provided them with a small stipend._x000a_This program involves soft skills training and an internship. The soft skills components takes place in institutes known as Operation Centers for the System (COS) that are authorized by the National Institute for Professional Training (INFOTEP). This component consistend on personal skills development (soft skills) for 75 hours, that focused on promoting self-esteem and self-realization, communication skills, conflict resolution, life planning, time management, teamwork, decision-making, hygiene and health, and coaching on risky behaviors. After the classroom training phase all participants were also assigned to 240 hours of internship in private companies with a daily stipend of US$2 and basic insurance. In 2009, the program offered 520 courses for 49 occupations._x000a_"/>
    <x v="0"/>
  </r>
  <r>
    <s v="Card 2015"/>
    <s v="Ibarraran 2014 i"/>
    <s v="CH"/>
    <x v="16"/>
    <s v="Dominican Republic"/>
    <n v="2008"/>
    <s v="16-29_x000a_mean: 22"/>
    <s v="From Ibarraran 2014 i:_x000a_Table 3_x000a__x000a_From Ibarraran 2015 ii:_x000a_Table 2"/>
    <s v="The baseline data were collected at the registration stage at each COS. They were available for all those eligible and interested to participate in the program, a total of 10,309 young people. Table 3 shows some characteristics from the baseline survey and a t-statistic for equality of means between the Zi groups as an evidence of randomness._x000a_Most participants −62 percent—are women, and nearly all of those reporting some education have not completed high school. Ninety percent of participants live in urban areas and about a quarter live in Santo Domingo. The average age is 22 years. About 22 percent of individuals were attending school at the time of the baseline. As shown in the table’s last column, random assignment was well implemented as all of the characteristics are balanced._x000a_It is interesting to note that only 4 percent of young people declared being employed at the baseline prior to the beginning of the courses, and that 52 percent of them were unemployed, meaning that 44 percent were inactive. This may be due to the requirements of the selection process, which demanded that they be inactive or unemployed, and may also be an expression of the Ashenfelter’s dip (Ashenfelter 1978), i.e. that both groups received a shock that increased unemployment levels right before the program started. According to the National Labor Force Survey (known as ENFT, Encuesta Nacional de Fuerza de Trabajo), in 2008 the employment rate in the Dominican Republic for young people 16 to 29 years old with less than complete high school education was 43 percent."/>
    <s v="Juventud y Empleo"/>
    <s v="The JE program is a Dominican active labor market program (ALMP) that aims to improve the labor market entry of youth between 16 and 29 years of age who did not complete high school. It has been in operation since 2001 and was the first job training program in Latin America to incorporate a randomized evaluation component when the project was designed. The program offers a wide range of job training courses such as administrative assistant, baker, hair stylist, clerk, auto mechanic, bartender, and so on. The Ministry of Labor outsources the provision of training services to private training institutions (Centros Operadores del Sistema, COS) that are registered and approved by the national training institution (Instituto Nacional de Formación Técnico Profesional, INFOTEP)._x000a_Courses of 225 hours are conducted in the COS facilities and split into two parts:_x000a_75 hours of basic or life skills training, and 150 hours of technical or vocational training. Basic skills training is meant to strengthen trainees’ self- esteem and work habits, while vocational training is meant to address the technical training needs of local employers. Training at the COS is followed by an internship in a private sector firm, which should be contacted by the COS in order to develop training programs tailored to the firm´s labor demand. Young people are identified by the COS according to their preferred vocation and the availability of the desired course. Once they reach 35 potential participants, the COS sends the names and identification numbers to the program coordinating unit (PCU), which randomly selects those who are offered the training course."/>
    <s v="The average cost of this program was about US$700, of which US$200 were transfers to participants as stipend for transportation and meals."/>
    <s v="3 months (clasroom)_x000a_+_x000a_3 months (internship)"/>
    <s v="Government"/>
    <s v="Randomization"/>
    <s v="From Ibarraran 2014 i:_x000a_Figure 1, Figure 2_x000a__x000a_From Ibarraran 2015 ii:_x000a_Figure 1, A1, A2, A3, A4, A5, A6"/>
    <s v="Ibarraran 2015 ii"/>
    <m/>
    <m/>
    <m/>
    <m/>
    <s v="both"/>
    <s v="both"/>
    <s v="both"/>
    <s v="private-subsidized"/>
    <s v="private"/>
    <m/>
    <n v="225"/>
    <n v="3"/>
    <m/>
    <n v="111"/>
    <s v="yes"/>
    <s v="Courses of 225 hours are conducted in the COS facilities and split into two parts:_x000a_75 hours of basic or life skills training, and 150 hours of technical or vocational training. Basic skills training is meant to strengthen trainees’ self- esteem and work habits, while vocational training is meant to address the technical training needs of local employers. Training at the COS is followed by an internship in a private sector firm, which should be contacted by the COS in order to develop training programs tailored to the firm´s labor demand. Young people are identified by the COS according to their preferred vocation and the availability of the desired course. Once they reach 35 potential participants, the COS sends the names and identification numbers to the program coordinating unit (PCU), which randomly selects those who are offered the training course._x000a_"/>
    <s v="decentralized"/>
    <s v="the course"/>
    <s v="yes"/>
    <s v="AQUÍ ES LA MISMA POBLACIÓN OBJETIVO QUE EN ACEVEDO 2017 I/II"/>
    <n v="37"/>
    <s v="Juventud y Empleo (JE) is a labor training program for disadvantaged youth in the_x000a_Dominican Republic that learns from the previous evaluation experience. Mainly by including a waitlist in the randomization procedure. It aims to improve the labor market entry of youth between 16 and 29 years of age who did not complete high school. It has been in operation since 2001._x000a_"/>
    <s v="The Centros Operadores del Sistema, COS are in charge of the 225 hours of training, that split in two parts: 75 hours of basic or life skills training (self- esteem and work habits), and 150 hours of technical or vocational training (technical training needs of local employers). Training at the COS is followed by an internship in a private sector firm, that is chosen by beneficiaries´ preferred vocation and the availability of the desired course. . Once they reach 35 potential participants, the program coordinating unit randomly selects those who are offered the training course"/>
    <x v="0"/>
  </r>
  <r>
    <m/>
    <s v="Ibarraran 2015 ii"/>
    <s v="CH"/>
    <x v="16"/>
    <s v="Dominican Republic"/>
    <n v="2008"/>
    <s v="16-29_x000a_mean: 22"/>
    <s v="Table 5"/>
    <s v="The baseline data were collected at the registration stage at each COS. They were available for all those eligible and interested to participate in the program, a total of 10,309 young people. Table 3 shows some characteristics from the baseline survey and a t-statistic for equality of means between the Zi groups as an evidence of randomness._x000a_Most participants −62 percent—are women, and nearly all of those reporting some education have not completed high school. Ninety percent of participants live in urban areas and about a quarter live in Santo Domingo. The average age is 22 years. About 22 percent of individuals were attending school at the time of the baseline. As shown in the table’s last column, random assignment was well implemented as all of the characteristics are balanced._x000a_It is interesting to note that only 4 percent of young people declared being employed at the baseline prior to the beginning of the courses, and that 52 percent of them were unemployed, meaning that 44 percent were inactive. This may be due to the requirements of the selection process, which demanded that they be inactive or unemployed, and may also be an expression of the Ashenfelter’s dip (Ashenfelter 1978), i.e. that both groups received a shock that increased unemployment levels right before the program started. According to the National Labor Force Survey (known as ENFT, Encuesta Nacional de Fuerza de Trabajo), in 2008 the employment rate in the Dominican Republic for young people 16 to 29 years old with less than complete high school education was 43 percent."/>
    <s v="Juventud y Empleo"/>
    <s v="The JE program is a Dominican active labor market program (ALMP) that aims to improve the labor market entry of youth between 16 and 29 years of age who did not complete high school. It has been in operation since 2001 and was the first job training program in Latin America to incorporate a randomized evaluation component when the project was designed. The program offers a wide range of job training courses such as administrative assistant, baker, hair stylist, clerk, auto mechanic, bartender, and so on. The Ministry of Labor outsources the provision of training services to private training institutions (Centros Operadores del Sistema, COS) that are registered and approved by the national training institution (Instituto Nacional de Formación Técnico Profesional, INFOTEP)._x000a_Courses of 225 hours are conducted in the COS facilities and split into two parts:_x000a_75 hours of basic or life skills training, and 150 hours of technical or vocational training. Basic skills training is meant to strengthen trainees’ self- esteem and work habits, while vocational training is meant to address the technical training needs of local employers. Training at the COS is followed by an internship in a private sector firm, which should be contacted by the COS in order to develop training programs tailored to the firm´s labor demand. Young people are identified by the COS according to their preferred vocation and the availability of the desired course. Once they reach 35 potential participants, the COS sends the names and identification numbers to the program coordinating unit (PCU), which randomly selects those who are offered the training course."/>
    <s v="The average cost of this program was about US$700, of which US$200 were transfers to participants as stipend for transportation and meals."/>
    <s v="3 months (clasroom)_x000a_+_x000a_3 months (internship)"/>
    <s v="Government"/>
    <s v="Randomization"/>
    <m/>
    <m/>
    <m/>
    <m/>
    <m/>
    <m/>
    <s v="both"/>
    <s v="both"/>
    <s v="both"/>
    <s v="private-subsidized"/>
    <s v="private"/>
    <m/>
    <n v="225"/>
    <n v="3"/>
    <m/>
    <n v="51"/>
    <s v="yes"/>
    <s v="Courses of 225 hours are conducted in the COS facilities and split into two parts:_x000a_75 hours of basic or life skills training, and 150 hours of technical or vocational training. Basic skills training is meant to strengthen trainees’ self- esteem and work habits, while vocational training is meant to address the technical training needs of local employers. Training at the COS is followed by an internship in a private sector firm, which should be contacted by the COS in order to develop training programs tailored to the firm´s labor demand. Young people are identified by the COS according to their preferred vocation and the availability of the desired course. Once they reach 35 potential participants, the COS sends the names and identification numbers to the program coordinating unit (PCU), which randomly selects those who are offered the training course._x000a_"/>
    <s v="decentralized"/>
    <s v="the course"/>
    <s v="yes"/>
    <s v="AQUÍ ES LA MISMA POBLACIÓN OBJETIVO QUE EN ACEVEDO 2017 I/II"/>
    <n v="38"/>
    <s v="Juventud y Empleo (JE) is a labor training program for disadvantaged youth in the_x000a_Dominican Republic that learns from the previous evaluation experience. Mainly by including a waitlist in the randomization procedure. It aims to improve the labor market entry of youth between 16 and 29 years of age who did not complete high school. It has been in operation since 2001._x000a_"/>
    <s v="The Centros Operadores del Sistema, COS are in charge of the 225 hours of training, that split in two parts: 75 hours of basic or life skills training (self- esteem and work habits), and 150 hours of technical or vocational training (technical training needs of local employers). Training at the COS is followed by an internship in a private sector firm, that is chosen by beneficiaries´ preferred vocation and the availability of the desired course. . Once they reach 35 potential participants, the program coordinating unit randomly selects those who are offered the training course"/>
    <x v="0"/>
  </r>
  <r>
    <m/>
    <s v="Biewen 2014"/>
    <s v="CH"/>
    <x v="17"/>
    <s v="Germany"/>
    <n v="2000"/>
    <s v="25-53"/>
    <s v="Table 2"/>
    <s v="Our sample of inflows into unemployment comprises West Germans who become unemployed between the beginning of February 2000 and the end of January 2002, after having been continuously employed for at least 3 months. Entering unemployment is defined as ending regular, nonsubsidized, full-time or part-time employment and subsequently being in contact with the employment office ðnot necessarily immediately, as reflected by a job search spell, benefit receipt, or program participation.15 In order to exclude individuals eligible for specific youth programs or for early retirement schemes, we only consider persons who are aged between 25 and 53 years at the beginning of their unemployment spell."/>
    <s v="-"/>
    <s v="Short Term Training: STT Treatment_x000a__x000a_The main goal of German active labor market policy is to permanently reintegrate unemployed individuals and individuals who are at risk of becoming unemployed back into employment. There exists a wide range of different programs, such as wage subsidies, job creation schemes, youth programs, programs to promote self-employment, and training programs see fig. 1 for an overview. Training programs have traditionally been the most important part of active labor market policy. This article focuses on training programs during the time period 2000–2002.9 There are three main types of training: short-term training Trainingsmaßnahmen, further training Berufliche Weiterbildung, and retraining Umschulung. Apart from the fact that all three types of training require full-time participation, they differ considerably in length and content._x000a_Short-term training programs last only 2–12 weeks the mean duration is slightly over 4 weeks; see table 1Þ, and they typically have one or several of the following three goals. A first goal is to assess job-seekers’ labor market opportunities and their suitability for different jobs. This may also entail profiling and developing a strategy to find a job. A second goal is to test job-seekers’ willingness to work and to improve their job search skills. This may involve job application training. The third goal is the provision of specific skills that are necessary to improve job-seeker’s labor market prospects, for example, through computer courses or commercial training. In 2001, about a fifth of short-term training programs focused on the first and second goals, respectively, and 28%on the third; 31%served more than one of these goals Kurtz 2003._x000a_Table 1 shows that the average monthly training costs per participant are lower for short-term training courses €570 in 2001 than for the medium and long-term programs ð€664Þ. Given that the average length of short-term training is only 1.1 months while that of the longer programs is 9.3 months, this results in 10 times higher costs for the medium- and long-term programs as opposed to short-term training €6,175 vs. €627._x000a__x000a__x000a__x000a_Complete Further Training: CFT Treatment_x000a__x000a_The more substantial further training programs typically last between several months and 1 year, thus representing medium-term programs. Their goals are to maintain, update, adjust, and extend occupational skills. The programs cover a wide range of fields and may also comprise practical elements such as on-the-job training or working in practice firms. Typical examples include training on marketing and sales strategies, computer-assisted bookkeeping, and operating construction machines, and completing specialist courses in specific legal fields. Depending on their practical content, we distinguish between classroom further training and practical further training._x000a_Finally, retraining programs involve training on a new vocational degree according to the German system of vocational education. They last 2–3 years. Eligibility for one of the training programs requires registration as a job-seeker at the local labor office. This involves a counseling interview with the caseworker. For participation in the longer further training and retraining programs, individuals also have to fulfill a minimum work requirement of 1 year, and they must be entitled to unemployment benefits._x000a_However, there are a number of exceptions. The binding criterion is that the training program has to be considered necessary in order for the jobseeker to take up a job, for example, because the training is required to meet the hiring standards of the job. Training programs are usually assigned by the caseworker depending on the regional supply of upcoming training slots. A participation in training may take place at any point in time during the unemployment spell. Job-seekers have no entitlements regarding participation. A program assignment is compulsory for the job-seeker, and noncompliance may entail benefit sanctions and the exclusion from further services. The employment agency covers all direct training costs. In addition, participants in short-term training may continue to receive unemployment benefits or means-tested unemployment assistance, if eligible. Participants in further training and retraining usually receive a subsistence allowance of the same amount as unemployment benefits or unemployment assistance, provided they fulfill the minimum work requirement._x000a_"/>
    <s v="Average monthly training costs per participant is €664 in 2001"/>
    <s v="1.1 month"/>
    <s v="Government"/>
    <s v="DID"/>
    <s v="Figure 3, 4, 5, 6, 7, 8, 9, 10"/>
    <m/>
    <m/>
    <m/>
    <m/>
    <m/>
    <s v="technical, job-readniess"/>
    <s v="classroom"/>
    <s v="more than 25"/>
    <m/>
    <s v="private"/>
    <n v="1"/>
    <m/>
    <m/>
    <m/>
    <n v="75"/>
    <s v="no"/>
    <s v="However, there are a number of exceptions. The binding criterion is that the training program has to be considered necessary in order for the jobseeker to take up a job, for example, because the training is required to meet the hiring standards of the job. Training programs are usually assigned by the caseworker depending on the regional supply of upcoming training slots. A participation in training may take place at any point in time during the unemployment spell. Job-seekers have no entitlements regarding participation. A program assignment is compulsory for the job-seeker, and noncompliance may entail benefit sanctions and the exclusion from further services."/>
    <s v="through interview"/>
    <m/>
    <s v="no"/>
    <m/>
    <n v="14"/>
    <s v="The sample used for the study comprises West Germans who become unemployed between the beginning of February 2000 and the end of January 2002, after being employed continuously for at least 3 months. Persons were aged between 25 and 53 years old."/>
    <s v="The papers divides ALMP in three: Short Term Training (STT), Complete Further Training (CFT) and Unemployment compensation. The first two are part of this meta-analysis. The main goal of German ALMP is to permanently reintegrate unemployed individuals and individuals who are at risk of becoming unemployed back into employment. This article focuses on training programs during the time period 2000–2002_x000a__x000a_Short-term training programs last only 2–12 weeks the mean duration is slightly over 4 weeks, and they typically have one or several of the following three goals. A first goal is to assess job-seekers’ labor market opportunities and their suitability for different jobs. This may also entail profiling and developing a strategy to find a job. A second goal is to test job-seekers’ willingness to work and to improve their job search skills. This may involve job application training. The third goal is the provision of specific skills that are necessary to improve job-seeker’s labor market prospects, for example, through computer courses or commercial training._x000a_"/>
    <x v="3"/>
  </r>
  <r>
    <s v="Crepon 2016"/>
    <s v="Biewen 2014"/>
    <s v="CH"/>
    <x v="18"/>
    <s v="Germany"/>
    <n v="2000"/>
    <s v="25-53"/>
    <s v="Table 2"/>
    <s v="Our sample of inflows into unemployment comprises West Germans who become unemployed between the beginning of February 2000 and the end of January 2002, after having been continuously employed for at least 3 months. Entering unemployment is defined as ending regular, nonsubsidized, full-time or part-time employment and subsequently being in contact with the employment office ðnot necessarily immediately, as reflected by a job search spell, benefit receipt, or program participation.15 In order to exclude individuals eligible for specific youth programs or for early retirement schemes, we only consider persons who are aged between 25 and 53 years at the beginning of their unemployment spell."/>
    <s v="-"/>
    <s v="Short Term Training: STT Treatment_x000a__x000a_The main goal of German active labor market policy is to permanently reintegrate unemployed individuals and individuals who are at risk of becoming unemployed back into employment. There exists a wide range of different programs, such as wage subsidies, job creation schemes, youth programs, programs to promote self-employment, and training programs see fig. 1 for an overview. Training programs have traditionally been the most important part of active labor market policy. This article focuses on training programs during the time period 2000–2002.9 There are three main types of training: short-term training Trainingsmaßnahmen, further training Berufliche Weiterbildung, and retraining Umschulung. Apart from the fact that all three types of training require full-time participation, they differ considerably in length and content._x000a_Short-term training programs last only 2–12 weeks the mean duration is slightly over 4 weeks; see table 1Þ, and they typically have one or several of the following three goals. A first goal is to assess job-seekers’ labor market opportunities and their suitability for different jobs. This may also entail profiling and developing a strategy to find a job. A second goal is to test job-seekers’ willingness to work and to improve their job search skills. This may involve job application training. The third goal is the provision of specific skills that are necessary to improve job-seeker’s labor market prospects, for example, through computer courses or commercial training. In 2001, about a fifth of short-term training programs focused on the first and second goals, respectively, and 28%on the third; 31%served more than one of these goals Kurtz 2003._x000a_Table 1 shows that the average monthly training costs per participant are lower for short-term training courses €570 in 2001 than for the medium and long-term programs ð€664Þ. Given that the average length of short-term training is only 1.1 months while that of the longer programs is 9.3 months, this results in 10 times higher costs for the medium- and long-term programs as opposed to short-term training €6,175 vs. €627._x000a__x000a__x000a__x000a_Complete Further Training: CFT Treatment_x000a__x000a_The more substantial further training programs typically last between several months and 1 year, thus representing medium-term programs. Their goals are to maintain, update, adjust, and extend occupational skills. The programs cover a wide range of fields and may also comprise practical elements such as on-the-job training or working in practice firms. Typical examples include training on marketing and sales strategies, computer-assisted bookkeeping, and operating construction machines, and completing specialist courses in specific legal fields. Depending on their practical content, we distinguish between classroom further training and practical further training._x000a_Finally, retraining programs involve training on a new vocational degree according to the German system of vocational education. They last 2–3 years. Eligibility for one of the training programs requires registration as a job-seeker at the local labor office. This involves a counseling interview with the caseworker. For participation in the longer further training and retraining programs, individuals also have to fulfill a minimum work requirement of 1 year, and they must be entitled to unemployment benefits._x000a_However, there are a number of exceptions. The binding criterion is that the training program has to be considered necessary in order for the jobseeker to take up a job, for example, because the training is required to meet the hiring standards of the job. Training programs are usually assigned by the caseworker depending on the regional supply of upcoming training slots. A participation in training may take place at any point in time during the unemployment spell. Job-seekers have no entitlements regarding participation. A program assignment is compulsory for the job-seeker, and noncompliance may entail benefit sanctions and the exclusion from further services. The employment agency covers all direct training costs. In addition, participants in short-term training may continue to receive unemployment benefits or means-tested unemployment assistance, if eligible. Participants in further training and retraining usually receive a subsistence allowance of the same amount as unemployment benefits or unemployment assistance, provided they fulfill the minimum work requirement._x000a_"/>
    <s v="Average monthly training costs per participant is €664 in 2001"/>
    <s v="1.1 month"/>
    <s v="Government"/>
    <s v="DID"/>
    <s v="Figure 3, 4, 5, 6, 7, 8, 9, 10"/>
    <m/>
    <m/>
    <m/>
    <m/>
    <m/>
    <s v="technical"/>
    <s v="classroom"/>
    <s v="more than 25"/>
    <m/>
    <s v="private"/>
    <n v="9"/>
    <m/>
    <m/>
    <m/>
    <n v="75"/>
    <s v="no"/>
    <s v="However, there are a number of exceptions. The binding criterion is that the training program has to be considered necessary in order for the jobseeker to take up a job, for example, because the training is required to meet the hiring standards of the job. Training programs are usually assigned by the caseworker depending on the regional supply of upcoming training slots. A participation in training may take place at any point in time during the unemployment spell. Job-seekers have no entitlements regarding participation. A program assignment is compulsory for the job-seeker, and noncompliance may entail benefit sanctions and the exclusion from further services."/>
    <s v="through interview"/>
    <m/>
    <s v="no"/>
    <m/>
    <n v="15"/>
    <s v="The sample used for the study comprises West Germans who become unemployed between the beginning of February 2000 and the end of January 2002, after being employed continuously for at least 3 months. Persons were aged between 25 and 53 years old."/>
    <s v="The papers divides ALMP in three: Short Term Training (STT), Complete Further Training (CFT) and Unemployment compensation. The first two are part of this meta-analysis. The main goal of German ALMP is to permanently reintegrate unemployed individuals and individuals who are at risk of becoming unemployed back into employment. This article focuses on training programs during the time period 2000–2002_x000a__x000a_Further training programs typically last between several months and 1 year, thus representing medium-term programs. Their goals are to maintain, update, adjust, and extend occupational skills. The programs cover a wide range of fields and may also comprise practical elements such as on-the-job training or working in practice firms. Typical examples include training on marketing and sales strategies, computer-assisted bookkeeping, and operating construction machines, and completing specialist courses in specific legal fields. Depending on their practical content, we distinguish between classroom further training and practical further training. Retraining programs involve training on a new vocational degree according to the German system of vocational education. They last 2–3 years. Eligibility for one of the training programs requires registration as a job-seeker at the local labor office. This involves a counseling interview with the caseworker. For participation in the longer further training and retraining programs, individuals also have to fulfill a minimum work requirement of 1 year, and they must be entitled to unemployment benefits._x000a_"/>
    <x v="3"/>
  </r>
  <r>
    <s v="J-PAL 2017"/>
    <s v="Fitzenberger 2000 i"/>
    <s v="DH"/>
    <x v="19"/>
    <s v="Germany"/>
    <n v="1990"/>
    <s v="18-55"/>
    <m/>
    <s v="The East German labor market has under- gone fundamental changes since unification in October 1990. Unemployment occurred for the first time in 40 years and the structure of the active labor market population has changed considerably. This development induced large financial transfers from West to East Germany, partly through labor market poli- cies. But also labor market policies themselves promoted structural changes in the East German labor market. One of the main instruments of labor market policy in East Germany was the implementation of qualification (training) programs._x000a__x000a_In the first years of transition, a large part of the economy was severely hit by the loss of its traditional eastern trading partners, and by the sudden ex- posure to western competition. Female labor market participation dropped con- siderably, and early retirment became a frequently chosen way of exiting employment. Despite this decline of the labor force, and despite large flows of migrants from East to West Germany, the East German unemployment rate rose dramatically, from almost zero in 1989 to 16% in 1994."/>
    <s v="FuU_x000a_(Fortbildung und Umschulu)"/>
    <s v="Public sector sponsored training consists mainly of continuous vocational training and retraining. _x000a__x000a_Participation in FuU may lead either to an update or upgrade of existing occupational education or to a new occupational certificate that should significantly improve the trainee's labor market prospects. Most often the qualification program takes place in external institutions but it may also be located in the firm where a person is employed. The program can be full-time or part-time, and its duration has to be more than two weeks and is usually restricted to a maximum duration of two years for full-time program._x000a__x000a_Since we are interested in the effects of public labor market policy, we focus on those programs where the participants are supported by Public Income Maintenance (PIM) because this is the main indicator of public involvement in our data set. To investigate a more homogeneous type of training program we also exclude those PIM-supported programs that take place in the firm (which are not many) as they are likely to be targeted at employed persons, practically oriented, and therefore very different from classroom-education which is typical for the qualification programs analyzed here."/>
    <m/>
    <s v="0.5 - 24 months"/>
    <s v="Government"/>
    <s v="DID"/>
    <m/>
    <m/>
    <m/>
    <m/>
    <s v="Y"/>
    <s v="Treatment is not homogenous"/>
    <s v="technical"/>
    <s v="classroom"/>
    <s v="both"/>
    <m/>
    <s v="private"/>
    <n v="24"/>
    <m/>
    <m/>
    <m/>
    <n v="71"/>
    <s v="no"/>
    <s v="Most often the qualification program takes place in external institutions but it may also be located in the firm where a person is employed. The program can be full-time or part-time, and its duration has to be more than two weeks and is usually restricted to a maximum duration of two years for full-time program."/>
    <s v="decentralized"/>
    <s v="course"/>
    <s v="no"/>
    <m/>
    <n v="25"/>
    <s v="(Fortbildung und Umschulung) FuU targets at employed persons, practically oriented, and therefore very different from classroom-education."/>
    <s v="Participation in FuU may lead either to an update or upgrade of existing occupational education or to a new occupational certificate that should significantly improve the trainee's labor market prospects. Most often the qualification program takes place in external institutions but it may also be located in the firm where a person is employed. The program can be full-time or part-time, and its duration has to be more than two weeks and is usually restricted to a maximum duration of two years for full-time program."/>
    <x v="3"/>
  </r>
  <r>
    <s v="Other"/>
    <s v="Fitzenberger 2016"/>
    <s v="DH"/>
    <x v="20"/>
    <s v="Germany"/>
    <n v="1980"/>
    <s v="20-50"/>
    <s v="Table 2"/>
    <s v="The conduct of training programs for the unemployed has a long history in Germany, dating back to the enactment of the Employment Promotion Act. This legislation introduced a variety of instruments of active labor market policy(ALMP), with public-sponsored training programs (Fortbildung und Umschulung) as the most important component at that time._x000a__x000a_These programs vary strongly with respect to the intended aim of qualication and their duration, ranging from only few weeks for short-term training to a maximum of three years for complete retraining programs._x000a__x000a_"/>
    <s v="Short Term Training_x000a_(STT)"/>
    <s v="Short-Term Training (STT) courses with an intended duration of no more than six_x000a_weeks focused on hard-to-place and low-skilled individuals. They were intended to inform_x000a_job seekers about employment options and possibilities for participation in more comprehensive programs, as well as to provide participants with suitable employer contacts._x000a_Furthermore, individuals were taught some general labor market relevant skills, including_x000a_job search assistance, counseling, and communication training. In general, participants did not have to take an exam at the end of the course and did not obtain any o_x000e_cial certicate at the end._x000a__x000a_"/>
    <m/>
    <s v="1.5 months"/>
    <s v="Government"/>
    <s v="IV"/>
    <m/>
    <m/>
    <m/>
    <m/>
    <m/>
    <m/>
    <s v="technical"/>
    <s v="classroom"/>
    <s v="both"/>
    <m/>
    <s v="private"/>
    <n v="1.5"/>
    <m/>
    <m/>
    <m/>
    <n v="4"/>
    <s v="no"/>
    <s v="Furthermore, individuals were taught some general labor market relevant skills, including_x000a_job search assistance, counseling, and communication training. In general, participants did not have to take an exam at the end of the course and did not obtain any ocial certicate at the end._x000a_"/>
    <s v="centralized"/>
    <m/>
    <s v="no"/>
    <m/>
    <n v="26"/>
    <s v="Group of training programs geared towards facilitating the reintegration of unemployed individuals (with a completed vocational training degree) into the labor market by improving their skills and providing signals to potential employees. Short-Term Training (STT) focuses on hard-to-place and low-skilled individuals"/>
    <s v="Short-Term Training (STT) courses with an intended duration of no more than six_x000a_weeks. They were intended to inform job seekers about employment options and possibilities for participation in more comprehensive programs, as well as to provide participants with suitable employer contacts. Furthermore, individuals were taught some general labor market relevant skills, including job search assistance, counseling, and communication training. In general, participants did not obtain any official certificate at the end._x000a_"/>
    <x v="1"/>
  </r>
  <r>
    <s v="McKenzie 2017"/>
    <s v="Fitzenberger 2016"/>
    <s v="DH"/>
    <x v="21"/>
    <s v="Germany"/>
    <n v="1980"/>
    <s v="20-50"/>
    <s v="Table 2"/>
    <s v="The conduct of training programs for the unemployed has a long history in Germany, dating back to the enactment of the Employment Promotion Act. This legislation introduced a variety of instruments of active labor market policy(ALMP), with public-sponsored training programs (Fortbildung und Umschulung) as the most important component at that time._x000a__x000a_These programs vary strongly with respect to the intended aim of qualication and their duration, ranging from only few weeks for short-term training to a maximum of three years for complete retraining programs._x000a__x000a_"/>
    <s v="Specific Professional Skills and Techniques (SPST)"/>
    <s v="Specific Professional Skills and Techniques (SPST) programs focus on providing more specific human capital like computer or accounting courses. The goal of SPST is to facilitate the reintegration of unemployed individuals into the labor market by improvingtheir skills and providing signals to potential employees. A completed vocational training degree is usually required to take part in this type of training. The courses focus on_x000a_classroom training, but may also provide some practical experience. In case of successful_x000a_completion, participants usually earn a certicate describing the content of the course and_x000a_the newly acquired knowledge and experience. Due to the wide variety of courses with_x000a_durations from several months to up to two years, SPST is the most exible program and represents the largest share among all public-sponsored training programs."/>
    <m/>
    <s v="Up to 2 years"/>
    <s v="Government"/>
    <s v="IV"/>
    <m/>
    <m/>
    <m/>
    <m/>
    <m/>
    <m/>
    <s v="technical"/>
    <s v="both"/>
    <s v="both"/>
    <m/>
    <s v="private"/>
    <n v="24"/>
    <m/>
    <m/>
    <m/>
    <n v="4"/>
    <s v="no"/>
    <s v="The courses focus on_x000a_classroom training, but may also provide some practical experience. In case of successful_x000a_completion, participants usually earn a certicate describing the content of the course and_x000a_the newly acquired knowledge and experience. Due to the wide variety of courses with_x000a_durations from several months to up to two years, SPST is the most flexible program and represents the largest share among all public-sponsored training programs._x000a_"/>
    <s v="decentralized"/>
    <s v="the course"/>
    <s v="no"/>
    <m/>
    <n v="27"/>
    <s v="Group of training programs geared towards facilitating the reintegration of unemployed individuals (with a completed vocational training degree) into the labor market by improving their skills and providing signals to potential employees."/>
    <s v="The training provided specific human capital like computer or accounting courses. The courses focus was on classroom training but some included on the job training. The courses lasted between several months up to two years and the participants received a certificate at the end of the course. "/>
    <x v="0"/>
  </r>
  <r>
    <s v="McKenzie 2017"/>
    <s v="Adhvaryu 2016"/>
    <s v="CH"/>
    <x v="22"/>
    <s v="India"/>
    <n v="2013"/>
    <s v="mean: 27"/>
    <s v="Table 1"/>
    <s v="We conducted a randomized controlled trial (RCT) in five garment factories in Bengaluru, a large city in southern India._x000a__x000a_Apparel is one of the largest export sectors in the world, and vitally important for the economies of several large developing countries (Staritz, 2010). India is one of the world’s largest producers of textile and garments, with export value totaling $10.7 billion in 2009-2010. The size of the sector and the labor-intensity of the garment production process make the sector well-suited to absorb the influx of young, unskilled and semi-skilled labor migrating from rural self-employment to wage labor in urban areas, especially women (World Bank, 2012). Women comprise the majority of the workforce in garment factories, and new labor force entrants tend to be disproportionately female, particularly in countries like India where the baseline female labor force participation rate is low (Staritz, 2010). Shahi Exports, Private Limited, the firm with which we partnered to do this study, is the largest private garment exporter in India, and the single largest employer of unskilled and semi-skilled female labor in the country._x000a__x000a_There are three broad stages of garment production: cutting, sewing, and finishing. In this study, we estimate program impacts on workers from all departments, except for impacts on productivity and task complexity, which are only available for sewing workers (who make up about 80% of the factory’s total employment)._x000a__x000a_In the sewing department of the study factories (as in most medium and large garment factories), garments are sewn in production lines consisting of around 70-100 workers arranged in sequence._x000a__x000a_Most of the workers on the line are assigned to machines completing sewing tasks (one person to machine). The remaining workers perform complementary tasks to sewing, such as folding or aligning the garment to feed it into a machine. Each line produces a single style of garment at a time (the color and size of the garment might vary but the design and style will be the same for every garment produced by that line until the ordered quantity for that garment is met)._x000a_Completed sections of garments pass between machine operators, are attached to each other in additional operations along the way, and emerge at the end of the line as a completed garment. These completed garments are then transferred to the finishing floor. In the finishing department, garments are checked, ironed, and packed for shipping. Most quality checking is done on the sewing floor during production, but final checks are done in the finishing stage. Any garments with quality issues are sent back to the sewing floor for rework or, if irreparably ruined, are discarded before packing. Orders are then packed and sent to ports for export._x000a__x000a_Shahi Exports, Private Limited, the firm with which we partnered to do this study, is the largest private garment exporter in India, and the single largest employer of unskilled and semi-skilled female labor in the country._x000a__x000a_Participants were chosen from a pool of workers who expressed interest and committed to enroll in the program. The workers were informed that the training was over-subscribed and that a subset of workers would be chosen at random from a lottery to actually receive the training, with untreated workers granted the right to enroll in a later lottery for the next training batch._x000a_"/>
    <s v="-"/>
    <s v="We partnered with the largest ready-made garment export firm in India to evaluate an intensive, workplace-based soft skills training program. The initiative, the Personal Advancement and Career Enhancement (P.A.C.E.) program, aims to empower female garment workers (FGWs) via training in a broad variety of life skills, including modules on communication, time management, financial literacy, successful task execution, and problem-solving._x000a__x000a_We used a two-stage randomization procedure. We enrolled female garment workers (FGWs) in a lottery for the chance to take part in the P.A.C.E. program. In the first stage, we randomized production lines to treatment. In the second stage, within treatment lines, we randomized workers who had enrolled in the lottery to either direct P.A.C.E. training or spillover treatment. We thus estimate treatment effects by comparing trained workers (on treatment lines) to control workers on control lines (who enrolled in the lottery but whose lines were assigned to control). We estimate spillovers by comparing untrained workers on treatment lines to control workers on control lines. _x000a__x000a_The Personal Advancement and Career Enhancement (P.A.C.E.) program was designed and first implemented by GAP Inc. specifically for female garment workers in developing countries. Shahi Exports participated in the original design and piloting of the program as one of the largest suppliers to GAP. The intervention we study involved the implementation of the P.A.C.E. program in five factory units in the Bengaluru area which had not yet adopted the program. The goal of this 80-hour program was to improve life skills such as time management, effective communication, problem-solving, and financial literacy for its trainees. The program began with an introductory ceremony for participants, trainers, and firm management. The core modules were: Communication (9.5 hours); Problem Solving and Decision-Making (13 hours); Time and Stress Management (12 hours); Financial Literacy (4.5 hours); Legal Literacy and Social Entitlements (8.5 hours); and Execution Excellence (5 hours). Appendix Table A1 provides an overview of the topics covered in each module. After all modules had been completed, there were two review sessions of about 3 hours in total to review the experience and discuss how participants would apply their learnings to personal and professional life situations. At the close of the program, there was a graduation ceremony._x000a__x000a_Each worker attended training for two hours per week. Management allocated one hour of workers’ production time a week to the program, and workers contributed one hour of their own time._x000a__x000a_Training sessions were conducted at the beginning of the production day in designated classroom spaces in the factories, with workers assigned to groups corresponding to different days of the work week. That is, a worker assigned to the Monday group would be expected to attend training starting one hour before production starts on each Monday and ending after the first production hour of the day is completed (i.e., two hours in total). Production constraints required that each day’s group be composed of workers from across production lines so as not to produce large, unbalanced absences from any one line in the first hour of any production day. Accordingly, the training groups were balanced in size with roughly 50 trainees per class. Due to holidays and festivals (which are times of high absenteeism), sessions were conducted in practice somewhat more flexibly. Catch-up sessions were conducted for workers who were unable to attend a session. With these adjustments, overall program implementation took slightly over 11 months: the introductory ceremony was in July 2013, training. _x000a__x000a_Additional modules on Water, Sanitation and Hygiene (6 hours) and General and Reproductive Health (10 hours) were also included, but were not considered core modules. Pre/post assessments were not conducted for these ancillary modules and the content in these modules has been reduced in subsequent  implementation was conducted between July 2013 and May 2014, and the closing ceremony in June 2014._x000a_"/>
    <s v="For the 1,087 treated workers, total program costs are approximately $90,285, about $30,000 of which are overhead costs, and the remainder variable costs associated with lost hours._x000a__x000a_Operative cost per worker is: 28 USD_x000a__x000a_See Table 8: Return on Investment Calculations (Costs and Benefits to Firm)"/>
    <s v="11 months (51 hours)"/>
    <s v="NGO"/>
    <s v="Randomization"/>
    <s v="Figure 7"/>
    <m/>
    <m/>
    <s v="Duration is calculated based on information from Table A1. 51 hours. However, the training was conducted in sessions of 2 hours per week. Overall duration: 11 months. "/>
    <m/>
    <m/>
    <s v="soft"/>
    <s v="classroom"/>
    <s v="both"/>
    <m/>
    <s v="private"/>
    <n v="11"/>
    <n v="80"/>
    <m/>
    <m/>
    <n v="11"/>
    <s v="no"/>
    <s v="We used a two-stage randomization procedure. We enrolled female garment workers (FGWs) in a lottery for the chance to take part in the P.A.C.E. program. In the first stage, we randomized production lines to treatment. In the second stage, within treatment lines, we randomized workers who had enrolled in the lottery to either direct P.A.C.E. training or spillover treatment. "/>
    <s v="centralized"/>
    <m/>
    <s v="no"/>
    <s v="women"/>
    <n v="4"/>
    <s v="Garment factories that employed women for garment production. The women had an average age of 27 years and about 60% of them had completed secondary education."/>
    <s v="The objective of the program was to improve life skills of women. The participants received classroom training in life skills (time management, effective communication, problem-solving, and financial literacy). The total duration of the program was 80 hours and each worker attended two hours per week after work."/>
    <x v="0"/>
  </r>
  <r>
    <s v="Acevedo 2017 i"/>
    <s v="Maitra 2017 i"/>
    <s v="AY"/>
    <x v="23"/>
    <s v="India"/>
    <n v="2010"/>
    <s v="18-39"/>
    <s v="Table 2"/>
    <s v="The intervention targeted women from low-income households residing in the North and South Shahdara regions in New Delhi, India. While the targeted areas are commonly referred to as slums, these are permanent settlements with concrete houses, and some public amenities. These resettlement colonies are typically 10–20 years old and have absorbed migrants from all other parts of the country. _x000a__x000a_All women between the ages of 18 and 39 years, with five or more completed grades of schooling and residing in the target areas were eligible to apply to the program._x000a__x000a_The program was offered in two slums: North and South Shahdara."/>
    <s v="-"/>
    <s v="We examine the effects of participating in and completing a vocational education program in stitching and tailoring designed and implemented by two non-governmental organizations (NGOs): Pratham and SATYA (Social Awakening Through Youth Action)._x000a__x000a_All women between the ages of 18 and 39 years, with five or more completed grades of schooling and residing in the target areas were eligible to apply to the program. These women were informed of_x000a_the program through an extensive advertising campaign that lasted almost three weeks. The women were invited to apply to have a chance_x000a_at being selected to receive this training. The advertisement of the vocational education program was not targeted to any specific subgroup in the population, and was distributed to every household in the target area to ensure maximum outreach for the program._x000a__x000a_Through this process, the potential applicants were informed of the associated details of the program such as the location of the centers, the extent of commitment required (participants were required to commit up to two hours per day in a five-day week), the method of selection (random), course content, and the expected time-span of the program (six-months, starting August 2010). The participants were also told that they would receive a certificate at the end of the program. They were also informed of the deposit requirement: all selected participants were required to deposit 50 per month for continuing in the program with a promise from the NGOs that women who stayed through the entire duration of the program would be repaid 350.7 This feature is unique to the program and was introduced by the two implementing NGOs to increase commitment and encourage regular attendance. The deposit amount was around one percent of the average household income for the sample._x000a__x000a_The program was offered in two slums, North and South Shahdara, and randomization was stratified by location. Two-thirds of all applications from each area were assigned to the treatment group and the remaining one-third were assigned to the control group._x000a__x000a_North Shahdara being a bigger geographical area, received more applications and had three training centers; the remaining two training centers were in South Shahdara. Women were assigned to the training center nearest to their home and for classes, allotted their most preferred time, though they had the option to change both, if they needed to._x000a__x000a_In our sample, 56% of all women assigned to the treatment group were program completers, that is, completed the entire program and received a certificate at the end of the program."/>
    <s v="The program that we evaluate is also cost-effective. The NGO's total cost of the underlying vocational education program amounts to Rs. 1910 per person, including both fixed (for example purchasing sewing machines) and variable (for example teacher salary, rent, teaching materials) costs. In addition to this, the average program participant also incurs personal time costs, which is proxied by the 2010 average monthly earnings of the employed women in the control group. The total time costs amount to Rs. 3675 (Rs.612.50×6 months). As a result, the final annual per person cost of the program sums to Rs.5585 (Rs. 3675+ 1910)."/>
    <s v="6 months: the program started during the 3rd week of August 2010 and continued_x000a_through to the last week of January 2011"/>
    <s v="NGO"/>
    <s v="Randomization"/>
    <m/>
    <m/>
    <m/>
    <m/>
    <m/>
    <m/>
    <s v="technical"/>
    <s v="classroom"/>
    <s v="both"/>
    <m/>
    <s v="private"/>
    <n v="6"/>
    <n v="300"/>
    <m/>
    <m/>
    <n v="55"/>
    <s v="no"/>
    <s v=". Two-thirds of all applications from each area were assigned to the treatment group and the remaining one-third were assigned to the control group."/>
    <s v="centralized"/>
    <m/>
    <s v="yes"/>
    <s v="poverty and women"/>
    <n v="42"/>
    <s v="The intervention targeted women from low-income households, between the ages of 18 and 39 years, with five or more completed grades of schooling."/>
    <s v="Six month instruction and up to two hours per day training in tailoring and sewing. Participants received a certificate at the end of the program. As a commitment device, participants were required to deposit 50 rupees per month, and after completion of the program, they received 350 rupees. The program cost in education was Rs. 1910 per person."/>
    <x v="0"/>
  </r>
  <r>
    <s v="Escudero 2017"/>
    <s v="Groh 2016 i"/>
    <s v="DH"/>
    <x v="24"/>
    <s v="Jordan"/>
    <n v="2010"/>
    <s v="15-29_x000a_mean: 21"/>
    <s v="Table 1"/>
    <s v="Jordan’s labor market is similar to others throughout the Middle East in that there is a bulging youth population facing high unemployment rates, particularly among relatively educated youth, with female youth employment rates particularly low. Youth aged 15–29 are the largest demographic group in the country, comprising 30 % of the total population. In 2011, the unemployment rate for 20–24-year-old females was 47.6 % compared to 23.1 % for 20–24-year-old males (Jordanian Department of Statistics, 2011)._x000a_We work with graduates of Jordan’s community colleges. These community colleges offer 2-year programs, similar to community colleges in the USA, and like the USA tend to attract individuals with more limited financial means and/or lower academic scores than youth attending universities. At the request of the Government of Jordan, the World Bank developed the Jordan NOW pilot program to attempt to assist women graduating from these community colleges to find employment._x000a_The pilot worked with the eight public community colleges with the largest female enrolment numbers, together comprising over 85 % of all female public community college enrolment. These consist of four colleges in Central Jordan (Amman University College, Princess Alia University College, Al-Salt College, Zarqa University College) and four located in Northern and Southern Jordan (Al-Huson University College for Engineering, Irbid University College, Ajloun University College, and Al-Karak University College). For ease of exposition, since Amman is the capital of Jordan and two of the four colleges in Central Jordan are located within the city of Amman while the other two are located within a 45-min drive of Amman, we will herein refer to Central Jordan as inside Amman and Northern and Southern Jordan as outside Amman._x000a_"/>
    <s v="The Jordan New Opportunities for_x000a_Women"/>
    <s v="Interventions that aim to teach soft skills may enhance employment prospects by giving youth better skills and confidence for looking for jobs and by making them more productive in their first months in the job by reducing the amount of time firms need to spend training them on the basics of working in a business environment._x000a__x000a_Graduates receiving this intervention were invited to free intensive training on interpersonal skills in areas identified by Jordanian employers as essential yet typically missing in recent graduates. The training course was 45 h over a 9-day period (5 h per day), with a maximum of 30 participants in each training group. Training took place during September and October 2010. The training was provided by Business Development Center (BDC), a Jordanian NGO established in 2005 which has widespread local name recognition and a good reputation for skills training, having implemented USAID, UNCTAD, and a wide variety of local training programs. Training took place in 17 sessions offered throughout 6 governorates to maximize access. Training facilities and training content were identical across all 17 sessions. To minimize the effect of social and cultural restrictions on mobility, sessions were held during daylight hours at locally known and trusted institutions such as the Chambers of Industry and local universities where BDC has satellite training facilities._x000a__x000a_BDC designed the course which covered effective communication and business writing skills (e.g., making a presentation, writing business reports, different types of correspondence), team building and team work skills (e.g., characteristics of a successful team, how to work in different roles within a team), time management, positive thinking and how to use this in business situations, excellence in providing customer service, and CV and interviewing skills. Sessions were based on active participation and cooperative learning rather than lectures, with games, visual learning experiences, group exercises, and active demonstrations used to teach and illustrate concepts. Appendix 3 provides some more detail of the training schedule and content._x000a__x000a_Randomization into treatment and control groups was done via a computer. Students were first stratified into 16 strata on the basis of geographic region Amman (Amman, Salt, and Zarqa), and outside Amman (Irbid, Ajloun, and Karak), whether their end of high school (Tawjihi) examination score was above the sample median or not, whether they indicated at baseline that they planned to work full-time and thought it was likely or somewhat likely that they would have a job within 6 months of graduating, and whether or not they are usually permitted to travel to the market alone (a measure of empowerment). These variables were chosen as potential predictors of future employment, for which stratification over would improve power (Bruhn and McKenzie, 2009), as well as variables for which there may be potential heterogeneity in treatment impact._x000a__x000a_The soft skills training intervention discussed in the paper was cross-randomized with a second intervention which provided wage subsidies (discussed in a companion paper, Groh et al., forthcoming). Appendix 1 shows that there was no significant interaction effect between the two treatments; hence, we can just compare all those who were allocated to soft skills training to all those who were not. Within each stratum, 44.4 % of the students were allocated to receive the soft skills training for a total treatment size of 599 and control group of 748._x000a__x000a_Compliance. The soft skills training course was completed by 373 of the 599 graduates (62 %) assigned to treatment._x000a_"/>
    <s v="The cost of the training was approximately $150,000, which was based on up to 600 graduates attending—leading to a cost of $250 per assigned graduate and, given that_x000a_only 373 attended, an effective cost of $400 per attendee."/>
    <s v="45 hrs (9 days)"/>
    <s v="Multilateral"/>
    <s v="Randomization"/>
    <m/>
    <m/>
    <m/>
    <m/>
    <s v="N"/>
    <m/>
    <s v="soft"/>
    <s v="classroom"/>
    <s v="both"/>
    <m/>
    <s v="private"/>
    <n v="0.3"/>
    <n v="45"/>
    <m/>
    <m/>
    <n v="22"/>
    <s v="no"/>
    <s v="Graduates receiving this intervention were invited to free intensive training on interpersonal skills in areas identified by Jordanian employers as essential yet typically missing in recent graduates. "/>
    <s v="centralized"/>
    <m/>
    <s v="no"/>
    <m/>
    <n v="31"/>
    <s v="Women graduating from 2 year programs in community colleges to find employment."/>
    <s v="Free intensive training on interpersonal skills for women about to graduate from college in order to increase confidence looking for jobs and to make them more productive in the first months in the job. The training course was 45 h over a 9-day period (5 h per day), with a maximum of 30 participants in each training group._x000a__x000a_The course demanded active participation and cooperative learning. It covered effective communication and business writing skills (e.g., making a presentation, writing business reports, different types of correspondence), team building and team work skills (e.g., characteristics of a successful team, how to work in different roles within a team), time management, positive thinking and how to use this in business situations, excellence in providing customer service, and CV and interviewing skills."/>
    <x v="0"/>
  </r>
  <r>
    <s v="Kluve 2017"/>
    <s v="Alvares de Azevedo 2013"/>
    <s v="CH"/>
    <x v="25"/>
    <s v="Kenya"/>
    <n v="2011"/>
    <s v="18-35"/>
    <s v="Table 12"/>
    <s v="With funding from the World Bank and Microsoft, the International Youth Foundation (IYF) is coordinating the Ninaweza project, which is an innovative and comprehensive employability program for young women living in six informal settlements surrounding Nairobi, Kenya: Kangemi, Kawangware, Kibera, Korogocho, Mathare and Mukuru._x000a_The purpose of the program was to improve the employability and earning capacity of young women living in the informal settlements of Nairobi._x000a__x000a_Six informal settlements was employed as a community mobilizer to raise awareness about the program and to disseminate and receive applications from potential participants on behalf of ACWICT. There was no cost or obligation associated with the application. ACWICT reviewed each application to identify whether participants met the criteria. Those that met the criteria were given a personal identification number (PID).The number selected from each settlement was proportional to the number of applicants from each settlement for each cohort. Within each settlement, those selected were randomly assigned to a group. Applicants assigned to the treatment groups that did not join the program or later dropped out were not excluded from the evaluation, but they rarely came to the training site to take part in later rounds of data collection._x000a__x000a_A total of 1,230 applicants were selected to be in the study. This is less than the target of 1,400 respondents and this indicates less interest in the program than anticipated. The take-up rate was also lower than expected with 86.7% of the applicants selected actually joining the program. According to data from the implementing partner, 91.9% of those that joined the program graduated. While M&amp;E data suggests that attrition was not a problem for the program it was an issue for the evaluation: 31.5% of those that took part in the baseline did not take part in the mid-line and 50.2% did not take part in the end-line. Furthermore, although completing the end-line should have been a requirement for graduation, among those that graduated a total of 38.2% did not take part in the end-line._x000a__x000a_The eligibility criteria are listed below: 1. Female 2. Aged between 18 and 35 years 3. Completed high school 4. Out of school for at least one year 5. Kenyan citizen 6. Residing in any of the six informal settlements around Nairobi 7. Not employed at the time of application._x000a_"/>
    <s v="Ninaweza"/>
    <s v="Treatment 1 - ICT Training + Life skills Training + Internship_x000a__x000a_The Ninaweza project was designed to provide young women with technical training in ICT, life skills training, work experience through internships, and job placement support. Prior to the training, to ensure that the technical training responds to market demands, ACWICT conducted a study to assess the needs of the local industry. As a result of the study, the training was planned so that the young women would receive training in computer hardware and software, entrepreneurship, and business process outsourcing. The life skills component addressed areas such as self-awareness, emotional intelligence, problem solving, goal setting, job searching, and health practices. The training lasted for 8 weeks. Afterwards, the young women entered an 8-week internship, which was followed by 6 months of job placement support._x000a__x000a_The ICT training included 150 hours of lessons ranging from how to manage files and folders; to how to make, edit and share digital videos; to how to set up a computer network. The life skills training included 40 hours of lessons in skills for everyday life (e.g. setting personal goals) and skills for the world of work (e.g. workplace ethics) using ACWICT’s life skills curriculum. In order to accelerate the completion of the training, morning and afternoon shifts were introduced. The training component took 8 weeks for Treatment 2 and training was extended by 2 weeks for a total of 10 weeks to include the life skills component. For Treatment 1, the life skills lessons were staggered with IT lessons and taught throughout the duration of the training. A more detailed explanation of the content of the training in ICT and life skills can be found in the appendix._x000a__x000a_Limited training facilities of implementing partner: The intervention involved two full months of training, but the local partner understandably did not have the computers and space to train the full treatment group of 700 young women at once. As a solution, IYF divided the sample into multiple cohorts to maximize the partner’s capacity. IYF also directed efforts at expanding local capacity by instituting morning and afternoon shifts, which halved the time necessary to complete the training. However, as a result it is possible that the quality of the training varied somewhat from cohort to cohort and from shift to shift._x000a__x000a_The fact that participants were randomly assigned to treatment and control does not mean that they were randomly selected from the overall population. Eligibility criteria were used, which means that the findings from the evaluation can only be extrapolated to those that meet these criteria. Six informal settlements were targeted and the number of applicants selected from each settlement was proportional to the proportion of applicants from each settlement that applied to each cohort._x000a_The eligibility criteria are listed below:_x000a_1. Female_x000a_2. Aged between 18 and 35 years_x000a_3. Completed high school_x000a_4. Out of school for at least one year_x000a_5. Kenyan citizen3_x000a_6. Residing in any of the six informal settlements around Nairobi4_x000a_7. Not employed at the time of application_x000a__x000a_Compliance: Full compliance to the program was less than expected, primarily due to the time commitments required of the young women and transportation costs. Partial compliance means that some participants received more of the intervention than others. In order to increase compliance, IYF provided transportation stipends for the highest need treatment participants to boost their attendance rates._x000a_A total of 1,230 applicants were selected to be in the study. This is less than the target of 1,400 respondents and this indicates less interest in the program than anticipated. The take-up rate was also lower than expected with 86.7% of the applicants selected actually joining the program. According to data from the implementing partner, 91.9% of those that joined the program graduated._x000a_"/>
    <s v="-"/>
    <s v="3 months Training + 2  Internship_x000a__x000a_Details in weeks:_x000a_8w ICT Training_x000a_2w Life Skills_x000a_8w Internship_x000a_6 months - Job Assistance"/>
    <s v="NGO"/>
    <s v="Randomization"/>
    <s v="-"/>
    <m/>
    <m/>
    <s v="RCT + DID"/>
    <m/>
    <m/>
    <s v="both"/>
    <s v="both"/>
    <s v="both"/>
    <s v="private-subsidized"/>
    <s v="private"/>
    <n v="2.5"/>
    <n v="190"/>
    <n v="2"/>
    <m/>
    <n v="10"/>
    <s v="no"/>
    <s v="The number selected from each settlement was proportional to the number of applicants from each settlement for each cohort. Within each settlement, those selected were randomly assigned to a group. Applicants assigned to the treatment groups that did not join the program or later dropped out were not excluded from the evaluation, but they rarely came to the training site to take part in later rounds of data collection."/>
    <s v="centralized"/>
    <m/>
    <s v="yes"/>
    <s v="women in informal settlements"/>
    <n v="7"/>
    <s v="Young unemployed women living in informal settlements, aged between 18 and 35 years, with complete secondary education and at least one year after finishing school."/>
    <s v="The treatment included technical training in Information Communication Technology (150 hours) and life skills (self-awareness, emotional intelligence, problem solving, goal setting, job searching, and health practices, 40 hours), along with on-the-job experience through internships (8 weeks) and job placement support (6 months). _x000a_Treatment 1 - ICT Training + Life skills Training + Internship_x000a_"/>
    <x v="0"/>
  </r>
  <r>
    <s v="Kluve 2017"/>
    <s v="Alvares de Azevedo 2013"/>
    <s v="CH"/>
    <x v="26"/>
    <s v="Kenya"/>
    <n v="2011"/>
    <s v="18-35"/>
    <s v="Table 12"/>
    <s v="With funding from the World Bank and Microsoft, the International Youth Foundation (IYF) is coordinating the Ninaweza project, which is an innovative and comprehensive employability program for young women living in six informal settlements surrounding Nairobi, Kenya: Kangemi, Kawangware, Kibera, Korogocho, Mathare and Mukuru._x000a_The purpose of the program was to improve the employability and earning capacity of young women living in the informal settlements of Nairobi._x000a__x000a_Six informal settlements was employed as a community mobilizer to raise awareness about the program and to disseminate and receive applications from potential participants on behalf of ACWICT. There was no cost or obligation associated with the application. ACWICT reviewed each application to identify whether participants met the criteria. Those that met the criteria were given a personal identification number (PID).The number selected from each settlement was proportional to the number of applicants from each settlement for each cohort. Within each settlement, those selected were randomly assigned to a group. Applicants assigned to the treatment groups that did not join the program or later dropped out were not excluded from the evaluation, but they rarely came to the training site to take part in later rounds of data collection._x000a__x000a_A total of 1,230 applicants were selected to be in the study. This is less than the target of 1,400 respondents and this indicates less interest in the program than anticipated. The take-up rate was also lower than expected with 86.7% of the applicants selected actually joining the program. According to data from the implementing partner, 91.9% of those that joined the program graduated. While M&amp;E data suggests that attrition was not a problem for the program it was an issue for the evaluation: 31.5% of those that took part in the baseline did not take part in the mid-line and 50.2% did not take part in the end-line. Furthermore, although completing the end-line should have been a requirement for graduation, among those that graduated a total of 38.2% did not take part in the end-line._x000a__x000a_The eligibility criteria are listed below: 1. Female 2. Aged between 18 and 35 years 3. Completed high school 4. Out of school for at least one year 5. Kenyan citizen 6. Residing in any of the six informal settlements around Nairobi 7. Not employed at the time of application._x000a_"/>
    <s v="Ninaweza"/>
    <s v="Treatment 1 - ICT Training + Life skills Training + Internship_x000a__x000a_The Ninaweza project was designed to provide young women with technical training in ICT, life skills training, work experience through internships, and job placement support. Prior to the training, to ensure that the technical training responds to market demands, ACWICT conducted a study to assess the needs of the local industry. As a result of the study, the training was planned so that the young women would receive training in computer hardware and software, entrepreneurship, and business process outsourcing. The life skills component addressed areas such as self-awareness, emotional intelligence, problem solving, goal setting, job searching, and health practices. The training lasted for 8 weeks. Afterwards, the young women entered an 8-week internship, which was followed by 6 months of job placement support._x000a__x000a_The ICT training included 150 hours of lessons ranging from how to manage files and folders; to how to make, edit and share digital videos; to how to set up a computer network. The life skills training included 40 hours of lessons in skills for everyday life (e.g. setting personal goals) and skills for the world of work (e.g. workplace ethics) using ACWICT’s life skills curriculum. In order to accelerate the completion of the training, morning and afternoon shifts were introduced. The training component took 8 weeks for Treatment 2 and training was extended by 2 weeks for a total of 10 weeks to include the life skills component. For Treatment 1, the life skills lessons were staggered with IT lessons and taught throughout the duration of the training. A more detailed explanation of the content of the training in ICT and life skills can be found in the appendix._x000a__x000a_Limited training facilities of implementing partner: The intervention involved two full months of training, but the local partner understandably did not have the computers and space to train the full treatment group of 700 young women at once. As a solution, IYF divided the sample into multiple cohorts to maximize the partner’s capacity. IYF also directed efforts at expanding local capacity by instituting morning and afternoon shifts, which halved the time necessary to complete the training. However, as a result it is possible that the quality of the training varied somewhat from cohort to cohort and from shift to shift._x000a__x000a_The fact that participants were randomly assigned to treatment and control does not mean that they were randomly selected from the overall population. Eligibility criteria were used, which means that the findings from the evaluation can only be extrapolated to those that meet these criteria. Six informal settlements were targeted and the number of applicants selected from each settlement was proportional to the proportion of applicants from each settlement that applied to each cohort._x000a_The eligibility criteria are listed below:_x000a_1. Female_x000a_2. Aged between 18 and 35 years_x000a_3. Completed high school_x000a_4. Out of school for at least one year_x000a_5. Kenyan citizen3_x000a_6. Residing in any of the six informal settlements around Nairobi4_x000a_7. Not employed at the time of application_x000a__x000a_Compliance: Full compliance to the program was less than expected, primarily due to the time commitments required of the young women and transportation costs. Partial compliance means that some participants received more of the intervention than others. In order to increase compliance, IYF provided transportation stipends for the highest need treatment participants to boost their attendance rates._x000a_A total of 1,230 applicants were selected to be in the study. This is less than the target of 1,400 respondents and this indicates less interest in the program than anticipated. The take-up rate was also lower than expected with 86.7% of the applicants selected actually joining the program. According to data from the implementing partner, 91.9% of those that joined the program graduated._x000a_"/>
    <s v="-"/>
    <s v="2 months Training + 2 months Internship_x000a__x000a_Details in weeks:_x000a_8w ICT Training_x000a_2w Life Skills_x000a_8w Internship_x000a_6 months - Job Assistance"/>
    <s v="NGO"/>
    <s v="Randomization"/>
    <s v="-"/>
    <m/>
    <m/>
    <s v="RCT + DID"/>
    <m/>
    <m/>
    <s v="technical"/>
    <s v="both"/>
    <s v="both"/>
    <s v="private-subsidized"/>
    <s v="private"/>
    <n v="2"/>
    <n v="150"/>
    <n v="2"/>
    <m/>
    <n v="10"/>
    <s v="no"/>
    <s v="The number selected from each settlement was proportional to the number of applicants from each settlement for each cohort. Within each settlement, those selected were randomly assigned to a group. Applicants assigned to the treatment groups that did not join the program or later dropped out were not excluded from the evaluation, but they rarely came to the training site to take part in later rounds of data collection."/>
    <s v="centralized"/>
    <m/>
    <s v="yes"/>
    <s v="women in informal settlements"/>
    <n v="8"/>
    <s v="Young unemployed women living in informal settlements, aged between 18 and 35 years, with complete secondary education and at least one year after finishing school."/>
    <s v="The purpose of the intervention was to improve the employability and income-generating capacity of disadvantaged young women._x000a_The treatment included technical training in Information Communication Technology (150 hours) in skills such as how to manage files and folders, to how to make, edit and share digital videos and to how to set up a computer network. The program also provided on-the-job experience through internships (8 weeks) and job placement support (6 months). _x000a_"/>
    <x v="0"/>
  </r>
  <r>
    <s v="Escudero 2017"/>
    <s v="Hicks 2015"/>
    <s v="CH"/>
    <x v="27"/>
    <s v="Kenya"/>
    <n v="2007"/>
    <s v="Mean: 21.7_x000a_17-28"/>
    <s v="Table 1 -5"/>
    <s v="The 2007 World Development Report emphasizes that “second-chance” schooling programs are crucial for countries like Kenya, given high drop-out rates from primary school and limited primary to secondary school transition rates (World Bank, 2007)._x000a_Table 2 presents demographic and program participation data for the full KLPS sample, as well as for the 2,163 individuals who became participants of this vocational training program. The KLPS sample is generally representative of youth in western Kenya: both programs from which it was drawn (the PSDP and GSP) included youth enrolled in primary school in 1998/2001, and the 1998 Kenya Demographic and Health Survey suggests that 85% of 8 to 18 year olds in western Kenya were enrolled in school at that time (Republic of Kenya, 1999)._x000a_The last column of Table 2 compares individuals who applied to the vocational training voucher program to individuals in the KLPS sample who did not apply. In general, program applicants are three percentage points more likely to be male than non-applicants, 0.15 years older, and slightly higher in baseline primary school grade. There are no statistically significant differences in prior program participation (PSDP or GSP) across program applicants and and nonapplicants, and no difference in the likelihood that a participant was assigned to the PSDP treatment group. Results do suggest that program applicants were slightly more likely to be assigned to the GSP treatment group (2 p.p., p-value ≤0.05). In our primary analysis of mediumterm program impacts, we control for all of these characteristics._x000a_Table 3 summarizes the descriptive statistics of the vocational training program sample prior to any program intervention. The first thing to note from this table is that the voucher randomization procedure was successful at creating similar treatment and control groups. The treatment and control groups were well balanced along most observable dimensions (among all observables presented, only one shows a statistically significant difference, and only with a pvalue&lt;=0.10). This allows us to confidently interpret the differences between treatment and control outcomes as the causal effect of the vocational training voucher program._x000a_Column (1) of Table 3 provides a description of the overall sample – a valuable depiction of individuals interested in receiving vocational training. Of the 2,163 individuals included in the program, 63% are female. The sample consists of more girls than boys mainly because one of the two school-based NGO programs from which the KLPS sample was originally drawn (the GSP) targeted only girls.13 Because of the relative size difference between these two different programs, 70% of program applicants were previously involved in the PSDP, while only 30% were previously involved in the GSP. The mean age at recruitment in 2008 was 22 years and sampled students ranged in age from roughly 17 to 28._x000a_At the time of project recruitment meetings, most participants lived in Busia County (the main study area of the PSDP and GSP projects in rural western Kenya), with roughly 4% living just outside of the district and 6% in large cities. This distribution makes sense, especially given that invitations to recruitment meetings were spread with the assistance of local area leaders throughout Busia County._x000a_Average academic schooling attainment of individuals in the sample prior to the start of the program was 8.8 years, but there is a wide range in attainment: 26% of the sample dropped out before attaining grade 8, 38% terminated schooling upon graduating from primary school, 11% of individuals attended some secondary school, and 24% completed secondary school. Nearly two thirds of individuals seeking vocational training had received only up to a primary school education. Fewer than 3% of program applicants were still attending school at the time of program launch, and on average, program participants had been out of school for nearly 4 years by that time._x000a_Approximately 14% of the sample had previously been employed. Of these, fewer than a quarter were already working in a field in which the project affiliate training centers offer skills training, such as tailoring, hairdressing, skilled construction or computer services. Other common jobs include fishing and informal hawking/sales._x000a_The vocational training voucher program was designed to be open to students who had already received some vocational training but wanted to further their skills. Nearly 22% of the sample had already received some training, primarily through apprenticeships and other informal training at small private enterprises rather than at the larger public centers._x000a_"/>
    <s v="-"/>
    <s v="The program we study is an NGO-administered randomized youth vocational education intervention in (primarily western) Kenya. 2,163 out-of-school Kenyan youths ranging in age from roughly 17 or 28 years old applied for vocational education tuition vouchers, and a randomly selected half were awarded a voucher. The vouchers were worth approximately 35,000 Kenyan Shillings (about US$460), an amount sufficient to fully (or almost fully) cover the tuition costs for most private vocational education programs and government-run rural village polytechnics or technical training institutes._x000a__x000a_These youth were drawn from a pool of individuals participating in a unique and high quality longitudinal (panel) dataset that the authors have been collecting in this region since 1998, known as the Kenyan Life Panel Survey (KLPS). The KLPS sample was chosen as a representative subset of individuals who attended primary school in the former Busia District, a rural area in western Kenya, nearly ten years earlier. Primary schools in this district participated in one of two earlier NGO-run development programs – either a deworming program launched in 1998 (the Primary School Deworming Program or PSDP; Miguel and Kremer, 2004), or a merit scholarship program for girls that began in 2001 (the Girls’ Scholarship Program or GSP; Kremer, Miguel, and Thornton, 2009). The KLPS data contains detailed educational, health, nutritional, labor market, demographic and cognitive information for thousands of Kenyan adolescents from 1998 to 2009. The existence of detailed information on these and other life outcomes (such as cognitive ability and orphan status) in the KLPS data strengthens the evaluation of this vocational training program and enhances the external value of the evidence generated by permitting estimation of heterogeneous program impacts for different types of individuals._x000a__x000a_The entire KLPS sample of 10,758 individuals was invited to an informational session on this vocational training program in late 2008.1 Participants were recruited from the KLPS sample through local leaders. A total of 2,705 youth attended one of the 70 introductory meetings held in sub-locations where the original deworming and scholarship programs took place as well as in the cities of Nairobi, Mombasa, and Kisumu where many of them had since moved.2 During this introductory meeting, short surveys were administered to all participants to collect information on their beliefs about expected earnings with and without vocational education, for both the respondent individually and for “other people in his/her community”. Participants were then given more details on the program, and those meetings selected for the information treatment received a special presentation (see below for more details). Finally, participants were given a list (compiled by program staff) of local vocational training centers and selected participating vocational training centers in urban areas outside of western Kenya, including in large cities such as Nairobi, Mombasa and Kisumu.3 Each training center description detailed the location, contact information of the manager or principal, courses offered, academic requirements (if any), and course duration. Meeting participants were also informed that they could apply to a training center not found on this list, as long as the center met program participation requirements.4_x000a__x000a_Individuals were instructed to return to a second program meeting at the same location two weeks later with a letter of support5 from a local authority (e.g., chief) or training center, and be prepared to state their preferred schools and courses should they be awarded an unrestricted (public or private institution) voucher or a public-only voucher (these interventions are described below). Students who attended the second meeting, brought a letter of support and had valid preferences for both unrestricted and public-only voucher types were included in the final sample of 2,163 individuals. This application procedure was designed to ensure a genuine interest in vocational education among applicants, making them a highly policy relevant sample: those Kenyan youth likely to enroll in vocational education should further training subsidies become available._x000a__x000a_Voucher winners were then randomly selected from this final pool of applicants using a computer random number generator (in STATA). The allocation of vouchers was made among those preferring to apply to the same institution; in other words, if 20 sample individuals preferred to apply to a certain vocational training center, five were randomly chosen to receive the public voucher, five were randomly chosen to receive the unrestricted voucher, and the remaining ten were allocated to the control group. This research design permits study of which precise institutional characteristics have the greatest impact on future labor market returns. Randomization for the voucher treatment assignment was also stratified by individual gender, assignment to the information intervention (described below), participation in one of the two original NGO primary school programs from which the sample is drawn (PSDP versus GDP), and preferred course (which was aggregated into broad occupation groups by course type), thereby ensuring balance across the treatment and control groups along those categories as well. The randomization process is summarized in Figure 1._x000a__x000a_Among voucher winners, a random half received vouchers that can be used only in government supported public vocational training institutes, while the other half received unrestricted vouchers that could be used in either public centers or in the growing private training sector. Of the final sample of 2,163, 526 individuals were assigned unrestricted vouchers and 529 were randomly assigned vouchers only for use at government institutions. The remaining 1,108 serve as the control group. Voucher winners were informed which type of voucher they had won by January 2009, and were subsequently provided the opportunity to apply to the vocational education institution of their choosing._x000a__x000a_Table 1 summarizes the voucher design. Vouchers covered tuition, materials, uniforms, and trade test fees (if applicable). They did not support board, lunch, or transport costs. According to administrative data collected during the program, the mean (median) voucher amount paid for restricted voucher winners was Ksh 21,507 (Ksh 21,300), and for unrestricted voucher winners was Ksh 19.858 (18,000). Information collected from a small subset of voucher winners in mid2010 (nearing the end of the program) suggests that the mean (median) fraction of total training costs covered by the voucher was 72% (96%) for restricted voucher winners, and 74% (95%) for urestricted voucher winners._x000a__x000a_3.2 Training Center Eligibility_x000a_One remarkable facet of the program studied here is the variety of course and institution types available to program participants. The project targeted all the major government Village Polytechnics and Technical Training Institutes in the home study area of Busia County, as well as a large cross-section of available private institutions in the area. While the inclusion of government institutions was straightforward, private institutions were vetted before inclusion in the program._x000a__x000a_Unrestricted Vocational Training Voucher_x000a__x000a_In general, private institutions were eligible to be included in the program if they had one or more trainees at the time of program recruitment or had offered courses in the prior year, and if their fee structure feel within the program voucher limits. Due to the large number and wide range of institutional types in the private vocational schooling sector, the list of potential participating vocational training centers was necessarily far from exhaustive. The most comprehensive list of potential participating institutions was in the primary target area and original home of all of our participants (Busia County; former Busia, Bunyala, and Samia Districts). In these areas all formalized private vocational training centers were included. These include for-profit computer training schools and church or NGO-run training centers. Further a variety of privately run for-profit businesses that regularly take students for six month to two year “apprentice-style” training programs were included. These were vetted for legitimacy and formality – shops where space, tools, work and theoretical training were clearly available and where students had been taken many times before were included while those less equipped to handle a semi-formal training program were excluded. In the rest of western Kenya as well as the cities of Kisumu, Nairobi, and Mombasa where some of the KLPS sample resided, the program focused primarily on institutions of relatively greater sophistication that more closely resembled public institutions. Finally, all private institutions were vetted for fit with the project. Institutions with costs, program lengths and course types that were largely outside the program plans or far different from similar public options were excluded. In some cases students inquired about the possibility of enrolling in a particular institution. If the institution met the program’s criteria then it was included. In a few cases, institutions were not willing to work with the program, and so were excluded._x000a__x000a_As evidence of the diversity and versatility of the private vocational training sector in Kenya, the type, length and structure of the private institutions and courses in included in the program vary widely. Some institutions run by private entrepreneurs, NGOs or church groups mirror the industrial training structure of the government-run polytechnic system. Others offer short training courses in a particular skill-set like computers or driving. Still others function as businesses and training centers in one, teaching hairdressing, tailoring or some other trade through something akin to an apprenticeship. The private vocational training sector is arguably more adept at accommodating the needs of a larger variety of students, with courses as short as one month well-suited to those already in the work force or supporting their families, to the longer service based courses desirable to recent secondary school leavers._x000a_Like the institution and course types, fees vary widely across the courses available to program participants. For courses included in the original list distributed at recruitment meetings, the program covers all mandatory fees including uniform and registration fees. To accommodate the training needs of secondary school leavers and at the request of some voucher winners, the program also allowed students to enroll in more academic technical training diploma courses (e.g., in computer training) and to cover fees up to the level of the average two year industrial course, or 35,000 Kenyan Shillings (about US$460)._x000a_"/>
    <s v="The vouchers were worth approximately 35,000 Kenyan Shillings (about US$460)._x000a_"/>
    <s v="12 months or 4 terms (mean, public institutions)_x000a_10 months or 3.29 terms (mean, private institutions)"/>
    <s v="NGO"/>
    <s v="Randomization"/>
    <s v="-"/>
    <m/>
    <m/>
    <m/>
    <m/>
    <m/>
    <s v="technical"/>
    <s v="classroom"/>
    <s v="both"/>
    <m/>
    <s v="public, private"/>
    <n v="12"/>
    <m/>
    <m/>
    <m/>
    <n v="9"/>
    <s v="no"/>
    <s v="2,163 out-of-school Kenyan youths ranging in age from roughly 17 or 28 years old applied for vocational education tuition vouchers, and a randomly selected half were awarded a voucher. "/>
    <s v="decentralized"/>
    <s v="voucher"/>
    <s v="no"/>
    <m/>
    <n v="34"/>
    <s v="Out-of-school Kenyan youths ranging in age from roughly 17 to 28 years old who had already received some vocational training but wanted to further their skills."/>
    <s v="The program gave to the participants unrestricted vouchers (to attend either public or private technical training institutes) or restricted vouchers (only for public schools)._x000a__x000a_The vocational training voucher program was designed for students who had already received some vocational training but wanted to further their skills. Each participant was able to use the voucher in the institution of his or her choosing. The training programs varied from institution to institution with a median value of the voucher of 460 USD, a mean duration of 12 months of training._x000a_"/>
    <x v="0"/>
  </r>
  <r>
    <s v="MDRC"/>
    <s v="Honorati 2015"/>
    <s v="CH"/>
    <x v="28"/>
    <s v="Kenya"/>
    <n v="2012"/>
    <s v="Mean: 24_x000a_15-29"/>
    <s v="Table 3, 5a, 5b, 6"/>
    <s v="In Kenya, for example, unemployment is mainly a youth problem. According to the Kenya Economic Update (World Bank 2012), the labor market prospects for youth are more challenging than for adults. Youth unemployment is rampant compared to adults ‐ particularly in urban areas ‐ and the youth inactivity rate is two times higher than that of adults. A recent analysis of unemployment in Kenya by the United National Development Program (UNDP, 2013) showed that youth_x000a_unemployment is more a pronounced issue among those younger than 25 years of age, peaking to 35 percent compared to an overall national unemployment rate of 10 percent, and in urban areas it is as high as 50 percent compared to a rate of about 30 percent in rural areas (for youths up to the age of 22).1 Nine percent of youth between the ages of 15 and 24 are inactive, not at a school, being particularly at risk of being recruited into criminal activity."/>
    <s v="KYEP (Kenya Youth Empowerment_x000a_Project)"/>
    <s v="T2: Training + Internship_x000a_In 2010, the Government of Kenya with funding support from the World Bank launched the Kenya Youth Empowerment Project (KYEP) as a pilot in Nairobi and Mombasa, as well as in Kisumu at a later stage. The primary objective of the KYEP was to increase the employability and the earning potential of vulnerable youths by providing them with the skills and work experience demanded by private employers. Between 2011 and 2014, the program trained approximately 14,000 youths over its first five cycles and is expected to train additional 6,000 youths in its sixth and final cycle by the end of September 2015._x000a_The pilot training and internship program was designed and implemented to address key_x000a_constraints on both demand and supply in the labor market. On the demand side, the program_x000a_mobilized private employers, gave them incentives to accept interns and teach them job‐relevant skills, and encouraged them to create jobs (and retain interns who successfully completed the program). On the supply side, the program aimed to reduce skills constraints in the six sectors where growth is expected according to Vision 2030, Kenya’s national development strategy, by providing youths with job‐relevant skills (technical and life skills) as well as workplace experience._x000a_To ensure private sector ownership of the program and the effectiveness of the program’s demand driven design, the intervention operated as a private‐public partnership. The Government of Kenya set the strategic vision for youth employment and financed the program while KEPSA, a policy advocacy organization for private employers, defined the competencies needed by employers in the six growth sectors, mobilized and motivated employers to participate in the program, recruited training providers on a competitive basis, and managed and implemented the overall program._x000a_The pilot program was designed in response to the issue raised by Kenyan employers that many youths who come out of schools and training centers lack the relevant work experience and competencies needed for employment. To ensure that the program was demand‐driven, employers’ organizations in each sector were invited to identify their skill needs and to develop sector‐specific training plans The program targets vulnerable youths defined as males and females between ages 15 and 29_x000a_years who have a minimum of eight years of schooling, have been out of school for at least one year, and are not in employment at the time of their application to the program. While not easy to verify, being out of school and being without a permanent job at the application stage were the main characteristics used to identify vulnerable youths or those at risk of longer‐term_x000a_unemployment or of becoming stuck in low‐productivity jobs. The minimum of eight years of_x000a_schooling was included as a way to ensure that the participants would have had a basic education and thus would be able to benefit from further training._x000a_The KYEP program aims to equip youths with technical and social skills and to promote increased use of such skills at work. The technical skills in question include analytical skills specific to the sector, manual skills, and routine processes as well as basic computer skills such as word processing,_x000a_use of spreadsheets, and email. The life skills training aims to develop basic work‐related behavioral skills such as communication, leadership, self‐esteem, conflict resolution, decision‐making, and problem‐solving that are key to whether employers view a job applicant favorably or unfavorably._x000a_The program has been widely advertised in Nairobi, Mombasa, and Kisumu counties to raise_x000a_awareness of its existence and to encourage young people to submit applications to KEPSA with proof of identity. In fact, KEPSA only verified the applicant’s age and residence eligibility in_x000a_defining the pool of eligible applicants. Given the high number of eligible applications received,_x000a_KEPSA randomly selected a number of eligible applicants based on the number of internships that they could offer per cycle. By design, the percentage of the selected youths who held tertiary qualifications was capped at 40 percent in each program cycle._x000a_Given the limited absorptive capacity of existing formal labor markets in Kenya, the project provided internships in both the formal and informal sectors. Each program cycle offered a combination of training and work experience in private sector firms in the six growth sectors identified in Vision 2030, consisting of five formal sectors (energy, finance, ICT, manufacturing, and tourism) and one informal sector (Jua Kali)._x000a_The program was split into three months of training and three months of work experience, as_x000a_follows:_x000a_Training. Classroom‐based training courses were provided by private training institutions and_x000a_consisted of three phases:_x000a_a) Life skills training (two weeks) aimed at strengthening life and other non‐cognitive skills_x000a_(such as conflict resolution and communication skills)._x000a_b) Core business training (five weeks) focused on communication, customer care,_x000a_entrepreneurship, basic computer use, and office practices, among others. Interns placed in_x000a_firms operating in the five formal sectors received the five weeks of training while interns_x000a_placed in the informal sector received three weeks of training coupled with a two‐week_x000a_module on entrepreneurship skills training._x000a_c) Sector‐specific training to promote specific technical skills (five weeks) in each of the five_x000a_formal sectors. For interns placed in the Jua Kali sector, the training plan consisted of three_x000a_weeks of sector‐specific training supplemented by an additional two weeks of work_x000a_experience._x000a_Work experience (12 weeks) in selected private firms. Employers were expected to provide on‐the job training and mentoring. In the Jua Kali sector, internships consisted of apprenticeship training by master craftsmen. The master craftsmen had to pre‐qualify to be eligible for the program by participating in skills upgrading developed by the relevant sector organization for the informal sector under KEPSA._x000a_The program offered a small monthly stipend of KES 6,000 to youths (equivalent to US$70) to_x000a_compensate them for their transportation and food costs during the six months of the program._x000a_Employers were also given monthly compensation of KES 3,000 (equivalent to US$35) to offset the time spent overseeing the interns and to reimburse them for the costs of materials during the 12 weeks of the internships."/>
    <s v="total unit cost of K Sh_x000a_97,000 per beneficiary. USD 1152 (per participant, inc. admin)"/>
    <s v="6 months_x000a__x000a_3 months (clasroom training)_x000a_+_x000a_3 months (work experience)"/>
    <s v="Government"/>
    <s v="Randomization"/>
    <s v="-"/>
    <m/>
    <m/>
    <m/>
    <m/>
    <m/>
    <s v="both"/>
    <s v="both"/>
    <s v="both"/>
    <s v="private-subsidized"/>
    <s v="private"/>
    <n v="3"/>
    <m/>
    <n v="3"/>
    <m/>
    <n v="13"/>
    <s v="no"/>
    <s v="On the supply side, the program aimed to reduce skills constraints in the six sectors where growth is expected according to Vision 2030, Kenya’s national development strategy, by providing youths with job‐relevant skills (technical and life skills) as well as workplace experience._x000a_To ensure private sector ownership of the program and the effectiveness of the program’s demand driven design, the intervention operated as a private‐public partnership. The Government of Kenya set the strategic vision for youth employment and financed the program while KEPSA, a policy advocacy organization for private employers, defined the competencies needed by employers in the six growth sectors, mobilized and motivated employers to participate in the program, recruited training providers on a competitive basis, and managed and implemented the overall program_x000a__x000a_Given the high number of eligible applications received,_x000a_KEPSA randomly selected a number of eligible applicants based on the number of internships that they could offer per cycle. By design, the percentage of the selected youths who held tertiary qualifications was capped at 40 percent in each program cycle._x000a_"/>
    <s v="centralized"/>
    <m/>
    <s v="no"/>
    <m/>
    <n v="36"/>
    <m/>
    <m/>
    <x v="0"/>
  </r>
  <r>
    <s v="Kluve 2017"/>
    <s v="Adoho 2014 i"/>
    <s v="CH"/>
    <x v="29"/>
    <s v="Liberia"/>
    <n v="2010"/>
    <s v="16-27_x000a_mean: 22"/>
    <s v="Table 2, 2A, 2B"/>
    <s v="Among young women (15-24) in Liberia, the unemployment rate is 8 percent, double the rate among young men. Most of these gaps can be explained by differences across individuals, especially in educational attainment, skills training, and years of experience. But segregation, market segmentation, and discrimination do play a role in determining these individual characteristics. Women have fewer opportunities for education or training, less access to credit, a larger share of domestic responsibilities, and less independence and control over their own lives. In Liberia, women comprise half of the employed, but only about one-quarter of paid employment._x000a__x000a_Fourteen years of civil war in Liberia devastated the country’s infrastructure and institutions, and left a generation of young people with very low levels of education and training. Girls were particularly disadvantaged. In 2003, almost 60% of young girls and 40% of young boys had no formal schooling (ILO/UNICEF 2005). Data from the Demographic and Health survey shows that more than 40 percent of adult women have no education, compared to fewer than 20 percent of men, while 23 percent of women and 44 percent of men have some secondary schooling (DHS 2007). Happily, access to education is rising rapidly, especially for girls: according to the Liberian labor force survey from 2010, the ratio of girls to boys enrolled in primary school has risen from 72 in 2000 to 90 in 2009. Enrollment levels and sex ratios are lower among older children and youth, as they become increasingly engaged in household and productive work. Just over one-third of young (15-24-year-old) Liberians are in the labor force. Young women are more likely than young men to be out of the labor force because they are engaged in household duties (30.4 percent v. 18.9 percent), and young men are more likely to be out of the labor force because they are still in school (75.8 percent v. 63.0 percent)._x000a__x000a_The study population has an average age of 23 years, with 55% falling between 20 and 24 years. The majority have never been married, while 29% are cohabiting with a partner and only 5% are married. The majority of the study population has started or completed high school, which is consistent with the program’s target group of young women with basic literacy and numeracy, and with the program’s goal not to encourage girls to drop out of school. Thirty-eight percent of the sample was already engaged in at least one income-generating activity (IGA) at baseline._x000a__x000a_For the purposes of this study, to be consistent with program objectives and the Liberian context, our definition of income-generating activity encompasses the full range of activities through which people earn money, including paid employment, either formal or informal, and self-employment in small business or through petty trade. The most common types of IGAs reported at baseline were petty trade, including street vending (48% of those with at least 1 IGA), food processing for sale, including baking, cooking, and drying (16%), and home production of crops, livestock, and fish (11%)._x000a__x000a_It is important to note that the EPAG program was not targeted toward the most vulnerable segments of Liberian society, but rather toward young women with enough education to be able to benefit from a training program of this nature… the average EPAG participant is more educated, more literate, more likely to be engaged in an income-generating activity, and owns more assets than the average Liberian women of the same age group: mobile phone ownership was high (63%), as was the proportion reporting that they had some money of their own (79%)._x000a__x000a_Family background characteristics of the study population, who tend to come from large families and frequently have lost one or both parents. A large majority (78%) were displaced during childhood or adolescence due to the long-running Liberian civil conflict (1989-1996; 1999-2003). Furthermore, about two-thirds of study respondents were already mothers before entering the program, with small but significant differences between the treatment and control groups. Similarly, 7.5% of study respondents were pregnant at baseline, with a slightly higher rate in the control group._x000a_"/>
    <s v="EPAG (“Economic Empowerment of Adolescent Girls and Young Women”)"/>
    <s v="The EPAG project is part of a larger Adolescent Girls Initiative (AGI) administered by the World Bank. The Liberian pilot was launched in March 2010 and has served as a role model to seven subsequent pilot projects in Rwanda, South Sudan, Nepal, Afghanistan, Haiti, Jordan, and Lao PDR._x000a__x000a_EPAG was designed to alleviate the barriers to entering the labor market faced by young women, while avoiding the shortfalls of previous skills training programs offered in Liberia. The program combined six months of classroom-based technical and life skills training, with a focus on skills with high market demand, followed by six months of follow-up support to enter wage employment or start a business._x000a__x000a_Under the global AGI, young women and adolescent girls are given a package of skills training and complementary services in order to facilitate their successful transition to employment. In the case of EPAG, the intervention consisted of a six month phase of classroom-based training, followed by a six month placement and support phase in which the trainees were supported in their transition to self or wage employment. Upon recruitment, the participants are assigned to a &quot;Job Skills (JS)&quot; track or a &quot;Business Development Services (BDS)&quot; track. When possible, the participant's track preference was honored; however, the demand for the Job Skills track greatly exceeded the supply, so the remaining trainees were placed into the BDS track. In the first round of training, the proportion of Job Skills track places was limited to 35% of the total training places available given the expectation that few wage jobs will be available in the Liberian job market. The Job Skills track provided training in six areas: 1) hospitality, 2) professional cleaning / waste management, 3) office / computer skills, 4) professional house / office painting, 5) security guard services, and 6) professional driving. These areas were determined based on independent labor market assessments, a review of the available market data, and input from EPAG’s private sector partners. All Job Skills trainees received training in entrepreneurship skills as well. The BDS training taught young women how to identify micro-enterprise opportunities based on an assessment of market needs, and how to grow and manage any existing businesses they already had. The curriculum included entrepreneurship principles, market analysis, business management, customer service, money management, and record-keeping._x000a__x000a_The EPAG program was implemented by four NGOs who were selected by the Liberian Ministry of Gender and Development through a competitive bidding process. The service providers were responsible for developing training curricula, identifying training venues, making arrangements for childcare services, assisting with the mobilization of the nine target communities, and participating in the recruitment of training participants._x000a__x000a_The EPAG program differed from many training programs in a number of ways. First, performance bonuses were awarded to training providers that successfully place their graduates in jobs or micro-enterprises. The bonus was the last payment that the service providers received under their contracts. These were paid about 12 months after the start of training, or around the same time as the midline survey. Second, a variety of contests and competitions were also held among EPAG trainees (such as attendance prizes, quizzing contests, business plan competitions, etc.). Third, the EPAG program was designed around the girls' needs: service providers held both morning and afternoon sessions, to accommodate the participants' busy schedules; trainings were held in the communities where the girls reside; and every site offered free childcare. Fourth, frequent and unannounced monitoring visits by MoGD staff ensured that the service providers created and maintained a high-quality learning environment. Any issues discovered during these monitoring visits were brought to the attention of service providers and resolved swiftly in conjunction with the project coordination team at MoGD._x000a__x000a_Eligibility: The EPAG program was targeted to young women who: i) were age 16 to 27, ii) possessed basic literacy and numeracy skills, iii) were not enrolled in school within several months prior of the program initiation, and iv) resided in one of nine target communities in and around Monrovia.6 These eligibility criteria stemmed from the project's objectives to reach young women at an early enough age to significantly improve the trajectory of their working years, to focus on girls who already had the basic literacy and numeracy skills needed to succeed in the labor market, and to avoid incentivizing applicants to drop out of school. The literacy requirement in particular, although basic, made the EPAG program out of reach for many of the most vulnerable young Liberian women; the requirement reflected a deliberate choice on the part of program designers in the face of a tradeoff between serving the most vulnerable and serving those who could most readily make use of this relatively short training program_x000a__x000a_Retention and Attendance: After dividing EPAG trainees into two rounds, or cohorts, for the training, the first round of training was held from March 2010 to February 2011. The classroom training was held from March through August, during which the project achieved a 95% retention rate (far higher than similar programs in Liberia and elsewhere), and an average attendance rate of nearly 90% during the classroom training phase. EPAG trainees were given incentives to participate and to make the most of their training: they signed &quot;Trainee Commitment Forms&quot; at the start of the training, they were paid small stipends and a completion bonus contingent upon attendance, they were offered free childcare at every training site, they were assisted to open a savings account at a local bank in which to save their stipend money, and they were formed into small groups or &quot;EPAG teams&quot;, each with a coach or mentor, to foster support networks and boost attendance._x000a_"/>
    <s v="the unit cost of training in Round 1 was roughly $1200 for the Business Skills track and $1650 for the Job Skills track."/>
    <s v="6 months (clasroom training)_x000a_+_x000a_6 months (follow-up support)"/>
    <s v="NGO"/>
    <s v="Randomization"/>
    <m/>
    <m/>
    <m/>
    <s v="See Section 5 for a cost-benefit analysis."/>
    <m/>
    <m/>
    <s v="technical"/>
    <s v="classroom"/>
    <s v="both"/>
    <m/>
    <s v="private"/>
    <n v="6"/>
    <m/>
    <m/>
    <m/>
    <n v="44"/>
    <s v="no"/>
    <s v="Upon recruitment, the participants are assigned to a &quot;Job Skills (JS)&quot; track or a &quot;Business Development Services (BDS)&quot; track. When possible, the participant's track preference was honored; however, the demand for the Job Skills track greatly exceeded the supply, so the remaining trainees were placed into the BDS track. In the first round of training, the proportion of Job Skills track places was limited to 35% of the total training places available given the expectation that few wage jobs will be available in the Liberian job market. "/>
    <s v="decentralized"/>
    <m/>
    <s v="no"/>
    <s v="women"/>
    <n v="5"/>
    <m/>
    <m/>
    <x v="0"/>
  </r>
  <r>
    <s v="Card 2015"/>
    <s v="Bausch 2016"/>
    <s v="DH"/>
    <x v="30"/>
    <s v="Morocco"/>
    <n v="2012"/>
    <s v="15-25"/>
    <s v="Table 4-1"/>
    <s v="Morocco is a middle-income country with a GDP per capita of around 7’800 USD (PPP) in 2015 (World Bank 2016). Similar to other countries in the MENA region its economy is plagued by slow job growth and high youth unemployment which stood at 17.5 percent as of 2012. The youth labour market in Morocco is marked by substantial regional disparities. As of 2012, unemployment rates among youth in the Oriental Region were the highest of any region in Morocco: 41 percent in urban areas and 21 percent in rural areas. Its most populous city, Oujda, has about 450,000 inhabitants making it the 12th largest city in Morocco. Economically, its in-land location differentiates it from larger port cities in Morocco, such as Casablanca, Tangier, and Agadir, which tie Morocco to Europe and Sub-Saharan Africa. Also, it is not a centre for tourism like Fez and Marrakesh. However, given Oujda’s proximity to the Algerian border, it serves as a hub for trade between Algeria and Morocco. All this contributes to the Oriental Region being an area in which youth are facing significant labour market barriers._x000a__x000a_Aiming to provide a more inclusive approach to youth economic engagement in Morocco, Mennonite Economic Development Associates (MEDA) launched its YouthInvest project in Morocco in 2008. The YouthInvest project sought to promote better economic outcomes for Moroccan youth by bolstering access to financial services, building their capacity to manage their own finances, improving their job-relevant skills and employability, and encouraging youth to create their own employment solutions through entrepreneurship. The primary component of the larger YouthInvest project was MEDA’s “100 Hours to Success” skills training course, the focus of this impact evaluation study._x000a__x000a_The intervention we assess targets youth between the ages of 15 and 25 living in Morocco’s Oriental Region."/>
    <s v="YouthInvest"/>
    <s v="The course was tailored to provide participating youth with a short but intensive training – totalling around 100 hours of engagement – and was open to all applicants between the ages of 15 and 25 that met basic literacy requirements. The training aimed to address three major skills areas that were identified through market research conducted at the beginning of the project with young people and employers. During this process, three knowledge gaps, prevalent among young people entering the labour market, emerged, namely financial literacy, life skills, and business and entrepreneurship skills. As a response, the training was designed to empower young participants by providing an experience that builds confidence and self-efficacy. On the technical side, learning to manage personal finances and to better access financial services as well as the fundamentals of starting an entrepreneurial activity were central. The training had three primary modules that were delivered in a combined fashion, with trainers given flexibility about the order in which they delivered specific parts of each component. Youth were not able to opt in for any one specific component._x000a__x000a_The first component focused on financial education providing participants with practical tools to help them manage their personal finances and, where appropriate, to understand how to set up simple financial management systems for a microenterprise. It included modules focused on personal budgeting, savings, debt management, knowledge about banking services, and financial negotiations. Teaching was based on materials developed under the Global Financial Education Program, adapted by local staff for youth in the Moroccan context, as well as to address the specifics of the local regulatory environment for financial services providers._x000a__x000a_Second, the community engagement and life-skills component, adapted from materials developed by the International Youth Foundation, focused on improving personal competencies, problem solving, and conflict management. Built on role play and group work, the units aimed to help youth understand and manage emotions, develop confidence and assertiveness, manage and reduce stress, deal with problems and conflicts, and develop improved abilities to work with teams._x000a__x000a_Third, the business and entrepreneurial skills component included modules based on a curriculum initially developed by Street Kids International, and modified by inputs from Save the Children. These modules were adapted to the Moroccan context by local staff based on input from youth themselves. Participants were guided through participatory exercises and role play activities designed to allow them to assess their own abilities regarding business development, to conduct market research for a business idea, and to plan a business (including the development of a pricing strategy, how to evaluate costs, and how to determine profit margins)._x000a__x000a_Within each component, the training was implemented in an activity-based manner, drawing on participants’ experiences and knowledge. Rather than depending on traditional lectures the course relied on applied problem solving, working through live examples and case studies as its key method of imparting information. The training curriculum was designed to be delivered in a flexible manner, with specific class schedules adjusted around the identified needs of registered participants. Most classes ran over the course of three months. The normal time line for course delivery was two-hour sessions, twice a week for three months. A smaller number of courses were delivered over a month-long period._x000a__x000a_Compliance. Low programme take-up is of concern in this study. Out of the 900 youth that were randomly chosen to form the treatment group, 469 individuals started the training programme (see Figure 3-1). However, administrative data show that among this group a considerable number did only attend some of the training sessions. Consequently, the average attendance rate for a person initially assigned to the treatment is around 35 per cent (36 percent when restricting to those included in the follow-up survey). For our analysis, we consider all youth attending at least half of the sessions as treated, provided they attended at least one session of the second half of the course."/>
    <m/>
    <s v="(1 month)_x000a_100 hours"/>
    <s v="Government"/>
    <s v="Randomization"/>
    <m/>
    <m/>
    <m/>
    <m/>
    <s v="Y"/>
    <s v="Duration"/>
    <s v="technical"/>
    <s v="classroom"/>
    <s v="less than 25"/>
    <m/>
    <s v="private"/>
    <m/>
    <n v="100"/>
    <m/>
    <m/>
    <n v="2"/>
    <s v="no"/>
    <s v=". The training had three primary modules that were delivered in a combined fashion, with trainers given flexibility about the order in which they delivered specific parts of each component. Youth were not able to opt in for any one specific component."/>
    <s v="centralized"/>
    <m/>
    <s v="no"/>
    <m/>
    <n v="12"/>
    <m/>
    <m/>
    <x v="0"/>
  </r>
  <r>
    <s v="McKenzie 2017"/>
    <s v="Chakravarty 2016 ii"/>
    <s v="PG"/>
    <x v="31"/>
    <s v="Nepal"/>
    <s v="2010-2012"/>
    <s v="16-35, mean: 24.5"/>
    <s v="Table 4"/>
    <s v="Nepal has a per capita income of US$700, Nepal is South Asia’s second poorest country (ahead of only Afghanistan)._x000a__x000a_There are three eligibility criteria for all EF-sponsored training programs: age (from 16 to 35), education (below SLC,20 or less than 10 years of formal education), and self-reported economic status (from footnote 21: An applicant is considered “economically poor” if they report a non-farm per capita household income of less than 3000 Nepali rupees (NRs) per month or, in the case of farming families, less than 6 months of food sufficiency. Since these self-reports are not verified, and applicants know in advance that they must be “poor” in order to be eligible for the program, it is unclear how well this criterion is adhered to)._x000a__x000a_For the pooled sample (i.e., 2010 through 2012 cohorts), the study population is about 64 percent female and on average 24.5 years old. Fifty-eight percent are married while 51 percent have at least one child. Approximately 59 percent of the sample has engaged in any income-generating activity in the month prior to the survey, a figure which may seem high, but includes those who are working without pay on their own household farms. When we restrict to non-farm income-generating activities, the employment rate falls to 27 percent. At baseline, the average earnings of the pooled sample were 1272 NRs per month (equivalent to about 17 USD). This figure may seem low, since it represents the average earnings over the entire study population of 4677 individuals, including those with zero earnings. Only 17 percent of the 2010-2012 pooled sample earned more than 3000 NRs per month, a level deemed to represent “gainful” employment_x000a_"/>
    <s v="Employment Fund &amp; AGEI"/>
    <s v="Founded in 2008, the Employment Fund (EF) is operated by Helvetas, a Swiss NGO, in partnership with the Government of Nepal. It is currently one of the largest youth training initiatives in the country, serving almost 15,000 youth annually. In partnership with the Employment Fund’s donors, the Adolescent Girls Employment Initiative (AGEI) was launched in 2009 to expand the program’s reach to an additional 4,410 Nepali women aged 16-24 over a three-year period.   _x000a__x000a_Unique characteristics of this impact evaluation include:_x000a_ A large study sample (4,677 individuals in the pooled 2010-2012 cohorts examined in this report)_x000a_ Particular focus on the outcomes of women aged 16-24 as well as the outcomes of a broader_x000a_category of youth (men and women aged 16-35)_x000a_ Socioeconomic survey data of participants and a control group of non-participants as well as_x000a_administrative follow-up data on program participants_x000a_ Exhaustive tracking of program participants over time that produced high response rates._x000a_ Examination of a large set of outcome domains, including employment and earnings, empowerment_x000a_and self-confidence, risky behaviors, and impacts on the household._x000a__x000a_Started in 2008, the Employment Fund (EF), now one of the largest skills training programs in the country, provides vocational training and placement services under a unique governance structure. Since 2011, the Employment Fund has operated under an agreement between the Government of Nepal and the Swiss Agency for Development and Cooperation (SDC). A Steering Committee, chaired by the Joint Secretary of the Ministry of Education, governs the Employment Fund. In addition to providing training and placement services, the Employment Fund engages in support activities, capacity-building, and cooperative activities with the government’s Council for Technical Education and Vocational Training (CTEVT). _x000a__x000a_Each year, the Employment Fund authorizes training programs under a competitive bidding system with_x000a_various training providers. First, the Employment Fund issues a call for proposals to Training and Employment (T&amp;E) providers seeking to provide skills training and employment services. The range of T&amp;E provider types is enormous: from formal technical education and vocational training (TEVT) institutions, public and private providers, to skilled artisans offering apprenticeships. The second step, after the call for proposals, is for each T&amp;E provider to complete a Rapid Market Assessment (RMA) outlining viable and potential employment opportunities.10 The third step in the process is for the EF to evaluate submitted proposals according to preset criteria; the EF weighs the capacity and experience of each T&amp;E provider, the market demand for the proposed trades being offered, and the proposed costs. Finally, the EF issues a contract to selected providers: the contract specifies the number of training courses (hereafter called “events”) to be conducted and the number of individuals to be trained and employed in each event. The T&amp;E providers are then free to recruit and select their own trainees for each of their training events, according to guidelines established by EF._x000a__x000a_Upon completion of the classroom-based training, the EF places emphasis on job placement services. EF verifies trainees’ employment status three months and six months after the completion of the training. Upon verification, T&amp;E providers receive an outcome-based payment from the EF that is higher for trainees who are employed. The outcome-based payment system creates strong incentives for the T&amp;E providers to provide placement assistance and provides graduates with an opportunity to put their new skills to work immediately after the training. The EF emphasizes the placement of trainees into “gainful” employment in which they earn a minimum of 3,000 NRs (40 USD) per month._x000a__x000a_In 2010, the EF partnered with Department for International Development (DFID) and the World Bank’s Adolescent Girls Initiative to improve the EF’s reach and impact for young women aged 16 to 24. Training under this Adolescent Girls Employment Initiative (AGEI) proceeded in the same way as it did for other EF trainees, except that certain events had been flagged in advance as likely to attract female trainees. This was done in order to ensure that the EF_x000a_reached adequate numbers of young women.14 For the purpose of this evaluation, we designate all female participants aged 16 to 24 in EF-sponsored training courses as “AGEI”._x000a__x000a_The Employment Fund struggled in 2010 to recruit young women to training events and in 2011 launched_x000a_an enhanced communication and outreach strategy to recruit more female trainees.15 In addition to the T&amp;E advertisement, the EF sponsored radio and newspaper ads specifically geared towards young women. Many_x000a_of these ads specifically encouraged women to sign up for non-traditional trades for women, such as mobile phone repair, electronics, or construction.16 The Employment Fund also partnered with women’s and community-based organizations to attract applications from women and marginalized groups – if a referred applicant gained entry to an EF-sponsored training event, the partner organization was paid a small finder’s fee equivalent to about 1.25 US dollar per person._x000a__x000a_The Employment Fund uses a differential pricing mechanism that awards a higher incentive to service providers who agree to train (and place) more disadvantaged groups, according to established vulnerability criteria.17 The highest incentive is awarded for training and placing the most disadvantaged (highly vulnerable women including AGEI trainees, widows, ex-combatants, disabled women, etc.), and incentives are gradually lowered for less prioritized groups. Training providers that are able to cater to these higher priority target groups are therefore eligible to receive a higher outcome price, but they also face a higher risk of failing to achieve the outcome (gainful employment). The combination of a results-based system with a progressive incentive scheme ensures that training providers with the capacity to work with vulnerable groups will likely opt to do so._x000a__x000a_This evaluation estimates the impact of the EF training program by comparing the outcomes of participants, who comprise the “treatment” group, to a control group of individuals who applied, but were not selected for, an EF-sponsored training course. Isolating the causal effects of the EF training program on employment and other outcomes is complicated by the fact that some T&amp;E providers have at least some degree of choice over who they choose to train or training participants could seek EF training for reasons we cannot fully measure._x000a__x000a_We use quasi-experimental methods to solve the above evaluation concerns. Our general evaluation strategy is to observe an individual before and after an EF training program and to compute a simple difference in outcome for that individual over time. The average difference over time of the individuals enrolled in the training program (i.e., the treatment group) is then compared to the average difference over time of the individuals who are not enrolled (i.e., the comparison group). _x000a__x000a_Sampling into this study included a combination of stratified, random and convenience sampling. First, we selected a subset of training events occurring between the months of January through April. Table 2 shows the resultant sample of events for the three cohorts. The 2010 event sample comprised 64 events across 30 districts. The 2011 sample comprised 182 events, of which 113 events were dropped from the baseline survey, either because the survey team could not reach the event on the day of applicant selection or because the event was not “oversubscribed”.28 The remaining 69 events in 34 districts were included in the 2011 baseline sample. The sampling process was much improved in 2012, with 85 out of 112 sampled events successfully included in the final evaluation sample._x000a__x000a_The sampling procedures described above resulted in a study population of 4677 over all three cohorts._x000a__x000a_Using administrative data from EF, we examine the rate of program take-up by the treatment and control_x000a_groups for the 2010, 2011 and 2012 cohorts in Table 6.44 The table shows a high degree of uptake (65 to 74 percent) among the treatment group, but also a high rate of participation among the control group.45 Between 26 percent and 36 percent of the individuals in the control group participated in the EF training course that they applied for, even though their scores did not qualify them for admission. _x000a__x000a_"/>
    <m/>
    <s v="1 - 3 months"/>
    <s v="Government"/>
    <s v="DID"/>
    <m/>
    <m/>
    <m/>
    <s v="We approximate the estimate on duration based on this text: &quot;Because the EF-sponsored training courses vary in length from 1 to 3 months&quot;. The methodology preferred is: Dif-in-dif + IPW matching."/>
    <m/>
    <m/>
    <s v="technical"/>
    <s v="classroom"/>
    <s v="both"/>
    <m/>
    <s v="public, private"/>
    <m/>
    <n v="40"/>
    <m/>
    <m/>
    <n v="13"/>
    <s v="no"/>
    <s v="The Employment Fund struggled in 2010 to recruit young women to training events and in 2011 launched_x000a_an enhanced communication and outreach strategy to recruit more female trainees.15 In addition to the T&amp;E advertisement, the EF sponsored radio and newspaper ads specifically geared towards young women. Many_x000a_of these ads specifically encouraged women to sign up for non-traditional trades for women, such as mobile phone repair, electronics, or construction.16 The Employment Fund also partnered with women’s and community-based organizations to attract applications from women and marginalized groups – if a referred applicant gained entry to an EF-sponsored training event, the partner organization was paid a small finder’s fee equivalent to about 1.25 US dollar per person._x000a_"/>
    <s v="centralized"/>
    <m/>
    <s v="yes"/>
    <s v="poverty"/>
    <n v="18"/>
    <m/>
    <m/>
    <x v="0"/>
  </r>
  <r>
    <s v="Card 2015"/>
    <s v="De Hoop 2018"/>
    <s v="DH"/>
    <x v="32"/>
    <s v="Nicaragua"/>
    <n v="2009"/>
    <s v="16-60"/>
    <s v="Table 1"/>
    <s v="Nicaragua is classified by the World Bank as a lower middle income country. In 2010, it had a GDP per capita of about US$1535. In the same year, about 49% of women aged 15 to 64 were economically active, compared to about 82% of men. Nearly 60% of the women who were economically active were self-employed._x000a__x000a_In 2009/10, a Nicaraguan NGO (Fundación Mujer y Desarrollo Comunitario or_x000a_FUMDEC) implemented a productive transfer program with support from the World Bank. The intervention built on a model in place in other communities in northern Nicaragua since 1996 and had two main objectives: (i) to facilitate income generation and diversification by promoting women’s economic activities and (ii) to foster gender empowerment by improving women’s aspirations, their participation in households’ economic decisions, as well as their social participation._x000a__x000a_More than 80% of the targeted households were estimated to live on average with less than US$2 per capita per day, and the package amounted to around 24% of pre-transfer annual household consumption, a rather sizeable magnitude._x000a__x000a_The program operated in Santa Maria de Pantasma, one of Nicaragua’s poorest_x000a_municipalities. For the purpose of evaluating the program, a group of 24 communities was identified"/>
    <m/>
    <s v="The program offered households with at least one female member 16 to 60 years old a package of benefits that included (i) training on community organization and gender awareness, (ii) training in technical or business skills to develop or expand small-scale household enterprises, livestock, or agricultural activities of their choice, (iii) capital transfers in the form of cash, seeds, or livestock, and (iv) follow-up technical assistance. The exact mix of capital transfers, training, and technical assistance was adjusted depending on the type of activity that each beneficiary wished to start or expand: non-agricultural household enterprises, livestock, or other small-scale agricultural activities._x000a__x000a_The program included three main phases. First, beneficiaries were offered various_x000a_training workshops on community organization and gender awareness. The community_x000a_organization training included four modules for all beneficiaries on how to form_x000a_and organize women’s groups as well as two additional modules for selected leaders on_x000a_managing women’s groups. The gender awareness training was offered to all beneficiaries_x000a_and included eight modules on issues such as gender identity, self-esteem,_x000a_reproductive health, violence, and laws that protect women. These trainings were_x000a_delivered in the community. In addition, a gender awareness training targeted a small_x000a_number of selected men, usually leaders’ spouse, who were trained together in a central_x000a_location on a subset of the aforementioned themes. Second, beneficiaries were offered_x000a_training in technical or business skills to develop or expand small-scale household_x000a_enterprises, livestock, or agricultural activities of their choice. Each beneficiary was_x000a_offered between four and six training sessions. The scope of the training depended on_x000a_the activity chosen by individuals. It focused on technical skills and crop management_x000a_for individuals who chose agricultural activities. It tackled livestock management and_x000a_related technical skills for individuals who chose livestock activities. Also, it covered_x000a_basic business skills for individuals who chose small business activities. Third beneficiaries_x000a_received capital transfers in the form of cash, seeds, or livestock. After the_x000a_transfers, follow-up technical assistance visits were organized."/>
    <s v="$602 per beneficiary._x000a_It included US$316 in direct_x000a_capital transfers (in the form of a mix of cash, seeds, and livestock) and US$286 that_x000a_covered the costs of training and technical assistance."/>
    <s v="12 months_x000a__x000a_ 4 and 6 training sessions"/>
    <s v="NGO"/>
    <s v="Randomization"/>
    <m/>
    <s v="http://pubdocs.worldbank.org/en/387401484327068475/GAP-Paper-v1.pdf"/>
    <m/>
    <s v="Intervention was implemented between September 2009 and August 2010. Unable to identify the training component duration."/>
    <m/>
    <m/>
    <s v="technical"/>
    <s v="classroom"/>
    <s v="both"/>
    <m/>
    <s v="private"/>
    <m/>
    <m/>
    <m/>
    <m/>
    <n v="3"/>
    <s v="yes"/>
    <s v=" Each beneficiary was_x000a_offered between four and six training sessions. The scope of the training depended on_x000a_the activity chosen by individuals. _x000a_"/>
    <s v="decentralized"/>
    <s v="chose activities"/>
    <s v="yes"/>
    <s v="poverty"/>
    <n v="21"/>
    <m/>
    <m/>
    <x v="1"/>
  </r>
  <r>
    <s v="Mueser 2007"/>
    <s v="Macours 2013 i"/>
    <s v="CH"/>
    <x v="33"/>
    <s v="Nicaragua"/>
    <n v="2005"/>
    <s v="-"/>
    <s v="-"/>
    <s v="Households were asked in an open question which type of intervention they would prefer in order to increase their incomes. In this open question, none of the households asked for training. About 30% expressed spontaneous demand for credit, indicating a potential liquidity constraint limiting productive investments which the grant could address (Table 2). The majority of households (55%) expressed spontaneous demand for temporary unskilled employment in public works, such as cash-for-work programs. This likely reflects more severe cash constraints, suggesting need for cash for daily expenditures, rather than productive investments. In a following question, households were asked specifically for their interest in training. They were also asked to indicate their preference between the income generating intervention they had stated first (in the open question), and the training option they had mentioned when probed. Almost half of households stated they were indifferent between both options, while 38% preferred training. Among those, only 13% preferred non-agricultural training. Overall, these patterns seem to indicate weak demand for liquidity for investment in business development and for training in skills for nonagricultural employment. Table 2 further shows that stated demand differs significantly between the poor and the non-poor, with the poor less likely to ask for credit or agricultural training, and more likely to ask for cash-for-work programs or to be indifferent._x000a__x000a_We use this stated demand to analyze whether returns to grants or training are higher for households with preferences for those interventions. In particular, since spontaneous demand for credit suggests households perceive cash constraints for productive investments, we analyze whether the returns to the cash grants are higher for households stating such demand. We also show heterogeneity by demand for the cash-for-work program. Similarly, we analyze whether returns to vocational training are higher for those expressing preference for non-agricultural training, or more broadly for any type of training._x000a_"/>
    <s v="Atención a Crisis"/>
    <s v="The Atención a Crisis program was a one-year pilot implemented between November 2005 and December 2006 by the Ministry of the Family in Nicaragua.3 The program was implemented in six municipalities in the Northwest of Nicaragua, selected because they had been affected by a drought the previous year and had high prevalence of extreme rural poverty. To stratify, all communities in the six municipalities were grouped in blocks based on microclimates, crop mix, road access, and infrastructure. During a first lottery, to which the mayors of the municipalities were invited to attend and participate, 44 blocks were randomly selected and half of the communities in each block were randomly assigned to treatment, and the other half to the control Baseline data were then collected in the 56 treatment and 50 control communities. These data were used to define households’ eligibility for the program based on a proxy means test. The threshold eligibility level for the proxy means test was set higher than the poverty line. As a result, only around 10 percent of households in treatment and control communities were ineligible for the program (their estimated baseline expenditures, as determined by the proxy means, were above the pre-defined threshold). This process resulted in the identification of 3,002 households to participate in the program. In a subsequent step, 3.7 percent of households that had originally been deemed eligible by the proxy means were reclassified as ineligible after a process of consultation with community leaders, and a corresponding 3.7 percent that had originally been deemed ineligible were reclassified as eligible. To avoid any possibility of selection bias from these choices, we use the original eligibility as the intent-to-treat._x000a__x000a_In the treatment communities, the principal caregiver in each eligible household (typically a woman) was then invited to a registration assembly, where the program objectives and various components were explained. At the end of the assembly, a second lottery took place in each community. During this lottery, all eligible households within each community were assigned to one of three treatment packages: (1) a basic CCT; (2) a basic CCT plus a scholarship for a vocational training; or (3) a basic CCT plus a business grant.4 Participation in the assemblies and lotteries was close to 100 percent._x000a__x000a_The training and business grant components on which this paper focuses aimed at strengthening households’ ex ante risk management via income diversification in non-agricultural activities. The randomization resulted in balanced samples in the treatment and control communities as well as between treatment groups (Macours, Premand and Vakis, 2012). Program take-up (contamination) in the control group was negligible (one household)._x000a_The beneficiary households that were randomly selected for the vocational training package were eligible for a scholarship that allowed one of the adult household members to choose among a number of vocational training courses offered in the main town of the municipality. The scholarship was conditional on regular attendance to the course, and included the course costs and an allowance to compensate for potential lost income during training days. The courses aimed at providing participants with new skills for income diversification outside of subsistence farming. These beneficiaries were also offered labor-market and business-skill training workshops organized in their own communities. In the same year in which they selected and attended the courses, they also received cash transfers conditional on children’s primary school and health service attendance. _x000a__x000a_The first CCT payments were made in November 2005. The selection of the vocational training course and for the business grants occurred in the spring of 2006. The business grants were disbursed at the end of May 2006, and the vocational training courses took place between September and December 2006. All components of the program ended by December 2006._x000a__x000a_As we mentioned earlier, an important feature of the Atención a Crisis program was that almost all households (90%) in the program communities were targeted and that program take-up was very high. All households were strongly encouraged to enroll in the program and, if randomly selected for the productive interventions, had to indicate their preferences for the type of vocational training course they wanted to enroll in, or the type of business they wanted to develop. For the relatively few households that had not attended the registration assemblies special efforts were made to maximize enrollment, including through targeted home visits. Local program promotores further encouraged participation in all program activities. Take-up was 89 percent for the vocational training package, and 95 percent for the productive investment package._x000a_"/>
    <s v="The value of the training package was US$ 470"/>
    <s v="3 months"/>
    <s v="Government"/>
    <s v="Randomization"/>
    <s v="-"/>
    <m/>
    <m/>
    <m/>
    <m/>
    <m/>
    <s v="technical"/>
    <s v="classroom"/>
    <s v="both"/>
    <m/>
    <s v="public"/>
    <n v="6"/>
    <m/>
    <m/>
    <m/>
    <n v="13"/>
    <s v="yes"/>
    <s v="During a first lottery, to which the mayors of the municipalities were invited to attend and participate, 44 blocks were randomly selected and half of the communities in each block were randomly assigned to treatment, and the other half to the control Baseline data were then collected in the 56 treatment and 50 control communities. These data were used to define households’ eligibility for the program based on a proxy means test. The threshold eligibility level for the proxy means test was set higher than the poverty line. As a result, only around 10 percent of households in treatment and control communities were ineligible for the program (their estimated baseline expenditures, as determined by the proxy means, were above the pre-defined threshold). _x000a__x000a_In the treatment communities, the principal caregiver in each eligible household (typically a woman) was then invited to a registration assembly, where the program objectives and various components were explained. At the end of the assembly, a second lottery took place in each community. During this lottery, all eligible households within each community were assigned to one of three treatment packages: (1) a basic CCT; (2) a basic CCT plus a scholarship for a vocational training; or (3) a basic CCT plus a business grant.4 Participation in the assemblies and lotteries was close to 100 percent."/>
    <s v="centralized"/>
    <m/>
    <s v="no"/>
    <m/>
    <n v="41"/>
    <m/>
    <m/>
    <x v="0"/>
  </r>
  <r>
    <s v="Vooren 2017"/>
    <s v="Raaum 2002 iii"/>
    <s v="BT/DU"/>
    <x v="34"/>
    <s v="Norway"/>
    <n v="1991"/>
    <s v="mean: 30"/>
    <s v="Table 1"/>
    <s v="LMT is available for all job seekers and participation is voluntary. However, for some_x000a_courses, applicants must qualify through education, previous vocational training, or work_x000a_experience in order to be eligible. _x000a__x000a_Among those offered training, we find both persons who never started a course and_x000a_persons who dropped out in the midst of one. _x000a__x000a_The programme is organised as off-the-job courses, mainly targeted at unemployed adults"/>
    <s v="Labour market training programme (LMT)"/>
    <s v="The aim of LMT is to preserve and improve the skills of the unemployed and thereby to enhance their employ-ability. The programme is organised as off-the-job courses, mainly targeted at unemployed adults. Moreover, a substantial number of people (re-)enter the labour market via the_x000a_training programme_x000a__x000a_The courses are provided by the employment_x000a_service, often in co-operation with other public and private institutions. Vocational_x000a_training dominates the course offerings, with a wide range of subjects and crafts_x000a_covered. Most of the courses are short, from 5 to 20 weeks. The courses are free of_x000a_charge. All participants get a training allowance. Those who are entitled to unemploy-_x000a_ment insurance benefits may opt to collect their benefits instead, as they exceed the_x000a_allowance. _x000a__x000a_The capacity of most courses is limited.3 The rate of rationing for each course depends on the number of qualified applicants and the capacity of the course._x000a__x000a_In order to get a fairly homogenous group of applicants typical of most LMT courses,_x000a_we excluded specific training programmes for immigrants and ‘‘miscellaneous courses’’_x000a_(i.e., short job search courses, rehabilitation courses targeted at specific groups, etc.)._x000a_Moreover, all applicants for courses without capacity constraints (i.e., with no rejected_x000a_applicants, whether random or not) are excluded from the analyses._x000a__x000a_Among those offered training, we find both persons who never started a course and_x000a_persons who dropped out in the midst of one. Overall, about 75% of those offered LMT_x000a_completed their course_x000a__x000a_The local organisers were instructed to replace ordinary assignment procedures by a random process. All courses were advertised at the local employment offices as usual. The staff was told to follow the standard procedures with respect to the registration of all qualified applicants, including the usual counseling, and not to screen the potential applicants. The applicants were informed that admission would be determined by a lottery. _x000a__x000a_These included courses in which co-operating employers insisted on normal assignment_x000a_procedures, courses aimed at specific target groups, and follow-up courses. For such_x000a_courses and for all courses in the other three counties, the standard procedures were used;_x000a_in the following, these courses are classified as ordinary assignment courses (O-courses)._x000a_Different locations as well as exclusions from the randomisation imply that the two groups_x000a_of courses (R-courses and O-courses) have a different composition of course categories."/>
    <s v=" Figures from the Directorate of Labour indicate the_x000a_monthly cost for a participant in 1991 was about NOK 5500 (the equivalent of 1994_x000a_NOK 5800 per month or 1994 US$860)."/>
    <s v="Most of the courses are short, from 5 to 20 weeks."/>
    <s v="Government"/>
    <s v="Randomization"/>
    <s v="Table 2, Table 4"/>
    <m/>
    <m/>
    <m/>
    <s v="N"/>
    <m/>
    <s v="technical"/>
    <s v="classroom"/>
    <s v="both"/>
    <m/>
    <s v="public, private"/>
    <n v="5"/>
    <n v="150"/>
    <m/>
    <m/>
    <n v="80"/>
    <s v="no"/>
    <s v="for each course, there is a list of qualified applicants. _x000a__x000a_The local organisers were instructed_x000a_to replace ordinary assignment procedures by a random process. All courses were_x000a_advertised at the local employment offices as usual. The staff was told to follow the_x000a_standard procedures with respect to the registration of all qualified applicants, including  the usual counseling, and not to screen the potential applicants. The applicants were_x000a_informed that admission would be determined by a lottery."/>
    <s v="decentralized"/>
    <s v="course"/>
    <s v="no"/>
    <m/>
    <n v="61"/>
    <m/>
    <m/>
    <x v="0"/>
  </r>
  <r>
    <s v="Kluve 2017"/>
    <s v="Diaz 2006 ii"/>
    <s v="AY"/>
    <x v="35"/>
    <s v="Peru"/>
    <s v="1996-2004"/>
    <s v="16-25, mean: 19"/>
    <s v="Tables_x000a_ 2a, 2b"/>
    <s v="The economic context in which the Program was conceived was one of a vigorous economic recovery._x000a__x000a_The goals of the program are  to improve employment opportunities of youth in poverty._x000a__x000a_PROJoven beneficiaries are 16-24 year olds, have low levels of formal education, and none or minimum labor market experience, and are currently underemployed, unemployed or out-of-the labor force. These youngsters primarily come from poor families. _x000a__x000a_Between 1996 and 2003, PROJoven has provided vocational training to approximately 42,000 youngsters in ten major cities across the country (Lima, Callao, Arequipa, Trujillo, Chiclayo, Cusco, Piura, Huancayo, Chimbote and Iquitos)."/>
    <s v="PROJoven"/>
    <s v="The “Youth Labor Training Program” (Programa de Capacitacion Laboral Juvenil - PROJoven) is an ongoing job-training program created in 1996 by the Ministry of Labor (Ministerio de Trabajo y Promocion del Empleo) in response to the precarious conditions of youth in the Peruvian labor market. The goals of the program are  to improve employment opportunities of youth in poverty and to promote competition and higher quality of services in the vocational training system. By design, PROJoven finances vocational and training courses for its beneficiaries, but the services are provided by private and public training institutions (Entidades de Capacitación - ECAP), which compete in public calls to get funding for their course offerings. The type and content of courses (technical phase) provided by these ECAPs are driven by demand, since a requirement of the program is the existence of a written commitment by private firms to provide paid internships, so beneficiaries can acquire on-the-job experience (practical phase) for a period not shorter than three months. Part of the payment received by ECAP is contingent upon documenting that the trainee is performing job training at a private firm._x000a__x000a_PROJoven provides funding for basic or semi-skilled training in particular occupations. The vocational training has two main components or phases. The first is a learning phase where training courses are directly provided by training centers (ECAPs), beneficiaries attend their training courses for three months and the costs of courses is covered by PROJoven. The second is an internship phase at private firms where trainees acquire on-the-job experience; the internship has a length of three months during which the trainee receives a market wage paid by the internship firm. After these three months the firm may or may not hire the trainee on a more permanent basis. Since 1996, a total of 542 ECAPs have participated at least once in the program, providing more than 2,160 vocational courses (see Table 1)._x000a__x000a_The program is voluntary and operates on a first-come first-served basis._x000a__x000a_Greater emphasis has been placed on the demand-driven feature of the Program as well as on the pertinence of the training offered. Indeed the program is not about providing training, but about providing employability. The goal is insertion in the labor market._x000a__x000a_Private firms that offer on-the-job training do not have a direct relationship with PROJoven. All the information that arrives at the program about them is by means of the ECAPs. ECAPs must demonstrate that on-the-job training took place and at which company in order to be fully paid by PROJoven._x000a__x000a_The beneficiary group of PROJoven emerges from a selection process of several steps; this process is depicted in Chart 2. All the youngsters that show-up to the PROJoven headquarter or decentralized offices receive a ticket to go through an accreditation interview, aimed at verifying that they are actually poor. In general, the interview takes place about a month after the ticket is received, and the process of interviewing youngsters continues until the number of eligible individuals is twice that of course vacancies._x000a__x000a_The accreditation interview is used to compute a poverty score.12 The accreditation form contains the scores for each characteristic, by filling this form and adding scores PROJoven’s social workers easily obtain the total poverty score. Based on the results from the algorithm, program’s social workers are able identify the youngsters that belong to the target population of the program and select them as accredited (acreditados) or program eligible. _x000a__x000a_Once eligible youngsters are selected, they are asked to choose a course from the list of training courses that are going to be supplied by ECAPs._x000a__x000a_After the orientation talks, eligible youngsters are sent to the corresponding ECAPs according to the courses they have chosen. At this stage the selection of beneficiaries takes place. Given the size of the eligible group, ECAPs usually have to choose half of the applicants for each course. ECAPs are free to employ its own procedures, such as entry tests, personal interviews, or any combination of these. However, they are not allowed to discriminate in terms of age, gender, or place of residence for instance. In some cases, ECAPs choose on the basis of whether the youngster arrives on time to their interview or test stage. Courses begin shortly after all vacancies are filled, which only takes a few days. In the event of drop outs during the first week of courses, deserters are replaced by other beneficiaries. However, if desertion occurs after one week there is no replacement and PROJoven does not pay the ECAP the cost of that vacancy._x000a__x000a_The treated sample is comprised by program beneficiaries participating in training courses sponsored by PROJoven. This sample is drawn from the universe of beneficiaries using a stratified random sample procedure, the stratification depending on gender, age, employment status, and district of residence. Youngsters that did not participate in the selection of program beneficiaries, but would qualify as program eligible comprise the comparison sample. In particular, once the treatment sample is selected, a sample of comparison youngsters is selected by a survey fielded in the same neighborhoods where individuals from the treatment sample reside._x000a__x000a__x000a__x000a_"/>
    <s v="In first call (1996) the operative cost is 2682 Soles, 467 stipends. For more information see table 13. From Chong 2012:  Whereas the Peruvian public school system spent about 1190 soles (US$350) per capita in 2001, the PROJOVEN program spends in total 1751 soles (US$515) per capita for 3 months of vocational training (after including administrative costs)."/>
    <s v="3 months of classroom training, 3 months of internship"/>
    <s v="Government"/>
    <s v="DID"/>
    <s v="Figures 3-6"/>
    <m/>
    <m/>
    <s v="From the description of the outcomes on page 25, I understand that &quot;earnings&quot; are earnings only for employed (missing if a person does not work or if she works for free) and &quot;censored earnings&quot; are earnings for all, because they impute zeros for all those individuals who do not work or work for free. "/>
    <m/>
    <m/>
    <s v="technical"/>
    <s v="classroom"/>
    <s v="less than 25"/>
    <s v="private-subsidized"/>
    <s v="public, private"/>
    <n v="3"/>
    <m/>
    <n v="3"/>
    <m/>
    <n v="44"/>
    <s v="yes"/>
    <s v="The program is voluntary and operates on a first-come first-served basis."/>
    <s v="decentralized"/>
    <s v="first come first serve"/>
    <s v="yes"/>
    <s v="incomplete education (low levels of formal education)"/>
    <n v="22"/>
    <m/>
    <m/>
    <x v="0"/>
  </r>
  <r>
    <s v="J-PAL 2017"/>
    <s v="Diaz 2016"/>
    <s v="DH"/>
    <x v="35"/>
    <s v="Peru"/>
    <n v="2009"/>
    <s v="14-26_x000a_mean: 19.3"/>
    <s v="Table 3"/>
    <s v="The evaluation period goes from early 2009 to mid-2013. This period comprises the longest period of high economic growth achieved by Peru between 2002 and 2013, with the exception of the year 2009, when the economy was affected by the international financial crisis and only grew 0.9%. The average growth rate during the 2002-2013 period was 6.1%. With the economic expansion came an increase in employment rates, particularly of formal employment._x000a_In the case of Peru, informality is the most serious of these problems. Around 9% of youths between 15 and 24 years of age are unemployed, and 80% of youths who are employed have informal jobs._x000a_The program’s main objective was to facilitate access into the formal labor market for young people with limited resources, providing them with short-term training and labor market experience related to the needs of the productive sector—in other words, training oriented towards demand._x000a_This evaluation sample is comprised of youths from all courses with an excess of demand at eight major cities in the country: Lima (the capital city), Ica, Arequipa, Huancayo, Chiclayo, Trujillo, Piura, and Cusco._x000a_As we will explain later, registered employment is the economy’s most formal employment. The first finding is that registered employment is highly sensitive to the business cycle: its growth rate was almost insignificant in 2009, the year in which the economic bust took place, and it increased again when the economy recovered. The second finding is that, beginning in 2012, Peru’s GDP growth rate saw a steady decline, followed by a slowdown in registered employment levels and by 2013, registered employment increased only 4% its lowest growth rate besides the one observed in 2009._x000a_"/>
    <s v="PROJoven"/>
    <s v="Projoven offered in-classroom technical training for three months, later to be complemented with an internship for three additional months. The program did not directly provided in-classroom training, but hired private or public training agencies (PPTAs) that were responsible for the design and the provision of training for the program’s beneficiaries. PPTAs courses were designed in coordination with firms in which beneficiaries would later do their internships. Firms committed to open internship vacancies for beneficiaries after they have completed the 3-month in-classroom training._x000a_In order to participate in the program the PPTAs had to submit letters of commitment they had signed with the different firms that would offer internships._x000a_Young people who wished to participate in the program had to come in person to one of Projoven’s official registration centers, where they filled out a personal information and socio-economic form in order to determine if they qualified to receive program’s benefits and comprise the eligible pool. Those who qualified had to choose their preferred course from the list of training courses offered by PPTAs.6 Once they selected a course, beneficiaries were sent to the corresponding PPTAs to pass a selection process. PPTAs’ selection was usually based on vocational and basic skill tests as well as on interviews. This selection process at the PPTAs determined which eligible candidates were suitable for participation, and thus would get placed in a course, becoming Projoven’s group of beneficiaries. Each PPTA was able to use its own procedures and criteria to assess the candidates and declare them suitable or unsuitable. This process took place until enough young people were assessed and declared suitable to cover the number of available openings for each course. Young people deemed unsuitable were given the opportunity to make a second choice or even a third choice of a training course. This process could be extended until applicants had reached their third choice of a training course, or otherwise until all PPTAs had filled their available vacancies._x000a_Selected candidates moved on to the in-classroom technical training stage at a PPTA. The training courses were designed to provide the program’s beneficiaries with low-skills required in marketplace jobs. For instance: knitting, sales support, and bakery. Unlike other programs in the region, Projoven did not require PPTAs to include modules on socio-emotional skills, such as motivation or self-esteem, in their training courses. At the end of the course stage, beneficiaries moved on to on-site internships at firms. During the 3-month internship stage, beneficiaries received a stipend lower than the minimum wage as well as health insurance coverage. Both the stipend and the health insurance were afforded by the firms, since employment of interns had to be made through the Peruvian legal framework of vocational training agreements (a special type of contract between employers and interns). _x000a_In practice, the evaluation design was not implemented exactly as planned. PPTAs faced problems and delays in reaching the additional 25% of youths with respect to the number of available vacancies per course. This led Projoven to eliminate this condition after a few weeks,17 and it’s why not all PPTAs sent an additional list with 25% more suitable applicants. This also explains why the control group is smaller than originally planned in the evaluation design. Likewise, the program did not use a unique identification code for participants in all its operational processes, which makes the evaluation analysis harder._x000a_Moreover, as it often happens with experimental evaluations of public policies, there was an imperfect compliance of the experimental design. This happened in part because Projoven allowed participants to make a second or third course selection. Thus, applicants deemed unsuitable, or those who did not obtain a vacancy for their first course choice were able to make a second and even a third course selection. As a result, some of the youths from the control group were able to obtain a vacancy in a different course._x000a_Consequently, for those applicants whose first chosen course had an excess of demand, the effective allocation to courses does not strictly correspond to the random assignment to treatment and control groups under the established protocol. An analysis of the program’s administrative data shows that certain youths from the control group made a second and/or third course selection, obtaining a vacancy in some cases. The option for a second or third course selection for applicants who did not obtain a vacancy in their first selection is the result of self-selection that reflects their motivation, desire or need to participate in the training. Additionally, not all youths who started the training made it to the on-site internship stage. In this way, the group of youths who received complete training differs from the randomly assigned treatment group. This is also the result of self-selection._x000a_Table 1 presents the absolute numbers and percentage structure of the experimental treatment and control groups over both stages of the program. It shows that since the beginning of the training courses, there were discrepancies between the random assignment to treatment and control groups and the effective allocation of youths to training courses. During the first few weeks, 1% of youths assigned to the treatment group abandoned the program and did not begin the training stage at a PPTA. At the same time, 39% of youths assigned to the control group began the course stage at a PPTA because they had the chance to make a second or third course selection. Upon reviewing the situation at the end of the training stage at PPTAs, it was found that 83% of youths assigned to the treatment group and 32% of youths assigned to the control group completed this stage. If the situation is analyzed at the end of the internship stage, then only 52% of youths assigned to the treatment group also completed the internship stage and thus completed the program. For the control group this percentage is 22%._x000a_There is no perfect compliance of random assignment._x000a_"/>
    <s v="USD 420 per beneficiary (including operating costs and a stipend)"/>
    <s v="6 months: _x000a_3 mo (clasroom training)_x000a_+_x000a_3 mo (internship)"/>
    <s v="Government"/>
    <s v="Randomization"/>
    <s v="Figure 2"/>
    <s v="Diaz 2006"/>
    <m/>
    <s v="For compliance details see Table 1"/>
    <s v="N"/>
    <m/>
    <s v="technical"/>
    <s v="classroom"/>
    <s v="less than 25"/>
    <s v="private-subsidized"/>
    <s v="public, private"/>
    <n v="3"/>
    <m/>
    <n v="3"/>
    <m/>
    <n v="20"/>
    <s v="yes"/>
    <s v="applicants deemed unsuitable, or those who did not obtain a vacancy for their first course choice were able to make a second and even a third course selection. As a result, some of the youths from the control group were able to obtain a vacancy in a different course."/>
    <s v="decentralized"/>
    <s v="the course"/>
    <s v="yes"/>
    <s v="incomplete education (low levels of formal education)"/>
    <n v="23"/>
    <m/>
    <m/>
    <x v="0"/>
  </r>
  <r>
    <s v="Escudero 2017"/>
    <s v="Chong 2006 ii"/>
    <s v="BT/DU"/>
    <x v="35"/>
    <s v="Peru"/>
    <n v="1996"/>
    <s v="16-25, mean: 20"/>
    <s v="Table 2"/>
    <s v="The Youth Training Program PROJOVEN was implemented in 1995 with the _x000a_goal of increasing the employability and productivity of disadvantaged young individuals _x000a_aged 16 to 25 through job-specific training in blue-collar occupations._x000a__x000a_The program awareness strategy (position A) constitutes the first formal _x000a_effort to reach out to the target population and aims to inform potential participants about the program’s benefits and rules. This first filter focuses only on those neighborhoods with a high concentration of households below the poverty line. Those prospective participants attracted by the expected benefits and perceived opportunity costs of participation voluntarily show up in the registration centers (position B) where qualified personnel determine their eligibility status. A standardized targeting system based on five key observable variables (poverty status, age, schooling, labor market status, and pre-_x000a_treatment earnings) determines who is eligible and who is not. This process concludes when there are nearly twice as many eligible individuals as training slots_x000a__x000a_ A two-tiered monitoring and supervision process guarantees the reliability of the _x000a_information given by the prospective applicants to determine their eligibility status. In addition to focusing only on targeted poor districts, the program administrator makes _x000a_house visits to those applicants who provided dubious or inconsistent information. _x000a_"/>
    <s v="Youth Training Program (PROJOVEN)"/>
    <s v=". To guarantee a paid, on-the-job training experience for each trainee, the program follows a_x000a_demand-driven approach in which competing institutions must offer training for those_x000a_occupations with assured labor demand. _x000a__x000a_The Youth Training Program PROJOVEN was implemented in 1995 with the_x000a_goal of increasing the employability and productivity of disadvantaged young individuals_x000a_aged 16 to 25 through job-specific training in blue-collar occupations.6 The treatment consists of a mix of formal and on-the-job training organized into two sequential phases, at the training institution and at manufacturing or business firms for a period of six months._x000a_The first stage consists of 300 hours of classes at the training center locations roughly_x000a_five hours per day for three months. In the second phase, training institutions must place_x000a_trainees into a paid, on-the-job training experience in private manufacturing firms for an_x000a_additional period of three months._x000a__x000a_The selection of the training courses relies on bidding processes that targets the _x000a_relatively best training courses at the best competing prices. Thus, private and public _x000a_training institutions that operate for profit compete for limited public funding following _x000a_standard processes and strict timetables. _x000a__x000a_To ensure the relevance of the training courses, _x000a_the program relies on a demand-driven mechanism that stipulates that all training centers _x000a_must present, as part of their offers, formal agreements with private manufacturing firms _x000a_that guarantee a paid, on-the-job training for each beneficiary_x000a__x000a_A system of conditional payments based on the _x000a_training centers’ effectiveness in successfully completing the six-month course provides _x000a_the incentives to train only for those occupations with assured labor demand_x000a_"/>
    <s v="-"/>
    <s v="The first stage consists of 300 hours of classes at the training center locations roughly _x000a_five hours per day for three months. In the second phase, training institutions must place _x000a_trainees into a paid, on-the-job training experience in private manufacturing firms for an _x000a_additional period of three months."/>
    <s v="Government"/>
    <s v="DID, PSM"/>
    <s v="Table 4"/>
    <m/>
    <m/>
    <m/>
    <m/>
    <m/>
    <s v="technical"/>
    <s v="both"/>
    <s v="less than 25"/>
    <s v="private-subsidized"/>
    <s v="public, private"/>
    <n v="3"/>
    <n v="300"/>
    <n v="3"/>
    <m/>
    <n v="6"/>
    <s v="yes"/>
    <s v="Eligible individuals are invited to an _x000a_orientation process (position C), where they choose the courses they want to attend _x000a_following a first-come-first-served criterion. This process concludes when the number of _x000a_eligible individuals exceeds by 75 percent the number of available slots in each course._x000a_"/>
    <s v="decentralized"/>
    <s v="first come first serve"/>
    <s v="no"/>
    <m/>
    <n v="62"/>
    <m/>
    <m/>
    <x v="0"/>
  </r>
  <r>
    <s v="Attanasio 2011 i"/>
    <s v="Kluve 2008 i"/>
    <s v="CH"/>
    <x v="36"/>
    <s v="Poland"/>
    <n v="1992"/>
    <s v="mean: 34.5"/>
    <s v="Table 4"/>
    <s v="Table 4 presents sample sizes and covariate means for samples (A) and (B). We observe that there is a reduction in the number of treated units who find matching partners when moving from the reservoir to sample (B) of approximately one quarter for Training, and less than one quarter for Intervention Works. Due to matching-with-replacement, samples (B) contain comparison units matched to more than one treated unit. With less than one percent, the number is very low for Training, and with approximately one tenth it is also fairly low for Intervention Works. Table 4 also shows that Training participants on average are better educated, somewhat younger and more likely to be female than Intervention Works participants. Clearly, while the reservoir displays imbalances in the covariates, matching in samples (A) and (B) by definition produces balance, since it conditions on identicalness in observed characteristics age, education, sex, marital status, and local labor market (region)."/>
    <s v="Training (Szkolenie zawodowe)"/>
    <s v="Training (Szkolenie zawodowe)_x000a__x000a_In the reported period, the training scheme involved retraining and further training with the stated aim of attenuating skill mismatch. It was initiated and financed by local employment offices from resources made available by the Labor Fund. Unemployed workers but also workers who were still employed but faced redundancy could participate in training measures. The training for the unemployed took place predominantly in private training institutions while employed trainees did undergo retraining or further training at the firm that had approached the local employment office for financial support of these training measures. According to the law, the training should not exceed six months, however, under exceptional circumstances a training period of up to twelve months was considered admissible. Local employment offices financed up to fifty percent of the training costs of still employed workers who faced redundancy._x000a__x000a_In the years 1992 to 1996, there were three types of participants in the training program. First, unemployed who were selected by local employment offices for training. Second, unemployed who themselves chose a retraining or further training scheme, with the local employment office being prompted by law to finance this training if there was a high probability that after the training the unemployed could enter a regular job. The third category were still employed workers who faced redundancy for reasons that had to do with the economic situation of the firm. The law passed at the end of 1994 foresaw a fourth type of participants. Firms with more than fifty employees could apply for training subsidies in order to retrain workers who were threatened by redundancy at their existing jobs and who had prospects of being employed in different positions at the same firm for a period of at least twelve months after the end of the training. These training subsidies amounted to up to fifty percent of the training costs._x000a_The law passed in October 1991 established detailed rules about the remuneration of unemployed training participants while on a training course. We report here the rules for those types of unemployed who made up the bulk of training participants. Those unemployed who lost the ability to perform their job because of a work accident or because of professional illness received 100 percent of their earnings in their last job, but at least 40 percent and not more than 110 percent of average earnings in the economy. For unemployed made redundant this remuneration while in training amounted to 80 percent of earnings in the last job, with the above mentioned lower and upper bounds related to average national earnings. Unemployed school leavers participating in training received 115 percent of the unemployment benefits to which they were entitled, while those unemployed training participants who had never worked before did not receive any income support._x000a__x000a_The law of 1991 was very generous for trainees as far as benefit entitlements were concerned. An unemployed person undergoing training was entitled to twelve months of benefits if the local employment office was not able to mediate a regular job after the unemployed had finished the training or was not putting the trainee on an intervention works or public works scheme. The law of 1994, taking effect on January 1st 1995, eliminated this generosity. The trainee could receive only one month of benefit payment after the end of the training and only in the case that s/he was entitled to benefits during the last month before taking up the training._x000a_"/>
    <s v="-"/>
    <s v="mean: 2.51_x000a_Up to 6 months (law)_x000a_Up to 12 months (exceptional)"/>
    <s v="Government"/>
    <s v="DID, PSM"/>
    <m/>
    <m/>
    <m/>
    <m/>
    <m/>
    <m/>
    <s v="technical"/>
    <s v="both"/>
    <s v="both"/>
    <m/>
    <s v="private"/>
    <n v="6"/>
    <m/>
    <m/>
    <m/>
    <n v="53"/>
    <s v="no"/>
    <s v="First, unemployed who were selected by local employment offices for training. Second, unemployed who themselves chose a retraining or further training scheme, with the local employment office being prompted by law to finance this training if there was a high probability that after the training the unemployed could enter a regular job. The third category were still employed workers who faced redundancy for reasons that had to do with the economic situation of the firm. "/>
    <s v="through interview"/>
    <s v="employment officers advised on training"/>
    <s v="no"/>
    <m/>
    <n v="40"/>
    <m/>
    <m/>
    <x v="2"/>
  </r>
  <r>
    <s v="J-PAL 2017"/>
    <s v="Alcid 2014"/>
    <s v="CH"/>
    <x v="37"/>
    <s v="Rwanda"/>
    <n v="2013"/>
    <s v="15 - 38_x000a_mean: 21"/>
    <s v="Figure 2-7"/>
    <s v="The Akazi Kanoze (AK) Youth Livelihoods Project was a 5-year, $9.8 million project financed by the United States Agency for International Development (USAID) and implemented by Education Development Center, Inc. (EDC) between October 2009 and June 2014. The project provided youth ages 14-35 with market-relevant life and work readiness training and support, hands-on training opportunities, and links to the employment and self-employment job market. The Akazi Kanoze project provided relevant education and workforce training to 18,288 (8,865 M/9,423 F) Rwandan youth, 45% of whom reside in rural areas._x000a__x000a_There were 600 baseline participants and 468 total participants matched at the endline. The demographics section below uses the data from the endline. The treatment group (Akazi Kanoze youth) comprised 52.8% of the sample and the remaining 47.2% were control group youth. The treatment and control groups are similar in demographic characteristics and there are no significant differences between groups across gender, age, geographic location, or educational attainment. _x000a__x000a_There was close to gender parity in the total sample with 49.4% female and 50.6% male; this is consistent across intervention and comparison groups (see Figure 2).RCT participants’ ages ranged from 15 to 38 years old. Youth in Rwanda is defined as between the ages of 14 and 35 and the majority of RCT participants fell between the ages of 17 and 25 (see Figure 3). The median age for the total sample was 21 years old._x000a_Surveyed youth were from rural areas in the Southern Province of Rwanda. They live in two districts: Huye and Nyamasheke. About two-thirds (64.5%) of the sample were from Huye District and one-third (35.5%) was from Nyamasheke District._x000a__x000a_Almost 40% of the treatment group and about 30% of the control group had a primary education level, although no education data were collected for a quarter of the control group youth. Akazi Kanoze aims to target youth with lower education levels so it is not surprising that 90% of participants had less than a secondary school education. There was very little difference in educational attainment between male and female participants and between geographical locations._x000a__x000a_At the baseline over 60 percent of participating youth were employed in some form of income generating activity. Some youth were engaged in several income generating activities and the cumulative percentages may add up to more than 100% because of this overlap. About a quarter of participating youth reported that they were employed (working for someone other than their family for wages) and a quarter were self-employed. The remaining working youth earned wages from a cooperative or by working for their family._x000a__x000a_"/>
    <s v="Akazi Kanoze "/>
    <s v="The Akazi Kanoze (AK) Youth Livelihoods Project was a 5-year, $9.8 million project financed by the United States Agency for International Development (USAID) and implemented by Education Development Center, Inc. (EDC) between October 2009 and June 2014. The project provided youth ages 14-353 with market-relevant life and work readiness training and support, hands-on training opportunities, and links to the employment and self-employment job market. _x000a__x000a_The project was divided into two components or result areas:_x000a_Result 1: Increase Livelihood Opportunities for Youth_x000a_• Akazi Kanoze empowers youth with the necessary tools and resources to enter into a positive development pathway that will lead to increased lifelong livelihood opportunities;_x000a_Result 2: Develop a Thriving Youth Livelihood Support System_x000a_• Akazi Kanoze builds capacity and creates linkages between youth, the Rwandan economy, and the public and private institutions so that youth can access increased opportunities for productive engagement in Rwandan society._x000a__x000a_The project’s theory of change states that the Akazi Kanoze intervention will increase work readiness skills and the employability level of youth, thereby improving livelihood outcomes in the long-term (see Figure 1: Theory of Change on next page). The articulated theory of change is supported by research that demonstrates that work readiness skills increase employability and productivity. Furthermore, Akazi Kanoze provides a skills certification system by awarding passing youth an AK graduation certificate signed by the Rwandan Workforce Development Authority (WDA). Skills certification has become an important quality assurance mechanism for employers6, which makes the Akazi Kanoze certificate a valuable asset._x000a__x000a_Akazi Kanoze aimed to enable youth to be more capable of earning a livelihood, through appropriate and relevant connections to life and work readiness training, opportunities, market actors, and skills. In order to achieve the above stated goals, Akazi Kanoze provided youth with a variety of activities and trainings that were implemented by a cadre of local implementing partners:_x000a_1. Work Readiness Curriculum: All AK participants underwent a modular, 100-hour work readiness curriculum that included topics such as personal awareness, communication, professional conduct, financial literacy, personal health, and rights and responsibilities. All Akazi Kanoze youth in this final evaluation went through the work readiness curriculum. Youth were administered a completion exam and passing students were awarded with a nationally recognized certificate signed by the WDA._x000a_2. Training and Support Resources: In addition to the core curriculum, AK offered youth access to a menu of more specialized workforce development skills training and resource programs. These included savings groups, in-depth skills training in targeted sectors, literacy/numeracy instruction, entrepreneurship training, and youth mentoring._x000a_Akazi Kanoze youth in this evaluation all received the income generating activities (IGA) training, which focuses on business start-up and self-employment. In addition to the in-class lessons, youth received technical training. Youth in Huye District were trained in hair dressing, hospitality, masonry, carpentry, and welding. Youth in Nyamasheke District were trained in welding, carpentry, and tailoring._x000a_3. Workforce Linkages: AK provided all participating youth with access to workforce linkage opportunities (internships and apprenticeships) including formal sector jobs and entrepreneurship and other livelihood opportunities. After youth finished the in-class and technical training, the majority of the Akazi Kanoze graduates in this evaluation then went onto a three-month internship in their trade of choice. This internship provided them with on-the-job experience and in some cases led to full-time employment."/>
    <s v="USD 9.8 million over 5 years. It provide Training to 18,288 Rwandan youth, 45% of whom reside in rural areas."/>
    <s v="+5 months classes (See Table 1)_x000a_135 hours_x000a_+3 months internship (majority)."/>
    <s v="NGO"/>
    <s v="Randomization"/>
    <s v="-"/>
    <m/>
    <m/>
    <m/>
    <m/>
    <m/>
    <s v="technical, job-readniess"/>
    <s v="both"/>
    <s v="both"/>
    <s v="private-subsidized"/>
    <s v="private"/>
    <m/>
    <n v="135"/>
    <n v="3"/>
    <m/>
    <n v="6"/>
    <s v="no"/>
    <s v="Training and Support Resources: In addition to the core curriculum, AK offered youth access to a menu of more specialized workforce development skills training and resource programs. These included savings groups, in-depth skills training in targeted sectors, literacy/numeracy instruction, entrepreneurship training, and youth mentoring."/>
    <s v="centralized"/>
    <m/>
    <s v="no"/>
    <m/>
    <n v="6"/>
    <m/>
    <m/>
    <x v="0"/>
  </r>
  <r>
    <s v="Attanasio 2011 i"/>
    <s v="Rosas 2017"/>
    <s v="DH"/>
    <x v="38"/>
    <s v="Sierra Leona"/>
    <n v="2013"/>
    <s v="15-35"/>
    <s v="Appendix B"/>
    <s v="Youth employability and income‐generating potential are key to household well‐being in Sierra Leone, but a substantial share of the country’s youth, especially in urban areas, are not employed. More than two Sierra Leoneans in five (41.3 percent) are youth, defined in Sierra Leone as people ages 15–35 years._x000a_According to the country’s most recent labor force survey, more than half of youth are in the labor force (55.7 percent), but 26.9 percent are not in education, employment, or training. This problem is more acute in urban areas, where the latter share is 32.3 percent, while the youth employment rate is 37.7 percent (compared with 58.8 percent in rural areas). Urban youth with some secondary education exhibit one of the lowest employment rates in the country (27.2 percent). Among urban youth with some secondary education who are employed, more than half are self‐employed (54.8 percent)._x000a__x000a_The Youth Employment Support Project (YESP), financed by the World Bank from approval in 2010 to closing in 2015, was introduced to relieve key constraints to household enterprise development and access to labor income more broadly among youth in Sierra Leone. In the absence of the project, the likelihood that the young participants would have been provided with similar benefits is slim: only 1.8 percent of young individuals report they have participated in employment support programs provided by the government, donors, or nongovernmental organizations._x000a__x000a_Eligibility to participate in the program was based on age, location, educational attainment, interest in pursuing entrepreneurial activities, and the submission of a short business plan that had to pass a basic quality screening. HELP‐SL and its partners conducted an intensive communication campaign to encourage all youth to apply who were ages 15–35, had some secondary education, were engaged in or interested in_x000a_undertaking an entrepreneurial activity, and resided in one of the five urban areas where the program was implemented. Prospective applicants were required to present their birth and school certificates in person during registration at the nearest VTC._x000a__x000a_This program was implemented by Hands Empowering the Less Privileged–Sierra Leone (HELP‐SL), a local nongovernmental organization, in Sierra Leone’s five major urban centers (Bo, Freetown, Kenema, Koidu City, and Makeni)._x000a__x000a_The YESP faced a complicated and unexpected implementation challenge between March 2014 and June 2015, when more than 14,000 cases of Ebola virus disease were reported in Sierra Leone, and the disease took the lives of more than 3,900 people (WHO 2015). Four YESP beneficiaries died during program implementation. The Ebola crisis exerted an influence on the program through at least two channels: (i) labor supply and demand and (ii) productivity, although, because of the randomized design, these are not expected to have introduced any bias into the evaluation. First, Ebola had an impact on employment rates (Glennerster et al. 2015). Urban areas were particularly affected. In Freetown, the recorded decline in employment reached 9 percentage points at the height of the outbreak in November 2014. Youth were among those hardest hit (Fu et al. 2015; Glennerster et al. 2015). Relative to the previous year, selfemployed individuals in nonfarm household enterprises also reported a 54 percent drop in revenues around the time the endline survey for this evaluation was collected (Glennerster et al. 2015). Evidence suggests these employment declines resulted primarily from a reduction in labor supply among people engaged in household enterprises. The Ebola crisis also weakened labor demand, evidenced by the declines in wage employment. Labor productivity was likewise affected because the government imposed movement restrictions and market closures and prohibited large gatherings, which limited the access of workers to their workplaces, clients, and markets._x000a__x000a_During the implementation of the YESP, the economy suffered another negative shock aggravated by the Ebola crisis: falling prices for iron ore, the country’s main international export (World Bank and SSL 2016). This price decline affected the economy and the labor market by directly reducing employment in mines, cutting revenues among suppliers, and decreasing government income at a time when it was most needed to help recover from the Ebola virus disease emergency."/>
    <s v="Youth Employment Support Project (YESP)"/>
    <s v="The interventions envisioned during program design included classroom‐based training,_x000a_on‐the‐job training, and facilitation of access to microfinance. The interventions lasted a total of nine months. The classroom‐based intervention, with Basic literacy and numeracy  Basic financial literacy skills, including bookkeepinghich lasted six months, included the following:_x000a__x000a_- Basic literacy and numeracy_x000a_- Basic financial literacy skills, including bookkeeping_x000a_- Training in a trade of each participant’s choice, for example, welding, catering, auto mechanics, solar engineering, catering and hotel management, electricity, electrical installation, tailoring and design, and building and construction._x000a__x000a_According to the design, the participants were to be provided with opportunities to participate directly in the labor market following the classroom‐based intervention. Technical trainees were entitled to receive on‐the‐job training consisting of placement for three months as apprentices with local master apprentices in small or large businesses related to their trades of choice, such as in a mining company or in a small automobile mechanic shop. Similarly, following their classroom training, those receiving business skills training were to be provided with facilitation to access microfinance. This included support in developing a business plan, establishing business groups or cooperatives, obtaining microfinance loans from the HELPSL finance unit, and follow‐up support in creating and maintaining a business once the loan had been received. Participants were informed that the access to microfinance was not guaranteed and was contingent upon the quality of the business proposal they submitted. However, they were informed that they would receive technical support during the microfinance application process._x000a__x000a_The training was delivered at no cost to participants, and the trainees in all three groups were given a daily stipend of Le 2,500 (equivalent to U$0.60) during the course of the training to cover food and transportation expenses, conditional on regular attendance at the training sessions."/>
    <s v="US$ 600 per participant"/>
    <s v="_x000a_Total: 09 months_x000a__x000a_Clasroom-based component: 06 months_x000a__x000a_on‐the‐job training: 03 months"/>
    <s v="NGO"/>
    <s v="Randomization"/>
    <m/>
    <m/>
    <m/>
    <m/>
    <m/>
    <m/>
    <s v="technical"/>
    <s v="both"/>
    <s v="both"/>
    <s v="private-subsidized"/>
    <s v="private"/>
    <n v="6"/>
    <m/>
    <n v="3"/>
    <m/>
    <n v="0"/>
    <s v="no"/>
    <s v="According to the design, the participants were to be provided with opportunities to participate directly in the labor market following the classroom‐based intervention. Technical trainees were entitled to receive on‐the‐job training consisting of placement for three months as apprentices with local master apprentices in small or large businesses related to their trades of choice, such as in a mining company or in a small automobile mechanic shop. "/>
    <s v="decentralized"/>
    <s v="the course"/>
    <s v="yes"/>
    <s v="ebola crisis"/>
    <n v="48"/>
    <m/>
    <m/>
    <x v="0"/>
  </r>
  <r>
    <s v="Card 2015"/>
    <s v="Andrén 2006"/>
    <s v="BT/DU"/>
    <x v="39"/>
    <s v="Sweden"/>
    <n v="1993"/>
    <s v="19-55, mean: 35"/>
    <s v="Table A1"/>
    <s v="The analysis of this study is done separately for the_x000a_Swedish-born and the foreign-born, given that these_x000a_two groups have different arrangements of character-_x000a_istics, which determines the selection and treatment_x000a_process. The foreign-born group is also much more_x000a_heterogeneous compared to the Swedish-born group,_x000a_which further emphasizes the importance of analysing_x000a_the groups separately_x000a__x000a_ The benefit_x000a_system has two components: unemployment insurance_x000a_(UI), and the cash labour market assistance (CA).1_x000a_UI is the most important form; it is income-related_x000a_and is available for 60 calendar weeks. The daily_x000a_compensation is 75% of the previous wages (was 90%_x000a_before July 1993). A part-time unemployed person_x000a_registered at a public employment office and_x000a_actively searching for a job is also eligible for_x000a_unemployment benefits. CA was designed mainly_x000a_for new entrants who are not members of any UI fund. Its compensation is lower than that of UI,_x000a_and is paid (in principle) for a maximum of_x000a_30 calendar weeks_x000a__x000a_Those eligible for training are_x000a_mainly unemployed persons who are job seekers and_x000a_persons at risk of becoming unemployed. _x000a__x000a_"/>
    <s v="Multiprogram"/>
    <s v="The public employment offices have a central role_x000a_in assigning job seekers to training courses. The_x000a_employment office is responsible for providing_x000a_information on different courses, eligibility rules,_x000a_training stipends, etc._x000a__x000a_. This study focuses_x000a_only on vocational training, which represented_x000a_around 20% of all programmes within active labour_x000a_market policy in 1993–1994._x000a_"/>
    <s v="-"/>
    <s v="CA was designed mainly for new entrants who are not members of any UI fund. Its compensation is lower than that of UI, and is paid (in principle) for a maximum of 30 calendar weeks."/>
    <s v="Government"/>
    <s v="DID, PSM"/>
    <s v="Table 6"/>
    <m/>
    <m/>
    <m/>
    <m/>
    <m/>
    <s v="technical"/>
    <s v="classroom"/>
    <s v="both"/>
    <m/>
    <s v="public"/>
    <n v="15"/>
    <m/>
    <m/>
    <m/>
    <n v="21"/>
    <s v="no"/>
    <s v="The public employment offices have a central role in assigning job seekers to training courses. The employment office is responsible for roviding information on different courses, eligibility rules, training stipends, etc."/>
    <s v="through interview"/>
    <m/>
    <s v="no"/>
    <m/>
    <n v="63"/>
    <m/>
    <m/>
    <x v="3"/>
  </r>
  <r>
    <s v="Card 2015"/>
    <s v="Stenberg 2015"/>
    <s v="DH"/>
    <x v="40"/>
    <s v="Sweden"/>
    <n v="1990"/>
    <s v="22-55"/>
    <s v="Table 1"/>
    <s v="The purpose of this article is to evaluate the relative earnings association of general_x000a_versus specific training for the unemployed. In the spring of 1997, the Swedish government_x000a_announced the Adult Education Initiative (AEI henceforth) which targeted the_x000a_same groups of the unemployed as did the traditional vocational/specific training_x000a_program. AEI enabled unemployed adults aged 25–55 to attend a year of full-time_x000a_schooling at the upper secondary level, with financial support equal to a maintenance_x000a_of unemployment benefits. The AEI started in August 1997 and attracted large numbers._x000a_We study a sample comprising the unemployed individuals in the spring of 1997._x000a_Of these, many individuals enrolled in either the AEI or the largest vocational training_x000a_program in Sweden (Arbetsmarknadsutbildning), which we will refer to as “Labor_x000a_Market Training” (LMT)._x000a__x000a_The LMT and AEI partly targeted the same groups of the unemployed and prioritized_x000a_those individuals in a weak position in the labor market. The choice of program was a_x000a_joint decision between the individual and a case worker at the employment office, with_x000a_the preferred program usually available if individuals met the formal criteria of being_x000a_25–55 years old and eligible for UI benefits. The financial support for the participants_x000a_in each program was equal to the level of the individuals’ UI benefits, and a six-month_x000a_training period in either program qualified the individual for a new 300-day benefit_x000a_period._x000a__x000a_Our overall sample is restricted to individuals who in 1997 were aged 25–55, received UI benefits and were registered as unemployed for at least one day between the 1st of January and the 30th of June."/>
    <s v="-"/>
    <s v="Vocational courses for adults are mainly offered as active labor market programs._x000a_The content of the LMT is typically highly varied, with the five largest sectors represented_x000a_being technology and science, health care, administration, manufacturing and_x000a_service. _x000a__x000a_The average program duration in the LMT was 141 days._x000a__x000a_"/>
    <s v="SEK 85,000 per participant"/>
    <s v="Avg: 7 months_x000a__x000a_Avg: 141 days"/>
    <s v="Government"/>
    <s v="DID"/>
    <s v="Figure 4"/>
    <s v="Stenberg 2015 additional file"/>
    <m/>
    <m/>
    <m/>
    <m/>
    <s v="technical"/>
    <s v="classroom"/>
    <s v="both"/>
    <m/>
    <s v="public"/>
    <n v="12"/>
    <m/>
    <m/>
    <m/>
    <n v="17"/>
    <s v="no"/>
    <s v="The choice of program was a_x000a_joint decision between the individual and a case worker at the employment office, with_x000a_the preferred program usually available if individuals met the formal criteria of being_x000a_25–55 years old and eligible for UI benefits"/>
    <s v="through interview"/>
    <m/>
    <s v="no"/>
    <m/>
    <n v="57"/>
    <m/>
    <m/>
    <x v="0"/>
  </r>
  <r>
    <s v="Escudero 2017"/>
    <s v="Hirshleifer 2016 i"/>
    <s v="AY"/>
    <x v="41"/>
    <s v="Turkey"/>
    <n v="2010"/>
    <s v="&gt;=15, mean: 27"/>
    <s v="Table 2"/>
    <s v="Large-scale vocational training program for the general unemployed population (not just for disadvantaged youth) in a developing country. 23 provinces were selected for inclusion in the evaluation. Thus Istanbul accounts for 21.8 percent of the sample, Kocaeli, Ankara and Hatay collectively another 28 percent, and the remaining half of the sample is split among the other 19 provinces._x000a__x000a_To be eligible to participate in the course, individuals must be at least 15 years in age, have at least primary education, and meet other skill pre-requisites which depend on the course they wish to participate in (for example, software courses may require some pre-existing IT knowledge or skills). _x000a__x000a_Baseline responses to current employment are consistent with these individuals being unemployed: only 12 percent have worked even one hour in the previous month, and only 2 percent have worked at least 20 hours per week in the past month._x000a__x000a_A comparison of the applicants to a sample of all urban unemployed using the 2009 Labor Force survey reveals that applicants are younger, more likely to be female, have less work experience, and are better educated than the average unemployed individual. Only 30 percent of the unemployed are female (reflecting low labor force participation rates among women), compared to 61 percent of applicants; only 31 percent of the unemployed are youth, compared to 45 percent of applicants; and only 42 percent have completed high school, compared to 73 percent of applicants. These differences reflect both differences in which types of unemployed individuals are more likely to apply for training courses, as well as the supply of courses, since many courses are designed for people with at least medium levels of education. Our results are therefore informative as to the effect of training for the types of unemployed who apply for vocational training courses being offered, but need not necessarily reflect the returns to vocational training for the broader population of the unemployed._x000a__x000a_Turkey is a middle income country with a population of almost 75 million, and per capita income of US$10,400 ($17,300 in PPP terms). Urbanization, income and unemployment vary significantly at the province level. Nationwide, the population is 70% urban. In 2010, the employment rate for 15-64 year olds in Turkey was 46.3 percent compared to an E.U. average of 64.1 percent and a rate of 66.7 percent in the U.S.4 This low employment rate is driven partly by a female employment rate of only 23 percent, but also reflects relatively high unemployment. The unemployment rate was 12.5 percent in 2009._x000a__x000a_The Turkish Government dramatically increased access to ISKUR-supported training programs from 32,000 individuals trained in 2008 to 214,000 in 2010 and 250,000 in 2011. This expansion began as a means to mitigate the impact of labor market reforms and continued as a response to a spike in unemployment that coincided with the 2009 global recession"/>
    <s v="-"/>
    <s v="We employ an over-subscription design to evaluate the impact of the Turkish National Employment Agency’s vocational training programs. These programs average 336 hours over three months, are available for a wide range of subjects, and are offered by both private and public providers. These training services were provided to over 250,000 registered unemployed in 2011, hence we are evaluating a program operating at scale and not just a pilot. A large sample of 5,902 applicants randomly allocated to treatment and control within 130 separate courses._x000a__x000a_The majority of training courses offered are general vocational training courses covering a wide range of vocations.8 These are contracted to a mix of public and licensed private providers. Courses are announced in ISKUR offices, on the ISKUR website, and by text messages. The courses are provided free to the trainees, and the trainees also receive a small stipend of 15 Turkish lira (US$10 in 2010) per day during the course period (which averages three months). Given excess demand for courses and a desire to get the unemployed into jobs, individuals are only allowed to take one ISKUR-supported course in a five-year period._x000a__x000a_The evaluation team worked with regional ISKUR offices to determine the actual courses from within each province to be included in the evaluation. The key criteria used to decide which courses to include in the evaluation were i) the likelihood of the course being oversubscribed (which ensures the most popular types of training, for which there would be demand for further scale-up, are included); ii) inclusion of a diversity of types of training providers to enable comparison of private and public course provision; and iii) course starting and ending dates. The evaluation includes courses that started between October and December 2010 and finished by May 2011 (75 percent had finished by the end of February 2011)._x000a__x000a_This resulted in a set of 130 evaluation courses spread throughout Turkey, of which 39 were offered by private providers and the remainder were mainly government-operated._x000a__x000a_The average course size was 28 trainees, and the average course length was three months (typically around 6 hours per day), both with significant variation._x000a__x000a_if a course had capacity for 50 trainees, and 120 were deemed eligible, 50 would be randomly assigned to treatment, 50 to control, and 20 to a waitlist.10 If individuals from the treatment group dropped out before one-tenth of the training course had been completed, providers could draw replacements as they liked from the waitlist. We do not use the waitlist in our study, since their selection into training is non-random._x000a__x000a_The final evaluation sample consists of 5,902 applicants, of which 3,001 were allocated to treatment and 2,901 to control. 72% of the treatment group completed training and 69% of the treatment group received a certification of course completion._x000a__x000a_The baseline survey took place on a rolling basis between September 13, 2010, and January 31, 2011. The follow-up survey took place between December 27, 2011 and March 5, 2012, which corresponds to a period approximately one year after the end of training. The response rate was 94%."/>
    <s v="The mean cost of a course is 1574 Turkish Lira (TL) per person, with privately provided courses having a mean cost of 1792 TL per person compared to 1455 TL per person for publicly provided courses. In addition to this, participants receive a stipend of 15 TL per day, which for an average course length of 57 days equates to a further 855 TL. The total cost to the government of providing a course thus averages 2429 TL per person (US$1619), and is 2692 TL (US$1795) per person for private courses."/>
    <s v="3 months classroom training"/>
    <s v="Government"/>
    <s v="Randomization"/>
    <s v="Figure 2"/>
    <m/>
    <m/>
    <m/>
    <m/>
    <m/>
    <s v="technical"/>
    <s v="classroom"/>
    <s v="both"/>
    <m/>
    <s v="public, private"/>
    <n v="3"/>
    <n v="360"/>
    <m/>
    <m/>
    <n v="89"/>
    <s v="no"/>
    <s v="Given excess demand for courses and a desire to get the unemployed into jobs, individuals are only allowed to take one ISKUR-supported course in a five-year period."/>
    <s v="decentralized"/>
    <s v="the course"/>
    <s v="no"/>
    <m/>
    <n v="35"/>
    <m/>
    <m/>
    <x v="0"/>
  </r>
  <r>
    <s v="Greenberg 2003"/>
    <s v="Auspos 1988"/>
    <s v="BT/DU"/>
    <x v="42"/>
    <s v="USA"/>
    <n v="1983"/>
    <s v="mean: 30.1"/>
    <s v="Table 2.3, Table 3.5"/>
    <s v="it was intended to reach harder-to-employ clients _x000a__x000a_TOPS was targeted to single heads-of-household who had been on welfare for at least six months, were not employed at enrollment, an' applied to participate. Tha women were subject to further screening by WEET staff wL-s exercised considerable discretion in deciding whether a potential client was appropriates for TOPS. Screening included identiff,cation of any barriers to participation (such as child care, health or basic literacy problems). In addition, some offices responding to concerns about the level of OJT placements tried to increase the placement rate by applying more rigorous screening criteria regarding motivation and educational attainment._x000a__x000a_MDRC's evaluation of TOPS examined the experiences of all female heads-of-household accepted for TOPS throughout the period of its operation._x000a__x000a_Nearly all TOPS sample members were white and over half were divorced or widowed. Half had children under the age of six. In keeping with TOP program goals, most of the sample members were relatively long-term AFDC recipients -- 63 percent had been receiving AFDC for more than two years -- and only one-third had recent employment experience. However, due to the additional screening criteria developed by local staff, sample members were relatively well educated: 75 percent had received a high school diploma or GED by the point of random assignment._x000a__x000a_TOPS enrollment was limited to single heads-of-household who had been receiving AFDC for six consecutive months, and who were not employed at the time of enrollment. On the other_x000a_hand, staff were supposed to screen out eligible women who had child-care, transportation, health or other problems that could interfere with their participation, as well as women who were unable to read at the level of the materials used in the pre-vocational training classes."/>
    <s v="Training Opportunities in the Private Sector (TOPS)"/>
    <s v="TOPS was distinguished from Maine's other WIN demonstration activities by three program elements. It was a prescribed sequence of activities--prevocational training, unpaid work experience, and subsidized on-the-job training, preferably in the private sector. Second, it was intended to reach harder-to-employ clients. Third, it intended to involve more intensive use of staff time_x000a__x000a_TOPS offered aprescribed sequence of activities that included pre-vocational training andunpaid work experience and ended in on-the-job training (OJT) positions.Operated as a small- scale, voluntary program, it wasone of manyemployment-related options available to recipients of Aid to Families withDependent Children (AFDC) in Maine._x000a__x000a_OPS differed from other WIN Demonstration activities in Maine in that it used grant diversion_x000a_to finance part of the wage subsidies offered to employers who hired participants in the OJT component. Grant diversion is the financial mechanism through which all or part of a public assistance grant is used to finance program services for recipients._x000a__x000a_The three phases of the TOPS sequence worked as follows:_x000a_I. Pre-vocational training lasted two to five weeks and stressed_x000a_personal growth as well as job-seeking and job-holding skills._x000a_II. Work experience consisted of 20-hour per week, unpaid posi-_x000a_tions in the public or non-profit sector for up to 12 weeks._x000a_The intent was to teach good work habits and provide partic-_x000a_ipants with an employer reference. It was offered to_x000a_participants who completed Phase I but were judged not to be_x000a_ready for an OJT placement._x000a_III. On-the-lob training consisted of placement into subsidized_x000a_training positions, primarily in the privatz sector. The_x000a_training period was a maximum of six months, and the employer_x000a_subsidy was set at 50 percent of the new employee's wages._x000a_Participants who demonstrated their motivation and acquisition_x000a_of basic work skills became candidates for OJT._x000a__x000a_Participants in Phases I and II continued to receive their AFDC grants, were paid training-related allowances, and were eligible for basic education on a limited basis. Enrollees were not supposed to engage in any other education activities._x000a__x000a_The intent behind TOPS'carefully sequencedsetofactivities --designed to address problemsarising from AFDC recipients' lowself-esteemas well as their lack of workexperience -- was to help thewomen obtainjobs that paid more than theminimum wage and offeredopportunities foradvancement._x000a__x000a_Central WEET staff recognized that their system did not have the financial resources or the staff capacity to operate the full TOPS sequence. Therefore, they contracted with the state's major training system for the disadvantaged -- authorized under the Job Training Partnership Act (JTPA) -- to provide most of the Phase I and sane of the Phase III services and to help underwrite the OJT subsidy._x000a__x000a_Approximately 90 percent of theTOPS experimentals partici-_x000a_pated in at least one of thethree TOPS components. Participation was highest in the pre-vocationaltraining and lowest in OJT; the most frequent combination of services was pre-vocational training followed by work experience._x000a__x000a_Just over half of the control group also participated in_x000a_employment activities, which typically were less intensivethanthecombinationofTOPSservicesreceivedbytheexperimental group._x000a__x000a_The pre-vocational training was designed to prepare participants for work by familiarizing them with job opportunities, employer expectations and job search techniques._x000a_"/>
    <s v="TOPSdid not pay for itself fromthe perspective ofgovernment budgets within a fiveyear period._x000a__x000a_The total estimated cost of the TOPEogres came to $2,627_x000a_per experimental.However, because uontrols received someservices, the net cost of all employment and training serviceswas $2,244 per experimental."/>
    <s v="I. Pre-vocational training lasted two to five weeks and stressed_x000a_personal growth as well as job-seeking and job-holding skills._x000a_II. Work experience consisted of 20-hour per week, unpaid posi-_x000a_tions in the public or non-profit sector for up to 12 weeks._x000a_The intent was to teach good work habits and provide partic-_x000a_ipants with an employer reference. It was offered to_x000a_participants who completed Phase I but were judged not to be_x000a_ready for an OJT placement._x000a_III. On-the-lob training consisted of placement into subsidized_x000a_training positions, primarily in the privatz sector. The_x000a_training period was a maximum of six months, and the employer_x000a_subsidy was set at 50 percent of the new employee's wages._x000a_Participants who demonstrated their motivation and acquisition_x000a_of basic work skills became candidates for OJT._x000a__x000a_Participants in PhasesI and II continued to receive their AFDC grants, were paid training-related allowances, andwere eligible for basiceducation on a limited basis.Enrollees were not supposed to engage in anyother education activities.As noted, a partial funding mechanism for theOJT component in Phase III was grant diversion._x000a__x000a_A total of 297 experimentalswere enrolled in TOPS over the 15-monthintake period, well below theenrollment target_x000a__x000a_TrainingThe pre-vocational training component lastedtwo to five weeksand stressed personal growth as wellas the development of job-seeking andjob-holding skills_x000a__x000a_The length of thecourse varied from site to site, butgenerally wasbetween 12 and 20days, spread overa four- or five-week period.Mostsites scheduledpre-vocational classes in boththe morning and afternoon;in a few locations,time was set aside forremedial education or indiviftalcounseling._x000a_"/>
    <s v="Government"/>
    <s v="Randomization"/>
    <s v="Table 5.2"/>
    <m/>
    <m/>
    <m/>
    <m/>
    <m/>
    <s v="soft"/>
    <s v="both"/>
    <s v="both"/>
    <m/>
    <s v="public, private"/>
    <n v="1.25"/>
    <m/>
    <n v="9"/>
    <m/>
    <n v="1"/>
    <s v="no"/>
    <s v="In order to be conside-ad for a referral toan OJT position in JTPA'spreviously developed pool of jobs, theTOPS participants had to go throughanother, often informal,s,:reening at the end oftheir work experienceassignment.Interviews with job developersacross the state indicated thatthey were unlikely to refer candidatesto OJT positions if:_x000a_acandidates were stillunsure aboutthetypeofjob theywanted; their skills were inadequate or inappropriatefor the type ofjob they were seeking;_x000a_they lacked 'work maturity,*;_x000a_they were not really interestedin working.This category_x000a_included those who were worriedabout losing their Medicaidcoverage, housing subsidy, or AFDC eligibilityif they went towork."/>
    <s v="through interview"/>
    <m/>
    <s v="yes"/>
    <s v="single moms"/>
    <n v="71"/>
    <s v="Training Opportunities in the Private Sector (TOPS) targets single women heads-of-household who had been on welfare for at least six months and are harder-to-employ."/>
    <s v="TOPS had a sequence of activities: prevocational training (for two to five weeks and stressed_x000a_personal growth as well as job-seeking and job-holding skills), unpaid work experience(20-hour per week, unpaid positions in the public or non-profit sector for up to 12 weeks) , and subsidized on-the-job training, preferably in the private sector (a maximum of six months, and the employer subsidy was set at 50 percent of the new employee's wages). It was a small- scale, voluntary program. it used grant diversion to finance part of the wage subsidies offered to employers who hired participants in the OJT component. Grant diversion is the financial mechanism through which all or part of a public assistance grant is used to finance program services for recipients._x000a_"/>
    <x v="0"/>
  </r>
  <r>
    <s v="J-PAL 2017"/>
    <s v="Bendewald 2016"/>
    <s v="DH"/>
    <x v="43"/>
    <s v="USA"/>
    <n v="2007"/>
    <s v="18+_x000a_mean: 37"/>
    <s v="Table 2"/>
    <s v="The WIA Adult program provides employment and training assistance to adults who face significant barriers to employment. Minnesota’s Adult program prioritizes individuals who receive public assistance, individuals living with low incomes, and veterans within these groups. For each customer, the overarching goal is employment or enhancement within his or her occupation. Generally, Adult program customers work to increase their earnings, retain employment, and diversify their occupational skills._x000a__x000a_The treatment population in this study includes any individual who exited the program between July 1, 2007 and June 30, 2008 (the “2007‐2008 cohort”) or between July 1, 2009 and June 30, 2010 (the “2009‐2010 cohort”)."/>
    <s v="Workforce Investment Act_x000a_(WIA)"/>
    <s v="Our treatment group consists of workers who participated in Minnesota’s Workforce Investment Act (WIA) Title 1‐B Adult program. The Adult program provides services through a network of 48 WorkForce Centers. Adult program counselors meet with customers, provide active case management, and coordinate training."/>
    <m/>
    <m/>
    <s v="Government"/>
    <s v="DID"/>
    <m/>
    <s v="Jacobson 2014"/>
    <m/>
    <m/>
    <m/>
    <m/>
    <s v="technical"/>
    <s v="classroom"/>
    <s v="both"/>
    <m/>
    <s v="private"/>
    <n v="6"/>
    <m/>
    <m/>
    <m/>
    <n v="1"/>
    <s v="no"/>
    <s v="Adult program counselors meet with customers, provide active case management, and coordinate training._x000a__x000a_"/>
    <s v="through interview"/>
    <m/>
    <s v="yes?"/>
    <s v="Prioritizes individuals who receive public assistance, individuals living with low incomes, and veterans within these groups."/>
    <n v="13"/>
    <s v="The WIA Adult program provides employment and training assistance to adults who face significant barriers to employment. Prioritizes individuals who receive public assistance, individuals living with low incomes, and veterans within these groups. The treatment population in this study includes any individual who exited the program between July 1, 2007 and June 30, 2008 (the “2007‐2008 cohort”) or between July 1, 2009 and June 30, 2010 (the “2009‐2010 cohort”)."/>
    <s v="Adult program counselors meet with customers, provide active case management, and coordinate training. For each customer, the overarching goal is employment or enhancement within his or her occupation. Generally, Adult program customers work to increase their earnings, retain employment, and diversify their occupational skills."/>
    <x v="3"/>
  </r>
  <r>
    <s v="Filges 2015"/>
    <s v="Bloom 1990"/>
    <s v="BT/DU"/>
    <x v="44"/>
    <s v="USA"/>
    <n v="1984"/>
    <n v="44.5"/>
    <s v="Table 5.7, Table 5.8"/>
    <s v="Demonstration, a2,192-person randomized experimental evaluation of reemployment programsfor displaced workers conducted at three Texas sites during 1984-85._x000a__x000a_assistingsome displaced workers_x000a__x000a_Program applicants were recruited fiom three sonrces:_x000a_1. UI claimants referred by TEC_x000a_2. Walk-ins generated by publicity and word of mouth_x000a_3. Plant-based outreach to mass layoffs_x000a_The overwhelming majority of applic;:nts were recruited through UI_x000a_claimant referrals; little recruitment was accomplished through walk-_x000a_ins or plant-specific outreach._x000a_TEC/HCC recruited all of its appliwnts internally.. The first step in_x000a_this process was a brief application interview at a local TEC unemploy-_x000a_ment insurance office. Four Houston TEC offices were designated for_x000a_this purpose. The second step was an orientation session at the TEC/HCC demonstration headquarters. Because it had a large internal base of ap-_x000a_plicant referrals, TEC/HCC did not experience serious recruitment_x000a_problems._x000a__x000a_Eligibility criteria for the demonstration required that applicants be_x000a_in one of the following categories._x000a_1. Unemployed with a poor chance of returning to work, as evidenced,_x000a_for example, by a permanent plant shutdown or long-term layoff_x000a_unrelated to regular cyclical activity;_x000a_2. Recipients of Unemployment Insurance benefits or benefit_x000a_exhaustees;_x000a_3. Faced with special barf.ers to reemployment, such as being an_x000a_older worker or not speaking English._x000a_"/>
    <s v="Texas Worker Adjustment Demonstration TEC/HCC"/>
    <s v="Sites were required by TDCA to operate ,?,ervric two-tier job-search_x000a_assistance and retraining program withir certain specified parameters._x000a_Table 1.1 illustrates how this program model was adopted and adapted._x000a__x000a_TEC and HCC were public agencies_x000a__x000a_TEC/HCC planned two alternative program strategies, or treatment_x000a_streams. One treatment stream, Tier I only, was designed to provide_x000a_job-search assistance to 250 persons. The second treatment stream, Tier_x000a_I/II, was designed to serve 350 persons. All Tier I/II participants were_x000a_to start with job-search assistance. Subsequently, about 200 were ex-_x000a_pected to receive classroom training or on-the-job training (OJT)._x000a__x000a_The last segment of TEC/HCC Tier I was a job club, with daily at-_x000a_tendance recommended and weekly attendance required. The job club_x000a_was a less structured experience that enabled participants to use pro-_x000a_gram facilities such as reference materials, a telephone message center,_x000a_a phone bank, a xerox machine, and typewriters._x000a__x000a_TEC/HCC's emphasis on classroom training reflected the fact that_x000a_one of its co-contractors, Houston Community College, had the lead_x000a_responsibility for this part of the program. In addition, OJTtraditionally_x000a_used to provide entry-level jobswas not appropriate for the experienced_x000a_white-collar participants at this site. Hence, OJT was used only to supply_x000a_23 bus drivers for the local transportation authority._x000a__x000a_TEC/HCC classroom training was conducted in the form of tradi-_x000a_tional fixed-duration courses, timed according to the academic calen-_x000a_dar. Initial offerings included classes in air conditioning and refrigera-_x000a_tion, computer maintenance technology, and computer-command_x000a_automotive electronic technology.. In response to the mismatch be-_x000a_tween the mostly white-collar backgrounds of TEC/HCC participants_x000a_and the blue-collar orientation of its offerings. HCC later added a r:ourse_x000a_on computer-assisted drafting._x000a__x000a_Thisproject demonstrated that a relatively inexpensive mix of lob-search assistanceand limited occupational skills training can be a cost-effective means of assistingsome displaced workers._x000a__x000a_Sites were required by TDCA to operate,?,ervric two-tier job-searchassistance and retraining program withir certain specified parameters_x000a__x000a_See table 1.2 for prgram overview"/>
    <s v="total cost: 1425000_x000a__x000a_Average Tier I/II costs were $725 at SER/JOBS, $1,099 at SEE, and_x000a_$2,981 to $3,381 at TEC/HCC. "/>
    <s v="Table 1.2 _x000a__x000a_TEC/HCC Tier I was a six-week 7-rogram with three distinct segments:"/>
    <s v="Government"/>
    <s v="Randomization"/>
    <m/>
    <m/>
    <m/>
    <m/>
    <m/>
    <m/>
    <s v="technical, job-readniess"/>
    <s v="both"/>
    <s v="both"/>
    <m/>
    <s v="public"/>
    <n v="1.375"/>
    <n v="110"/>
    <m/>
    <m/>
    <n v="58"/>
    <s v="no"/>
    <s v="TEC/HCC conducted separate client assessments at three different_x000a_points in the program. An initial assessment was conducted by Career_x000a_Circles during the first week of participation. This activity was primarily_x000a_a self-assessment to help participants examine their personal preferences_x000a_and skills. TEC counselors then conducted their own assessments during_x000a_the job-search workshop that followed the Career Circles module. These_x000a_assessments were based more on personal interviews than on formal instruments. Last, participants v ho were referred for Tier H classroom_x000a_training were assessed informally by HCC staff to determine which_x000a_course offerings, if any, were suitable."/>
    <s v="through interview"/>
    <m/>
    <s v="no"/>
    <m/>
    <n v="66"/>
    <s v="A demonstration conducted at three Texas sites during 1984-85 to assist some displaced workers. Eligibility criteria required individuals to be unemployed with poor a poor chance of returning to work, recipients of Unemployment Insurance benefits or to be facing barriers to reemployment such as being an older worker or not speaking English."/>
    <s v="The Texas Employment Commission (TEC) and Houston Community College (HCC) were public agencies that implemented the program. TEC/HCC planned two treatments_x000a_Tier I, only provides job-search assistance to 250 persons. Tier I/II, was designed to serve 350 persons to start with with job-search assistance, then, about 200 were expected to receive classroom training or on-the-job training (OJT). The final part of Tier I was a job club, a less structured experience that enabled participants to use program facilities such as reference materials, a telephone message center, a phone bank, a xerox machine, and typewriters_x000a_OJT was used only to supply 23 bus drivers for the local transportation authority._x000a__x000a_Initial offerings included classes in air conditioning and refrigeration, computer maintenance technology, and computer-command automotive electronic technology. HCC later added a course on computer-assisted drafting._x000a_"/>
    <x v="3"/>
  </r>
  <r>
    <s v="Filges 2015"/>
    <s v="Bloom 1990"/>
    <s v="BT/DU"/>
    <x v="45"/>
    <s v="USA"/>
    <n v="1984"/>
    <n v="44.5"/>
    <s v="Table 5.7, Table 5.8"/>
    <s v="Demonstration, a2,192-person randomized experimental evaluation of reemployment programsfor displaced workers conducted at three Texas sites during 1984-85._x000a__x000a_assistingsome displaced workers_x000a__x000a_Program applicants were recruited fiom three sonrces:_x000a_1. UI claimants referred by TEC_x000a_2. Walk-ins generated by publicity and word of mouth_x000a_3. Plant-based outreach to mass layoffs_x000a_The overwhelming majority of applic;:nts were recruited through UI_x000a_claimant referrals; little recruitment was accomplished through walk-_x000a_ins or plant-specific outreach._x000a__x000a_Eligibility criteria for the demonstration required that applicants be_x000a_in one of the following categories._x000a_1. Unemployed with a poor chance of returning to work, as evidenced,_x000a_for example, by a permanent plant shutdown or long-term layoff_x000a_unrelated to regular cyclical activity;_x000a_2. Recipients of Unemployment Insurance benefits or benefit_x000a_exhaustees;_x000a_3. Faced with special barf.ers to reemployment, such as being an_x000a_older worker or not speaking English._x000a__x000a_SEE initially focused recruitment on workers who had been laid off_x000a_from an Atari assembly plant and a Calvin Klein warehouse. Other_x000a_smaller plants also were targeted, but despite these efforts, as well as_x000a_referrals from th! Texas Rehabilitation Commission and the Adult Parole_x000a_Board, SEE needed to augment its referral pool. Consequently, it sought_x000a_help from TDCA to contract with the El Paso TEC office for UI clai-_x000a_mant referrals from specified industries_x000a_"/>
    <s v="Texas Worker Adjustment Demonstration SEE"/>
    <s v="Sites were required by TDCA to operate ,?,ervric two-tier job-search_x000a_assistance and retraining program withir certain specified parameters._x000a_Table 1.1 illustrates how this program model was adopted and adapted._x000a__x000a_TEC and HCC were public agencies_x000a__x000a_Thisproject demonstrated that a relatively inexpensive mix of lob-search assistanceand limited occupational skills training can be a cost-effective means of assistingsome displaced workers._x000a__x000a_Sites were required by TDCA to operate,?,ervric two-tier job-searchassistance and retraining program withir certain specified parameters_x000a__x000a_See table 1.2 for prgram overview_x000a__x000a_SEE was a private for-profit voca-_x000a_tional education institution_x000a__x000a_Both SEE and SER/JOBS planned a single Tier I/II program of job-_x000a_search assistance for all participants, followed by occupational skills_x000a_training for some. SEE and SER/JOBS each planned to serve 250 per-_x000a_sons, half of whom were expected to receive classroom training or OJT._x000a__x000a_ier I at SEE began with a week-long, half-day job-search workshop._x000a_These workshops started with individual assessments, followed by a_x000a_mix of activities. Next came a job club that met on Wednesday after-_x000a_noons. Attendance was recommended for current workshop participants_x000a_and recent workshop graduates. The SEE job club invited local_x000a_employers to discuss the job market and meet participants. In addition,_x000a_it provided a forum for SEE job developers to share current leads with_x000a_participants, thus offering strong incentives for participants to attend_x000a__x000a_SER/JOBS provided classroom training to only 13 percent of its Tier_x000a_II participants (10 persom). This group was trained to become secretaries_x000a_and automobile mechanics. Given the site's objective, to place par-_x000a_ticipants in income-generating situations as quickly as possible, OJT_x000a_was used to the maximum feasible extent. Another factor that prompted_x000a_use of this option was thai OJT wages counted toward the site's resource_x000a_match. In addition, participants' prior wages were not so high that place-_x000a_ment in an OJT slot would produce major wage losses. Given all of_x000a_these factors, SER/JOBS exhausted its OJT budget and subsequently_x000a_felt this activity had been underfunded._x000a_"/>
    <s v="total cost: 288000_x000a__x000a_Average Tier I/II costs were $725 at SER/JOBS, $1,099 at SEE, and_x000a_$2,981 to $3,381 at TEC/HCC. "/>
    <s v="Table 1.2 _x000a__x000a_Tier I at SEE began with a week-long, half-day job-search workshop._x000a_These workshops started with individual assessments, followed by a_x000a_mix of activities. Next came a job club that met on Wednesday after-_x000a_noons. Attendance was recommended for current workshop participants_x000a_and recent workshop graduate"/>
    <s v="Private"/>
    <s v="Randomization"/>
    <m/>
    <m/>
    <m/>
    <m/>
    <m/>
    <m/>
    <s v="technical"/>
    <s v="both"/>
    <s v="both"/>
    <m/>
    <s v="private"/>
    <n v="1"/>
    <n v="80"/>
    <m/>
    <m/>
    <n v="58"/>
    <s v="no"/>
    <s v="SER/JOBS provided classroom training to only 13 percent of its Tier_x000a_II participants (10 persom). This group was trained to become secretaries_x000a_and automobile mechanics. Given the site's objective, to place par-_x000a_ticipants in income-generating situations as quickly as possible, OJT_x000a_was used to the maximum feasible extent"/>
    <s v="centralized"/>
    <m/>
    <s v="no"/>
    <m/>
    <n v="67"/>
    <s v="The WIA Adult program provides employment and training assistance to adults who face significant barriers to employment. Prioritizes individuals who receive public assistance, individuals living with low incomes, and veterans within these groups. The treatment population in this study includes any individual who exited the program between July 1, 2007 and June 30, 2008 (the “2007‐2008 cohort”) or between July 1, 2009 and June 30, 2010 (the “2009‐2010 cohort”)."/>
    <s v="El Paso School for Educationa Enrichment (SEE) was a private for-profit vocational education institution. Both SEE planned a single Tier I/II program of job-search assistance for all participants, followed by occupational skills training for some. SEE planned to serve 250 persons, half of whom were expected to receive classroom training or OJT._x000a__x000a_Tier I at SEE began with a week-long, job-search workshop. These workshops started with individual assessments, followed by a mix of activities. Next came a job club where they invited local employers to discuss the job market and meet participants. In addition, it provided a forum for SEE job developers to share current leads with participants, thus offering strong incentives for participants to attend_x000a__x000a__x000a_"/>
    <x v="3"/>
  </r>
  <r>
    <s v="Filges 2015"/>
    <s v="Bloom 1990"/>
    <s v="BT/DU"/>
    <x v="46"/>
    <s v="USA"/>
    <n v="1984"/>
    <n v="44.5"/>
    <s v="Table 5.7, Table 5.8"/>
    <s v="Demonstration, a2,192-person randomized experimental evaluation of reemployment programsfor displaced workers conducted at three Texas sites during 1984-85._x000a__x000a_assistingsome displaced workers_x000a__x000a_Program applicants were recruited fiom three sonrces:_x000a_1. UI claimants referred by TEC_x000a_2. Walk-ins generated by publicity and word of mouth_x000a_3. Plant-based outreach to mass layoffs_x000a_The overwhelming majority of applic;:nts were recruited through UI_x000a_claimant referrals; little recruitment was accomplished through walk-_x000a_ins or plant-specific outreach._x000a__x000a_Eligibility criteria for the demonstration required that applicants be_x000a_in one of the following categories._x000a_1. Unemployed with a poor chance of returning to work, as evidenced,_x000a_for example, by a permanent plant shutdown or long-term layoff_x000a_unrelated to regular cyclical activity;_x000a_2. Recipients of Unemployment Insurance benefits or benefit_x000a_exhaustees;_x000a_3. Faced with special barf.ers to reemployment, such as being an_x000a_older worker or not speaking English._x000a__x000a_SER/JOBS's initial recnnt-_x000a_ment strategy relied on advertising and ward of mouth, but these pro-_x000a_duced few enrollments. Thus, SER/JOBS also requested that TDCA_x000a_contract with the El Paso TEC for UI chumant referrals._x000a_"/>
    <s v="Texas Worker Adjustment Demonstration SER/JOBS"/>
    <s v="Sites were required by TDCA to operate ,?,ervric two-tier job-search_x000a_assistance and retraining program withir certain specified parameters._x000a_Table 1.1 illustrates how this program model was adopted and adapted._x000a__x000a_TEC and HCC were public agencies_x000a__x000a_Thisproject demonstrated that a relatively inexpensive mix of lob-search assistanceand limited occupational skills training can be a cost-effective means of assistingsome displaced workers._x000a__x000a_Sites were required by TDCA to operate,?,ervric two-tier job-searchassistance and retraining program withir certain specified parameters_x000a__x000a_See table 1.2 for prgram overview_x000a__x000a_SEE was a private for-profit voca-_x000a_tional education institution_x000a__x000a_Both SEE and SER/JOBS planned a single Tier I/II program of job-_x000a_search assistance for all participants, followed by occupational skills_x000a_training for some. SEE and SER/JOBS each planned to serve 250 per-_x000a_sons, half of whom were expected to receive classroom training or OJT._x000a__x000a_ier I at SEE began with a week-long, half-day job-search workshop._x000a_These workshops started with individual assessments, followed by a_x000a_mix of activities. Next came a job club that met on Wednesday after-_x000a_noons. Attendance was recommended for current workshop participants_x000a_and recent workshop graduates. The SEE job club invited local_x000a_employers to discuss the job market and meet participants. In addition,_x000a_it provided a forum for SEE job developers to share current leads with_x000a_participants, thus offering strong incentives for participants to attend_x000a__x000a_SER/JOBS provided classroom training to only 13 percent of its Tier_x000a_II participants (10 persom). This group was trained to become secretaries_x000a_and automobile mechanics. Given the site's objective, to place par-_x000a_ticipants in income-generating situations as quickly as possible, OJT_x000a_was used to the maximum feasible extent. Another factor that prompted_x000a_use of this option was thai OJT wages counted toward the site's resource_x000a_match. In addition, participants' prior wages were not so high that place-_x000a_ment in an OJT slot would produce major wage losses. Given all of_x000a_these factors, SER/JOBS exhausted its OJT budget and subsequently_x000a_felt this activity had been underfunded._x000a_"/>
    <s v="total cost: 295000 _x000a__x000a_Average Tier I/II costs were $725 at SER/JOBS, $1,099 at SEE, and_x000a_$2,981 to $3,381 at TEC/HCC. "/>
    <s v="Table 1.2 _x000a__x000a_hese courses were three-week ex-_x000a_posures to each occupation, offered on a flexible open-entry, open-exit_x000a_basis. "/>
    <s v="NGO"/>
    <s v="Randomization"/>
    <m/>
    <m/>
    <m/>
    <m/>
    <m/>
    <m/>
    <s v="technical, job-readniess"/>
    <s v="both"/>
    <s v="both"/>
    <m/>
    <s v="private"/>
    <n v="1"/>
    <n v="80"/>
    <m/>
    <m/>
    <n v="58"/>
    <s v="no"/>
    <s v="Occupational training_x000a_emphasized typing, bookkeeping, retail sales and medical-ward_x000a_clerkingtraditionally female jobs. These courses were three-week ex-_x000a_posures to each occupation, offered on a flexible open-entry, open-exit_x000a_basis."/>
    <s v="decentralized"/>
    <s v="enter and exit"/>
    <s v="no"/>
    <m/>
    <n v="68"/>
    <s v="The WIA Adult program provides employment and training assistance to adults who face significant barriers to employment. Prioritizes individuals who receive public assistance, individuals living with low incomes, and veterans within these groups. The treatment population in this study includes any individual who exited the program between July 1, 2007 and June 30, 2008 (the “2007‐2008 cohort”) or between July 1, 2009 and June 30, 2010 (the “2009‐2010 cohort”)."/>
    <s v="Greater El Paso SER Jobs for progress (SER/JOBS) with SEE planned a single Tier I/II program of job-search assistance for all participants, followed by occupational skills training for some. SEE and SER/JOBS each planned to serve 250 persons, half of whom were expected to receive classroom training or OJT._x000a__x000a_SER/JOBS provided classroom training to only 13 percent of its Tier II participants (10 persom). This group was trained to become secretaries and automobile mechanics. _x000a_"/>
    <x v="3"/>
  </r>
  <r>
    <s v="Greenberg 2003"/>
    <s v="Burghardt 1992"/>
    <s v="BT/DU"/>
    <x v="47"/>
    <s v="USA"/>
    <n v="1984"/>
    <s v="mean: 28"/>
    <s v="Table III.1"/>
    <s v="All single mothers who were members of an ethnic minority group and who applied for training at the participating CBOs …_x000a__x000a_MFSP applicants seemed to be more disadvantaged. MFSP applicants were 28 years old on average, compared withan average age of 31 among low-income single mothers nationwide. The ethnic composition of the MFSP applicant sample was quite similar to that of the low-income national sample (71 percent black and 25 percent Hispanic). However, nearly two-thirds of MFSP applicants versus 54 percent of low-income minority single mothers nationwide had children under 6 years of age. Fifty-six (56) percent of MFSP applicants versus 44 percent of the national sample of low-income minority single mothers were high school dropouts. MFSP applicants worked an average of 13 weeks and earned $4,700 in the year before application, while low-income minority single mothers nationwide worked an average of 18 weeks and earned $6,800 in 1986. Nearly 70 percent of the MFSP applicants had received AFDC over the same period, compared with about half of our nationwide low-income sample. MFSP applicants were also slightly more likely never to have been married. In summary, MFSP applicants were younger, had younger children, had less education and less work experience, received lower wages, and were more dependent on welfare than the national sample of low-income mothers._x000a_"/>
    <s v="4 different programs Minority Female Single Parent (MFSP) demonstration (AUL)"/>
    <s v="Applicants were assigned randomly to a treatment group that was offered program services--including basic skills and job-skills assessments, counseling, remedial education, job-skill training, job-placement assistance, and child care assistance--or to a control group that was not eligible to receive services at the CBO but could seek them elsewhere in the community._x000a__x000a_These four projects offered services that ranged from employability assessment and counseling to remedial education, to job-skill training and job placement, to child-care assistance. The purpose of this set of services was to address the barriers that make it difficult for poor single mothers to secure good jobs and escape their dependence on welfare._x000a__x000a_the MFSP demonstration consisted of four projects in different locations, and the impacts of each project may be due to the characteristics of the CBO that ran the program or to the features of the community in which it operated, as well as to the training strategy adopted by each._x000a__x000a_All of the projects delivered a range of employment-oriented services: counseling sessions to assess needs and to develop a training plan for each trainee; remedial work in basic reading, math, and communications skills; and job-skill training, job-search training, and job placement assistance. All of the projects selected particular occupational areas for which they prepared their trainees. In addition, the projects responded to the personal and logistical problems that pose barriers to training and employment. For example, they offered counseling to help participants make decisions about their employment and training goals, overcome life crises, and improve their self-esteem and motivation. Finally, all of the projects offered some type of child-care assistance to their clients--either providing child care directly or helping clients find a suitable provider, and either arranging for a government subsidy or paying for care directly. (Table 11.1 summarizes the major features of each CBO program.)_x000a__x000a__x000a_The philosophy, experience, and financial constraints of each CBO shaped its specific service_x000a_strategy. For example, the program leaders at AUL believed that it was important not to duplicate_x000a_existing services. Thus, AUL served largely as a &quot;broker of services,&quot; funneling program participants_x000a_to training programs in the community and directly providing only those services that it could not_x000a_arrange for elsewhere. The other three projects provided most services in-house. CET and OIC_x000a_drew on more than 20 years of experience in providing education and training to disadvantaged_x000a_individuals. WOW's MFSP service strategy was shaped by the organization's lengthy experience as_x000a_a policy advocate for women in the labor market and its efforts to interest, train, and place women in nontraditional occupations._x000a__x000a_Child care illustrates how financial constraints shaped services. The projects that offered child-_x000a_care subsidies through their local AFDC programs had to work within the parameters of these_x000a_programs, which often limited the types of care or program activities covered by the subsidies. For_x000a_example, some programs could use subsidies only for center-based care or only in specific centers, or only while the participant was engaged in job training, but not afterwards while the participant was looking for work._x000a__x000a_REVIEW SECTION 2 (PAGE 15) FOR FURTHER DETAILS._x000a__x000a_Training for specific jobs, Primarily clerical and health occupations. Also courses in programming, food service, and_x000a_retail trade_x000a__x000a_CET adopted an &quot;integrated&quot; model in which all participants were placed directly into occupational skill training for particular jobs available in the local area, supplemented with remedial basic education instruction to correct deficiencies in areas critical to job performance. ESL (English as a second language) or GED (general educational development) classes were offered to those who wished to take them. OIC and AUL adopted a &quot;sequential&quot; strategy, first placing women with poor reading, writing, and math skills in classroom courses to help them meet academic standards felt to be critical for further job-skill training or_x000a_"/>
    <s v="In 1986 dollars, average costs ranged from $2,400 to nearly $6,000 per participant, as follows: AUL, $3,800; CET,_x000a_$3,900; OIC, $5,700; and WOW, $2,400 (see Table VI.1)"/>
    <s v="Skill-training courses ranged from 8 weeks to 2 years; structure set by outside provider"/>
    <s v="NGO"/>
    <s v="Randomization"/>
    <s v="Table IV.1"/>
    <m/>
    <m/>
    <m/>
    <m/>
    <m/>
    <s v="technical, job-readniess"/>
    <s v="classroom"/>
    <s v="both"/>
    <m/>
    <s v="private"/>
    <n v="24"/>
    <m/>
    <m/>
    <m/>
    <n v="32"/>
    <s v="no"/>
    <s v="participation in MFSP was entirely voluntary._x000a__x000a_Randomization into the program, selection of courses is up to case manager, according to abilities and interests of the person."/>
    <s v="through interview"/>
    <m/>
    <s v="yes"/>
    <s v="single moms"/>
    <n v="72"/>
    <s v="All single mothers who were members of an ethnic minority group and who applied for training at the participating Community-based organization (CMO). The Minority Female single parent demonstration (MFSP) applicants seemed to be more disadvantaged. Applicants were 28 years old on average; the ethnic composition of the MFSP applicant sample was quite similar to that of the low-income national sample."/>
    <s v="All of the projects delivered a range of employment-oriented services: counseling sessions to assess needs and to develop a training plan for each trainee; remedial work in basic reading, math, and communications skills; and job-skill training, job-search training, and job placement assistance. These four projects, selected particular occupational areas for which they prepared their trainees. In addition, the projects responded to the personal and logistical problems that pose barriers to training and employment._x000a__x000a_The Atlanta Urban League (AUL) in Atlanta, Georgia sought to determine whether comprehensive employability programs operated by community-based organizations could have a significant and lasting effect on the lives of low-income single mothers who want to work. The treatment group was offered program services--including basic skills and job-skills assessments, counseling, remedial education, job-skill training, job-placement assistance, and child care assistance. The purpose of this set of services was to address the barriers that make it difficult for poor single mothers to secure good jobs and escape their dependence on welfare._x000a__x000a_OIC and AUL adopted a &quot;sequential&quot; strategy, first placing women with poor reading, writing, and math skills in classroom courses to help them meet academic standards felt to be critical for further job-skill training or employment, and offering them job-skill training only after they had met certain academic standards._x000a__x000a__x000a_"/>
    <x v="0"/>
  </r>
  <r>
    <s v="Greenberg 2003"/>
    <s v="Burghardt 1992"/>
    <s v="BT/DU"/>
    <x v="48"/>
    <s v="USA"/>
    <n v="1984"/>
    <s v="mean: 29"/>
    <s v="Table III.1"/>
    <s v="All single mothers who were members of an ethnic minority group and who applied for training at the participating CBOs …_x000a__x000a_MFSP applicants seemed to be more disadvantaged. MFSP applicants were 28 years old on average, compared withan average age of 31 among low-income single mothers nationwide. The ethnic composition of the MFSP applicant sample was quite similar to that of the low-income national sample (71 percent black and 25 percent Hispanic). However, nearly two-thirds of MFSP applicants versus 54 percent of low-income minority single mothers nationwide had children under 6 years of age. Fifty-six (56) percent of MFSP applicants versus 44 percent of the national sample of low-income minority single mothers were high school dropouts. MFSP applicants worked an average of 13 weeks and earned $4,700 in the year before application, while low-income minority single mothers nationwide worked an average of 18 weeks and earned $6,800 in 1986. Nearly 70 percent of the MFSP applicants had received AFDC over the same period, compared with about half of our nationwide low-income sample. MFSP applicants were also slightly more likely never to have been married. In summary, MFSP applicants were younger, had younger children, had less education and less work experience, received lower wages, and were more dependent on welfare than the national sample of low-income mothers._x000a_"/>
    <s v="4 different programs Minority Female Single Parent (MFSP) demonstration (CET)"/>
    <s v="Applicants were assigned randomly to a treatment group that was offered program services--including basic skills and job-skills assessments, counseling, remedial education, job-skill training, job-placement assistance, and child care assistance--or to a control group that was not eligible to receive services at the CBO but could seek them elsewhere in the community._x000a__x000a_These four projects offered services that ranged from employability assessment and counseling to remedial education, to job-skill training and job placement, to child-care assistance. The purpose of this set of services was to address the barriers that make it difficult for poor single mothers to secure good jobs and escape their dependence on welfare._x000a__x000a_the MFSP demonstration consisted of four projects in different locations, and the impacts of each project may be due to the characteristics of the CBO that ran the program or to the features of the community in which it operated, as well as to the training strategy adopted by each._x000a__x000a_All of the projects delivered a range of employment-oriented services: counseling sessions to assess needs and to develop a training plan for each trainee; remedial work in basic reading, math, and communications skills; and job-skill training, job-search training, and job placement assistance. All of the projects selected particular occupational areas for which they prepared their trainees. In addition, the projects responded to the personal and logistical problems that pose barriers to training and employment. For example, they offered counseling to help participants make decisions about their employment and training goals, overcome life crises, and improve their self-esteem and motivation. Finally, all of the projects offered some type of child-care assistance to their clients--either providing child care directly or helping clients find a suitable provider, and either arranging for a government subsidy or paying for care directly. (Table 11.1 summarizes the major features of each CBO program.)_x000a__x000a__x000a_The philosophy, experience, and financial constraints of each CBO shaped its specific service_x000a_strategy. For example, the program leaders at AUL believed that it was important not to duplicate_x000a_existing services. Thus, AUL served largely as a &quot;broker of services,&quot; funneling program participants_x000a_to training programs in the community and directly providing only those services that it could not_x000a_arrange for elsewhere. The other three projects provided most services in-house. CET and OIC_x000a_drew on more than 20 years of experience in providing education and training to disadvantaged_x000a_individuals. WOW's MFSP service strategy was shaped by the organization's lengthy experience as_x000a_a policy advocate for women in the labor market and its efforts to interest, train, and place women in nontraditional occupations._x000a__x000a_Child care illustrates how financial constraints shaped services. The projects that offered child-_x000a_care subsidies through their local AFDC programs had to work within the parameters of these_x000a_programs, which often limited the types of care or program activities covered by the subsidies. For_x000a_example, some programs could use subsidies only for center-based care or only in specific centers, or only while the participant was engaged in job training, but not afterwards while the participant was looking for work._x000a__x000a_REVIEW SECTION 2 (PAGE 15) FOR FURTHER DETAILS._x000a__x000a_Training for specific jobs, Primarily clerical and health occupations. Also courses in programming, food service, and_x000a_retail trade_x000a__x000a_CET adopted an &quot;integrated&quot; model in which all participants were placed directly into occupational skill training for particular jobs available in the local area, supplemented with remedial basic education instruction to correct deficiencies in areas critical to job performance. ESL (English as a second language) or GED (general educational development) classes were offered to those who wished to take them. OIC and AUL adopted a &quot;sequential&quot; strategy, first placing women with poor reading, writing, and math skills in classroom courses to help them meet academic standards felt to be critical for further job-skill training or_x000a__x000a_CET allowed trainees to start job trainin g_x000a_immediately . Courses were structured to permit &quot;open entry&quot; and &quot;open exit .&quot; enabling trainees to_x000a_master skills at their own pace . CET provided training in the basic reading and mathematics skills_x000a_relevant to the job . integrated that basic skill training with hands-on job skill training, and offere d_x000a_supplemental courses for those seeking a General Education Development (GED) certificate o r_x000a_needing training in English as a second language (ESL) . More so than any of the other MFS P_x000a_projects, CET focused its skill training on occupations in demand (phasing courses in and out o r_x000a_revising courses as market conditions changed) and aggressively marketed its trainees to loca l_x000a_employers ."/>
    <s v="In 1986 dollars, average costs ranged from $2,400 to nearly $6,000 per participant, as follows: AUL, $3,800; CET,_x000a_$3,900; OIC, $5,700; and WOW, $2,400 (see Table VI.1)"/>
    <s v="Training in most skills lasted 4 to 9 months._x000a_ "/>
    <s v="NGO"/>
    <s v="Randomization"/>
    <s v="Table IV.1"/>
    <m/>
    <m/>
    <m/>
    <m/>
    <m/>
    <s v="technical, job-readniess"/>
    <s v="classroom"/>
    <s v="both"/>
    <m/>
    <s v="private"/>
    <n v="9"/>
    <m/>
    <m/>
    <m/>
    <n v="32"/>
    <s v="no"/>
    <s v="participation in MFSP was entirely voluntary._x000a__x000a_Randomization into the program, Job-training courses open to all"/>
    <s v="through interview"/>
    <m/>
    <s v="yes"/>
    <s v="single moms"/>
    <n v="73"/>
    <s v="All single mothers who were members of an ethnic minority group and who applied for training at the participating Community-based organization (CMO). The Minority Female single parent demonstration (MFSP) applicants seemed to be more disadvantaged. Applicants were 28 years old on average; the ethnic composition of the MFSP applicant sample was quite similar to that of the low-income national sample."/>
    <s v="All of the projects delivered a range of employment-oriented services: counseling sessions to assess needs and to develop a training plan for each trainee; remedial work in basic reading, math, and communications skills; and job-skill training, job-search training, and job placement assistance. These four projects, selected particular occupational areas for which they prepared their trainees. In addition, the projects responded to the personal and logistical problems that pose barriers to training and employment._x000a__x000a_Center for Employment Training (CET) in San Jose, California and Opportunities Industrialization Center (OIC) of Rhode Island in Providence had more than 20 years of experience in providing education and training to disadvantaged individuals. CET adopted an &quot;integrated&quot; model all participants were placed into occupational skill training for particular jobs available in the local area, supplemented with remedial basic education instruction to correct deficiencies in areas critical to job performance. ESL (English as a second language) or GED (general educational development) classes were offered to those who wished to take them._x000a__x000a_"/>
    <x v="0"/>
  </r>
  <r>
    <s v="Greenberg 2003"/>
    <s v="Zambrowski 1994"/>
    <s v="BT/DU"/>
    <x v="48"/>
    <s v="USA"/>
    <n v="1984"/>
    <s v="mean: 29"/>
    <s v="-"/>
    <s v="All single mothers who were members of an ethnic minority group and who applied for training at the participating CBOs …_x000a__x000a_MFSP applicants seemed to be more disadvantaged. MFSP applicants were 28 years old on average, compared withan average age of 31 among low-income single mothers nationwide. The ethnic composition of the MFSP applicant sample was quite similar to that of the low-income national sample (71 percent black and 25 percent Hispanic). However, nearly two-thirds of MFSP applicants versus 54 percent of low-income minority single mothers nationwide had children under 6 years of age. Fifty-six (56) percent of MFSP applicants versus 44 percent of the national sample of low-income minority single mothers were high school dropouts. MFSP applicants worked an average of 13 weeks and earned $4,700 in the year before application, while low-income minority single mothers nationwide worked an average of 18 weeks and earned $6,800 in 1986. Nearly 70 percent of the MFSP applicants had received AFDC over the same period, compared with about half of our nationwide low-income sample. MFSP applicants were also slightly more likely never to have been married. In summary, MFSP applicants were younger, had younger children, had less education and less work experience, received lower wages, and were more dependent on welfare than the national sample of low-income mothers._x000a_"/>
    <s v="1 different programs Minority Female Single Parent (MFSP) demonstration - Center for Employment Training (CET)"/>
    <s v="Applicants were assigned randomly to a treatment group that was offered program services--including basic skills and job-skills assessments, counseling, remedial education, job-skill training, job-placement assistance, and child care assistance--or to a control group that was not eligible to receive services at the CBO but could seek them elsewhere in the community._x000a__x000a_These four projects offered services that ranged from employability assessment and counseling to remedial education, to job-skill training and job placement, to child-care assistance. The purpose of this set of services was to address the barriers that make it difficult for poor single mothers to secure good jobs and escape their dependence on welfare._x000a__x000a_the MFSP demonstration consisted of four projects in different locations, and the impacts of each project may be due to the characteristics of the CBO that ran the program or to the features of the community in which it operated, as well as to the training strategy adopted by each._x000a__x000a_All of the projects delivered a range of employment-oriented services: counseling sessions to assess needs and to develop a training plan for each trainee; remedial work in basic reading, math, and communications skills; and job-skill training, job-search training, and job placement assistance. All of the projects selected particular occupational areas for which they prepared their trainees. In addition, the projects responded to the personal and logistical problems that pose barriers to training and employment. For example, they offered counseling to help participants make decisions about their employment and training goals, overcome life crises, and improve their self-esteem and motivation. Finally, all of the projects offered some type of child-care assistance to their clients--either providing child care directly or helping clients find a suitable provider, and either arranging for a government subsidy or paying for care directly. (Table 11.1 summarizes the major features of each CBO program.)_x000a__x000a__x000a_The philosophy, experience, and financial constraints of each CBO shaped its specific service_x000a_strategy. For example, the program leaders at AUL believed that it was important not to duplicate_x000a_existing services. Thus, AUL served largely as a &quot;broker of services,&quot; funneling program participants_x000a_to training programs in the community and directly providing only those services that it could not_x000a_arrange for elsewhere. The other three projects provided most services in-house. CET and OIC_x000a_drew on more than 20 years of experience in providing education and training to disadvantaged_x000a_individuals. WOW's MFSP service strategy was shaped by the organization's lengthy experience as_x000a_a policy advocate for women in the labor market and its efforts to interest, train, and place women in nontraditional occupations._x000a__x000a_Child care illustrates how financial constraints shaped services. The projects that offered child-_x000a_care subsidies through their local AFDC programs had to work within the parameters of these_x000a_programs, which often limited the types of care or program activities covered by the subsidies. For_x000a_example, some programs could use subsidies only for center-based care or only in specific centers, or only while the participant was engaged in job training, but not afterwards while the participant was looking for work._x000a__x000a_REVIEW SECTION 2 (PAGE 15) FOR FURTHER DETAILS._x000a__x000a_Training for specific jobs, Primarily clerical and health occupations. Also courses in programming, food service, and_x000a_retail trade_x000a__x000a_CET adopted an &quot;integrated&quot; model in which all participants were placed directly into occupational skill training for particular jobs available in the local area, supplemented with remedial basic education instruction to correct deficiencies in areas critical to job performance. ESL (English as a second language) or GED (general educational development) classes were offered to those who wished to take them. OIC and AUL adopted a &quot;sequential&quot; strategy, first placing women with poor reading, writing, and math skills in classroom courses to help them meet academic standards felt to be critical for further job-skill training or_x000a__x000a_CET allowed trainees to start job trainin g_x000a_immediately . Courses were structured to permit &quot;open entry&quot; and &quot;open exit .&quot; enabling trainees to_x000a_master skills at their own pace . CET provided training in the basic reading and mathematics skills_x000a_relevant to the job . integrated that basic skill training with hands-on job skill training, and offere d_x000a_supplemental courses for those seeking a General Education Development (GED) certificate o r_x000a_needing training in English as a second language (ESL) . More so than any of the other MFS P_x000a_projects, CET focused its skill training on occupations in demand (phasing courses in and out o r_x000a_revising courses as market conditions changed) and aggressively marketed its trainees to loca l_x000a_employers ."/>
    <s v="from  Burghardt 1992"/>
    <s v="from  Burghardt 1992"/>
    <s v="NGO"/>
    <s v="Randomization"/>
    <s v="TABLE III.1"/>
    <m/>
    <m/>
    <m/>
    <m/>
    <m/>
    <s v="technical, job-readniess"/>
    <s v="classroom"/>
    <s v="both"/>
    <m/>
    <s v="private"/>
    <n v="9"/>
    <m/>
    <m/>
    <m/>
    <n v="32"/>
    <s v="no"/>
    <s v="participation in MFSP was entirely voluntary._x000a__x000a_Randomization into the program, Job-training courses open to all"/>
    <s v="through interview"/>
    <m/>
    <s v="yes"/>
    <s v="single moms"/>
    <n v="76"/>
    <s v="All single mothers who were members of an ethnic minority group and who applied for training at the participating Community-based organization (CMO). The Minority Female single parent demonstration (MFSP) applicants seemed to be more disadvantaged. Applicants were 28 years old on average; the ethnic composition of the MFSP applicant sample was quite similar to that of the low-income national sample."/>
    <s v="All of the projects delivered a range of employment-oriented services: counseling sessions to assess needs and to develop a training plan for each trainee; remedial work in basic reading, math, and communications skills; and job-skill training, job-search training, and job placement assistance. These four projects, selected particular occupational areas for which they prepared their trainees. In addition, the projects responded to the personal and logistical problems that pose barriers to training and employment._x000a__x000a_Center for Employment Training (CET) in San Jose, California and Opportunities Industrialization Center (OIC) of Rhode Island in Providence had more than 20 years of experience in providing education and training to disadvantaged individuals. CET adopted an &quot;integrated&quot; model all participants were placed into occupational skill training for particular jobs available in the local area, supplemented with remedial basic education instruction to correct deficiencies in areas critical to job performance. ESL (English as a second language) or GED (general educational development) classes were offered to those who wished to take them._x000a__x000a_"/>
    <x v="0"/>
  </r>
  <r>
    <s v="Greenberg 2003"/>
    <s v="Burghardt 1992"/>
    <s v="BT/DU"/>
    <x v="49"/>
    <s v="USA"/>
    <n v="1984"/>
    <s v="mean: 27"/>
    <s v="Table III.1"/>
    <s v="All single mothers who were members of an ethnic minority group and who applied for training at the participating CBOs …_x000a__x000a_MFSP applicants seemed to be more disadvantaged. MFSP applicants were 28 years old on average, compared withan average age of 31 among low-income single mothers nationwide. The ethnic composition of the MFSP applicant sample was quite similar to that of the low-income national sample (71 percent black and 25 percent Hispanic). However, nearly two-thirds of MFSP applicants versus 54 percent of low-income minority single mothers nationwide had children under 6 years of age. Fifty-six (56) percent of MFSP applicants versus 44 percent of the national sample of low-income minority single mothers were high school dropouts. MFSP applicants worked an average of 13 weeks and earned $4,700 in the year before application, while low-income minority single mothers nationwide worked an average of 18 weeks and earned $6,800 in 1986. Nearly 70 percent of the MFSP applicants had received AFDC over the same period, compared with about half of our nationwide low-income sample. MFSP applicants were also slightly more likely never to have been married. In summary, MFSP applicants were younger, had younger children, had less education and less work experience, received lower wages, and were more dependent on welfare than the national sample of low-income mothers._x000a_"/>
    <s v="4 different programs Minority Female Single Parent (MFSP) demonstration (OIC)"/>
    <s v="Applicants were assigned randomly to a treatment group that was offered program services--including basic skills and job-skills assessments, counseling, remedial education, job-skill training, job-placement assistance, and child care assistance--or to a control group that was not eligible to receive services at the CBO but could seek them elsewhere in the community._x000a__x000a_These four projects offered services that ranged from employability assessment and counseling to remedial education, to job-skill training and job placement, to child-care assistance. The purpose of this set of services was to address the barriers that make it difficult for poor single mothers to secure good jobs and escape their dependence on welfare._x000a__x000a_the MFSP demonstration consisted of four projects in different locations, and the impacts of each project may be due to the characteristics of the CBO that ran the program or to the features of the community in which it operated, as well as to the training strategy adopted by each._x000a__x000a_All of the projects delivered a range of employment-oriented services: counseling sessions to assess needs and to develop a training plan for each trainee; remedial work in basic reading, math, and communications skills; and job-skill training, job-search training, and job placement assistance. All of the projects selected particular occupational areas for which they prepared their trainees. In addition, the projects responded to the personal and logistical problems that pose barriers to training and employment. For example, they offered counseling to help participants make decisions about their employment and training goals, overcome life crises, and improve their self-esteem and motivation. Finally, all of the projects offered some type of child-care assistance to their clients--either providing child care directly or helping clients find a suitable provider, and either arranging for a government subsidy or paying for care directly. (Table 11.1 summarizes the major features of each CBO program.)_x000a__x000a__x000a_The philosophy, experience, and financial constraints of each CBO shaped its specific service_x000a_strategy. For example, the program leaders at AUL believed that it was important not to duplicate_x000a_existing services. Thus, AUL served largely as a &quot;broker of services,&quot; funneling program participants_x000a_to training programs in the community and directly providing only those services that it could not_x000a_arrange for elsewhere. The other three projects provided most services in-house. CET and OIC_x000a_drew on more than 20 years of experience in providing education and training to disadvantaged_x000a_individuals. WOW's MFSP service strategy was shaped by the organization's lengthy experience as_x000a_a policy advocate for women in the labor market and its efforts to interest, train, and place women in nontraditional occupations._x000a__x000a_Child care illustrates how financial constraints shaped services. The projects that offered child-_x000a_care subsidies through their local AFDC programs had to work within the parameters of these_x000a_programs, which often limited the types of care or program activities covered by the subsidies. For_x000a_example, some programs could use subsidies only for center-based care or only in specific centers, or only while the participant was engaged in job training, but not afterwards while the participant was looking for work._x000a__x000a_REVIEW SECTION 2 (PAGE 15) FOR FURTHER DETAILS._x000a__x000a_Training for specific jobs, Primarily clerical and health occupations. Also courses in programming, food service, and_x000a_retail trade_x000a__x000a_CET adopted an &quot;integrated&quot; model in which all participants were placed directly into occupational skill training for particular jobs available in the local area, supplemented with remedial basic education instruction to correct deficiencies in areas critical to job performance. ESL (English as a second language) or GED (general educational development) classes were offered to those who wished to take them. OIC and AUL adopted a &quot;sequential&quot; strategy, first placing women with poor reading, writing, and math skills in classroom courses to help them meet academic standards felt to be critical for further job-skill training or_x000a_"/>
    <s v="In 1986 dollars, average costs ranged from $2,400 to nearly $6,000 per participant, as follows: AUL, $3,800; CET,_x000a_$3,900; OIC, $5,700; and WOW, $2,400 (see Table VI.1)"/>
    <s v="Fixed-length skill courses lasted 6 to 9 months."/>
    <s v="NGO"/>
    <s v="Randomization"/>
    <s v="Table IV.1"/>
    <m/>
    <m/>
    <m/>
    <m/>
    <m/>
    <s v="technical, job-readniess"/>
    <s v="classroom"/>
    <s v="both"/>
    <m/>
    <s v="private"/>
    <n v="9"/>
    <m/>
    <m/>
    <m/>
    <n v="32"/>
    <s v="no"/>
    <s v="participation in MFSP was entirely voluntary._x000a__x000a_Randomization into the program._x000a_Course placemente: _x000a_-Standardized test of basic skills_x000a_-Considered motivation and personal skills_x000a_-Those with low skills or no high school_x000a_credential entered education classes first"/>
    <s v="through interview"/>
    <m/>
    <s v="yes"/>
    <s v="single moms"/>
    <n v="74"/>
    <s v="All single mothers who were members of an ethnic minority group and who applied for training at the participating Community-based organization (CMO). The Minority Female single parent demonstration (MFSP) applicants seemed to be more disadvantaged. Applicants were 28 years old on average; the ethnic composition of the MFSP applicant sample was quite similar to that of the low-income national sample."/>
    <s v="All of the projects delivered a range of employment-oriented services: counseling sessions to assess needs and to develop a training plan for each trainee; remedial work in basic reading, math, and communications skills; and job-skill training, job-search training, and job placement assistance. These four projects, selected particular occupational areas for which they prepared their trainees. In addition, the projects responded to the personal and logistical problems that pose barriers to training and employment._x000a__x000a_Center for Employment Training (CET) in San Jose, California and Opportunities Industrialization Center (OIC) of Rhode Island in Providence had more than 20 years of experience in providing education and training to disadvantaged individuals. OIC and AUL adopted a &quot;sequential&quot; strategy, first placing women with poor reading, writing, and math skills in classroom courses to help them meet academic standards felt to be critical for further job-skill training or employment, and offering them job-skill training only after they had met certain academic standards._x000a_"/>
    <x v="0"/>
  </r>
  <r>
    <s v="Greenberg 2003"/>
    <s v="Burghardt 1992"/>
    <s v="BT/DU"/>
    <x v="50"/>
    <s v="USA"/>
    <n v="1984"/>
    <s v="mean: 28"/>
    <s v="Table III.1"/>
    <s v="All single mothers who were members of an ethnic minority group and who applied for training at the participating CBOs …_x000a__x000a_MFSP applicants seemed to be more disadvantaged. MFSP applicants were 28 years old on average, compared withan average age of 31 among low-income single mothers nationwide. The ethnic composition of the MFSP applicant sample was quite similar to that of the low-income national sample (71 percent black and 25 percent Hispanic). However, nearly two-thirds of MFSP applicants versus 54 percent of low-income minority single mothers nationwide had children under 6 years of age. Fifty-six (56) percent of MFSP applicants versus 44 percent of the national sample of low-income minority single mothers were high school dropouts. MFSP applicants worked an average of 13 weeks and earned $4,700 in the year before application, while low-income minority single mothers nationwide worked an average of 18 weeks and earned $6,800 in 1986. Nearly 70 percent of the MFSP applicants had received AFDC over the same period, compared with about half of our nationwide low-income sample. MFSP applicants were also slightly more likely never to have been married. In summary, MFSP applicants were younger, had younger children, had less education and less work experience, received lower wages, and were more dependent on welfare than the national sample of low-income mothers._x000a_"/>
    <s v="4 different programs Minority Female Single Parent (MFSP) demonstration (WOW)"/>
    <s v="Applicants were assigned randomly to a treatment group that was offered program services--including basic skills and job-skills assessments, counseling, remedial education, job-skill training, job-placement assistance, and child care assistance--or to a control group that was not eligible to receive services at the CBO but could seek them elsewhere in the community._x000a__x000a_These four projects offered services that ranged from employability assessment and counseling to remedial education, to job-skill training and job placement, to child-care assistance. The purpose of this set of services was to address the barriers that make it difficult for poor single mothers to secure good jobs and escape their dependence on welfare._x000a__x000a_the MFSP demonstration consisted of four projects in different locations, and the impacts of each project may be due to the characteristics of the CBO that ran the program or to the features of the community in which it operated, as well as to the training strategy adopted by each._x000a__x000a_All of the projects delivered a range of employment-oriented services: counseling sessions to assess needs and to develop a training plan for each trainee; remedial work in basic reading, math, and communications skills; and job-skill training, job-search training, and job placement assistance. All of the projects selected particular occupational areas for which they prepared their trainees. In addition, the projects responded to the personal and logistical problems that pose barriers to training and employment. For example, they offered counseling to help participants make decisions about their employment and training goals, overcome life crises, and improve their self-esteem and motivation. Finally, all of the projects offered some type of child-care assistance to their clients--either providing child care directly or helping clients find a suitable provider, and either arranging for a government subsidy or paying for care directly. (Table 11.1 summarizes the major features of each CBO program.)_x000a__x000a__x000a_The philosophy, experience, and financial constraints of each CBO shaped its specific service_x000a_strategy. For example, the program leaders at AUL believed that it was important not to duplicate_x000a_existing services. Thus, AUL served largely as a &quot;broker of services,&quot; funneling program participants_x000a_to training programs in the community and directly providing only those services that it could not_x000a_arrange for elsewhere. The other three projects provided most services in-house. CET and OIC_x000a_drew on more than 20 years of experience in providing education and training to disadvantaged_x000a_individuals. WOW's MFSP service strategy was shaped by the organization's lengthy experience as_x000a_a policy advocate for women in the labor market and its efforts to interest, train, and place women in nontraditional occupations._x000a__x000a_Child care illustrates how financial constraints shaped services. The projects that offered child-_x000a_care subsidies through their local AFDC programs had to work within the parameters of these_x000a_programs, which often limited the types of care or program activities covered by the subsidies. For_x000a_example, some programs could use subsidies only for center-based care or only in specific centers, or only while the participant was engaged in job training, but not afterwards while the participant was looking for work._x000a__x000a_REVIEW SECTION 2 (PAGE 15) FOR FURTHER DETAILS._x000a__x000a_Training for specific jobs, Primarily clerical and health occupations. Also courses in programming, food service, and_x000a_retail trade_x000a__x000a_CET adopted an &quot;integrated&quot; model in which all participants were placed directly into occupational skill training for particular jobs available in the local area, supplemented with remedial basic education instruction to correct deficiencies in areas critical to job performance. ESL (English as a second language) or GED (general educational development) classes were offered to those who wished to take them. OIC and AUL adopted a &quot;sequential&quot; strategy, first placing women with poor reading, writing, and math skills in classroom courses to help them meet academic standards felt to be critical for further job-skill training or_x000a_"/>
    <s v="In 1986 dollars, average costs ranged from $2,400 to nearly $6,000 per participant, as follows: AUL, $3,800; CET,_x000a_$3,900; OIC, $5,700; and WOW, $2,400 (see Table VI.1)"/>
    <s v="BEST course 10 weeks  (basic education and skill training)._x000a_Electromechanics course 20 weeks"/>
    <s v="NGO"/>
    <s v="Randomization"/>
    <s v="Table IV.1"/>
    <m/>
    <m/>
    <m/>
    <m/>
    <m/>
    <s v="technical, job-readniess"/>
    <s v="classroom"/>
    <s v="both"/>
    <m/>
    <s v="private"/>
    <n v="5"/>
    <m/>
    <m/>
    <m/>
    <n v="32"/>
    <s v="no"/>
    <s v="participation in MFSP was entirely voluntary._x000a__x000a_Randomization into the program._x000a_Course placemente: _x000a_-Standardized test of basic skills_x000a_- Those with better skills and interest were placed_x000a_in an electromechanics course; the others were_x000a_placed in BEST (basic education and skill_x000a_training)."/>
    <s v="through interview"/>
    <m/>
    <s v="yes"/>
    <s v="single moms"/>
    <n v="75"/>
    <s v="All single mothers who were members of an ethnic minority group and who applied for training at the participating Community-based organization (CMO). The Minority Female single parent demonstration (MFSP) applicants seemed to be more disadvantaged. Applicants were 28 years old on average; the ethnic composition of the MFSP applicant sample was quite similar to that of the low-income national sample."/>
    <s v="All of the projects delivered a range of employment-oriented services: counseling sessions to assess needs and to develop a training plan for each trainee; remedial work in basic reading, math, and communications skills; and job-skill training, job-search training, and job placement assistance. These four projects, selected particular occupational areas for which they prepared their trainees. In addition, the projects responded to the personal and logistical problems that pose barriers to training and employment._x000a__x000a_Wider Opportunities for Women (WOW) in Washington, D.C. was shaped by the organization's lengthy experience as a policy advocate for women in the labor market and its efforts to interest, train, and place women in nontraditional occupations. WOW offered two courses to which trainees were assigned largely on the basis of a test of their academic skills. For women whose basic skills test scores were lower, WOW offered the Basic Employability Skills Training (BEST) program--a 10-week course that included work on motivation, basic reading and math, and job-search skills. Better-prepared trainees were offered an electromechanics course, covering such job-related topics as electricity, mechanics, and tools, in addition to the topics covered in BEST. The intent of this course was to prepare clients for immediate employment or further training in a range of jobs not traditionally open to women._x000a__x000a_"/>
    <x v="3"/>
  </r>
  <r>
    <s v="Kluve 2017"/>
    <s v="Cave 1993 i"/>
    <s v="CH"/>
    <x v="51"/>
    <s v="USA"/>
    <n v="1985"/>
    <s v="17 - 21"/>
    <s v="Table 2.1, 2.2, 2.3"/>
    <s v="The problem of youth unemployment in recent years has been concentrated among high school dropouts who come from poor families. Many are members of minority groups, some of whom confront the continuing existence of job discrimination. A further salient aspect of the problem is the growing proportion of jobless young men who are not in the labor force — that is, no longer looking for work. In 1970, among all young men ages 16 to 24 who had no high school credential and who were not enrolled in school, only 13 percent were defined as not in the labor force; by 1991 this proportion had risen to 25 percent. Among black males the comparable figures were 40 percent in 1970 and 55 percent in 1991._x000a_The program was designed to reach a population largely unserved by existing programs, eligibility requirements were quite specific. Participation was limited to school dropouts who were between 17 and 21 years of age, did not have a high school diploma or GED, read below the eighth-grade level, and satisfied the JTPA definition of “economically disadvantaged” (defined primarily by household income or receipt of public assistance). Recognizing that program operators needed to meet enrollment and performance standard targets, however, the guidelines allowed for up to 20 percent of participants to read at or above the eighth-grade level._x000a_JOBSTART was implemented in 13 study sites: four adult schools (three adult vocational schools and one community college); six community-based organizations (CBOs); and three nonresidential Job Corps programs: Buffalo (NY), Atlanta (GA), New York (NY), Hartford (CT), San Jose (CA), Chicago (IL), Pittsburgh (PA), Monterey Park (CA), Dallas (TX), Denver (CO), Los Angeles (CA), Phoenix (AZ), Corpus Christi (TX). The demonstration ran from 1985 to 1989._x000a_"/>
    <s v="JOBSTARTS"/>
    <s v="The program model required sites to offer a specified minimum amount of both basic education and occupational training to provide the young people with a real opportunity to enhance their skills. The program model did not specify any particular curricula, though it did encourage - but not require - sites to offer computer-assisted instruction._x000a__x000a_The intervention may be divided in four components: Basic Education, Occupational skills training, Support services to facilitate participation and Job Placement services._x000a__x000a_The 200-hour minimum of education was based on an estimate of what would be needed to bring the basic skills of most participants reading below the eighth-grade level up to the point where they could qualify for a GED or enter occupational skills training. The 500 hours of training was a compromise between the very lengthy training that research suggested was useful and what was practical in most JTPA environments._x000a__x000a_The occupational skills component required classroom rather than on-the-job training, in the belief that participants would benefit from the intensive, closely supervised instruction possible in a classroom setting. Again, no specific curriculum was required. Recognizing the advantages of applying learning to practical problems, however, the program model required that the training include a combination of theory and hands-on experience. Seeking to increase the chances of placement following training, the program model required that the training prepare participants for jobs in high-demand occupations and be developed in cooperation with local representatives of the private sector._x000a__x000a_Suppport services. The sites were expected to assist participants with transportation and child care. They were also encouraged to develop a package of other support services to facilitate program participation; the Job Corps sites offered considerably more support services than did the others._x000a__x000a_Job placement assistance. The guidelines required sites to identify possible training- related jobs for participants and to assist them in securing employment, but were not specific about how this should be done. All sites instructed the youths on work disciplines, employer expectations, and job search techniques, but the intensity of this effort ranged from informal guidance by counselors and other staff to more than 50 class hours in one site. Seven sites offered some form of work experience or internship (both paid and unpaid) to improve job skills. All sites provided assistance in seeking employment when the youths left the program, although in two of the three sequential/brokered sites (CREC in Hartford and BSA in New York City), the responsibility fell solely on the training provider._x000a__x000a_A. Basic Education_x000a_The education component typically consisted of individualized instruction, which allowed students to move at their own pace learning reading, mathematics, and other subjects needed to pass the GED examination. Mostly they worked on their own, doing workbook exercises or, less commonly, using computer-assisted instruction. In sites offering education and training concurrently, participants usually attended two hours of education classes and four hours of vocational training a day. In sites operating a sequential program, participants generally attended three hours a day of basic skills classes during the education phase, with the remaining three hours a day devoted to life skills classes._x000a__x000a_The payment provisions of the contracts between service providers and funding agencies (especially local SDAs) were an important source of variation in the emphasis of the education component. In four sites (Connelley in Pittsburgh, EGOS in Denver, El Centro in Dallas, and SER/Corpus Christi), payment for education services was based on students passing the GED examination. This led these sites to make GED certification an important short-term goal of the program and to emphasize the skills tested on the GED examination in their education component. Other sites — CET/San Jose, the East Los Angeles Skills Center, and especially Chicago Commons — saw GED attainment as a long-term goal and did_x000a_not stress it in their JOBSTART programs, focusing more on improving basic skills as an aid to vocational training and job placement._x000a__x000a_B. Occupational Skills Training_x000a_The choices of occupational training available to participants varied among the sites. Participants at large vocational schools could choose courses in more than 20 occupational areas. The Job Corps Centers and larger community-based organizations also offered a wide range of vocational training. In contrast, SER/Corpus Christi, which provided training in-house, offered only a few courses._x000a__x000a_In theory, youths in sequential/brokered sites could choose courses from a variety of local agencies._x000a_However, in practice, some courses were unavailable to them because they could not satisfy entrance requirements, or other difficulties prevented them from gaining entry. As a group, JOBSTART participants were enrolled in training for a broad range of occupations — clerical and service jobs, machine trades, benchwork occupations, and structural work such as welding._x000a__x000a_C. Support Services to Facilitate Participation_x000a_All sites provided basic support services such as assistance with transportation and child care, which helped participants to attend the program. All sites provided bus passes or small allowances to cover the costs of commuting to the program. JOBSTART counselor/ coordinators. placed a high priority on adequate child care arrangements. In most sites, staff referred JOBSTART participants to other agencies for child care, with the expenses being covered by JTPA or the Work Incentive (WIN) Program._x000a__x000a_Many sites also found ways to provide small payments to meet other costs of participating, though the Job Corps Centers were consistently able to provide more support than the other sites. Ten of the 13 sites were able to provide some type of small needs-based payment, while nine of the sites provided on-site meals or food to take home, or special allowances for clothing or to meet rent emergencies. Seven of the sites (including all three Job Corps Centers) provided some form of incentive payments to participants who reached milestones in the program. The Job Corps Centers also provided on-site medical and dental care._x000a__x000a_D. Job Placement Services_x000a_Sites were required to assist youths in finding training-related employment, but this phase of the program typically received less attention than others. Nearly all the sites did provide instruction about employers’ expectations as well as job search techniques. About one-half of the sites arranged paid or unpaid part-time work experience positions for some participants during the program. Approximately one-fourth of a sample of participants worked at some point — in program-arranged or self-initiated jobs — while they were active in the program. Those in the sample who were employed worked an average of about 50 percent of the weeks they were in the JOBSTART program and were employed an average of_x000a_about 30 hours per week during the weeks they worked. During the months they worked, their hours of classes in JOBSTART were lower than were those of nonworking participants._x000a__x000a_Efforts to find participants permanent employment typically began near the end of training, with instructor contacts serving as an important source of information about job openings. Since many youths left the program without reaching this stage, it is not surprising that only about one-fourth of participants reported that program staff referred them to a job or told them about openings._x000a__x000a_Compliance. The percentage of nonparticipants was small (only 11 percent of the 988 experimentals in the 48-month impact sample)."/>
    <s v="4500 USD per participant"/>
    <s v="Mean:     6.6 months_x000a_Median: 5.7 months_x000a__x000a_Average hours were 125 in education, 238 in training, and 37 in other activities, for a total of 400 hours."/>
    <s v="Government"/>
    <s v="Randomization"/>
    <s v="-"/>
    <m/>
    <m/>
    <m/>
    <m/>
    <m/>
    <s v="technical"/>
    <s v="classroom"/>
    <s v="less than 25"/>
    <m/>
    <s v="private"/>
    <m/>
    <n v="700"/>
    <m/>
    <m/>
    <n v="195"/>
    <s v="no"/>
    <s v="The 200-hour minimum of education was based on an estimate of what would be needed to bring the basic skills of most participants reading below the eighth-grade level up to the point where they could qualify for a GED or enter occupational skills training. The 500 hours of training was a compromise between the very lengthy training that research suggested was useful and what was practical in most JTPA environments._x000a__x000a_The occupational skills component required classroom rather than on-the-job training, in the belief that participants would benefit from the intensive, closely supervised instruction possible in a classroom setting. Again, no specific curriculum was required. _x000a__x000a_Suppport services. The sites were expected to assist participants with transportation and child care. _x000a__x000a_Job placement assistance. The guidelines required sites to identify possible training- related jobs for participants and to assist them in securing employment, but were not specific about how this should be done. "/>
    <s v="decentralized"/>
    <s v="course"/>
    <s v="yes"/>
    <s v="incomplete education &amp; poverty"/>
    <n v="17"/>
    <s v="The JOBSTARTS program reaches a population largely unserved by existing programs. Targets school dropouts between 17 and 21 years of age, who did not have a high school diploma or GED, read below the eighth-grade level, and satisfied the JTPA definition of “economically disadvantaged” (defined primarily by household income or receipt of public assistance)._x000a_JOBSTART was implemented in 13 study sites: four adult schools (three adult vocational schools and one community college); six community-based organizations (CBOs); and three nonresidential Job Corps programs: Buffalo (NY), Atlanta (GA), New York (NY), Hartford (CT), San Jose (CA), Chicago (IL), Pittsburgh (PA), Monterey Park (CA), Dallas (TX), Denver (CO), Los Angeles (CA), Phoenix (AZ), Corpus Christi (TX). The demonstration ran from 1985 to 1989._x000a__x000a_"/>
    <s v="The program model required a specified minimum amount of both basic education and occupational training. The program model did not specify any particular curricula, though it did encourage - but not require - sites to offer computer-assisted instruction. The intervention may be divided in four components: Basic Education, Occupational skills training, Support services to facilitate participation and Job Placement services. _x000a__x000a_The 200-hour minimum of education was based on reading skills, followed by 500 hours of training. The occupational skills component required classroom, no specific curriculum was required, it included a combination of theory and hands-on experience. Suppport services such as transportation and childcare. Job placement assistance. The guidelines required sites to identify possible training- related jobs for participants and to assist them in securing employment, but were not specific about how this should be done. _x000a_All sites instructed the youths on work disciplines, employer expectations, and job search techniques, but the intensity of this effort ranged from informal guidance by counselors and other staff to more than 50 class hours in one site. All sites provided assistance in seeking employment when the youths left the program, although in two of the three sequential/brokered sites (CREC in Hartford and BSA in New York City), the responsibility fell solely on the training provider._x000a__x000a_"/>
    <x v="0"/>
  </r>
  <r>
    <s v="Kluve 2017"/>
    <s v="Corson 1996"/>
    <s v="CP"/>
    <x v="52"/>
    <s v="USA"/>
    <n v="1986"/>
    <s v="mean: 43.2"/>
    <s v="Table II.2 Corson 1989, Table III.5 Corson 1989"/>
    <s v="The demonstration was implemented in 10 sites corresponding to stateUI offices. The sites were chosen randomly, with the probability of their selection proportional tothe size of the UI population in each office, yielding a sample representative of UI recipients in NewJersey._x000a__x000a_Definition of Eligibility_x000a_The purpose of the demonstration was to provide reemployment services to experienced workerswho, having become unemployed through no fault of their own, were likely to face prolonged spellsof unemployment. Their job-finding difficulties might be due to unavailability of jobs, a mismatchbetween their skills and job requirements, or lack of job-finding skills. However, because previousresearch efforts have not established good predictors of prolonged unemployment spells, complexeligibility requirements could not be used to direct demonstration services. Because of this situation,the demonstration plan incorporated a small number of sample screens to identify experiencedworkers who were likely to be displaced permanently from their jobs.The following eligibility scrcens were chosen for the demonstration:_x000a__x000a_First Payment. The demonstration excluded claimants who did not receive a first UI_x000a_payment. To promote early intervention, thc demonstration also excluded claimantswho did not receive a first payment within five weeks after the initial claim. Individualswho were working and, consequently, who received a partial first payment were alsoexcluded, because their job attachment meant that they had not necessarily beendisplaced.Finally, special claims (for example, unemployment compensation for ex-servicemembers or federal civilian employees, interstate claims, and combined wageclaims) were also excluded._x000a__x000a_Age. An age screen was applied to eliminate thc broad category of young workers who_x000a_have traditionally shown limited attachment to the labor market and whose employmentproblems may be quite different from those of older, experienced workers. This screenexcluded workers under age 25 from thc demonstration._x000a__x000a_Tenure. Demonstration-eligible claimants had to exhibit a substantial attachment to a_x000a_job, so that thc job loss was likely to be associated with one or more of thereemployment difficulties described earlier.Each claimant was required to haveworked for his or hcr last employer for three years prior to applying for U1 benefitsand could not have workcd full-time for any other employer during thc three-yearperiod. The three-year requirement is used by DOL's Bureau of Labor Statistics todefine displaced workers (Flaim and Sehgal 1985)._x000a__x000a_Temporary Layoffs. The demonstration treatments were not intended for workers who_x000a_were temporarily laid off.Thus, it was desirable to exclude claimants on temporarylayoff. However, previous research and experience show that some claimant say thatthey expect to be recalled, even when their chances of actual recall arc slim.Toensure that these individuals were not excluded from the demonstration, only indivi-duals who both expected to be recalled and had a specific recall date were excluded._x000a__x000a_Union Hiring-Hall Arrangements.Individuals who arc typically hired through union_x000a_hiring halls exhibit a unique attachment to a specific labor market and were thusexcluded from the demonstration._x000a__x000a_The Economic Environment_x000a_During the demonstration period, the New Jersey economy experienced worker displacementcaused by a long-term secular decline in manufacturing, although substantial growth occurred in othersectors.Overall, the state economy was quite strong, and the unemployment rate during thedemonstration period was low (5 percent). The unemployment rate continued to he low (5 percent or less) during the first several years of the follow-up period,but with the on- .1of the retentrecession it rose in the last two to three years of thc follow-up period to rates that ranged I rom about6.6 to 8.4 percent, on an annual basis. During this later period, unemployment compensation benefitswere also extended. This extension is likely to have had an effect on Ul heneht receiptAs i resultit could have affected our impact estimates for this peri,,d._x000a__x000a_For details see Corson 1989 since Page 47 from PDF_x000a__x000a_"/>
    <s v="New Jersey Unemployment Insurance Reemployment Demostration Project (NJUITDP)"/>
    <s v="Treatment: jobsearch assistance (JSA) combined with training or relocation assistance but in particular classroom training _x000a__x000a_The purpose of the New Jersey Unemployment Insurance Reemployment Demonstration Project(NJUIRDP) was to examine whether the Unemployment Insurance (UI) system could be used toidentify displaced workers early in their unemployment spells and to provide them with alternative,early intervention services to accelerate their return to work.Three packages of services, ortreatments, were tested in the demonstration: (1) job-search assistance (JSA) only; (2) JSA combinedwith training or relocation assistance; and (3) JSA combined with a cash bonus for earlyreemployment. A key component of the demonstration was that eligible claimants were identifiedand services were provided through the coordinated efforts of the UI, Employment Service (ES), andJob Training and Partnership Act (JTPA) systems. Another key element was that claimants wererequired by UI to report for services; failure to report could lead to the denial of benefits._x000a__x000a_The demonstration was initiated by the U.S. Department of Labor (USDOL) through acooperative agreement with the New Jersey Department of Labor. It began operations in July 1986.and, by the end of sample selection in June 1987, 8,675 UI claimants were offered one of the threeservice packages. Services to eligible claimants continued into fall 1987 to ensure that all eligibleswho wanted the full set of demonstration services were able to receive them.Another 2,385claimants receiving existing services provided a control group for comparative purposes. Claimantswere assigned randomly to this control group or to one of thc three treatments._x000a__x000a_The initial evaluation of the demonstration (Corson et al. 1989), combined with a follow-up studythat extended the analysis for approximately three years after the initial UI claim (Anderson et al.1991), found that each of the treatments reduced UI collections and increased employment andearnings during this period.Although the initial evaluation found no evidence that the trainingcomponent of the second treatment increased earnings in the year after the initial UI claim, thefollow-up study suggested that training did increase earnings in thc longer run. _x000a__x000a_Treatment_x000a__x000a_The initial components of all th-cc treatments were the same: notification, orientation, testing,a job-search workshop, and an assessment/counseling interview.These services were deliveredsequentially, early in claimants' unemployment spells. First, a notification letter was sent to claimantsin about the fourth week after they filed initial claims. Claimants usually began to receive servicesduring their fifth week of unemployment. Services began when they reported to a demonstrationoffice (usually an ES office) and received orientation and testing during a one-week period. In theFollowing week, they attended a job-search workshop, consisting of five half-day sessions, and afollow-up, one-on-one counseling/assessment session scheduled for the subsequent week. Theseinitial treatmemt components were mandatory; failure to report could lead to the denial of UIbenefits._x000a__x000a_Beginning with the assessment/counseling interview, the nature of the three trcatmcnts differed._x000a__x000a_Claimants in the second treatment group--JSA plus training or relocationwere also informedabout the resource center and their obligation to maintain contact during their job search.Inaddition, thcy were told about the availability of classroom and on-the-job training and wereencouraged to pursue training if interested. Staff from the local JTPA Service Delivery Area (SDA)program operator worked directly with these claimants to develop the training options.Theseclaimants were also told about the availability of relocation assistance, which could he used for out-of-area job search and moving expenses by those who elected not to pursue training._x000a__x000a_Detail information on mandatory services for all 3 treatments is found in Corson 1989 since page 78_x000a__x000a_Since page 112 there is information on the classroom and on the job training"/>
    <s v="Mean cost per classroom trainee 2.723 dollars_x000a_Table VI.2 from Corson 1989 page 119"/>
    <s v="3 weeks of mandatory services (orientation, testing, job-search workshop, assessment)_x000a__x000a_mean expected number of weeks of classroom training: 18.4_x000a__x000a_Table VI.2 Corson 1989"/>
    <s v="Government"/>
    <s v="Randomization"/>
    <s v="-"/>
    <s v="Corson 1989"/>
    <s v="Anderson 1991"/>
    <s v="Corson 1989 contains a full and detail description of the intervention, but is not possible to copy and paste "/>
    <m/>
    <m/>
    <s v="technical, job-readniess"/>
    <s v="classroom"/>
    <s v="more than 25"/>
    <m/>
    <s v="private"/>
    <n v="4"/>
    <m/>
    <m/>
    <m/>
    <n v="23"/>
    <s v="no"/>
    <s v=". Services to eligible claimants continued into fall 1987 to ensure that all eligibleswho wanted the full set of demonstration services were able to receive them_x000a__x000a_Staff from the local JTPA Service Delivery Area (SDA)program operator worked directly with these claimants to develop the training options."/>
    <s v="through interview"/>
    <m/>
    <s v="no"/>
    <m/>
    <n v="19"/>
    <s v="The demonstration provides reemployment services to experienced workers who were likely to face prolonged spells of unemployment. Individuals who did not receive their firs UI payment were excluded. The program targets people of 25 years or older. Among the excluded individuals are those who had to be employed for less than three years in their previous work, those who had a recall day for another job, and those who were hired through."/>
    <s v="The demonstration includes three packages of services: (1) job-search assistance (JSA) only; (2) JSA combined with training or relocation assistance; and (3) JSA combined with a cash bonus for early reemployment. The current evaluation is the second one, that includes training._x000a__x000a_UI claimants were offered one of the three service packages. Claimants were assigned randomly to this control group or to one of the three treatments.The initial components of all the treatments were the same: notification, orientation, testing,a job-search workshop, and an assessment/counseling interview. In the following week, they attended a job-search workshop, consisting of five half-day sessions, and a follow-up, one-on-one counseling/assessment session scheduled for the subsequent week. _x000a__x000a_After the assessment/counseling interview, the nature of the three treatments differed. Claimants in the second treatment group--JSA plus training or relocation were also informed about the resource center and their obligation to maintain contact during their job search. In addition, they were told about the availability of classroom and on-the-job training. A caseworker developed the training options. These claimants were also told about the availability of relocation assistance, which could he used for out-of-area job search and moving expenses by those who elected not to pursue training._x000a__x000a_"/>
    <x v="3"/>
  </r>
  <r>
    <s v="Card 2015"/>
    <s v="Dyke 2006 i"/>
    <s v="BT/DU"/>
    <x v="53"/>
    <s v="USA"/>
    <n v="1997"/>
    <s v="18-65"/>
    <s v="-"/>
    <s v="We restrict our sample to female payees,_x000a_aged at least 18 but less than 65, in single-parent households, excluding_x000a_“child-only” cases_x000a__x000a_ We focus on individuals who are new_x000a_entrants into the TANF cash program during the quarters 1997 Q2–1999_x000a_Q4, deﬁning a “new entrant” as one who receives payments during at least one of these quarters but not the prior quarter_x000a__x000a_In Missouri, nearly half of those who participate in job search/readiness do so in a quarter prior_x000a_to receiving any other service, and nearly a third of those in intensive_x000a_training participate in a quarter prior to receiving any other training_x000a_In contrast, fewer than 10% of those in North Carolina participate in these_x000a_more intensive services without also participating in another component—_x000a_usually assessment._x000a_"/>
    <s v="2 different programs Welfare-to-Work"/>
    <s v="We divide training into three categories on the basis of the intensity of_x000a_the activity: participants who went through an assessment but received_x000a_no other training; participants in job readiness or job search activities;_x000a_and participants who received more intensive training, including basic_x000a_education, vocational skills training, or other longer-term programs. _x000a__x000a_North Carolina was an early_x000a_implementer of these reforms, emphasizing a work-first approach that_x000a_focused primarily on getting recipients into jobs and secondarily on training_x000a_to improve skills. North Carolina’s TANF program began in January_x000a_1997 with a “primary focus” on “job placement assistance.”11 Missouri’s_x000a_approach was less clear. Having emphasized long-term training under_x000a_JOBS, Missouri’s program was modified in the direction of work-first_x000a_only in the face of federal pressure implicit in the TANF rules. Nonetheless,_x000a_Missouri’s TANF program, which began in December 1996, retained_x000a_a greater emphasis on long-term training, and by 2000, Missouri_x000a_had managed another policy turnaround, adopting rules that increased_x000a_the ability of TANF recipients to engage in long-term training._x000a__x000a_Our use of three categories of participation—assessment, job_x000a_search/readiness training, and intensive training—also allows us to easily_x000a_compare the effect of work-first activities, such as job search, with more_x000a_intensive activities, such as vocational education, that are designed to_x000a_enhance participants’ human capital_x000a__x000a_a quarter is coded as “intensive services” following the receipt of intensive services, without_x000a_regard for whether any other services were previously received. Hence,_x000a_the intensive service category includes any effects of other services received_x000a_by such individuals, and impact estimates must be interpreted accordingly._x000a_Table 3 illustrates the way in which services are coded._x000a_"/>
    <s v="-"/>
    <s v="The typical vocational and technical skills training component lasts_x000a_about 9 weeks in Missouri but only 6 weeks in North Carolina._x000a__x000a_Median hours per week (training) 25 hours for Missouri and 35 for North Carolina. See table 1"/>
    <s v="Government"/>
    <s v="DID, PSM"/>
    <s v="Table 8"/>
    <m/>
    <m/>
    <m/>
    <m/>
    <m/>
    <s v="technical"/>
    <s v="both"/>
    <s v="both"/>
    <m/>
    <s v="private"/>
    <n v="2.35"/>
    <n v="235"/>
    <n v="1.6"/>
    <n v="128"/>
    <n v="96"/>
    <s v="no"/>
    <s v="The ﬁrst category, assessment, may include formal paper-and-pencil testing, as well_x000a_as development of a “self-sufﬁciency plan,” which provides a schedule of_x000a_activities leading to employment and exit from TANF."/>
    <s v="through interview"/>
    <s v="compulsory with cash transfer"/>
    <s v="yes"/>
    <s v="single moms"/>
    <n v="65"/>
    <s v="We restrict our sample to female between 18 to 65 in single-parent household. _x000a__x000a_"/>
    <s v="The evaluation is held in two states. We divide training into three categories on the basis of the intensity of the activity: participants who went through an assessment but received no other training; participants in job readiness or job search activities; and participants who received more intensive training, including basic education, vocational skills training, or other longer-term programs. _x000a__x000a_North Carolina focused primarily on getting recipients into jobs and secondarily on training_x000a_to improve skills. While North Carolina’s TANF program began with a “primary focus” on “job placement assistance.” Missouri’s approach was less clear. Having emphasized long-term training under JOBS, Missouri’s program was modified in the direction of work-first only in the face of federal pressure implicit in the TANF rules. Nonetheless, Missouri’s TANF program, which began in December 1996, retained a greater emphasis on long-term training, and by 2000, Missouri had managed another policy turnaround, adopting rules that increased_x000a_the ability of TANF recipients to engage in long-term training._x000a__x000a_We evaluate the intensive services which includes any effects of other services received_x000a_by such individuals, and impact estimates must be interpreted accordingly._x000a__x000a_"/>
    <x v="1"/>
  </r>
  <r>
    <s v="MDRC"/>
    <s v="Fraker 2014"/>
    <s v="BT/DU"/>
    <x v="54"/>
    <s v="USA"/>
    <n v="2006"/>
    <s v="14-19"/>
    <s v="Table III.1"/>
    <s v="The YTDP served a sufficient number of youth to support a rigorous evaluation. The target _x000a_population for the project was youth ages 14 through 19 who were receiving SSI and living in _x000a_the Bronx at the time of their enrollment in the study. _x000a__x000a_Youth with disabilities often have particularly difficult transitions to adulthood. In addition to the issues facing all transition-age youth, those with disabilities face special challenges related to health, social isolation, service needs, and the potential loss of benefits_x000a_"/>
    <s v="Youth Transition Demonstration (YTD) - Bronx"/>
    <s v="The Youth Transition Demonstration Project in Bronx County, _x000a_New York, provided employment-focused services to youth ages 14 through 19. Services were _x000a_delivered at two CUNY campuses, with CUNY students serving as support staff. The project _x000a_delivered most of its services through a two-semester sequence of Saturday morning workshops, _x000a_which included information and activities for parents and other family members as well as the _x000a_youth participants. Participants were offered seven-week paid jobs, mainly on the two CUNY _x000a_campuses, through New York City’s Summer Youth Employment Program. At the project’s _x000a_completion in September 2010, it had served 387 randomly assigned treatment group youth. _x000a__x000a_The CUNY YTDP provided youth with services intended to promote their independence and _x000a_economic self-sufficiency. The project was designed to respond to gaps in transition services for _x000a_youth and to promote self-determination and self-advocacy by the youth and their parents. _x000a_Project services for youth included recreational and artistic activities; workshops on self-_x000a_determination, career development, and benefits planning; and individualized services, such as _x000a_person-centered planning, benefits counseling, and referrals for supplementary services. _x000a_Additionally, paid summer employment was available for all interested participants. The YTDP _x000a_also engaged youths’ parents and other family members through one-on-one mentoring, as well _x000a_as counseling and workshops on benefits planning, advocacy, and community services._x000a__x000a_The project provided services to promote independence and economic self-_x000a_sufficiency among youth who were receiving SSI benefits_x000a__x000a_ Sample members were randomly assigned to a treatment group, which was _x000a_eligible for YTDP services and the SSA waivers for YTD, or to a control group, which was _x000a_eligible for neither but could access other services available in the community._x000a__x000a_The project staff _x000a_enrolled 79 percent of the treatment group members in project services in three cohorts _x000a_corresponding to the summer and fall of each year, 2006−2008."/>
    <s v="Cost per participant: 8628"/>
    <s v="11 months core and 9 months follow on (table I.1)_x000a__x000a_Participants could receive up to _x000a_20 months of services, including 11 months of core services based on the YTDP curriculum and _x000a_9 months of limited, post-curriculum services. All services ended in May 2010 and the project _x000a_formally closed in September of that year. "/>
    <s v="Researchers"/>
    <s v="Randomization"/>
    <s v="Table III.1, Table III.3, Table III.4"/>
    <s v="Rangarajan, A., T. Fraker, T. Honeycutt, A. Mamun, J. Martinez, B. O’Day, and D. Wittenburg. “SSA’s Youth Transition Demonstration Projects: Evaluation Design Report.” Princeton, NJ: Mathematica Policy Research, 2009._x000a__x000a_Martinez 2008_x000a_"/>
    <s v="Martinez 2010"/>
    <m/>
    <m/>
    <m/>
    <s v="soft"/>
    <s v="both"/>
    <s v="less than 25"/>
    <s v="private-subsidized"/>
    <s v="private"/>
    <n v="11"/>
    <m/>
    <n v="1.75"/>
    <m/>
    <n v="19"/>
    <s v="no"/>
    <s v="Sample members were randomly assigned to a treatment group, which was _x000a_eligible for YTDP services and the SSA waivers for YTD, or to a control group, which was _x000a_eligible for neither but could access other services available in the community. The project staff _x000a_enrolled 79 percent of the treatment group members in project services in three cohorts _x000a_corresponding to the summer and fall of each year, 2006−2008_x000a__x000a_It should be noted that youth enrollment in the evaluation was voluntary. Therefore, we would expect that youth particularly interested in receiving employment-related services were more likely to have volunteered to enroll. As a result, youth assigned to a control group and thus not eligible for YTD services might have been likely to seek similar services from other sources."/>
    <s v="centralized"/>
    <s v="voluntary to enrol"/>
    <s v="yes"/>
    <s v="youth with disabilities"/>
    <n v="78"/>
    <s v="The Youth Transition Demonstration (YTD) – Bronx targets youth with disabilities ages 14 through 19 who were receiving SSI and living in the Bronx at the time of their enrollment in the study. "/>
    <s v="Youth WINS engaged participants in a structured discovery and planning process and then _x000a_provided them with services consistent with their identified needs and goals, primarily by _x000a_connecting them with the existing service system. Project services for youth included person-_x000a_centered planning, case management, referrals for supplementary services, benefits planning, and career development._x000a_"/>
    <x v="3"/>
  </r>
  <r>
    <s v="MDRC"/>
    <s v="Fraker 2014"/>
    <s v="BT/DU"/>
    <x v="55"/>
    <s v="USA"/>
    <n v="2006"/>
    <s v="14-25"/>
    <s v="Table IV.1"/>
    <s v=" The target _x000a_population for the project was youth ages 14 through 25 who were receiving Social Security _x000a_disability benefits and living in the four counties in which the project operated at the time of their _x000a_enrollment in the study. Using lists of Social Security beneficiaries provided by SSA, _x000a_Mathematica identified youth who met the project eligibility criteria and recruited 880 of them _x000a_into the study.28_x000a__x000a_About three-fifths of sample members were male and about three-quarters _x000a_were between 18 and 25 years old when they enrolled in the evaluation. The largest racial _x000a_category among the youth in the analytic sample was white (72 percent), followed by _x000a_other/unknown (14 percent). Just under one-quarter of the youth across racial groups reported _x000a_being Hispanic. A little more than half of the sample members were not attending school at _x000a_baseline, whereas a little less than a third were attending a regular high school; the remainder _x000a_were attending a special high school or other type of school (including college). A sizable _x000a_minority of youth (46 percent) had never worked for pay at baseline_x000a__x000a_Slightly more than half of the _x000a_sample members’ families had incomes of less than $25,000 per year. Almost half of the sample _x000a_members were living with two parents, whereas about a third were living with a single parent; the _x000a_remainder were either living by themselves or had other arrangements. Almost 80 percent of the _x000a_youth had a mother who had graduated from high school and a similar proportion had a father _x000a_who had done so. _x000a__x000a_"/>
    <s v="Youth Transition Demonstration (YTD) - Colorado Youth WINS"/>
    <s v="The project service delivery area covered four _x000a_geographically dispersed counties in Colorado. Youth WINS sought to maximize independence _x000a_and economic self-sufficiency for youth participants through a person-centered approach, with an _x000a_emphasis on filling gaps in existing services and providing comprehensive program navigation. _x000a_The project’s front-line staff were based in One-Stop Workforce Centers. By the project’s _x000a_completion in January 2010, it had served 401 randomly assigned treatment group youth. _x000a__x000a_Youth WINS engaged participants in a structured discovery and planning process and then _x000a_provided them with services consistent with their identified needs and goals, primarily by _x000a_connecting them with the existing service system. Project services for youth included person-_x000a_centered planning, case management, referrals for supplementary services, benefits planning, and _x000a_career development._x000a__x000a_"/>
    <s v="Cost per participant: 7114"/>
    <s v="18 months (table I.1)"/>
    <s v="Researchers"/>
    <s v="Randomization"/>
    <s v="Table IV.2"/>
    <s v="Rangarajan, A., T. Fraker, T. Honeycutt, A. Mamun, J. Martinez, B. O’Day, and D. Wittenburg. “SSA’s Youth Transition Demonstration Projects: Evaluation Design Report.” Princeton, NJ: Mathematica Policy Research, 2009._x000a__x000a_Martinez 2008_x000a_"/>
    <s v="Martinez 2010"/>
    <m/>
    <m/>
    <m/>
    <s v="soft"/>
    <s v="classroom"/>
    <s v="less than 25"/>
    <s v="private-subsidized"/>
    <s v="private"/>
    <n v="18"/>
    <m/>
    <m/>
    <m/>
    <n v="19"/>
    <s v="no"/>
    <s v="Sample members were randomly assigned to a treatment group, which was _x000a_eligible for Youth WINS services and the SSA waivers for YTD, or to a control group, which was _x000a_eligible for neither but could access other services available in their communities. _x000a__x000a_It should be noted that youth enrollment in the evaluation was voluntary. Therefore, we would expect that youth particularly interested in receiving employment-related services were more likely to have volunteered to enroll. As a result, youth assigned to a control group and thus not eligible for YTD services might have been likely to seek similar services from other sources."/>
    <s v="centralized"/>
    <s v="voluntary to enrol"/>
    <s v="yes"/>
    <s v="youth with disabilities"/>
    <n v="79"/>
    <s v="The target population was youth ages 14 through 25 who were receiving Social Security disability benefits and living in the four counties in which the project operated at the time of their enrollment in the study. "/>
    <s v="The project service delivery area covered four geographically dispersed counties in Colorado. Youth WINS sought to maximize independence and economic self-sufficiency for youth participants through a person-centered approach, with an emphasis on filling gaps in existing services and providing comprehensive program navigation. The project’s front-line staff were based in One-Stop Workforce Centers. Youth WINS engaged participants in a structured discovery and planning process and then provided them with services consistent with their identified needs and goals, primarily by connecting them with the existing service system. Project services for youth included person-centered planning, case management, referrals for supplementary services, benefits planning, and career development."/>
    <x v="3"/>
  </r>
  <r>
    <s v="MDRC"/>
    <s v="Fraker 2014"/>
    <s v="BT/DU"/>
    <x v="56"/>
    <s v="USA"/>
    <n v="2007"/>
    <s v="16-25"/>
    <s v="Table V.1"/>
    <s v="Transition WORKS served a sufficient number of youth to support a rigorous evaluation. _x000a_The target population for the project was youth ages 16 through 25 who were receiving Social _x000a_Security disability benefits and living in Erie County at the time of their enrollment in the study. "/>
    <s v="Youth Transition Demonstration (YTD) - Transition WORKS"/>
    <s v="The Transition WORKS project in Erie County, New York _x000a_(which includes the city of Buffalo), provided employment services and workshops on self-_x000a_determination and self-advocacy to youth ages 16 through 25. The project was designed to fill _x000a_gaps in existing transition services and to maximize the economic self-sufficiency and _x000a_independence of youth with disabilities by improving their self-determination and educational _x000a_and employment outcomes. By the project’s completion in December 2009, it had served 380 _x000a_randomly assigned treatment group youth. _x000a__x000a_Transition WORKS provided youth with services intended to promote their self-_x000a_determination and economic self-sufficiency. The project was designed to fill gaps in existing _x000a_transition services in Erie County. It provided training on self-determination and self-advocacy _x000a_for youth and their parents or guardians, transition planning, work-based experiences and other _x000a_employment services, education support services, training on the organization of benefits-related _x000a_paperwork, social and health services, and counseling on SSA benefits and waivers. "/>
    <s v="Cost per participant: 5232"/>
    <s v="18 months (table I.1)"/>
    <s v="NGO"/>
    <s v="Randomization"/>
    <s v="Table V.2, Table V.3"/>
    <s v="Rangarajan, A., T. Fraker, T. Honeycutt, A. Mamun, J. Martinez, B. O’Day, and D. Wittenburg. “SSA’s Youth Transition Demonstration Projects: Evaluation Design Report.” Princeton, NJ: Mathematica Policy Research, 2009._x000a__x000a_Martinez 2008_x000a_"/>
    <s v="Martinez 2010"/>
    <m/>
    <m/>
    <m/>
    <s v="soft"/>
    <s v="classroom"/>
    <s v="less than 25"/>
    <s v="private-subsidized"/>
    <s v="private"/>
    <n v="18"/>
    <m/>
    <m/>
    <m/>
    <n v="19"/>
    <s v="no"/>
    <s v=" Sample members _x000a_were randomly assigned to a treatment group, which was eligible for Transition WORKS _x000a_services and the SSA waivers for YTD, or to a control group, which was eligible for neither but _x000a_could access other services available in the community._x000a__x000a_It should be noted that youth enrollment in the evaluation was voluntary. Therefore, we would expect that youth particularly interested in receiving employment-related services were more likely to have volunteered to enroll. As a result, youth assigned to a control group and thus not eligible for YTD services might have been likely to seek similar services from other sources."/>
    <s v="centralized"/>
    <s v="voluntary to enrol"/>
    <s v="yes"/>
    <s v="youth with disabilities"/>
    <n v="80"/>
    <s v="Transition WORKS served a sufficient number of youth to support a rigorous evaluation. The target population for the project was youth ages 16 through 25 who were receiving Social Security disability benefits and living in Erie County at the time of their enrollment in the study. "/>
    <s v="The Transition WORKS project in Erie County, New York, provided employment services and workshops on self-determination and self-advocacy to youth with disabilities ages 16 through 25. It look to improve their self-determination and educational and employment outcomes. _x000a_It provided training on self-determination and self-advocacy for youth and their parents or guardians, transition planning, work-based experiences and other employment services, education support services, training on the organization of benefits-related paperwork, social and health services, and counseling on SSA benefits and waivers._x000a_"/>
    <x v="3"/>
  </r>
  <r>
    <s v="MDRC"/>
    <s v="Fraker 2014"/>
    <s v="BT/DU"/>
    <x v="57"/>
    <s v="USA"/>
    <n v="2008"/>
    <s v="16-22"/>
    <s v="Table VI.1"/>
    <s v="BHBF served a sufficient number of youth to support a rigorous evaluation. The target _x000a_population for the project was youth ages 16 through 22 who were receiving Social Security _x000a_disability benefits and living in Miami-Dade County at the time of their enrollment in the study. _x000a_Using lists of Social Security beneficiaries provided by SSA"/>
    <s v="Youth Transition Demonstration (YTD) - Broadened Horizons, Brighter Futures"/>
    <s v="The Broadened Horizons, Brighter Futures (BHBF) project _x000a_in Miami-Dade County, Florida, served youth ages 16 through 22. In addition to the core YTD _x000a_services, BHBF leveraged its relationships with its partners to provide its participants with _x000a_financial literacy training and assistance in establishing individual development accounts. The _x000a_project used its case management system to monitor the delivery of employment services to _x000a_participants and to target services to youth to reduce the risk that they would not have a paid _x000a_work experience. At the project’s completion in March 2012, it had served 388 randomly _x000a_assigned treatment group youth_x000a__x000a_BHBF provided participating youth with person-centered planning, customized employment _x000a_services, benefits counseling, education support services, financial literacy training, and access to _x000a_IDAs. It also provided participants with case management services, including referrals to other _x000a_organizations for services that BHBF could not provide directly. As the project matured, case _x000a_management services became increasingly focused on reducing barriers to employment. _x000a_ServiceSource bore most of the responsibility for delivering those services, with support from its _x000a_two formal partners in the project. NDI provided training to BHBF staff on public benefits _x000a_specific to Florida that were relevant to youth with disabilities. HSC delivered training to _x000a_participants on financial literacy and connected them with local organizations that administered _x000a_IDAs. "/>
    <s v="Cost per participant: 6540"/>
    <s v="18 months (table I.1)"/>
    <s v="NGO"/>
    <s v="Randomization"/>
    <s v="Table VI.2, Table VI.3"/>
    <s v="Rangarajan, A., T. Fraker, T. Honeycutt, A. Mamun, J. Martinez, B. O’Day, and D. Wittenburg. “SSA’s Youth Transition Demonstration Projects: Evaluation Design Report.” Princeton, NJ: Mathematica Policy Research, 2009._x000a__x000a_Martinez 2008_x000a_"/>
    <s v="Martinez 2010"/>
    <m/>
    <m/>
    <m/>
    <s v="soft"/>
    <s v="classroom"/>
    <s v="less than 25"/>
    <s v="private-subsidized"/>
    <s v="private"/>
    <n v="18"/>
    <m/>
    <m/>
    <m/>
    <n v="19"/>
    <s v="no"/>
    <s v="Sample _x000a_members were randomly assigned to a treatment group, which was eligible for BHBF services _x000a_and the SSA waivers for YTD, or to a control group, which was eligible for neither but could _x000a_access other services available in the community. _x000a__x000a_It should be noted that youth enrollment in the evaluation was voluntary. Therefore, we would expect that youth particularly interested in receiving employment-related services were more likely to have volunteered to enroll. As a result, youth assigned to a control group and thus not eligible for YTD services might have been likely to seek similar services from other sources."/>
    <s v="centralized"/>
    <s v="voluntary to enrol"/>
    <s v="yes"/>
    <s v="youth with disabilities"/>
    <n v="81"/>
    <s v="Broadened Horizons, Brighter Futures (BHBF) served a sufficient number of youth to support a rigorous evaluation. The target population for the project was youth ages 16 through 22 who were receiving Social Security disability benefits and living in Miami-Dade County at the time of their enrollment in the study. "/>
    <s v="In addition to the core YTD services, BHBF leveraged its relationships with its partners to provide its participants with financial literacy training and assistance in establishing individual development accounts. The project used its case management system to monitor the delivery of employment services to participants and to target services to youth to reduce the risk that they would not have a paid work experience. At the project’s completion in March 2012, it had served 388 randomly assigned treatment group youth"/>
    <x v="3"/>
  </r>
  <r>
    <s v="MDRC"/>
    <s v="Fraker 2014"/>
    <s v="BT/DU"/>
    <x v="58"/>
    <s v="USA"/>
    <n v="2008"/>
    <s v="16-21"/>
    <s v="Table VII.1"/>
    <s v="The target population for the project was Montgomery County residents ages 16 to 21 who _x000a_had been classified by MCPS or the public mental health system as having severe emotional _x000a_disturbances or significant mental illnesses, and were either in their last two years of high school _x000a_or had graduated or left school within the past year.54 In contrast to the other five random _x000a_assignment YTD projects, CTP did not restrict enrollment to Social Security disability _x000a_beneficiaries (including those receiving SSI, DI, and CDB).55 Another distinctive feature of _x000a_CTP’s involvement in the evaluation is that the project, rather than Mathematica, was _x000a_responsible for identifying eligible youth and recruiting them into the YTD evaluation. _x000a_Recruitment was a major challenge for CTP, requiring repeated adjustments to strategies and _x000a_staffing during the first 18 months of the project’s involvement in the evaluation. To meet target _x000a_numbers, CTP may have loosened its interpretation of target population criteria, enrolling some _x000a_youth that it might not previously have served, such as youth with Asperger’s syndrome and less _x000a_significant mental health needs. Also, the CTP recruiters emphasized during their outreach _x000a_efforts to youth that those who enrolled in the evaluation would have a chance to participate in a _x000a_program that would help them find jobs. This may have yielded enrollees who were especially _x000a_motivated to become employed. "/>
    <s v="Youth Transition Demonstration (YTD) - Career Transition Program "/>
    <s v="The Career Transition Program (CTP) in Montgomery _x000a_County, Maryland provided employment, education, and mental health services to youth ages 16 _x000a_to 21 who had been diagnosed with severe emotional disturbances or significant mental illnesses. _x000a_It recruited primarily students who were due to complete their high school educations within one _x000a_or two years. Most of the youth who received CTP services were not receiving disability benefits _x000a_but were believed to be at high risk of receiving them in the future, absent effective intervention. _x000a_By the project’s completion in March 2012, it had served 374 randomly assigned treatment _x000a_group youth._x000a__x000a_CTP sought to increase participants’ self-sufficiency by providing them with counseling, _x000a_linkages to available services, and individualized work experiences. The project provided about _x000a_one year of core services to individual participants. These included formal assessments and goal _x000a_setting as key elements in a person-centered planning process, assistance in obtaining either _x000a_competitive paid employment, employment support, education counseling and support, benefits _x000a_information and planning, and comprehensive case management, including referrals for _x000a_additional services that CTP could not provide directly. The career transition specialists _x000a_delivered most of these services; in doing so, they often formed strong one-to-one bonds with the _x000a_participants. Participants who achieved their established goals could receive “follow-along” services. During this phase, participants were eligible for all CTP services, but their contacts _x000a_with the career transition specialists were initiated by the youth and typically were less frequent _x000a_than when they were receiving core services. "/>
    <s v="Cost per participant: 8443"/>
    <s v=" 9 to 18 months, with up to _x000a_24 additional months (table I.1)"/>
    <s v="NGO"/>
    <s v="Randomization"/>
    <s v="Table VII.2, Table VII.3"/>
    <s v="Rangarajan, A., T. Fraker, T. Honeycutt, A. Mamun, J. Martinez, B. O’Day, and D. Wittenburg. “SSA’s Youth Transition Demonstration Projects: Evaluation Design Report.” Princeton, NJ: Mathematica Policy Research, 2009._x000a__x000a_Martinez 2008_x000a_"/>
    <s v="Martinez 2010"/>
    <m/>
    <m/>
    <m/>
    <s v="soft"/>
    <s v="classroom"/>
    <s v="less than 25"/>
    <s v="private-subsidized"/>
    <s v="private"/>
    <n v="18"/>
    <m/>
    <m/>
    <m/>
    <n v="19"/>
    <s v="no"/>
    <s v="CTP served a sufficient number of youth to support a rigorous evaluation: 840 youth agreed _x000a_to participate in the study, provided formal consent, and completed the baseline survey.56 These _x000a_youth were randomly assigned to a treatment group that was eligible for CTP services and the _x000a_SSA waivers for YTD (if they were beneficiaries), or to a control group that was eligible for _x000a_neither but could access other services available in the community. _x000a__x000a_It should be noted that youth enrollment in the evaluation was voluntary. Therefore, we would expect that youth particularly interested in receiving employment-related services were more likely to have volunteered to enroll. As a result, youth assigned to a control group and thus not eligible for YTD services might have been likely to seek similar services from other sources."/>
    <s v="centralized"/>
    <m/>
    <s v="yes"/>
    <s v="youth with disabilities"/>
    <n v="82"/>
    <s v="The target population for the project was Montgomery County residents ages 16 to 21 who _x000a_had been classified by MCPS or the public mental health system as having severe emotional _x000a_disturbances or significant mental illnesses, and were either in their last two years of high school or had graduated or left school within the past year_x000a_"/>
    <s v="The Career Transition Program (CTP) in Montgomery County, Maryland provided employment, education, and mental health services to youth who had been diagnosed with severe emotional disturbances or significant mental illnesses. It recruited primarily students who were due to complete their high school educations within one or two years. Most of the youth who received CTP services were not receiving disability benefits but were believed to be at high risk of receiving them in the future, absent effective intervention. _x000a__x000a_CTP sought to increase participants’ self-sufficiency by providing them with counseling, _x000a_linkages to available services, and individualized work experiences. The project provided about _x000a_one year of core services to individual participants. These included formal assessments and goal setting as key elements in a person-centered planning process, assistance in obtaining either competitive paid employment, employment support, education counseling and support, benefits information and planning, and comprehensive case management, including referrals for additional services that CTP could not provide directly. _x000a_"/>
    <x v="3"/>
  </r>
  <r>
    <s v="MDRC"/>
    <s v="Fraker 2014"/>
    <s v="BT/DU"/>
    <x v="59"/>
    <s v="USA"/>
    <n v="2008"/>
    <s v="15-25"/>
    <s v="Table VIII.1"/>
    <s v="The service delivery area for Youth Works comprised 19 of West Virginia’s 55 counties. _x000a_These widely dispersed counties were grouped into two regions, north and south, to facilitate _x000a_project administration_x000a__x000a_Youth Works served a sufficient number of youth to support a rigorous evaluation. The _x000a_target population for the project was youth ages 15 through 25 who were receiving Social _x000a_Security disability benefits and living in the project’s service delivery area at the time of their _x000a_enrollment in the study. Using lists of Social Security beneficiaries provided by SSA, _x000a_Mathematica identified youth who met the project eligibility criteria and recruited 875 of them _x000a_into the study."/>
    <s v="Youth Transition Demonstration (YTD) - West Virginia Youth Works"/>
    <s v="West Virginia Youth Works provided employment-focused services to _x000a_youth ages 15 through 25 in 19 of the state’s 55 counties. The project’s service delivery area _x000a_included many of the state’s larger municipalities as well as a number of predominately rural _x000a_counties. Within this area, services for youth with disabilities who were not participating in _x000a_Youth Works were generally quite limited. The project used monitoring procedures and reports _x000a_to focus staff service efforts on participants who had not yet had a paid work experience. By the _x000a_project’s completion in March 2012, it had served 388 randomly assigned treatment group youth. _x000a__x000a_Youth Works provided youth with services intended to promote their economic self-_x000a_sufficiency and independence. The project was designed to meet the unique service needs of _x000a_individual participants and project staff often met with them one on one in their homes, schools, _x000a_community centers, and workplaces. It provided participants with person-centered planning _x000a_(such as work-readiness assessments and services), customized employment services (such as _x000a_career exploration, job development, job coaching, job placement, and post-placement support)and benefits counseling. It also provided participants with case management services, including _x000a_transportation assistance and referrals to other organizations for services that Youth Works was _x000a_not well positioned to provide directly. "/>
    <s v="Cost per participant: 7971"/>
    <s v="18 months (table I.1)"/>
    <s v="NGO"/>
    <s v="Randomization"/>
    <s v="Table VIII.2, Table VIII.3"/>
    <s v="Rangarajan, A., T. Fraker, T. Honeycutt, A. Mamun, J. Martinez, B. O’Day, and D. Wittenburg. “SSA’s Youth Transition Demonstration Projects: Evaluation Design Report.” Princeton, NJ: Mathematica Policy Research, 2009._x000a__x000a_Martinez 2008_x000a_"/>
    <s v="Martinez 2010"/>
    <m/>
    <m/>
    <m/>
    <s v="soft"/>
    <s v="classroom"/>
    <s v="less than 25"/>
    <s v="private-subsidized"/>
    <s v="private"/>
    <n v="18"/>
    <m/>
    <m/>
    <m/>
    <n v="19"/>
    <s v="no"/>
    <s v="Sample members were randomly assigned to a treatment group, which was _x000a_eligible for Youth Works services and the SSA waivers for YTD, or to a control group, which _x000a_was eligible for neither but could access other services available in their communities._x000a__x000a_It should be noted that youth enrollment in the evaluation was voluntary. Therefore, we would expect that youth particularly interested in receiving employment-related services were more likely to have volunteered to enroll. As a result, youth assigned to a control group and thus not eligible for YTD services might have been likely to seek similar services from other sources."/>
    <s v="centralized"/>
    <m/>
    <s v="yes"/>
    <s v="youth with disabilities"/>
    <n v="83"/>
    <s v="Youth Works targets youth ages 15 through 25 who were receiving Social Security disability benefits and living in the project’s service delivery area at the time of their enrollment in the study."/>
    <s v="Youth Works provided youth with services intended to promote their economic self-sufficiency and independence. The project was designed to meet the unique service needs of individual participants and project staff often met with them one on one in their homes, schools, community centers, and workplaces. It provided participants with person-centered planning _x000a_(such as work-readiness assessments and services), customized employment services (such as _x000a_career exploration, job development, job coaching, job placement, and post-placement support) and benefits counseling. It also provided participants with case management services, including transportation assistance and referrals to other organizations for services that Youth Works was not well positioned to provide directly. _x000a_"/>
    <x v="3"/>
  </r>
  <r>
    <m/>
    <s v="Freedman 2000 i"/>
    <s v="CH"/>
    <x v="60"/>
    <s v="USA"/>
    <s v="1991-1994"/>
    <s v="Atlanta: 32.7 _x000a_Grand Rapids:28.2 _x000a_Riverside: 32.0 _x000a_Columbus: 31.8 _x000a_Detroit: 30.0 _x000a_Oklahoma City: 28.1 _x000a_Portland: 30.3"/>
    <m/>
    <s v="When planning this evaluation, HHS and MDRC sought to include sites that would demonstrate operation in a diverse range of conditions, though they would not represent all welfare-to-work programs in the country. As shown in Table 1.2, sites varied along several dimensions, such as geographic location, labor market, and welfare grant level To be included in the National Evaluation of Welfare-to-Work Strategies, sites needed large enough welfare caseloads to meet the sample size requirements of the research design. Accordingly, all of the seven sites include urban areas. Detroit, with a population topping 2 million in 1990, is the largest urban area studied in the evaluation, and the only site to lose population (by 3 percent) between 1990 and 1995, roughly the time period covered in this report. Riverside, with a population of over 1 million in 1990, experienced the most growth during this period, adding almost 18 percent to its population by 1995. Population growth in other sites ranged from 5 to 10 percent._x000a_As population grew, so did labor markets. In four sites employment expanded significantly between 1991 and 1996: the employed labor force in Grand Rapids grew by 16 percent, in Atlanta and Portland by 15 percent each, and in Riverside by 12 percent. The other three sites experienced 5 to 9 percent gains._x000a_Rising employment, particularly in localities with rising population, does not necessarily indicate declining unemployment rates. Unemployment rates in all seven sites, however, decreased over this period._x000a_Following national trends, in general, unemployment rates peaked in 1992 and were lowest in 1996. At the end of the evaluation period unemployment rates in most sites were below the national average of 5.4 percent in 1996. Early in the evaluation period unemployment rates in Detroit and Riverside topped 10 percent. Although rates in both localities steadily declined, Riverside’s remained at 8 percent in 1996, significantly higher than the national average. Throughout the evaluation period Columbus’s labor_x000a_market was robust; its unemployment rate never exceeded 5 percent, even during the high point of the national recession._x000a_Because individuals in the program and control groups within each site were subject to the same labor market, the quality of the economy by itself should not affect impact estimates; program and control groups shared the same advantages of a tight labor market or disadvantages of a slack one. However, different economic environments can present new opportunities or challenges for welfare-to-work programs. For example, in a good labor market programs focused on job development will have an easier time locating and directing their clients to jobs to which control group members would not have access. In a slack labor market programs may choose to encourage recipients to invest in skills or education._x000a_The size of AFDC caseloads varied with the size of sites’ populations, ranging from about 7,500 in Grand Rapids to almost 90,000 in Detroit in 1991, the beginning of this evaluation. In general, sites’ welfare and program caseloads grew in the early part of the evaluation period, peaked in 1993 or 1994, and declined to their 1991 levels or below by 1996. Although this information is not available in all sites, a small percentage of the entire caseload actually participated in the sites’ welfare-to-work programs. The program caseloads presented in Table 1.2, which represent annual unduplicated counts of program participants, grew substantially over the evaluation period._x000a__x000a_Table 2.2 shows the dates of random assignment and sample sizes by data source, site, and research group. Throughout this report outcomes and impacts from two primary data sources will be presented: administrative records and a client survey (see the following section on data sources). The administrative records sample, composed of 44,569 individuals, is considered to be this report’s full “impact sample.”9 The impact sample spans the full random assignment period for each site and is larger than the client survey sample, which includes 9,675 individuals selected from the full impact sample and spans a shorter period of random assignment._x000a_Ethnicity. The ethnic makeup of the samples in different sites varies, reflecting general differences in the overall ethnic composition of the counties from which the samples were drawn. In Atlanta and Detroit almost all sample members are African-American. About half of the sample members in Grand Rapids, Riverside, Columbus, and Oklahoma City and two-thirds of those in Portland are white. Only Riverside has a substantial portion (one-third) of Hispanic sample members (see Table 2.3)._x000a_Family structure. The “average” welfare-to-work program enrollee in this evaluation is a single-parent 30-year-old female with two children. More likely than not, she has a preschool-age child and chances are relatively high that she had her first child as a teenager. This portrait, however, brushes over the diversity of the families who were included in the program mandate. Grand Rapids, Detroit, Oklahoma City, and Portland chose to include in their program mandate parents with children as young as age 1. In these four sites just under half entered the program when their youngest child was under age 3. The remainder of the sample in the four sites and the full samples in the other three sites were divided between parents with a youngest child aged 3 to 5 and one aged 6 or over. In Grand Rapids, Detroit, and Oklahoma City teen parents are included in the report’s sample (see Table 2.1)._x000a_Educational attainment. Between 55 and 66 percent of enrollees had a high school diploma or GED when they entered the program, and in all sites at least some enrollees had some college or post-secondary schooling. On average, however, sample members had completed just 11 years of school before enrolling._x000a_Employment history. None of the welfare-to-work programs served a population with an extensive work history, though the degree of labor market experience held by sample members varied by site. Fewer than half the individuals in all sites but Oklahoma City had worked at some point during the year before they enrolled (from 21 percent in Detroit to 46 percent in Grand Rapids). Oklahoma City’s all-applicant sample, not surprisingly, was far more likely to have worked in the year before entering the program; 69 percent had done so._x000a_In addition to having limited recent work experience, fewer than half of the sample members in Columbus and Detroit had worked full time for six months or more for one employer at some point prior to entering the program; two-thirds to three-quarters in other sites had done so. Past AFDC receipt. The majority of sample members in all sites but Oklahoma City had already received AFDC for at least two years cumulatively before entering the welfare-to-work program. Just 24 percent of those in Oklahoma City, compared with 54 to 74 percent in the other sites, had received cash assistance for two years or more. Excluding Oklahoma, between 28 and 50 percent had received welfare cumulatively for five years or more._x000a_“Most disadvantaged” status. Sample members who lacked a high school diploma or GED (or were in need of basic education in Riverside), lacked any work history in the year prior to enrolling in the welfare-to-work program, and already had received welfare for two years or more cumulatively before entering the program are considered “most disadvantaged”; the proportion of sample members in all sites so defined ranges from 5 percent in Oklahoma City to 25 percent in Riverside and Detroit._x000a_Housing status. The proportion of program enrollees living in public housing developments or receiving housing assistance through such programs as the Section 8 rental assistance program is highest in Atlanta (56 percent) and lowest in Detroit (7 percent). Federal housing policies have been cited as a possible disincentive for employment; earnings increases mean rent increases for public or subsidized housing residents, who pay rent on a sliding scale. In addition, gross income limits for housing assistance_x000a_eligibility could force a newly employed individual to lose her subsidy._x000a_Compared with the other sites, a fairly large proportion (14 percent) of individuals in Oklahoma City lived in emergency or temporary housing, which is defined as living in a shelter or being homeless, when they applied for AFDC. Less than 3 percent of the enrollees in other sites were experiencing this type of hardship when they entered the program."/>
    <s v="-"/>
    <s v="Seven programs (Atlanta, Grand Rapids, and Riverside HCD; Columbus Integrated and Traditional; and Detroit and Oklahoma City) can be characterized as “education-focused.” (See Exhibit ES-1.) A large percentage of enrollees in these programs were initially assigned to some type of skillbuilding activity. The types of activities to which enrollees were first assigned depended, in part, on the level of educational attainment that individuals had achieved prior to entering the program. Those who had not completed high school or received a GED certificate but who were assessed by case managers as having high school-level skills were assigned to GED preparation classes. Those with lower reading or math levels were assigned to Adult Basic Education classes. In addition, non-English speakers could be assigned to English as a Second Language (ESL) programs. Finally, those who had completed high school or held a GED certificate could be assigned to vocational training or employment-oriented skills courses at local community colleges. All in all, however, assignments to GED preparation or basic education courses were more common than assignment to vocational training programs in these_x000a_education-focused programs, primarily as a result of welfare recipients’ low levels of educational achievement; enrollment in college played an even smaller role._x000a_Some differences existed among the seven education-focused programs. The three HCD programs usually assigned enrollees to education or training programs as their first activity. Case managers in Columbus, Detroit, and Oklahoma had more discretion over activity assignments, but, in practice, most program enrollees were initially assigned to education or training activities in these sites as well. Riverside’s HCD program was also unique among this group in that it did not serve high school graduates and GED holders who, at program entry, scored above minimum levels in reading and math tests._x000a__x000a_The degree to which a program enforces a participation mandate can be viewed as a product of three factors: how wide a cross section of the welfare caseload is enrolled in a program; how closely a program monitors individuals’ participation; and how swiftly and consistently a program imposes financial sanctions, that is, reductions in monthly welfare grants, on those who do not participate._x000a_All four employment-focused programs, and five of the seven education-focused programs, can be considered high enforcement programs; the remaining two education-focused programs, Detroit and Oklahoma City, can be considered low enforcement programs. While technically requiring enrollment from a cross section of their “mandatory” caseloads, these latter two programs put a priority on working with those individuals who expressed interest in participating in the program. In addition, resource constraints kept staff in these sites from closely monitoring individuals’ participation in program activities. _x000a_Finally, staff in these two sites rarely invoked financial sanctions. In contrast, program staff in the other programs generally enrolled and worked with a cross section of the welfare applicants and recipients who were required to participate; monitored participation more closely; and, especially in Columbus and Grand Rapids, frequently invoked sanctions for nonparticipation._x000a__x000a_Other implementation features, beyond those discussed above, can also potentially influence a program’s effectiveness. Two of them — the level of child care support provided and the structure of program case management — are described here. All 11 studied programs offered child care assistance to welfare recipients who needed it while they were participating in program activities or employed. Oklahoma City, Portland, and Detroit provided the strongest staff support for arranging child care. Staff in these programs helped to make child care arrangements and also helped those who found jobs to obtain transitional child care assistance. In contrast, case managers for both Riverside programs did not provide much assistance in setting up child care arrangements, encouraged enrollees to use low- or zero-cost informal child care while they were participating in program activities, and did not actively promote the use of transitional child care benefits._x000a_The programs also differed in their case management strategies. Columbus Integrated, Portland, and Oklahoma City implemented an “integrated case management” staffing arrangement. That is, case managers in these sites combined responsibilities normally performed by income maintenance staff (determining welfare eligibility, calculating welfare grants, invoking financial penalties, and arranging for transitional benefits) with responsibilities usually assigned to welfare-to-work program staff (assigning_x000a_enrollees to employment-related activities, arranging for child care, and monitoring participation)._x000a_Columbus Integrated and Portland staff had sufficient resources and small enough caseloads to perform both of these roles, enabling them to promote a consistent self-sufficiency message. In contrast, in Oklahoma City limited resources and large caseloads led case managers to put most of their overall emphasis on the financial functions of their job._x000a__x000a_The programs also differed in how broadly or narrowly they targeted enrollment. Most notably, Oklahoma City randomly assigned only welfare applicants (that is, persons in the process of applying for welfare), including those whose application for assistance was not yet approved. Additionally, Detroit, Grand Rapids, Oklahoma City, and Portland extended their program coverage to mothers with children as young as age 1, whereas the remaining programs exempted parents whose youngest child was under age 3. Riverside limited enrollment in its HCD program to individuals determined by program regulations to need basic education because they lacked a high school diploma or GED certificate, attained low scores on a reading or math exam administered at program entry, or had limited proficiency in English. Finally, other pro-grams limited enrollment (and thus those eligible for random assignment) by capping caseloads for program staff and establishing waiting lists for enrollees (Atlanta) or by excluding those who, in the judgment of program staff, had serious barriers to participation (Portland). Because of these and other factors, the research samples differed across the seven sites in key_x000a_background characteristics likely to affect individuals’ chances of finding employment and leaving welfare._x000a__x000a_A. Education-Focused Programs_x000a_The Oklahoma City program encouraged long-term education and training activities instead of active job search almost universally. Case managers communicated to clients the importance of education, even in job clubs, as a way to increase skills for later entry into the labor market._x000a__x000a_The Atlanta HCD, Grand Rapids HCD, and Columbus Integrated and Traditional programs emphasized increasing skills through formal education and training before entry into the labor market. Because of the generally low educational attainment of participants in these programs, basic education was a common first activity, though Grand Rapids also encouraged participation in vocational training programs. Clients in these programs were given considerable latitude in choosing what kind of education activity they wanted to pursue._x000a_The Detroit program underwent a substantial shift in focus over the study period. Initially, the program emphasized long-term education and training assignments before clients engaged in work search. About midway through the study period clients were referred to a program that required job search first._x000a_The Riverside HCD program, which enrolled only individuals without a high school diploma or GED, generally assigned clients to basic education as a first activity. Short stays in these classes, and active job search once a literacy benchmark was reached, were stressed by case managers throughout clients’ participation. Job developers assisted HCD clients in job club."/>
    <s v="-"/>
    <s v="-"/>
    <s v="Government"/>
    <s v="Randomization"/>
    <s v="Appendix Table 1"/>
    <m/>
    <m/>
    <m/>
    <m/>
    <m/>
    <s v="technical"/>
    <s v="classroom"/>
    <s v="both"/>
    <m/>
    <s v="public"/>
    <m/>
    <n v="400"/>
    <m/>
    <m/>
    <n v="29"/>
    <s v="no"/>
    <s v="Those who had not completed high school or received a GED certificate but who were assessed by case managers as having high school-level skills were assigned to GED preparation classes. Those with lower reading or math levels were assigned to Adult Basic Education classes. In addition, non-English speakers could be assigned to English as a Second Language (ESL) programs. Finally, those who had completed high school or held a GED certificate could be assigned to vocational training or employment-oriented skills courses at local community colleges"/>
    <s v="through interview"/>
    <s v="according to some  beneficiaries characteristics they where assigned to some type of course"/>
    <s v="no"/>
    <s v="some people had incomplete education"/>
    <n v="28"/>
    <s v="The ethnic makeup of the samples in different sites varies, reflecting general differences in the overall ethnic composition of the counties from which the samples were drawn. In Atlanta and Detroit almost all sample members are African-American. About half of the sample members in Grand Rapids, Riverside, Columbus, and Oklahoma City and two-thirds of those in Portland are white. Only Riverside has a substantial portion (one-third) of Hispanic sample members. Between 55 and 66 percent of enrollees had a high school diploma or GED when they entered the program, and in all sites at least some enrollees had some college or post-secondary schooling. On average, however, sample members had completed just 11 years of school before enrolling. Sample members who lacked a high school diploma or GED lacked any work history in the year prior to enrolling in the welfare-to-work program, and already had received welfare for two years or more cumulatively before entering the program are considered “most disadvantaged”; the proportion of sample members in all sites so defined ranges from 5 percent in Oklahoma City to 25 percent in Riverside and Detroit."/>
    <s v="Seven programs (Atlanta, Grand Rapids, and Riverside HCD; Columbus Integrated and Traditional; and Detroit and Oklahoma City) can be characterized as “education-focused.” Enrollees were initially assigned to some type of skill building activity, which depended on the level of education of the individuals and according to case manager criteria. The activities available to the participants were Adult Basic Education classes, English as a Second Language, vocational training or employment-oriented skills courses at local community colleges_x000a__x000a_"/>
    <x v="0"/>
  </r>
  <r>
    <s v="Other"/>
    <s v="Freedman 2000 ii"/>
    <s v="CH"/>
    <x v="60"/>
    <s v="USA"/>
    <s v="1991-1994"/>
    <s v="Atlanta: 32.7 _x000a_Grand Rapids:28.2 _x000a_Riverside: 32.0 _x000a_Columbus: 31.8 _x000a_Detroit: 30.0 _x000a_Oklahoma City: 28.1 _x000a_Portland: 30.3"/>
    <s v="Table 1.2_x000a_Table 2.2_x000a_Table 2.3"/>
    <s v="When planning this evaluation, HHS and MDRC sought to include sites that would demonstrate operation in a diverse range of conditions, though they would not represent all welfare-to-work programs in the country. As shown in Table 1.2, sites varied along several dimensions, such as geographic location, labor market, and welfare grant level To be included in the National Evaluation of Welfare-to-Work Strategies, sites needed large enough welfare caseloads to meet the sample size requirements of the research design. Accordingly, all of the seven sites include urban areas. Detroit, with a population topping 2 million in 1990, is the largest urban area studied in the evaluation, and the only site to lose population (by 3 percent) between 1990 and 1995, roughly the time period covered in this report. Riverside, with a population of over 1 million in 1990, experienced the most growth during this period, adding almost 18 percent to its population by 1995. Population growth in other sites ranged from 5 to 10 percent._x000a_As population grew, so did labor markets. In four sites employment expanded significantly between 1991 and 1996: the employed labor force in Grand Rapids grew by 16 percent, in Atlanta and Portland by 15 percent each, and in Riverside by 12 percent. The other three sites experienced 5 to 9 percent gains._x000a_Rising employment, particularly in localities with rising population, does not necessarily indicate declining unemployment rates. Unemployment rates in all seven sites, however, decreased over this period._x000a_Following national trends, in general, unemployment rates peaked in 1992 and were lowest in 1996. At the end of the evaluation period unemployment rates in most sites were below the national average of 5.4 percent in 1996. Early in the evaluation period unemployment rates in Detroit and Riverside topped 10 percent. Although rates in both localities steadily declined, Riverside’s remained at 8 percent in 1996, significantly higher than the national average. Throughout the evaluation period Columbus’s labor_x000a_market was robust; its unemployment rate never exceeded 5 percent, even during the high point of the national recession._x000a_Because individuals in the program and control groups within each site were subject to the same labor market, the quality of the economy by itself should not affect impact estimates; program and control groups shared the same advantages of a tight labor market or disadvantages of a slack one. However, different economic environments can present new opportunities or challenges for welfare-to-work programs. For example, in a good labor market programs focused on job development will have an easier time locating and directing their clients to jobs to which control group members would not have access. In a slack labor market programs may choose to encourage recipients to invest in skills or education._x000a_The size of AFDC caseloads varied with the size of sites’ populations, ranging from about 7,500 in Grand Rapids to almost 90,000 in Detroit in 1991, the beginning of this evaluation. In general, sites’ welfare and program caseloads grew in the early part of the evaluation period, peaked in 1993 or 1994, and declined to their 1991 levels or below by 1996. Although this information is not available in all sites, a small percentage of the entire caseload actually participated in the sites’ welfare-to-work programs. The program caseloads presented in Table 1.2, which represent annual unduplicated counts of program participants, grew substantially over the evaluation period._x000a__x000a_Table 2.2 shows the dates of random assignment and sample sizes by data source, site, and research group. Throughout this report outcomes and impacts from two primary data sources will be presented: administrative records and a client survey (see the following section on data sources). The administrative records sample, composed of 44,569 individuals, is considered to be this report’s full “impact sample.”9 The impact sample spans the full random assignment period for each site and is larger than the client survey sample, which includes 9,675 individuals selected from the full impact sample and spans a shorter period of random assignment._x000a_Ethnicity. The ethnic makeup of the samples in different sites varies, reflecting general differences in the overall ethnic composition of the counties from which the samples were drawn. In Atlanta and Detroit almost all sample members are African-American. About half of the sample members in Grand Rapids, Riverside, Columbus, and Oklahoma City and two-thirds of those in Portland are white. Only Riverside has a substantial portion (one-third) of Hispanic sample members (see Table 2.3)._x000a_Family structure. The “average” welfare-to-work program enrollee in this evaluation is a single-parent 30-year-old female with two children. More likely than not, she has a preschool-age child and chances are relatively high that she had her first child as a teenager. This portrait, however, brushes over the diversity of the families who were included in the program mandate. Grand Rapids, Detroit, Oklahoma City, and Portland chose to include in their program mandate parents with children as young as age 1. In these four sites just under half entered the program when their youngest child was under age 3. The remainder of the sample in the four sites and the full samples in the other three sites were divided between parents with a youngest child aged 3 to 5 and one aged 6 or over. In Grand Rapids, Detroit, and Oklahoma City teen parents are included in the report’s sample (see Table 2.1)._x000a_Educational attainment. Between 55 and 66 percent of enrollees had a high school diploma or GED when they entered the program, and in all sites at least some enrollees had some college or post-secondary schooling. On average, however, sample members had completed just 11 years of school before enrolling._x000a_Employment history. None of the welfare-to-work programs served a population with an extensive work history, though the degree of labor market experience held by sample members varied by site. Fewer than half the individuals in all sites but Oklahoma City had worked at some point during the year before they enrolled (from 21 percent in Detroit to 46 percent in Grand Rapids). Oklahoma City’s all-applicant sample, not surprisingly, was far more likely to have worked in the year before entering the program; 69 percent had done so._x000a_In addition to having limited recent work experience, fewer than half of the sample members in Columbus and Detroit had worked full time for six months or more for one employer at some point prior to entering the program; two-thirds to three-quarters in other sites had done so. Past AFDC receipt. The majority of sample members in all sites but Oklahoma City had already received AFDC for at least two years cumulatively before entering the welfare-to-work program. Just 24 percent of those in Oklahoma City, compared with 54 to 74 percent in the other sites, had received cash assistance for two years or more. Excluding Oklahoma, between 28 and 50 percent had received welfare cumulatively for five years or more._x000a_“Most disadvantaged” status. Sample members who lacked a high school diploma or GED (or were in need of basic education in Riverside), lacked any work history in the year prior to enrolling in the welfare-to-work program, and already had received welfare for two years or more cumulatively before entering the program are considered “most disadvantaged”; the proportion of sample members in all sites so defined ranges from 5 percent in Oklahoma City to 25 percent in Riverside and Detroit._x000a_Housing status. The proportion of program enrollees living in public housing developments or receiving housing assistance through such programs as the Section 8 rental assistance program is highest in Atlanta (56 percent) and lowest in Detroit (7 percent). Federal housing policies have been cited as a possible disincentive for employment; earnings increases mean rent increases for public or subsidized housing residents, who pay rent on a sliding scale. In addition, gross income limits for housing assistance_x000a_eligibility could force a newly employed individual to lose her subsidy._x000a_Compared with the other sites, a fairly large proportion (14 percent) of individuals in Oklahoma City lived in emergency or temporary housing, which is defined as living in a shelter or being homeless, when they applied for AFDC. Less than 3 percent of the enrollees in other sites were experiencing this type of hardship when they entered the program."/>
    <s v="-"/>
    <s v="Seven programs (Atlanta, Grand Rapids, and Riverside HCD; Columbus Integrated and Traditional; and Detroit and Oklahoma City) can be characterized as “education-focused.” (See Exhibit ES-1.) A large percentage of enrollees in these programs were initially assigned to some type of skillbuilding activity. The types of activities to which enrollees were first assigned depended, in part, on the level of educational attainment that individuals had achieved prior to entering the program. Those who had not completed high school or received a GED certificate but who were assessed by case managers as having high school-level skills were assigned to GED preparation classes. Those with lower reading or math levels were assigned to Adult Basic Education classes. In addition, non-English speakers could be assigned to English as a Second Language (ESL) programs. Finally, those who had completed high school or held a GED certificate could be assigned to vocational training or employment-oriented skills courses at local community colleges. All in all, however, assignments to GED preparation or basic education courses were more common than assignment to vocational training programs in these_x000a_education-focused programs, primarily as a result of welfare recipients’ low levels of educational achievement; enrollment in college played an even smaller role._x000a_Some differences existed among the seven education-focused programs. The three HCD programs usually assigned enrollees to education or training programs as their first activity. Case managers in Columbus, Detroit, and Oklahoma had more discretion over activity assignments, but, in practice, most program enrollees were initially assigned to education or training activities in these sites as well. Riverside’s HCD program was also unique among this group in that it did not serve high school graduates and GED holders who, at program entry, scored above minimum levels in reading and math tests._x000a__x000a_The degree to which a program enforces a participation mandate can be viewed as a product of three factors: how wide a cross section of the welfare caseload is enrolled in a program; how closely a program monitors individuals’ participation; and how swiftly and consistently a program imposes financial sanctions, that is, reductions in monthly welfare grants, on those who do not participate._x000a_All four employment-focused programs, and five of the seven education-focused programs, can be considered high enforcement programs; the remaining two education-focused programs, Detroit and Oklahoma City, can be considered low enforcement programs. While technically requiring enrollment from a cross section of their “mandatory” caseloads, these latter two programs put a priority on working with those individuals who expressed interest in participating in the program. In addition, resource constraints kept staff in these sites from closely monitoring individuals’ participation in program activities. _x000a_Finally, staff in these two sites rarely invoked financial sanctions. In contrast, program staff in the other programs generally enrolled and worked with a cross section of the welfare applicants and recipients who were required to participate; monitored participation more closely; and, especially in Columbus and Grand Rapids, frequently invoked sanctions for nonparticipation._x000a__x000a_Other implementation features, beyond those discussed above, can also potentially influence a program’s effectiveness. Two of them — the level of child care support provided and the structure of program case management — are described here. All 11 studied programs offered child care assistance to welfare recipients who needed it while they were participating in program activities or employed. Oklahoma City, Portland, and Detroit provided the strongest staff support for arranging child care. Staff in these programs helped to make child care arrangements and also helped those who found jobs to obtain transitional child care assistance. In contrast, case managers for both Riverside programs did not provide much assistance in setting up child care arrangements, encouraged enrollees to use low- or zero-cost informal child care while they were participating in program activities, and did not actively promote the use of transitional child care benefits._x000a_The programs also differed in their case management strategies. Columbus Integrated, Portland, and Oklahoma City implemented an “integrated case management” staffing arrangement. That is, case managers in these sites combined responsibilities normally performed by income maintenance staff (determining welfare eligibility, calculating welfare grants, invoking financial penalties, and arranging for transitional benefits) with responsibilities usually assigned to welfare-to-work program staff (assigning_x000a_enrollees to employment-related activities, arranging for child care, and monitoring participation)._x000a_Columbus Integrated and Portland staff had sufficient resources and small enough caseloads to perform both of these roles, enabling them to promote a consistent self-sufficiency message. In contrast, in Oklahoma City limited resources and large caseloads led case managers to put most of their overall emphasis on the financial functions of their job._x000a__x000a_The programs also differed in how broadly or narrowly they targeted enrollment. Most notably, Oklahoma City randomly assigned only welfare applicants (that is, persons in the process of applying for welfare), including those whose application for assistance was not yet approved. Additionally, Detroit, Grand Rapids, Oklahoma City, and Portland extended their program coverage to mothers with children as young as age 1, whereas the remaining programs exempted parents whose youngest child was under age 3. Riverside limited enrollment in its HCD program to individuals determined by program regulations to need basic education because they lacked a high school diploma or GED certificate, attained low scores on a reading or math exam administered at program entry, or had limited proficiency in English. Finally, other pro-grams limited enrollment (and thus those eligible for random assignment) by capping caseloads for program staff and establishing waiting lists for enrollees (Atlanta) or by excluding those who, in the judgment of program staff, had serious barriers to participation (Portland). Because of these and other factors, the research samples differed across the seven sites in key_x000a_background characteristics likely to affect individuals’ chances of finding employment and leaving welfare._x000a__x000a_A. Education-Focused Programs_x000a_The Oklahoma City program encouraged long-term education and training activities instead of active job search almost universally. Case managers communicated to clients the importance of education, even in job clubs, as a way to increase skills for later entry into the labor market._x000a__x000a_The Atlanta HCD, Grand Rapids HCD, and Columbus Integrated and Traditional programs emphasized increasing skills through formal education and training before entry into the labor market. Because of the generally low educational attainment of participants in these programs, basic education was a common first activity, though Grand Rapids also encouraged participation in vocational training programs. Clients in these programs were given considerable latitude in choosing what kind of education activity they wanted to pursue._x000a_The Detroit program underwent a substantial shift in focus over the study period. Initially, the program emphasized long-term education and training assignments before clients engaged in work search. About midway through the study period clients were referred to a program that required job search first._x000a_The Riverside HCD program, which enrolled only individuals without a high school diploma or GED, generally assigned clients to basic education as a first activity. Short stays in these classes, and active job search once a literacy benchmark was reached, were stressed by case managers throughout clients’ participation. Job developers assisted HCD clients in job club."/>
    <s v="-"/>
    <s v="-"/>
    <s v="Government"/>
    <s v="Randomization"/>
    <s v="Exhibit ES-7_x000a_Figure 5.2, 5.3"/>
    <s v="Freedman 2000 i"/>
    <m/>
    <m/>
    <s v="Y"/>
    <s v="I consider it only one intervention."/>
    <s v="technical"/>
    <s v="classroom"/>
    <s v="both"/>
    <m/>
    <s v="public"/>
    <m/>
    <n v="400"/>
    <m/>
    <m/>
    <n v="63"/>
    <s v="no"/>
    <s v="Those who had not completed high school or received a GED certificate but who were assessed by case managers as having high school-level skills were assigned to GED preparation classes. Those with lower reading or math levels were assigned to Adult Basic Education classes. In addition, non-English speakers could be assigned to English as a Second Language (ESL) programs. Finally, those who had completed high school or held a GED certificate could be assigned to vocational training or employment-oriented skills courses at local community colleges"/>
    <s v="through interview"/>
    <s v="according to some  beneficiaries characteristics they where assigned to some type of course"/>
    <s v="no"/>
    <s v="some people had incomplete education"/>
    <n v="29"/>
    <s v="The ethnic makeup of the samples in different sites varies, reflecting general differences in the overall ethnic composition of the counties from which the samples were drawn. In Atlanta and Detroit almost all sample members are African-American. About half of the sample members in Grand Rapids, Riverside, Columbus, and Oklahoma City and two-thirds of those in Portland are white. Only Riverside has a substantial portion (one-third) of Hispanic sample members. Between 55 and 66 percent of enrollees had a high school diploma or GED when they entered the program, and in all sites at least some enrollees had some college or post-secondary schooling. On average, however, sample members had completed just 11 years of school before enrolling. Sample members who lacked a high school diploma or GED lacked any work history in the year prior to enrolling in the welfare-to-work program, and already had received welfare for two years or more cumulatively before entering the program are considered “most disadvantaged”; the proportion of sample members in all sites so defined ranges from 5 percent in Oklahoma City to 25 percent in Riverside and Detroit."/>
    <s v="Seven programs (Atlanta, Grand Rapids, and Riverside HCD; Columbus Integrated and Traditional; and Detroit and Oklahoma City) can be characterized as “education-focused.” Enrollees were initially assigned to some type of skill building activity, which depended on the level of education of the individuals and according to case manager criteria. The activities available to the participants were Adult Basic Education classes, English as a Second Language, vocational training or employment-oriented skills courses at local community colleges_x000a__x000a_"/>
    <x v="0"/>
  </r>
  <r>
    <s v="Other"/>
    <s v="GAO 1996"/>
    <s v="PG"/>
    <x v="61"/>
    <s v="USA"/>
    <n v="1988"/>
    <s v="&gt;=16"/>
    <s v="-"/>
    <s v="Enacted in 1982, title II of the Job Training Partnership Act (JTPA) has been the cornerstone of federal employment training programs, providing block grants to state and local governments to administer these federally funded programs. JTPA supports job training for individuals facing barriers to employment and needing special training to obtain productive employment. Under recent legislative proposals to consolidate multiple federally funded training programs, states would have the flexibility to design and implement a statewide approach to job training based on the concept of one-stop career centers. As states design and implement their approaches to job training, lessons learned from JTPA can help in reallocating training dollars and in setting performance standards._x000a__x000a_JTPA training programs annually provide employment training for specific occupations and services, such as job search assistance and remedial._x000a_education. "/>
    <s v="Job Training Partnership (JTPA)"/>
    <s v="Enacted in 1982, JTPA is the largest federal employment training program, with titles II-A and II-C intended to prepare economically disadvantaged adults and youths, respectively, for entry into the labor force.7 JTPA emphasizes state and local government responsibility for administering federally funded job training programs. In fiscal year 1995, JTPA title II-A and II-C programs received approximately $1.6 billion in funding. _x000a__x000a_JTPA training programs annually provide employment training for specific occupations and services, such as job search assistance and remedial education, to roughly one million economically disadvantaged individuals. Training is provided in local service delivery areas (SDA) through service providers, such as vocational-technical high schools, community colleges, proprietary schools, and comunity-based organizations. The program objectives are to increase earnings and employment and to reduce welfare dependence for participants of all ages. During the NJS, participation in JTPA involved roughly 3 to 4 months of training at an average cost of about $2,400 per participant._x000a__x000a_In 1986, Labor commissioned the NJS to evaluate the impact of JTPA on adults and youths because previous findings on the effects of job training programs had been hampered by poor data and statistical problems. The NJS randomly assigned persons who sought JTPA services, and were eligible for them, to a treatment group or a control group. The study included over 20,000 eligible participants who applied for JTPA_x000a_services between November 1987 and September 1989 in 16 local SDAs._x000a__x000a_The original NJS data set contained demographic and program information on 20,601 people who applied for JTPA services between November 1987 and September 1989 in 16 local service delivery areas. Approximately two-thirds of the applicants were assigned to the treatment group and one-third to the control group. The control and treatment groups were closely matched in demographic variables such as age, race, and education, which typically allows a meaningful comparison of average outcomes between the two groups._x000a__x000a_However, two factors intervened to make such a comparison problematic. First, not all members of the treatment group participated in JTPA programs. For example, about two-thirds of the adult treatment group_x000a_members enrolled in JTPA, but the other one-third either found jobs on their own or decided not to participate in the program. Second, a substantial minority of the control group members chose to participate in some alternative, non-JTPA training programs._x000a__x000a_We obtained annual earnings records from SSA for the individuals in the NJS treatment and control groups. SSA maintains information on annual earnings of individuals contributing to either Social Security or Medicare. We assumed that an individual was employed if his or her SSA records showed positive earnings for a given year. We adjusted data for what we assumed were data entry or processing errors, and we also rounded reported negative earnings to zero._x000a__x000a_We analyzed the NJS and SSA earnings records of 13,699 NJS participants12 to determine their annual earnings and employment outcomes for the 3 years before assignment to the treatment or control group, the year of assignment, and 5 years following assignment. 12 We did not analyze earnings and employment information for the NJS participants who were assigned after 1988 because we had only 4 years of postassignment data for them. We also excluded the NJS participants whose SSA records did not adequately match information collected for the NJS, such as name or birth month and year._x000a__x000a_The study included over 20,000 eligible participants who applied for JTPA. _x000a__x000a_Program applicants were recruited, screened to determine their eligibility, assessed to determine their service needs and wants, and recommended for services._x000a_NJS participants were then randomly assigned to either the treatment group, which was allowed to participate in JTPA title II-A programs, or the control group, which was not allowed to participate in these programs for 18 months. Approximately two-thirds of the applicants were assigned to the treatment group and one-third to the control group. The control and treatment groups were closely matched in demographic variables such as_x000a_age, race, and education, which typically allows a meaningful comparison of average outcomes between the two groups._x000a__x000a_We analyzed the NJS and SSA earnings records of 13,699 NJS participants12 to determine their annual earnings and employment outcomes for the 3 years before assignment to the treatment or control group, the year of_x000a_assignment, and 5 years following assignment. The 3 years of prior earnings and employment data served to demonstrate the prior comparability of treatment and control groups. The 5 years of postassignment data effectively doubled the 30-month follow-up period for_x000a_the NJS. The treatment group had 9,275 individuals, and the control group had 4,424 individuals."/>
    <s v=" Participation in JTPA involved roughly 3 to 4 months of training at an average cost of about $2,400 per participant. In fiscal year 1995, JTPA received approximately $1.6 billion in funding."/>
    <s v="3 to 4 months of training"/>
    <s v="Government"/>
    <s v="Randomization"/>
    <s v="Figure 1-8"/>
    <m/>
    <m/>
    <s v="Year of start evaluation is the average between the beginning and the end of evaluation (1987-1989). _x000a__x000a_&quot;JTPA training programs annually provide employment training for specific occupations and services, such as job search assistance and remedial._x000a_education&quot;. Question: Do we turn this paper down? Because it does job search assistance mainly."/>
    <m/>
    <m/>
    <s v="technical"/>
    <s v="both"/>
    <s v="both"/>
    <m/>
    <s v="public, private"/>
    <n v="4"/>
    <m/>
    <m/>
    <m/>
    <n v="0"/>
    <s v="no"/>
    <s v="However, two factors intervened to make such a comparison problematic. First, not all members of the treatment group participated in JTPA programs. For example, about two-thirds of the adult treatment group_x000a_members enrolled in JTPA, but the other one-third either found jobs on their own or decided not to participate in the program. Second, a substantial minority of the control group members chose to participate in some alternative, non-JTPA training programs._x000a_"/>
    <s v="?"/>
    <m/>
    <s v="no"/>
    <m/>
    <n v="30"/>
    <m/>
    <m/>
    <x v="1"/>
  </r>
  <r>
    <s v="Betcherman 2004"/>
    <s v="Heckman 2000 i"/>
    <s v="BT/DU"/>
    <x v="61"/>
    <s v="USA"/>
    <n v="1988"/>
    <s v="min: 16"/>
    <s v="Appendix 1"/>
    <s v="to persons receiving_x000a_means-tested government transfers or who had low family incomes_x000a_in the preceding six months. Although funded at the federal_x000a_level, the program was primarily administered by the states and_x000a_by local training centers with independent authority_x000a__x000a_See table I for details on population target for each program of JTPA_x000a__x000a_In order to analyze the effects of departures from (AS-1) and_x000a_(AS-2) most clearly, we confine our empirical analysis throughout_x000a_the paper to persons recommended for classroom training in_x000a_occupational skills, a group that comprises about one-third of the_x000a_experimental sample and a similar proportion of the overall JTPA_x000a_trainee population [U. S. Department of Labor 1992].10 We omit_x000a_from our analysis persons recommended to receive subsidized_x000a_on-the-job training at private firms, the one JTPA service for_x000a_which few alternative providers exist.11_x000a_"/>
    <s v="Job Training Partnership Act (JTPA)"/>
    <s v="This program provided_x000a_classroom training in occupational skills (CT-OS), basic education_x000a_(often GED preparation), wage subsidies for on-the-job training at_x000a_private firms, and job search assistance to persons receiving_x000a_means-tested government transfers or who had low family incomes_x000a_in the preceding six months._x000a_Classroom training in occupational skills, which forms the primary focus of this study, typically consists of short courses (usually less than six_x000a_months) provided by community colleges, proprietary schools, or nonproﬁt organizations. These courses aim to prepare trainees for occupations such as word processing, electronics repair, and home health care._x000a__x000a_The National JTPA Study (NJS) was an experimental evalua-_x000a_tion of JTPA conducted at a nonrandom subset of 16 of the more_x000a_than 600 JTPA training centers_x000a__x000a_In the NJS, applicants ac-_x000a_cepted into the program were ﬁrst recommended to receive_x000a_particular training services and then randomly assigned to either_x000a_a treatment group given access to JTPA services or a control_x000a_group excluded from receiving JTPA services for eighteen_x000a_months_x000a_"/>
    <s v=" Participation in JTPA involved roughly 3 to 4 months of training at an average cost of about $2,400 per participant. In fiscal year 1995, JTPA received approximately $1.6 billion in funding."/>
    <s v="3 to 4 months of training"/>
    <s v="Government"/>
    <s v="Randomization DID"/>
    <s v="Table V"/>
    <s v="Gao 1996"/>
    <m/>
    <s v="Information about duration and cost from GAO"/>
    <m/>
    <m/>
    <s v="technical"/>
    <s v="both"/>
    <s v="both"/>
    <m/>
    <s v="public, private"/>
    <n v="4"/>
    <m/>
    <m/>
    <m/>
    <n v="208"/>
    <s v="no"/>
    <s v="&quot;In the NJS, applicants accepted_x000a_into the program were first recommended to receive_x000a_particular training services and then randomly assigned to either a treatment group given access to JTPA services or a control group excluded from receiving JTPA services for eighteen months. Follow-up surveys collected information on the earnings and employment outcomes of persons in the experiment. We use these self-reported data to construct the outcome &quot;_x000a_"/>
    <s v="through interview"/>
    <s v="voluntary enrollment"/>
    <s v="no"/>
    <m/>
    <n v="64"/>
    <m/>
    <m/>
    <x v="1"/>
  </r>
  <r>
    <s v="Kluve 2017"/>
    <s v="Heckman 2000 iii"/>
    <s v="BT/DU"/>
    <x v="61"/>
    <s v="USA"/>
    <n v="1987"/>
    <s v="min: 16"/>
    <s v="-"/>
    <s v="Enacted in 1982, title II of the Job Training Partnership Act (JTPA) has been the cornerstone of federal employment training programs, providing block grants to state and local governments to administer these federally funded programs. JTPA supports job training for individuals facing barriers to employment and needing special training to obtain productive employment. Under recent legislative proposals to consolidate multiple federally funded training programs, states would have the flexibility to design and implement a statewide approach to job training based on the concept of one-stop career centers. As states design and implement their approaches to job training, lessons learned from JTPA can help in reallocating training dollars and in setting performance standards._x000a__x000a_JTPA training programs annually provide employment training for specific occupations and services, such as job search assistance and remedial._x000a_education. "/>
    <s v="Job Training Partnership (JTPA)"/>
    <s v="Enacted in 1982, JTPA is the largest federal employment training program, with titles II-A and II-C intended to prepare economically disadvantaged adults and youths, respectively, for entry into the labor force.7 JTPA emphasizes state and local government responsibility for administering federally funded job training programs. In fiscal year 1995, JTPA title II-A and II-C programs received approximately $1.6 billion in funding. _x000a__x000a_JTPA training programs annually provide employment training for specific occupations and services, such as job search assistance and remedial education, to roughly one million economically disadvantaged individuals. Training is provided in local service delivery areas (SDA) through service providers, such as vocational-technical high schools, community colleges, proprietary schools, and comunity-based organizations. The program objectives are to increase earnings and employment and to reduce welfare dependence for participants of all ages. During the NJS, participation in JTPA involved roughly 3 to 4 months of training at an average cost of about $2,400 per participant._x000a__x000a_In 1986, Labor commissioned the NJS to evaluate the impact of JTPA on adults and youths because previous findings on the effects of job training programs had been hampered by poor data and statistical problems. The NJS randomly assigned persons who sought JTPA services, and were eligible for them, to a treatment group or a control group. The study included over 20,000 eligible participants who applied for JTPA_x000a_services between November 1987 and September 1989 in 16 local SDAs._x000a__x000a_The original NJS data set contained demographic and program information on 20,601 people who applied for JTPA services between November 1987 and September 1989 in 16 local service delivery areas. Approximately two-thirds of the applicants were assigned to the treatment group and one-third to the control group. The control and treatment groups were closely matched in demographic variables such as age, race, and education, which typically allows a meaningful comparison of average outcomes between the two groups._x000a__x000a_However, two factors intervened to make such a comparison problematic. First, not all members of the treatment group participated in JTPA programs. For example, about two-thirds of the adult treatment group_x000a_members enrolled in JTPA, but the other one-third either found jobs on their own or decided not to participate in the program. Second, a substantial minority of the control group members chose to participate in some alternative, non-JTPA training programs._x000a__x000a_We obtained annual earnings records from SSA for the individuals in the NJS treatment and control groups. SSA maintains information on annual earnings of individuals contributing to either Social Security or Medicare. We assumed that an individual was employed if his or her SSA records showed positive earnings for a given year. We adjusted data for what we assumed were data entry or processing errors, and we also rounded reported negative earnings to zero._x000a__x000a_We analyzed the NJS and SSA earnings records of 13,699 NJS participants12 to determine their annual earnings and employment outcomes for the 3 years before assignment to the treatment or control group, the year of assignment, and 5 years following assignment. 12 We did not analyze earnings and employment information for the NJS participants who were assigned after 1988 because we had only 4 years of postassignment data for them. We also excluded the NJS participants whose SSA records did not adequately match information collected for the NJS, such as name or birth month and year._x000a__x000a_The study included over 20,000 eligible participants who applied for JTPA. _x000a__x000a_Program applicants were recruited, screened to determine their eligibility, assessed to determine their service needs and wants, and recommended for services._x000a_NJS participants were then randomly assigned to either the treatment group, which was allowed to participate in JTPA title II-A programs, or the control group, which was not allowed to participate in these programs for 18 months. Approximately two-thirds of the applicants were assigned to the treatment group and one-third to the control group. The control and treatment groups were closely matched in demographic variables such as_x000a_age, race, and education, which typically allows a meaningful comparison of average outcomes between the two groups._x000a__x000a_We analyzed the NJS and SSA earnings records of 13,699 NJS participants12 to determine their annual earnings and employment outcomes for the 3 years before assignment to the treatment or control group, the year of_x000a_assignment, and 5 years following assignment. The 3 years of prior earnings and employment data served to demonstrate the prior comparability of treatment and control groups. The 5 years of postassignment data effectively doubled the 30-month follow-up period for_x000a_the NJS. The treatment group had 9,275 individuals, and the control group had 4,424 individuals."/>
    <s v=" Participation in JTPA involved roughly 3 to 4 months of training at an average cost of about $2,400 per participant. In fiscal year 1995, JTPA received approximately $1.6 billion in funding."/>
    <s v="3 to 4 months of training"/>
    <s v="Government"/>
    <s v="Randomization"/>
    <s v="Table 8.4, Table 8.5"/>
    <s v="Gao 1996"/>
    <m/>
    <m/>
    <m/>
    <m/>
    <s v="technical"/>
    <s v="both"/>
    <s v="both"/>
    <m/>
    <s v="public, private"/>
    <n v="4"/>
    <m/>
    <m/>
    <m/>
    <n v="175"/>
    <s v="no"/>
    <s v="Local operators also had control over what services to offer to JTPA _x000a_participants. The most common services provided by JTPA were class- _x000a_room training in occupational skills, subsidized on-the-job training at pri- _x000a_vate firms, and job search assistance. _x000a__x000a_ Random assignment took place _x000a_between 1987 and 1989, with the exact dates varying across training cen- _x000a_ters."/>
    <s v="through interview"/>
    <s v="voluntary enrollment"/>
    <s v="no"/>
    <m/>
    <n v="77"/>
    <m/>
    <m/>
    <x v="1"/>
  </r>
  <r>
    <s v="Filges 2015"/>
    <s v="Hendra 2016"/>
    <s v="CH"/>
    <x v="62"/>
    <s v="USA"/>
    <n v="2011"/>
    <s v="mean: 38"/>
    <s v="Table 1.4"/>
    <s v="Table 1.4 presents selected characteristics at baseline of the WorkAdvance research sample by provider and overall.36 The variation in baseline characteristics that is seen across providers is likely to reflect provider-specific eligibility criteria, the sectors selected, and the city in which the provider is located. Various tests for baseline equivalence between the WorkAd-vance group and the control group are presented and discussed in Appendix A. As expected (by virtue of the random assignment research design) there are no meaningful or systematic differ-ences between the research groups._x000a_The average WorkAdvance sample member is 34 years old, black/African-American, and single, with some variation seen across the sectors. Notably, the Per Scholas sample mem-bers are younger and much less likely to have children. The majority of WorkAdvance sample members are male, with the exception of the health care sector at Towards Employment (not shown separately), in which more than 92 percent of sample members are female. Almost all sample members had at least a high school diploma or General Educational Development (GED) certificate, and over half the sample had at least some college education — a much high-er rate than seen in the SEIS. Individuals at the St. Nicks Alliance site had lower levels of edu-cation than at the other sites._x000a_Early in the follow-up period in particular, the sample composition seemed heavily af-fected by the Great Recession and the accompanying labor market displacement that took place in 2008-2009. These events pushed many previously stably employed individuals into unem-ployment and led to declines in the economic circumstances of many formerly “middle-class” individuals. Almost all sample members had previous work experience, but only one in five were working at the time that they entered the study. In addition, more than 36 percent of sam-ple members had been unemployed for at least seven months before study entry. Overall, 15 percent of sample members had previous work experience in their targeted industry; this rate varied from 2 percent at St. Nicks Alliance to 31 percent at Towards Employment, which fo-cused partly on health care, an industry which employs a large number of workers and which has low barriers to entry-level jobs, such as home health aides and nursing assistants. Despite fairly high levels of education and work experience, many sample members still faced substan-tial barriers to employment, and many were receiving public benefits. One-quarter of the overall sample had a previous criminal conviction, and even higher rates were seen within the transpor-tation and manufacturing sectors. At study entry, less than half the sample members were cov-ered by health insurance, 6 percent were receiving Temporary Assistance for Needy Families (welfare), 16 percent were receiving unemployment insurance benefits, and over one-third were receiving food stamps._x000a_Table 1.4 also presents a column showing selected baseline characteristics for a national sample of low-wage workers. While WorkAdvance targeted all unemployed and low-wage workers, the sample ultimately enrolled in the study reflects the providers’ choice of sectors and recruitment methods, and the study and provider screening criteria. There are a few notable dif-ferences between the WorkAdvance sample and the national low-wage worker sample. Over half of the national sample is female, compared with only 27 percent of the WorkAdvance sam-ple. This is probably due in part to the sectors targeted by the WorkAdvance providers; all of the sectors, with the exception of health care, tend to be male dominated. The WorkAdvance sample had relatively higher levels of education: Over one-quarter of the national low-wage worker sample does not have a GED or high school diploma, compared with only 6 percent of the WorkAdvance sample. Few individuals in either sample lack work experience, but the na-tional sample has higher proportions of individuals who are currently employed and individuals who have been out of work for over a year (not shown)._x000a__x000a_WorkAdvance began operations in June 2011, random assignment concluded in June 2013, and this report covers outcomes through September 2015. The WorkAdvance study coin-cided with a time of fairly steady economic growth despite occurring during the slow recovery period following the Great Recession — a period when even relatively experienced and skilled workers struggled to find work. The early part of the recovery was notable for its lack of job creation and earnings growth. This was compounded by the fact that the period up to 2007 was sometimes called the “jobless recovery.” Thus, low-wage workers confronted an extended peri-od of labor market stagnation.37 Recent studies indicate that employers have responded to this increased supply of unemployed workers by being especially selective about whom they hire, particularly in relation to recent work experience. Those who have been out of the labor market for six months or longer are much less likely to receive calls for job interviews, even when ap-plicants have extensive relevant experience.38 Despite these challenging economic conditions, during the study period unemployment fell by 2.7 percentage points nationally — from 8.9 per-cent in 2011 to 5.3 percent in 2015. There was some important economic variation by site loca-tion, as shown in Appendix B. Notably, the economy was especially strong during the study period in Tulsa due to a local economic boom related to the natural gas and oil industries. While the economy in New York City was improving throughout the evaluation period, the environ-mental remediation industry (which the St. Nicks Alliance program focused on) was quite slack early in the follow-up period. In Ohio, the economy was fairly steady."/>
    <s v="WorkAdvance"/>
    <s v="The WorkAdvance Model_x000a_A fundamental focus on employer input and long-term career advancement is reflected in each of the five WorkAdvance program elements shown in Figure 1.1 (including screening, which precedes enrollment). WorkAdvance is a workforce development model designed to help unemployed and low-wage working adults increase their employment and earnings by finding good quality jobs in selected sectors that have room for advancement within established career pathways. The essential theory behind WorkAdvance is that strategic upgrades in human capital — that is, education and employment-related skills and experience — will lead to advancement in the labor market, but only if training and job preparation are directly aligned with specific job openings. This theoretical pathway applies to most program participants in the evaluation. For those who did not attend training (because they already had the requisite skills and experience) the theory is that strong connections to the labor market will help facilitate access to jobs in the selected industry. The theory also assumes that well-regarded providers with strong labor mar-ket connections will have a spillover effect: They will help individuals who would otherwise not be as well represented in the labor market. For example, sector programs can advocate for indi-viduals who have trouble entering the labor market because of discrimination by race or gender. A critical part of the sectoral vision is that employers will come to trust organizations that pre-pare trainees, and these organizations will become labor market intermediaries that over time become valuable to employers as a source of recruitment for qualified job applicants. Eventual-ly such providers also might be able to advocate on behalf of employees for better wages and working conditions._x000a_As displayed in Figure 1.1, the program includes the following key components:_x000a_1. Intensive screening of program applicants before enrollment — a practice not always common in employment programs offered to low-income indi-viduals — is intended to ensure that program providers select participants who can take advantage of the skills training for the sector and occupations. The expectation is that screening closely aligns with employer requirements for the targeted jobs. This was identified as one of the key elements of suc-cess in the SEIS._x000a_2. Sector-appropriate preemployment and career readiness services com-prise an orientation to the sector, career readiness training, individualized ca-reer coaching, and limited supportive services to sustain engagement and as-sist participants to complete their training and find employment._x000a_3. Sector-specific occupational skills training is intended to impart skills and lead to credentials that will substantially enhance workers’ employment op-portunities. Providers offer training tailored to current job openings in specif-ic sectors and occupations. In addition, providers are to adapt these offerings to changes in available jobs. This step did not apply to all enrollees in this evaluation. Early in the sample enrollment period approximately half the en-rollees at two of the four WorkAdvance providers were in a placement-first track in which they skipped the training phase (discussed further below)._x000a_4. Sector-specific job development and placement services are intended to facilitate entry into positions for which the participants have been trained and for which there are thought to be genuine opportunities for continued skill development and career advancement. The providers’ job developers are ex-pected to maintain strong relationships with employers who hire individuals with the kinds of skills the program has imparted._x000a_5. Postemployment retention and advancement services are meant to assist participants beyond the placement stage. Providers are expected to maintain close contact with workers and employers to assess performance, offer coaching to address any complicating life situations that might arise for workers, help identify next-step job opportunities and skills training to enable participants to move up career ladders over time, and assist with rapid reemployment if workers lose their jobs. By working closely with employers and understanding the career trajectories in their workplaces, providers should be able to help guide a participant’s career path._x000a_The Two-Track Model_x000a_Although all the WorkAdvance providers eventually emphasized training before job placement, two of them (in northeast Ohio and Tulsa) implemented the program model with two separate tracks. This program design was suggested in the site selection process, based on previous workforce experience in New York City. One track emphasized gaining skills first through training (similar to most other sector-based programs), and the other sought to place people into jobs first; the goal for the two dual-track providers was to designate at least 50 per-cent of their participants to go into training first, while the remainder could be placed first. The placement-first track was intended to be a less expensive but still effective route to advancement by enabling enrollees to gain experience and sector-specific skills (such as through on-the-job training) without participating in formal training first. Another rationale for making placements right away was that it helped the providers offer and deliver a more immediate service to em-ployers while participants in the other track were still going through training and provider staff members were building relationships with employers. However, at MDRC’s urging, both the providers eventually shifted mostly to the training-first approach, since providers were not go-ing to be able to reach the goal of enrolling 50 percent of participants in training if so many people continued to be placed first. Additionally, preliminary evidence suggested that place-ment first too often resulted in participants entering low-wage jobs that, in practice, did not lead to on-the-job acquisition of skills._x000a__x000a_To competitively select local providers in three geographic areas — New York City; northeast Ohio (Greater Cleveland and Youngstown); and Tulsa, Oklahoma — rather than to conduct a broader national search. A principal consideration in selecting the geographic areas was demonstrated local interest, as represented by a commitment to help raise the match fund-ing needed to satisfy the SIF requirements. A second important factor was that there be a diver-sity of local economies and industry sectors, so that the WorkAdvance demonstration could draw on a range of local conditions to inform potential replication and expansion of similar pro-grams._x000a_The four providers that were selected for WorkAdvance had a range of experiences and backgrounds. Ultimately, this benefited the study, as it provided the opportunity to learn, among other things, whether an array of providers — including some that were less mature in their de-livery of sectoral programs than those included in the SEIS or that had no sectoral experience at all — could successfully implement WorkAdvance._x000a_The WorkAdvance providers were selected by CEO and the Mayor’s Fund to Advance New York City through a competitive process conducted within each of the identified geo-graphic areas, with input from MDRC and local stakeholders from each region, including repre-sentatives of government and philanthropy. A primary factor in selection decisions was whether a provider could demonstrate that it was currently, or had the capability to be, firmly grounded in a targeted sector; this included in-depth knowledge of and strong relationships with employ-ers who provided letters of support. Applicants had to demonstrate current or potential capacity to operate at the intended scale, to carry out an advancement-focused approach, and to work with a range of lower-income individuals — rather than only those who would be easiest to place in jobs. Additional selection criteria included overall organizational capabilities (including appropriate fiscal and data management capacity and the ability to comply with federal funding requirements), clear commitment to the program model, and a willingness and ability to partici-pate in a random assignment study and to help raise matching local funds. All the selected pro-viders demonstrated the commitment of the agency’s leadership to the requirements of the WorkAdvance demonstration CEO and the Mayor’s Fund did not specify the targeted sectors in each geographic area; instead, providers proposed and had to justify the sector and range of occupations, based on their experience, local labor market information, and the advancement potential of the targeted jobs._x000a_The four organizations selected to operate WorkAdvance are as follows:_x000a_• Per Scholas in the Bronx, New York, which focused on the information technology (IT) sector_x000a_• St. Nicks Alliance in Brooklyn, New York, which focused on environmental remediation and related occupations_x000a_• Madison Strategies Group in Tulsa, Oklahoma, which focused on the trans-portation and manufacturing sectors_x000a_• Towards Employment in northeast Ohio, which focused on the health care and manufacturing sectors_x000a_Table 1.2 provides some background on the four WorkAdvance providers. Chapter 2 provides more details, particularly with regard to the organizations’ levels of experience in operating sec-toral training programs. All four programs continue to provide services similar to those offered under WorkAdvance._x000a__x000a_From June 2011 through June 2013, individuals who met the WorkAdvance and sector-specific eligibility criteria were assigned at random to the WorkAdvance group or to the control group. Members of the WorkAdvance group were offered WorkAdvance services, while those in the control group were not eligible for WorkAdvance services but were eligible for other ser-vices available in the community. The first six months of random assignment consisted of a pilot phase, designed to provide the organizations with time to work out implementation issues and to learn to perform research procedures (such as collecting baseline data, explaining in-formed consent, and conducting random assignment). A pilot assessment was conducted to de-termine how well the program was implemented during the pilot phase. The assessment con-cluded that the program was sufficiently well implemented to enable the pilot sample to be in-corporated in the research sample._x000a__x000a_WorkAdvance was a multicomponent program that required all providers to go beyond their normal operations. All providers received extensive technical assistance during the study period, to ensure that research procedures were being followed and to ensure that the providers were delivering the strongest program possible, according to the way it was designed. MDRC and several consultants provided technical assistance."/>
    <s v="Expenditures on the operation of WorkAdvance ran between $5,200 and $6,700 per participant for the four providers delivering the program and were between $5,200 and $5,800 at three of the programs."/>
    <s v="High heterogeneity by Site and by pccupation: _x000a__x000a_Career Readiness Training: Between 30 and 84 hours_x000a__x000a_Occupational Skills Training: Between 4 to 32 weeks."/>
    <s v="NGO"/>
    <s v="Randomization"/>
    <s v="Figure 5.2"/>
    <s v="Schaberg 2017"/>
    <m/>
    <s v="In addition to the high heterogeneity in the duration of the treatment, there is also heterogeneity in the sample because training was delivered by cohorts, that means, that some receive the training before the others and at the endline all respondents were pooled."/>
    <m/>
    <m/>
    <s v="technical, job-readniess"/>
    <s v="classroom"/>
    <s v="both"/>
    <m/>
    <s v="private"/>
    <n v="5"/>
    <n v="150"/>
    <m/>
    <m/>
    <n v="21"/>
    <s v="no"/>
    <s v=". The essential theory behind WorkAdvance is that strategic upgrades in human capital — that is, education and employment-related skills and experience — will lead to advancement in the labor market, but only if training and job preparation are directly aligned with specific job openings. This theoretical pathway applies to most program participants in the evaluation. For those who did not attend training (because they already had the requisite skills and experience) "/>
    <s v="centralized"/>
    <m/>
    <s v="no"/>
    <m/>
    <n v="32"/>
    <m/>
    <m/>
    <x v="3"/>
  </r>
  <r>
    <m/>
    <s v="Schaberg 2017"/>
    <s v="DH"/>
    <x v="62"/>
    <s v="USA"/>
    <n v="2011"/>
    <s v="mean: 35"/>
    <s v="Table 1"/>
    <s v="Many individuals with low incomes struggle to obtain and maintain jobs that pay them_x000a_enough to meet their needs and put them on a path to upward mobility. At the same time,_x000a_employers often report difficulty finding workers with the required skills. WorkAdvance —_x000a_a workforce development model — seeks to overcome these challenges through a “dual customer”_x000a_approach that meets the needs of both job seekers and employers."/>
    <s v="WorkAdvance"/>
    <s v="The WorkAdvance model was implemented by four providers, and the programs were evaluated using a randomized controlled trial design. A total of 2,564 individuals enrolled in the study between June 2011 and June 2013 and were assigned at random to either the program (WorkAdvance) group or the control group. Individuals in both research groups were tracked over time, and their outcomes were compared to estimate the “impacts” of the programs"/>
    <m/>
    <s v="Approx 5 months"/>
    <s v="NGO"/>
    <s v="Randomization"/>
    <m/>
    <m/>
    <m/>
    <m/>
    <m/>
    <m/>
    <s v="technical, job-readniess"/>
    <s v="classroom"/>
    <s v="both"/>
    <m/>
    <s v="private"/>
    <n v="5"/>
    <n v="150"/>
    <m/>
    <m/>
    <n v="4"/>
    <s v="no"/>
    <s v=". The essential theory behind WorkAdvance is that strategic upgrades in human capital — that is, education and employment-related skills and experience — will lead to advancement in the labor market, but only if training and job preparation are directly aligned with specific job openings. This theoretical pathway applies to most program participants in the evaluation. For those who did not attend training (because they already had the requisite skills and experience) "/>
    <s v="centralized"/>
    <m/>
    <s v="no"/>
    <m/>
    <n v="33"/>
    <m/>
    <m/>
    <x v="3"/>
  </r>
  <r>
    <s v="Macours 2013 i"/>
    <s v="Miller 2003 ii"/>
    <s v="CH"/>
    <x v="63"/>
    <s v="USA"/>
    <s v="1995-1999"/>
    <s v="16 - 22_x000a_Mean: 19.1"/>
    <s v="Table 1.2, _x000a_Table 1.3, _x000a_Table 1.4, Table 1.5"/>
    <s v="The Center for Employment Training (CET) in San Jose, California, was one employment_x000a_and training program that showed considerable promise as an alternative to prevailing employment and training services for youth. Two national random assignment evaluations of programs in which CET was included as a site — the Minority Female Single Parent Demonstration (MFSP) and the JOBSTART Demonstration — showed that CET was uniquely able to achieve positive results. Building on this track record of effectiveness, DOL in 1992 initiated and funded the CET replication demonstration, which eventually operated in 22 sites. In each site, the national CET office in San Jose cooperated with a local CET program (ranging from newly formed entities to long-established organizations) to implement employment and training services for out-of-school youth, modeled on the services and program approach that characterize CET-San Jose._x000a__x000a_Generally speaking, disadvantaged youth are the last to benefit from expanding job opportunities and the first to feel the brunt of recession. During 2001 and early 2002, for instance, the total decline in employment among all young adults ages 16 to 24 was 984,000, or 53 percent of the total job losses among all U.S. adults — despite the fact that these same young adults represented only about 15 percent of all employed adults at the beginning of this time period. Career prospects are most severely limited for youth who have not completed high school. In 1999, the National Center for Education Statistics reported that five of every hundred high school students had dropped out during the previous school year. This estimate is similar tocdata reported over the preceding decade. About 2.4 million youth ages 16 to 24 lack a high_x000a_school diploma or a General Educational Development (GED) certificate and are no longer in_x000a_school. Only one in six of these young people are able to find a full-time job paying more than poverty-level wages (corresponding to $320 per week)._x000a__x000a_Thirty months after the out-of-school youth applied to CET, survey respondents were young adults between the ages of 19 and 24. At this time, as is seen in Table 1.3, almost half of the young adults in the control group were still living with their parent(s) or another adult relative. Most were still single, although about 13 percent were married and another 20 percent were living with a partner. Almost 40 percent of the youth in the control group faced the challenge of being a young parent when they applied for CET. However, by Month 30, nearly 60 percent of them were parents, and most were living with all their children._x000a_Of the respondents who were living with children,23 over half were living with a spouse or partner (not shown in the table), and many were living with their parents or other family members. However, more than 20 percent of those living with children at the time of follow-up (or 10 percent of all control sample members) were single heads of household — raising children without a spouse or partner in the household and not living with others. Although employed, the young parents in this sample most often relied on family and household members for child care. Among the parents who were responsible for a child while at their most recent job, half had their children cared for in their own home; approximately a third had their youngest child cared for in another home._x000a_The survey asked a number of questions about the frequency and amount of alcohol and marijuana use in the month preceding the survey. Table 1.3 shows that 30 percent of the control sample reported consuming any alcohol in the prior month and that 9 percent reported using marijuana. These percentages are both relatively low, compared with findings in a national survey of young people of similar ages. The National Household Survey on Drug Abuse (NHSDA) for 2001 found that more than half of people between the ages of 18 and 25 reported drinking in the previous month (more than 60 percent of those between ages 21 and 25) and that 16 percent of people in this same age group had used marijuana in the past month. Table 1.3 also shows that only about 2 percent of all control group members reported having received any treatment or counseling in the year prior to follow-up._x000a_Table 1.4 presents the characteristics of several subgroups of the control sample and shows some significant differences by age, gender, and ethnicity. Perhaps the most notable differences are those by gender. At follow-up, 67 percent of the women but only 41 percent of the men in the control group were parents. In addition, as the top panel of the table shows, 17 percent of all women were single heads of household at follow-up, compared with less than 1 percent of men. These findings show the considerable obstacles facing women in the control group._x000a_More than a third of the women gave birth to a child after random assignment, which may have made it more difficult for them, from the start, to continue participating in alternative job training programs or to be employed. Although few men had the burden of being a single head of household, many still faced responsibilities of parenthood. With respect to age, members of the younger group, as expected, were more likely to be living with their parents and less likely to be married or to have children. Nonetheless, the proportion of the younger group who had children was fairly high, at 46 percent. The subgroup analysis by race also reveals some interesting differences, mainly related to household composition and marriage. For example, the Hispanic control group members were more likely than their African-American counterparts to be living with their parents at follow-up and were more likely to be married and living with their spouse (Table 1.4). And although childbearing patterns were similar for the two groups, 17 percent of the African-American youth were single heads of household, compared with only 5 percent of the Hispanic youth. Table 1.4 also reveals large differences between men and women in terms of alcohol and marijuana use and in arrest records. In the month preceding the survey, men were about twice as likely to have consumed alcohol and were more than three times as likely to have used marijuana. The table also shows that 25 percent of the men had been arrested at least once since random assignment, compared with just 4 percent of the women. This analysis reveals a significant barrier to employment for a relatively large percentage of the men in the control group. Although these men sought to acquire training and to find jobs, employers are often reluctant to hire young men with arrest records."/>
    <s v="Center for Employment Training (CET) "/>
    <s v="The Genesis of the CET Replication Project Encouraged by CET-San Jose’s performance in both the JOBSTART and the MFSP evaluations, the U.S. Department of Labor sought to test whether CET-San Jose’s successes could be replicated. Specifically, DOL wanted to determine whether programs like CET-San Jose could be implemented successfully in different settings and whether the resulting programs would have similarly positive effects for youth._x000a__x000a_As shown in Figure 1.1, the CET replication evaluation involved twelve sites. The selection_x000a_process proved to be more difficult than anticipated. Of the first ten eastern and midwestern_x000a_replication sites that DOL invited to participate in the evaluation, six accepted. Potential obstacles to participation may have included the need for sites to expand services to out-ofschool youths, the need to secure required local matching funds, or the reluctance to participate in a random assignment study. Such studies typically create new responsibilities for participating programs, requiring them to deny services to some applicants, which, in turn, can create the need to step up recruitment to produce a sufficiently large research sample. Many organizations are unwilling to take on this burden. Of the six sites that agreed to participate in the replication evaluation, many faced challenges in implementing the CET model, and some sites struggled to implement key program elements. Further, enrollment of youth at many sites also lagged behind expectations._x000a__x000a_The CET Program Model_x000a_Despite the great attention given to the CET model by researchers and policymakers, its components have never been strictly defined. Researchers have pointed to the distinctive features of CET’s programs in San Jose and elsewhere, but there is no conclusive research regarding the relative importance of these features to the success of CET-San Jose. DOL’s efforts to encourage organizations to apply for technical assistance to replicate the CET model highlighted CET-San Jose’s results in past evaluations, but the department never specified the key features to be replicated. Materials produced by CET have sometimes identified distinctive aspects of its program, but they have also reflected the organization’s own uncertainty about the reasons for its success. It is widely recognized that CET-San Jose is different from other employment and training programs in many  regards, and yet the importance of these differences to the program’s success is not fully understood. Furthermore, because of the focus on the San Jose program itself, little is known about the extent to which the economy and other contextual factors contributed to its successes. For the purposes of this report, the distinctive elements of the CET model can be summarized as follows:_x000a_• Provision of employment and training services in a worklike setting. Employment and training services that mirror the workplace provide the core feature of the CET model. Occupational training emphasizes job-specific skills, and trainees advance at their own pace by demonstrating their attainment of specific competencies. Even basic skills training is designed to mirror the workplace. Individuals requiring assistance with English, reading, or math receive this instruction in the context of tasks that they might encounter in the jobs for which they are being trained. Trainees do not terminate from CET programs until they find employment, and CET provides active job placement assistance to locate positions for its trainees. These features reflect a key assumption of the CET approach: that trainees should learn in an environment that resembles the workplace._x000a_• Intensive participation in services. While most training programs offer a part-time schedule of classes, the CET model requires a full-time commitment from trainees. This requirement accustoms trainees to a regular work schedule, and it provides the time necessary for them to acquire the skills of their intended trade. It also allows them to acquire these skills quickly, mini-mizing the “opportunity cost” of participation in training (that is, the wages_x000a_lost while participants substitute training for employment)._x000a_• Employers’ involvement in the design and delivery of training. Close_x000a_connections with industry enhance the responsiveness of CET programs to_x000a_employers, facilitating the design of services that meet employers’ needs._x000a_These connections also provide CET programs with access to jobs for their_x000a_graduates. Each CET program is supposed to have a job developer who_x000a_works closely with local industry. CET programs develop their connections_x000a_with industry actively and continuously. Rather than seeking out employers_x000a_only when trainees are ready for placement, CET programs involve employers_x000a_in the design of their programs and as reviewers of training curricula. The_x000a_recruitment of industry representatives as instructors further enhances connections_x000a_with employers. In each of these ways, CET programs integrate employers’_x000a_needs and build relationships that enhance success in job placement._x000a_• Organizational capacity and stability. Although inherently difficult to replicate, organizational capacity and stability have played a clear role in the past success of CET. CET-San Jose is the headquarters of a substantial community-based organization that has existed for 33 years, during which it has evolved from a single center to a network of more than 30 sites. Simultaneously, it has developed a cadre of highly experienced and dedicated managers._x000a_Although difficult to replicate, these features cannot be ignored. CET as an organization has proved highly resilient and has withstood three decades of changes in policy and funding priorities for employment and training organizations. Stable funding and staff are considered essential elements of organizational capacity that enable organizations like CET to focus on their mission — to prepare trainees for employment — instead of focusing all their energy on their own survival. Only stable organizations can pursue the more advanced goals of developing training programs that provide a worklike environment, of ensuring the intensive participation of trainees, and of involving employers in their programs. These goals demand substantial commitments of time and energy from training organizations and their staff. They also require steady funding and organizational stability over an extended period._x000a_• Enrollment and orientation. Much of the attention given to the CET model has emphasized the sequence of services provided to young trainees. These services begin with the intake process. CET has often been noted for providing relatively open access to its programs with little up-front screening. Prospective applicants are not excluded from participation based on test scores, and individuals who are considered too hard to serve by other employment and training_x000a_providers may often participate at CET. Instead of prescreening applicants,_x000a_CET conducts an extensive preenrollment orientation that stresses the program’s_x000a_rigor and the level of commitment expected from students. During this_x000a_enrollment phase, many less-motivated applicants drop out of the program._x000a_Implementing the CET Model_x000a_The first research report for this evaluation focused on the replication sites’ implementation_x000a_of the CET model (as found at CET-San Jose). Specifically, the report emphasized_x000a_four distinctive elements of the CET model, which were introduced above and can be summarized_x000a_as follows:19_x000a_• Employment and training services designed to mirror the workplace_x000a_• Intensive participation in such services_x000a_• Close involvement of industry in program design and operation_x000a_• Organizational capacity and stability As part of the implementation research, the 12 replication sites were assessed regarding their fidelity to each of these four elements. (Box 1.1 provides examples of different degrees of site fidelity.) Programs that scored high on all these elements were considered to manifest high fidelity to the CET model and were expected to produce more favorable outcomes in the impact analysis._x000a_In summary, the extent of fidelity to the CET model was found to be disappointingly low. Most replication sites had limited success implementing the CET model, and even sites that partially succeeded in replicating the CET model had difficulty sustaining their programs for the full demonstration period. This was true not only for most of the newer eastern and midwestern sites but even for some of the longer-established West Coast sites._x000a_its features appear adaptable to mainstream employment and training programs serving outof-school youth. A majority of the replication sites achieved at least moderate success in providing a worklike training  environment and involving industry in the design and operation of their services. One-third offered training programs that concentrated intensive participation over a relatively short period of time. Sites implemented these features in a wide variety of organizational and geographic contexts. Although the features are not typically seen in other mainstream employment and training programs, there appear to be few inherent obstacles to implementing these aspects of the CET model, given sufficient commitment from policymakers, funders, and program operators. A greater challenge for the sites than implementing the CET model was sustaining it._x000a_While most of the 12 replication sites implemented at least some features that were consistent with the CET model, several programs could not be sustained. Four of the sites closed their doors before the demonstration had ended, and three others faced serious difficulties in maintaining operations."/>
    <s v="-"/>
    <s v="6.2 months_x000a_ (or 629 hours)_x000a_See Table 2.2"/>
    <s v="Government"/>
    <s v="Randomization"/>
    <s v="Figure 3.2"/>
    <s v="Miller 2005 i"/>
    <m/>
    <m/>
    <m/>
    <m/>
    <s v="technical"/>
    <s v="classroom"/>
    <s v="less than 25"/>
    <m/>
    <s v="private"/>
    <n v="8"/>
    <n v="500"/>
    <m/>
    <m/>
    <n v="10"/>
    <s v="no"/>
    <s v="The CET Program Model_x000a_Despite the great attention given to the CET model by researchers and policymakers, its components have never been strictly defined. "/>
    <s v="centralized"/>
    <m/>
    <s v="no"/>
    <m/>
    <n v="43"/>
    <m/>
    <m/>
    <x v="0"/>
  </r>
  <r>
    <m/>
    <s v="Miller 2005 i"/>
    <s v="DH"/>
    <x v="63"/>
    <s v="USA"/>
    <s v="1995-1999"/>
    <s v="16 - 22_x000a_Mean: 19.1"/>
    <s v="Table 3.2"/>
    <s v="The Center for Employment Training (CET) in San Jose, California, was one employment_x000a_and training program that showed considerable promise as an alternative to prevailing employment and training services for youth. Two national random assignment evaluations of programs in which CET was included as a site — the Minority Female Single Parent Demonstration (MFSP) and the JOBSTART Demonstration — showed that CET was uniquely able to achieve positive results. Building on this track record of effectiveness, DOL in 1992 initiated and funded the CET replication demonstration, which eventually operated in 22 sites. In each site, the national CET office in San Jose cooperated with a local CET program (ranging from newly formed entities to long-established organizations) to implement employment and training services for out-of-school youth, modeled on the services and program approach that characterize CET-San Jose._x000a__x000a_Generally speaking, disadvantaged youth are the last to benefit from expanding job opportunities and the first to feel the brunt of recession. During 2001 and early 2002, for instance, the total decline in employment among all young adults ages 16 to 24 was 984,000, or 53 percent of the total job losses among all U.S. adults — despite the fact that these same young adults represented only about 15 percent of all employed adults at the beginning of this time period. Career prospects are most severely limited for youth who have not completed high school. In 1999, the National Center for Education Statistics reported that five of every hundred high school students had dropped out during the previous school year. This estimate is similar tocdata reported over the preceding decade. About 2.4 million youth ages 16 to 24 lack a high_x000a_school diploma or a General Educational Development (GED) certificate and are no longer in_x000a_school. Only one in six of these young people are able to find a full-time job paying more than poverty-level wages (corresponding to $320 per week)._x000a__x000a_Thirty months after the out-of-school youth applied to CET, survey respondents were young adults between the ages of 19 and 24. At this time, as is seen in Table 1.3, almost half of the young adults in the control group were still living with their parent(s) or another adult relative. Most were still single, although about 13 percent were married and another 20 percent were living with a partner. Almost 40 percent of the youth in the control group faced the challenge of being a young parent when they applied for CET. However, by Month 30, nearly 60 percent of them were parents, and most were living with all their children._x000a_Of the respondents who were living with children,23 over half were living with a spouse or partner (not shown in the table), and many were living with their parents or other family members. However, more than 20 percent of those living with children at the time of follow-up (or 10 percent of all control sample members) were single heads of household — raising children without a spouse or partner in the household and not living with others. Although employed, the young parents in this sample most often relied on family and household members for child care. Among the parents who were responsible for a child while at their most recent job, half had their children cared for in their own home; approximately a third had their youngest child cared for in another home._x000a_The survey asked a number of questions about the frequency and amount of alcohol and marijuana use in the month preceding the survey. Table 1.3 shows that 30 percent of the control sample reported consuming any alcohol in the prior month and that 9 percent reported using marijuana. These percentages are both relatively low, compared with findings in a national survey of young people of similar ages. The National Household Survey on Drug Abuse (NHSDA) for 2001 found that more than half of people between the ages of 18 and 25 reported drinking in the previous month (more than 60 percent of those between ages 21 and 25) and that 16 percent of people in this same age group had used marijuana in the past month. Table 1.3 also shows that only about 2 percent of all control group members reported having received any treatment or counseling in the year prior to follow-up._x000a_Table 1.4 presents the characteristics of several subgroups of the control sample and shows some significant differences by age, gender, and ethnicity. Perhaps the most notable differences are those by gender. At follow-up, 67 percent of the women but only 41 percent of the men in the control group were parents. In addition, as the top panel of the table shows, 17 percent of all women were single heads of household at follow-up, compared with less than 1 percent of men. These findings show the considerable obstacles facing women in the control group._x000a_More than a third of the women gave birth to a child after random assignment, which may have made it more difficult for them, from the start, to continue participating in alternative job training programs or to be employed. Although few men had the burden of being a single head of household, many still faced responsibilities of parenthood. With respect to age, members of the younger group, as expected, were more likely to be living with their parents and less likely to be married or to have children. Nonetheless, the proportion of the younger group who had children was fairly high, at 46 percent. The subgroup analysis by race also reveals some interesting differences, mainly related to household composition and marriage. For example, the Hispanic control group members were more likely than their African-American counterparts to be living with their parents at follow-up and were more likely to be married and living with their spouse (Table 1.4). And although childbearing patterns were similar for the two groups, 17 percent of the African-American youth were single heads of household, compared with only 5 percent of the Hispanic youth. Table 1.4 also reveals large differences between men and women in terms of alcohol and marijuana use and in arrest records. In the month preceding the survey, men were about twice as likely to have consumed alcohol and were more than three times as likely to have used marijuana. The table also shows that 25 percent of the men had been arrested at least once since random assignment, compared with just 4 percent of the women. This analysis reveals a significant barrier to employment for a relatively large percentage of the men in the control group. Although these men sought to acquire training and to find jobs, employers are often reluctant to hire young men with arrest records."/>
    <s v="Center for Employment Training (CET) "/>
    <s v="The Genesis of the CET Replication Project Encouraged by CET-San Jose’s performance in both the JOBSTART and the MFSP evaluations, the U.S. Department of Labor sought to test whether CET-San Jose’s successes could be replicated. Specifically, DOL wanted to determine whether programs like CET-San Jose could be implemented successfully in different settings and whether the resulting programs would have similarly positive effects for youth._x000a__x000a_As shown in Figure 1.1, the CET replication evaluation involved twelve sites. The selection_x000a_process proved to be more difficult than anticipated. Of the first ten eastern and midwestern_x000a_replication sites that DOL invited to participate in the evaluation, six accepted. Potential obstacles to participation may have included the need for sites to expand services to out-ofschool youths, the need to secure required local matching funds, or the reluctance to participate in a random assignment study. Such studies typically create new responsibilities for participating programs, requiring them to deny services to some applicants, which, in turn, can create the need to step up recruitment to produce a sufficiently large research sample. Many organizations are unwilling to take on this burden. Of the six sites that agreed to participate in the replication evaluation, many faced challenges in implementing the CET model, and some sites struggled to implement key program elements. Further, enrollment of youth at many sites also lagged behind expectations._x000a__x000a_The CET Program Model_x000a_Despite the great attention given to the CET model by researchers and policymakers, its components have never been strictly defined. Researchers have pointed to the distinctive features of CET’s programs in San Jose and elsewhere, but there is no conclusive research regarding the relative importance of these features to the success of CET-San Jose. DOL’s efforts to encourage organizations to apply for technical assistance to replicate the CET model highlighted CET-San Jose’s results in past evaluations, but the department never specified the key features to be replicated. Materials produced by CET have sometimes identified distinctive aspects of its program, but they have also reflected the organization’s own uncertainty about the reasons for its success. It is widely recognized that CET-San Jose is different from other employment and training programs in many  regards, and yet the importance of these differences to the program’s success is not fully understood. Furthermore, because of the focus on the San Jose program itself, little is known about the extent to which the economy and other contextual factors contributed to its successes. For the purposes of this report, the distinctive elements of the CET model can be summarized as follows:_x000a_• Provision of employment and training services in a worklike setting. Employment and training services that mirror the workplace provide the core feature of the CET model. Occupational training emphasizes job-specific skills, and trainees advance at their own pace by demonstrating their attainment of specific competencies. Even basic skills training is designed to mirror the workplace. Individuals requiring assistance with English, reading, or math receive this instruction in the context of tasks that they might encounter in the jobs for which they are being trained. Trainees do not terminate from CET programs until they find employment, and CET provides active job placement assistance to locate positions for its trainees. These features reflect a key assumption of the CET approach: that trainees should learn in an environment that resembles the workplace._x000a_• Intensive participation in services. While most training programs offer a part-time schedule of classes, the CET model requires a full-time commitment from trainees. This requirement accustoms trainees to a regular work schedule, and it provides the time necessary for them to acquire the skills of their intended trade. It also allows them to acquire these skills quickly, mini-mizing the “opportunity cost” of participation in training (that is, the wages_x000a_lost while participants substitute training for employment)._x000a_• Employers’ involvement in the design and delivery of training. Close_x000a_connections with industry enhance the responsiveness of CET programs to_x000a_employers, facilitating the design of services that meet employers’ needs._x000a_These connections also provide CET programs with access to jobs for their_x000a_graduates. Each CET program is supposed to have a job developer who_x000a_works closely with local industry. CET programs develop their connections_x000a_with industry actively and continuously. Rather than seeking out employers_x000a_only when trainees are ready for placement, CET programs involve employers_x000a_in the design of their programs and as reviewers of training curricula. The_x000a_recruitment of industry representatives as instructors further enhances connections_x000a_with employers. In each of these ways, CET programs integrate employers’_x000a_needs and build relationships that enhance success in job placement._x000a_• Organizational capacity and stability. Although inherently difficult to replicate, organizational capacity and stability have played a clear role in the past success of CET. CET-San Jose is the headquarters of a substantial community-based organization that has existed for 33 years, during which it has evolved from a single center to a network of more than 30 sites. Simultaneously, it has developed a cadre of highly experienced and dedicated managers._x000a_Although difficult to replicate, these features cannot be ignored. CET as an organization has proved highly resilient and has withstood three decades of changes in policy and funding priorities for employment and training organizations. Stable funding and staff are considered essential elements of organizational capacity that enable organizations like CET to focus on their mission — to prepare trainees for employment — instead of focusing all their energy on their own survival. Only stable organizations can pursue the more advanced goals of developing training programs that provide a worklike environment, of ensuring the intensive participation of trainees, and of involving employers in their programs. These goals demand substantial commitments of time and energy from training organizations and their staff. They also require steady funding and organizational stability over an extended period._x000a_• Enrollment and orientation. Much of the attention given to the CET model has emphasized the sequence of services provided to young trainees. These services begin with the intake process. CET has often been noted for providing relatively open access to its programs with little up-front screening. Prospective applicants are not excluded from participation based on test scores, and individuals who are considered too hard to serve by other employment and training_x000a_providers may often participate at CET. Instead of prescreening applicants,_x000a_CET conducts an extensive preenrollment orientation that stresses the program’s_x000a_rigor and the level of commitment expected from students. During this_x000a_enrollment phase, many less-motivated applicants drop out of the program._x000a_Implementing the CET Model_x000a_The first research report for this evaluation focused on the replication sites’ implementation_x000a_of the CET model (as found at CET-San Jose). Specifically, the report emphasized_x000a_four distinctive elements of the CET model, which were introduced above and can be summarized_x000a_as follows:19_x000a_• Employment and training services designed to mirror the workplace_x000a_• Intensive participation in such services_x000a_• Close involvement of industry in program design and operation_x000a_• Organizational capacity and stability As part of the implementation research, the 12 replication sites were assessed regarding their fidelity to each of these four elements. (Box 1.1 provides examples of different degrees of site fidelity.) Programs that scored high on all these elements were considered to manifest high fidelity to the CET model and were expected to produce more favorable outcomes in the impact analysis._x000a_In summary, the extent of fidelity to the CET model was found to be disappointingly low. Most replication sites had limited success implementing the CET model, and even sites that partially succeeded in replicating the CET model had difficulty sustaining their programs for the full demonstration period. This was true not only for most of the newer eastern and midwestern sites but even for some of the longer-established West Coast sites._x000a_its features appear adaptable to mainstream employment and training programs serving outof-school youth. A majority of the replication sites achieved at least moderate success in providing a worklike training  environment and involving industry in the design and operation of their services. One-third offered training programs that concentrated intensive participation over a relatively short period of time. Sites implemented these features in a wide variety of organizational and geographic contexts. Although the features are not typically seen in other mainstream employment and training programs, there appear to be few inherent obstacles to implementing these aspects of the CET model, given sufficient commitment from policymakers, funders, and program operators. A greater challenge for the sites than implementing the CET model was sustaining it._x000a_While most of the 12 replication sites implemented at least some features that were consistent with the CET model, several programs could not be sustained. Four of the sites closed their doors before the demonstration had ended, and three others faced serious difficulties in maintaining operations."/>
    <s v="-"/>
    <s v="6.2 months_x000a_ (or 629 hours)_x000a_See Table 2.2"/>
    <s v="Government"/>
    <s v="Randomization"/>
    <s v="Table 3.2"/>
    <s v="Miller 2005 i"/>
    <m/>
    <m/>
    <m/>
    <m/>
    <s v="technical"/>
    <s v="classroom"/>
    <s v="less than 25"/>
    <m/>
    <s v="private"/>
    <n v="8"/>
    <n v="500"/>
    <m/>
    <m/>
    <n v="43"/>
    <s v="no"/>
    <s v="The CET Program Model_x000a_Despite the great attention given to the CET model by researchers and policymakers, its components have never been strictly defined. "/>
    <s v="centralized"/>
    <m/>
    <s v="no"/>
    <m/>
    <n v="44"/>
    <m/>
    <m/>
    <x v="0"/>
  </r>
  <r>
    <s v="Biewen 2014"/>
    <s v="Mueser 2007"/>
    <s v="CH"/>
    <x v="64"/>
    <s v="USA"/>
    <n v="1994"/>
    <s v="22 - 65_x000a_mean: 36 (6+12+18) (age=6+years of education+years of experience)"/>
    <s v="Table 1"/>
    <s v="We draw our sample of program participants from records of Missouri’s JTPA program. We draw our comparison group sample from job exchange service records maintained by Missouri’s Division of Employment Security (ES). The earnings data source is wage record data maintained as part of the Unemployment Insurance programs in Missouri and Kansas. Using these data we obtain both preand postenrollment earnings and information on employment status prior to enrollment for both participants and nonparticipants._x000a__x000a_Our initial sample consists of all applicants in program years 1994 (July 1994 through June 1995) and 1995 (July 1995 through June 1996) who are at least 22 years old and less than 65 and who subsequently enroll in the Title IIa program._x000a__x000a_We focus on participants 22 years old and older because younger individuals are eligible for the youth program, which is governed by a different set of rules. Participants in Title IIa are eligible to participate in the JTPA program because they are judged to be economically disadvantaged. We focus on these participants because they are a fairly homogeneous group and because they have been the focus of previous evaluations of JTPA using experimental data."/>
    <s v="Job Training Partnership (JTPA)"/>
    <s v="Enacted in 1982, JTPA is the largest federal employment training program, with titles II-A and II-C intended to prepare economically disadvantaged adults and youths, respectively, for entry into the labor force.7 JTPA emphasizes state and local government responsibility for administering federally funded job training programs. In fiscal year 1995, JTPA title II-A and II-C programs received approximately $1.6 billion in funding. _x000a__x000a_JTPA training programs annually provide employment training for specific occupations and services, such as job search assistance and remedial education, to roughly one million economically disadvantaged individuals. Training is provided in local service delivery areas (SDA) through service providers, such as vocational-technical high schools, community colleges, proprietary schools, and comunity-based organizations. The program objectives are to increase earnings and employment and to reduce welfare dependence for participants of all ages. During the NJS, participation in JTPA involved roughly 3 to 4 months of training at an average cost of about $2,400 per participant._x000a__x000a_In 1986, Labor commissioned the NJS to evaluate the impact of JTPA on adults and youths because previous findings on the effects of job training programs had been hampered by poor data and statistical problems. The NJS randomly assigned persons who sought JTPA services, and were eligible for them, to a treatment group or a control group. The study included over 20,000 eligible participants who applied for JTPA_x000a_services between November 1987 and September 1989 in 16 local SDAs._x000a__x000a_The original NJS data set contained demographic and program information on 20,601 people who applied for JTPA services between November 1987 and September 1989 in 16 local service delivery areas. Approximately two-thirds of the applicants were assigned to the treatment group and one-third to the control group. The control and treatment groups were closely matched in demographic variables such as age, race, and education, which typically allows a meaningful comparison of average outcomes between the two groups._x000a__x000a_However, two factors intervened to make such a comparison problematic. First, not all members of the treatment group participated in JTPA programs. For example, about two-thirds of the adult treatment group_x000a_members enrolled in JTPA, but the other one-third either found jobs on their own or decided not to participate in the program. Second, a substantial minority of the control group members chose to participate in some alternative, non-JTPA training programs._x000a__x000a_We obtained annual earnings records from SSA for the individuals in the NJS treatment and control groups. SSA maintains information on annual earnings of individuals contributing to either Social Security or Medicare. We assumed that an individual was employed if his or her SSA records showed positive earnings for a given year. We adjusted data for what we assumed were data entry or processing errors, and we also rounded reported negative earnings to zero._x000a__x000a_We analyzed the NJS and SSA earnings records of 13,699 NJS participants12 to determine their annual earnings and employment outcomes for the 3 years before assignment to the treatment or control group, the year of assignment, and 5 years following assignment. 12 We did not analyze earnings and employment information for the NJS participants who were assigned after 1988 because we had only 4 years of postassignment data for them. We also excluded the NJS participants whose SSA records did not adequately match information collected for the NJS, such as name or birth month and year._x000a__x000a_The study included over 20,000 eligible participants who applied for JTPA. _x000a__x000a_Program applicants were recruited, screened to determine their eligibility, assessed to determine their service needs and wants, and recommended for services._x000a_NJS participants were then randomly assigned to either the treatment group, which was allowed to participate in JTPA title II-A programs, or the control group, which was not allowed to participate in these programs for 18 months. Approximately two-thirds of the applicants were assigned to the treatment group and one-third to the control group. The control and treatment groups were closely matched in demographic variables such as_x000a_age, race, and education, which typically allows a meaningful comparison of average outcomes between the two groups._x000a__x000a_We analyzed the NJS and SSA earnings records of 13,699 NJS participants12 to determine their annual earnings and employment outcomes for the 3 years before assignment to the treatment or control group, the year of_x000a_assignment, and 5 years following assignment. The 3 years of prior earnings and employment data served to demonstrate the prior comparability of treatment and control groups. The 5 years of postassignment data effectively doubled the 30-month follow-up period for_x000a_the NJS. The treatment group had 9,275 individuals, and the control group had 4,424 individuals."/>
    <s v=" Participation in JTPA involved roughly 3 to 4 months of training at an average cost of about $2,400 per participant. In fiscal year 1995, JTPA received approximately $1.6 billion in funding. (copied from GAO1996)"/>
    <s v="3 to 4 months of training (copied from GAO1996)"/>
    <s v="Government"/>
    <s v="DID"/>
    <s v="Figure 1,2,4,5"/>
    <s v="Gao 1996"/>
    <m/>
    <s v="Treatment, Compliance, Cost and duration of the program is from GAO 1996"/>
    <m/>
    <m/>
    <s v="technical"/>
    <s v="classroom"/>
    <s v="both"/>
    <m/>
    <s v="public, private"/>
    <n v="4"/>
    <m/>
    <m/>
    <m/>
    <n v="127"/>
    <s v="no"/>
    <s v="The NJS randomly assigned persons who sought JTPA services, and were eligible for them, to a treatment group or a control group. The study included over 20,000 eligible participants who applied for JTPA_x000a_services between November 1987 and September 1989 in 16 local SDAs._x000a_"/>
    <s v="?"/>
    <m/>
    <s v="no"/>
    <m/>
    <n v="46"/>
    <m/>
    <m/>
    <x v="1"/>
  </r>
  <r>
    <m/>
    <s v="Schochet 2006"/>
    <s v="DH"/>
    <x v="65"/>
    <s v="USA"/>
    <n v="1996"/>
    <s v="16-24_x000a_mean: 18.6"/>
    <s v="Table 1"/>
    <s v="Job Corps is the nation’s largest vocationally focused education and training program for disadvantaged youths. It serves youths between the ages of 16 and 24, primarily in a residential setting. The program’s goal is to help youths become more responsible, employable, and productive citizens.                   _x000a__x000a_From late 1994 to early 1996, nearly 81,000 eligible applicants nationwide were randomly assigned to either a program group.                  _x000a__x000a_Applicants must meet 11 criteria to be eligible for Job Corps: (1) be age 16 to 24; (2) be a legal US resident; (3) be economically disadvantaged (receiving welfare or food stamps or having income less than 70 percent of DOL’s “lower living standards income level”); (4) live in an environment_x000a_characterized by a disruptive home life, high crime rates, or limited job opportunities;_x000a_(5) need additional education, training, or job skills; (6) be free of serious behavioral problems; (7) have a clean health history; (8) have an adequate child care plan (for those with children); (9) have registered with the Selective Service Board (if applicable); (10) have parental consent (for minors); and (11) be judged to have the capability and aspirations to participate in Job Corps._x000a__x000a_Only 23 percent of youths in our sample had a high school credential at program application, and about 70 percent were members of racial or ethnic minority groups. About one fourth of applicants (and nearly one-third of male applicants) had been arrested before application. Nearly half lived in families that received food stamp benefits in the previous year, and mean annual earnings were less than $3,000. Using 1995 March Current Population Survey (CPS) data, we find that, compared to a nationwide population of low-income youths between the ages of 16 and 24, an eligible Job Corps applicant is more likely to be male, African American, younger, without a high school credential, from a large urban area, and to have been employed in the previous year._x000a__x000a__x000a__x000a__x000a_We obtain our data from the NJCS and focus our analysis on Quarter 16 after randomization, when the last follow-up interview took place. The purpose of our study is to estimate the causal effect of attaining a degree within JC on participants’ future labor outcomes, thus we construct a binary “mechanism” variable which corresponds to whether an individual attained a high school, GED or vocational certificate by the time of the last follow-up interview. Our sample consists of individuals with no missing values on key baseline variables - such as age -(we lose 5,587 observations), on the outcomes of interest at quarter 16 (we lose 307 observations) and lastly with no missing values on the degree attainment indicator (we lose n=1,472 observations). Hence, the estimation sample is smaller than the NJCS sample (8,020 versus 15,386) with 5,045 people assigned to the treatment and 2,975 people assigned to the control group, respectively._x000a_Breaking up our study population into racial groups we have that whites account for around 25% with 1,253 (712) being at the treatment (control) group and African-Americans account for 51% of the sample with 2,564 (1,507) being in the treatment (control) group._x000a_Furthermore, we perform an analysis by two broad age groups: youths, individuals 16-21 years old, where 2,634 belong in the control and 4,313 in the treatment group, and young adults of age 21 to 24 with 341 individuals in the control group and 732 in the treatment group, respectively._x000a_A description of the characteristics of individuals, portraying the profile of eligible applicants in the training program the period of our study is provided in Table 4-1. _x000a_Table 4-2 presents selected descriptive statistics by treatment status for the individuals in our study population (columns 1 to 3), and by subgroup decomposition: Whites (columns 4 to 6), African-Americans (columns 7 to 9), youths of age 16 to 21 (columns 10 to 12), and young adults (columns 13 to 15).2 The table reports the treatment and control means, standard errors, as well as the difference in means and the associated significance. Table 4-2 presents individual characteristics with respect to demographics, marriage status, parenthood, education level and an indicator for involvement into petty criminal activities (first 7 rows). It also displays pretreatment labor market variables for the year prior to application to JC: employment status, months being employed, hours  worked per week, as well as weekly and annual earnings (next rows 5 rows). Lastly, it shows indicators depicting intentions of applying to the training program (last 2 rows)._x000a_The estimates demonstrate that the means of the individual characteristics are similar between the control and the treatment group for the subgroups we are examining._x000a_As the data depict for our study population, the average applicant in the Job Corps program is an African-American male, of around 18 years of age, not married and_x000a_with no children, and not a high school graduate. A year prior applying to the training program, he was most likely unemployed or on-off employment (6 months employed on average, 35 hours a week) and reported weekly earnings about $100 for a total of about $2,500 annual earnings, an estimate below the poverty level._x000a_Individual characteristics with respect to demographic decomposition by race and age show no significant differences between the control and the treatment group as_x000a_reported in Table 4-2. The table also demonstrates the heterogeneity of the subgroups with respect to individual characteristics and importantly with respect to labor market_x000a_characteristics. White applicants are in advantage relative to African-American ones reporting higher employment rates, working for a longer period (captured by months_x000a_employed) and more hours, as well as earning a higher weekly paycheck which leads to notable higher annual incomes. Table 4-2 depicts also notable differences with respect. We use design weights in all the descriptive statistics presented below as well as in our estimation._x000a_to the age-risk subgroups. Older applicants are more likely to be married and have a child, more likely to have completed a higher education grade and are more likely to have vocational training. In addition, they are less likely to be arrested for petty crimes relative to younger participants. Also, they are more likely to participate in the labor market, reporting lower rates of unemployment and more time working in a job. They also reported working slightly more hours per week than younger applicants which can be related to noticeable higher weekly and annual earnings. All subgroups are characterized by a low education and vocational level reporting the same aspirations by applying to the program, earning a GED or vocational degree."/>
    <s v="Job Corps"/>
    <s v="The Job Corps study is based on an experimental design where, from late 1994 to early_x000a_1996, nearly 81,000 eligible applicants nationwide were randomly assigned to either a program_x000a_group, whose members were allowed to enroll in Job Corps, or to a control group, whose 6,000 members were not. The study research questions have been addressed by comparing the_x000a_outcomes of program and control group members using survey data collected during the four_x000a_years after random assignment and using administrative earnings records covering the ten years_x000a_after random assignment (at which point sample members were between the ages of 26 and 34)."/>
    <s v="Total Costs –13,844  (all job corps participants), –15,193 (for those between 20 to 24 at program application)"/>
    <s v="Classroom training: 8 months on average"/>
    <s v="Government"/>
    <s v="Randomization"/>
    <m/>
    <m/>
    <m/>
    <m/>
    <m/>
    <m/>
    <s v="both"/>
    <s v="classroom"/>
    <s v="less than 25"/>
    <m/>
    <s v="private"/>
    <n v="8"/>
    <n v="1000"/>
    <m/>
    <m/>
    <n v="51"/>
    <s v="no"/>
    <s v="The Job Corps study is based on an experimental design where, from late 1994 to early_x000a_1996, nearly 81,000 eligible applicants nationwide were randomly assigned to either a program_x000a_group, whose members were allowed to enroll in Job Corps, or to a control group, whose 6,000 members were not"/>
    <s v="centralized"/>
    <m/>
    <s v="yes"/>
    <s v="poverty"/>
    <n v="51"/>
    <m/>
    <m/>
    <x v="1"/>
  </r>
  <r>
    <m/>
    <s v="Bampasidou 2012"/>
    <s v="DH"/>
    <x v="65"/>
    <s v="USA"/>
    <n v="1996"/>
    <s v="16-24"/>
    <s v="Table 4-4"/>
    <s v="Job Corps was established in 1964 under the Economic Opportunity Act with the purpose of providing_x000a_assistance to disadvantaged youths aged 16–24. It is an intense program with more than 110 centers_x000a_throughout the USA and offers academic, vocational, and social training, as well as health care,_x000a_counseling, and job placement services. To be eligible for Job Corps, applicants must meet several_x000a_criteria including, but not limited to, age, poverty status, citizenship, need for additional education_x000a_and training, and mental stability."/>
    <s v="Job Corps"/>
    <s v="Job Corps is the nation’s largest vocationally focused education and training program for disadvantaged youths. _x000a__x000a_The National Job Corps Study is the first nationally representative experimental evaluation of a federal employment and training program for disadvantaged youths._x000a__x000a_From late 1994 to early 1996, nearly 81,000 eligible applicants nationwide were randomly assigned to either a program group, who were allowed to enroll in Job Corps, or to a control group, whose 6,000 members were not. Study findings are based on the comparisons of the outcomes of program and control group members using survey data collected during the four years after random assignment, and administrative earnings data covering the nine years after random assignment. This paper presents impact findings from this evaluation._x000a__x000a_The Job Corps program  currently operates under the provisions of the Workforce Investment Act (WIA) of 1998. DOL administers Job Corps through a national office and six regional offices. Private and public agencies under contract to DOL provide Job Corps services._x000a__x000a_Job Corps services are delivered in three stages: outreach and admissions, center operations, and _x000a_placement. The outreach and admissions functions are performed by agencies typically_x000a_located in disadvantaged communities. These agencies recruit for Job Corps mainly by providing program information to community organizations working with youth, such as schools, courts, employment services, and welfare agencies. When youth apply to Job Corps, these agencies ensure that applicants are informed about the program and meet eligibility criteria. During the study, it took about three weeks on average between program application and eligibility determination. Once found eligible, the agencies assigned the youths to a center, typically about one month later. The 73 percent of youths in the program group who enrolled in centers typically did so within one to four weeks after their center assignments. _x000a__x000a_While at centers, participants receive intensive vocational training, academic education, and a wide range of other services, including counseling, social skills training, and health education._x000a__x000a_The heart of Job Corps is the services provided at centers. At the time of the study, there were 110 Job Corps centers nationwide. These centers ranged in size from about 200 to 2,600 slots; about half of participants were served in 49 medium-sized centers with 226 to 495 slots, and about one-third were served in 16 large centers with 496 slots or more. Most centers are operated by private contractors, although about one-quarter are operated by the US Departments of Agriculture and Interior. Centers are located in both rural and urban areas. About two-thirds of participants in our sample enrolled in centers in their home state, and half enrolled in a center that was the closest or second closest center to their home._x000a__x000a_While at centers, participants receive intensive vocational training, academic education, and a wide range of other services, including counseling, social skills training, and health education. At the time of the study, Job Corps offered vocational training in more than 75 trades, and a typical center offered 10 or 11 trades. The vocational curricula were developed with input from business and labor organizations, and emphasize the achievement of specific competencies necessary to work in a trade. Academic education aims to alleviate deficits in reading, math, and writing skills, and to provide a General Educational Development (GED) certificate. Job Corps has a uniform, computer-based curriculum for major academic courses. Most academic and vocational instruction is individualized and self-paced. The length of time a youth spends at Job Corps varies widely, but at the time of the study, the average participant was enrolled for eight months._x000a__x000a_A unique feature of Job Corps is that most participants reside at a center while training. Even the 13 percent of participants who are nonresidential and reside at home spend most of each_x000a_weekday at the center. Both residents and nonresidents receive meals, health and dental care, and can participate in student government and recreation activities._x000a__x000a_Each Job Corps applicant was randomly assigned soon after the youth was found eligible for the program. _x000a_To initiate random assignment, outreach and admissions counselors sent program intake forms to Mathematica Policy Research, Inc. (MPR) soon after applicants were determined to be eligible for the program. MPR then conducted random assignment and notified outreach and admissions counselors of the random assignment results within 48 hours of receiving completed program intake forms. Outreach and admissions counselors notified youths of the results. Over 1,300 Job Corps outreach and admissions counselors nationwide were directly involved in random assignment._x000a__x000a_Job Corps provides placement services to help participants find jobs or pursue additional training. These services are provided by center staff while youth are enrolled in centers and for six months afterward by placement agencies in the communities in which the youth reside. Contracts to provide placement, outreach and admissions, and center services are separate, but some agencies hold multiple types of contracts._x000a__x000a_Job Corps differs from these other programs for disadvantaged youth in three main ways. First, Job Corps offers more comprehensive services than other programs. While other programs may offer basic education, vocational training, or counseling, only Job Corps offers all these services along with a wide range of support services associated with residential living (such as health care and recreation). Second, Job Corps is more intensive and, hence, expensive. Third, while other education or training programs are administered by state or local agencies, Job Corps is administered by DOL._x000a__x000a_The National Job Corps Study is based on a national sample of eligible program applicants. With a few exceptions, all youths who applied to Job Corps in the 48 contiguous states between November 1994 and December 1995 and were found eligible by the end of February 1996 were randomly assigned to either a program or control group.1 Program group members were allowed to enroll in Job Corps; control group members were not for three years after random assignment, although they could enroll in other training or education programs. Thus, the counterfactual for the evaluation is other available programs that the study population would enroll in if Job Corps were not an option._x000a__x000a_The evaluation is based on large samples. Nearly 81,000 eligible applicants were randomly assigned. During the sample intake period, 5,977 youths (about 7 percent of the total) were randomly assigned to the control group, 9,409 youths were randomly assigned to the program group as part of the research sample—which we refer to hereafter as the treatment group—and the remaining youths were randomly assigned to a program nonresearch group._x000a__x000a_Only 1.4 percent of controls enrolled in Job Corps before the end of their three-year embargo period. An additional 3.2 percent of control group members enrolled in Job Corps after their three-year restriction period ended._x000a__x000a_The survey analysis sample includes 11,313 youths (6,828 treatments and 4,485 controls) who completed a 48-month interview. The response rate to the 48-month interview in the “intensive baseline” areas was 81 percent for treatments and 78 percent for controls._x000a__x000a_Average impact estimates per participant (that is, for those “treated”) were obtained using an instrumental variable approach where the estimated impacts per eligible applicant were divided by the_x000a_difference between the treatment group Job Corps enrollment rate (73 percent) and the control group crossover rate._x000a__x000a_Treatments received a substantial dose of Job Corps services. About 73 percent enrolled in centers. The average length of stay per participant was about eight months, although duration varied considerably; nearly one-quarter stayed for over a year, and 28 percent stayed for less than three months. About 85 percent of participants reported receiving academic and vocational instruction in Job Corps, and the average participant received nearly 1,200 hours of instruction. Participants also took part in the many other Job Corps activities, such as parenting education, health education, social skills training, cultural awareness classes, and recreation._x000a__x000a_About 70 percent of controls enrolled in education and training programs other than Job Corps during the four years after random assignment (Table 2). Participation rates were highest in programs that substitute for Job Corps: GED programs, high school, and vocational, technical, or trade schools (about 33 percent each)._x000a__x000a__x000a__x000a__x000a__x000a_Job Corps is the most intensive remedial education and vocational program for low-income youths in the United States. It was established by the Economic Opportunity Act of 1964, and is operating under the provisions of the Workforce Investment Act of 1998 and administered by the Department of Labor through a national office and nine regional offices. Throughout its existence, JC has served more than 2 million youths and every year, it accepts about 60,000 new participants in 120 centers located across the U.S. with an average $14,000 cost per participant, characterizing it as one of the most expensive programs. Job Corps has distinct features that distinguish it from other training programs which the success of the program is based on: (i) the target group, (ii) the services, and (iii) its residential component._x000a_Being the oldest training program for low-income youths, JC has undergone several changes to match the policy changes and recommendations in terms of its target population. In the 1960’s, JC served youths between 16 to 21 years of age from low-income families. The program widened its target age-group when JTPA passed to serve disadvantaged youths of 16 to 24 years old, residing in a disruptive environment._x000a_With the passing of WIA, JC formulated its current eligibility criteria. Applicants must meet the following criteria in order to be considered eligible for admission in JC: (1) be of age 16 to 24; (2) have registered with the selective service board if aged 18 or older; (3) have parental consent; (4) be a legal U.S. resident; (5) be economically disadvantaged1 ; (6) need additional education, training or job skills; (7) live in a disruptive environment; (8) have a clean health history; (9) be free of serious behavioral problems; (10) have an adequate child care plan and (11) possess the capability and aspirations to benefit from JC._x000a_Another distinct feature of the program is the services it offers to participants which despite the years the program is in effect have kept their original structure. Job Corps services are delivered in three stages: outreach and admissions (OA), center operations (CO), and placement. Outreach and Admissions are situated in disadvantaged 1 According to JC, a youth is categorized as economically disadvantaged if her/his family is receiving public assistance or the family income is below the poverty level as defined by the Department of Health and Human Services (DHHS) (Schochet et al., 2001b)_x000a__x000a_communities and recruit for JC mostly through schools, courts, employment services and welfare agencies. OA counselors are responsible for ensuring that applicants meet the eligibility criteria and informing them with respect to the program. Center operations take place at 120 Job Corps centers nationwide in both rural and urban areas with the majority of those centers being operated by private contractors and around one-quarter operated by the U.S. Department of Agriculture and U.S. Department of Interior. Center operations involve vocational training, academic education, health care and additional services including counseling, social skills training, health education, and recreation._x000a_JC provides an intensive education curriculum emphasizing academic classroom instruction and vocational skills training. Academic education includes remedial education (reading, math and writing skills) and a General Education Development program of high school equivalency. Vocational training areas may vary by center but typically include business and clerical, health, culinary arts and cosmetology, construction, and building and apartment maintenance. Average duration of the program is eight months and is characterized by an open-exit educational philosophy where instruction is individualized and self-paced. Typically, an individual is considered a graduate of the program if he/she has completed 60 or more calendar days of enrollment and has completed the requirements of Career Technical Training, or earned a high school diploma or its equivalent GED or who completes both, while enrolled in JC._x000a_Lastly, placement agencies help participants find jobs in training related occupations by providing assistance with resume writing and interviewing as well as services for job placement and referral. Usually placement activities are performed by state employment offices, private contractors and sometimes by the operational centers. Moreover, placement agencies are responsible of the task of distributing a stipend students receive after leaving JC._x000a__x000a_The third distinct feature of the training program is its residential component. With the majority of the students residing in a disruptive environment that may hinder their_x000a_performance and trigger the benefits of the program, JC centers offer residential slots characterized by zero-tolerance policy. In fact, around 88% of the participants reside in_x000a_the JC centers and only 12% in non-residential slots. Since, eligibility of admittance to the residential centers requires child support and is unlikely to accommodate families,_x000a_applicants with family dependents (like spouse, children, parents) are assigned to the non-residential slots. Individuals in both residential and non-residential slots are_x000a_exposed to the same academic and vocational training, and other program services"/>
    <m/>
    <s v="Classroom training: 8 months on average"/>
    <s v="Government"/>
    <s v="Randomization"/>
    <s v="Table 4-4"/>
    <m/>
    <m/>
    <m/>
    <m/>
    <m/>
    <s v="both"/>
    <s v="classroom"/>
    <s v="less than 25"/>
    <m/>
    <s v="private"/>
    <n v="8"/>
    <n v="1200"/>
    <m/>
    <m/>
    <n v="1"/>
    <s v="no"/>
    <s v="The Job Corps study is based on an experimental design where, from late 1994 to early_x000a_1996, nearly 81,000 eligible applicants nationwide were randomly assigned to either a program_x000a_group, whose members were allowed to enroll in Job Corps, or to a control group, whose 6,000 members were not"/>
    <s v="centralized"/>
    <m/>
    <s v="yes"/>
    <s v="poverty"/>
    <n v="52"/>
    <m/>
    <m/>
    <x v="1"/>
  </r>
  <r>
    <s v="Eren 2014"/>
    <s v="Eren 2014"/>
    <s v="CH"/>
    <x v="65"/>
    <s v="USA"/>
    <n v="1996"/>
    <s v="16-24"/>
    <m/>
    <s v="Job Corps was established in 1964 under the Economic Opportunity Act with the purpose of providing_x000a_assistance to disadvantaged youths aged 16–24. It is an intense program with more than 110 centers_x000a_throughout the USA and offers academic, vocational, and social training, as well as health care,_x000a_counseling, and job placement services. To be eligible for Job Corps, applicants must meet several_x000a_criteria including, but not limited to, age, poverty status, citizenship, need for additional education_x000a_and training, and mental stability."/>
    <s v="Job Corps"/>
    <s v="Job Corps is the nation’s largest vocationally focused education and training program for disadvantaged youths. _x000a__x000a_The National Job Corps Study is the first nationally representative experimental evaluation of a federal employment and training program for disadvantaged youths._x000a__x000a_From late 1994 to early 1996, nearly 81,000 eligible applicants nationwide were randomly assigned to either a program group, who were allowed to enroll in Job Corps, or to a control group, whose 6,000 members were not. Study findings are based on the comparisons of the outcomes of program and control group members using survey data collected during the four years after random assignment, and administrative earnings data covering the nine years after random assignment. This paper presents impact findings from this evaluation._x000a__x000a_The Job Corps program  currently operates under the provisions of the Workforce Investment Act (WIA) of 1998. DOL administers Job Corps through a national office and six regional offices. Private and public agencies under contract to DOL provide Job Corps services._x000a__x000a_Job Corps services are delivered in three stages: outreach and admissions, center operations, and _x000a_placement. The outreach and admissions functions are performed by agencies typically_x000a_located in disadvantaged communities. These agencies recruit for Job Corps mainly by providing program information to community organizations working with youth, such as schools, courts, employment services, and welfare agencies. When youth apply to Job Corps, these agencies ensure that applicants are informed about the program and meet eligibility criteria. During the study, it took about three weeks on average between program application and eligibility determination. Once found eligible, the agencies assigned the youths to a center, typically about one month later. The 73 percent of youths in the program group who enrolled in centers typically did so within one to four weeks after their center assignments. _x000a__x000a_While at centers, participants receive intensive vocational training, academic education, and a wide range of other services, including counseling, social skills training, and health education._x000a__x000a_The heart of Job Corps is the services provided at centers. At the time of the study, there were 110 Job Corps centers nationwide. These centers ranged in size from about 200 to 2,600 slots; about half of participants were served in 49 medium-sized centers with 226 to 495 slots, and about one-third were served in 16 large centers with 496 slots or more. Most centers are operated by private contractors, although about one-quarter are operated by the US Departments of Agriculture and Interior. Centers are located in both rural and urban areas. About two-thirds of participants in our sample enrolled in centers in their home state, and half enrolled in a center that was the closest or second closest center to their home._x000a__x000a_While at centers, participants receive intensive vocational training, academic education, and a wide range of other services, including counseling, social skills training, and health education. At the time of the study, Job Corps offered vocational training in more than 75 trades, and a typical center offered 10 or 11 trades. The vocational curricula were developed with input from business and labor organizations, and emphasize the achievement of specific competencies necessary to work in a trade. Academic education aims to alleviate deficits in reading, math, and writing skills, and to provide a General Educational Development (GED) certificate. Job Corps has a uniform, computer-based curriculum for major academic courses. Most academic and vocational instruction is individualized and self-paced. The length of time a youth spends at Job Corps varies widely, but at the time of the study, the average participant was enrolled for eight months._x000a__x000a_A unique feature of Job Corps is that most participants reside at a center while training. Even the 13 percent of participants who are nonresidential and reside at home spend most of each_x000a_weekday at the center. Both residents and nonresidents receive meals, health and dental care, and can participate in student government and recreation activities._x000a__x000a_Each Job Corps applicant was randomly assigned soon after the youth was found eligible for the program. _x000a_To initiate random assignment, outreach and admissions counselors sent program intake forms to Mathematica Policy Research, Inc. (MPR) soon after applicants were determined to be eligible for the program. MPR then conducted random assignment and notified outreach and admissions counselors of the random assignment results within 48 hours of receiving completed program intake forms. Outreach and admissions counselors notified youths of the results. Over 1,300 Job Corps outreach and admissions counselors nationwide were directly involved in random assignment._x000a__x000a_Job Corps provides placement services to help participants find jobs or pursue additional training. These services are provided by center staff while youth are enrolled in centers and for six months afterward by placement agencies in the communities in which the youth reside. Contracts to provide placement, outreach and admissions, and center services are separate, but some agencies hold multiple types of contracts._x000a__x000a_Job Corps differs from these other programs for disadvantaged youth in three main ways. First, Job Corps offers more comprehensive services than other programs. While other programs may offer basic education, vocational training, or counseling, only Job Corps offers all these services along with a wide range of support services associated with residential living (such as health care and recreation). Second, Job Corps is more intensive and, hence, expensive. Third, while other education or training programs are administered by state or local agencies, Job Corps is administered by DOL._x000a__x000a_The National Job Corps Study is based on a national sample of eligible program applicants. With a few exceptions, all youths who applied to Job Corps in the 48 contiguous states between November 1994 and December 1995 and were found eligible by the end of February 1996 were randomly assigned to either a program or control group.1 Program group members were allowed to enroll in Job Corps; control group members were not for three years after random assignment, although they could enroll in other training or education programs. Thus, the counterfactual for the evaluation is other available programs that the study population would enroll in if Job Corps were not an option._x000a__x000a_The evaluation is based on large samples. Nearly 81,000 eligible applicants were randomly assigned. During the sample intake period, 5,977 youths (about 7 percent of the total) were randomly assigned to the control group, 9,409 youths were randomly assigned to the program group as part of the research sample—which we refer to hereafter as the treatment group—and the remaining youths were randomly assigned to a program nonresearch group._x000a__x000a_Only 1.4 percent of controls enrolled in Job Corps before the end of their three-year embargo period. An additional 3.2 percent of control group members enrolled in Job Corps after their three-year restriction period ended._x000a__x000a_The survey analysis sample includes 11,313 youths (6,828 treatments and 4,485 controls) who completed a 48-month interview. The response rate to the 48-month interview in the “intensive baseline” areas was 81 percent for treatments and 78 percent for controls._x000a__x000a_Average impact estimates per participant (that is, for those “treated”) were obtained using an instrumental variable approach where the estimated impacts per eligible applicant were divided by the_x000a_difference between the treatment group Job Corps enrollment rate (73 percent) and the control group crossover rate._x000a__x000a_Treatments received a substantial dose of Job Corps services. About 73 percent enrolled in centers. The average length of stay per participant was about eight months, although duration varied considerably; nearly one-quarter stayed for over a year, and 28 percent stayed for less than three months. About 85 percent of participants reported receiving academic and vocational instruction in Job Corps, and the average participant received nearly 1,200 hours of instruction. Participants also took part in the many other Job Corps activities, such as parenting education, health education, social skills training, cultural awareness classes, and recreation._x000a__x000a_About 70 percent of controls enrolled in education and training programs other than Job Corps during the four years after random assignment (Table 2). Participation rates were highest in programs that substitute for Job Corps: GED programs, high school, and vocational, technical, or trade schools (about 33 percent each)._x000a__x000a__x000a__x000a__x000a__x000a_Job Corps is the most intensive remedial education and vocational program for low-income youths in the United States. It was established by the Economic Opportunity Act of 1964, and is operating under the provisions of the Workforce Investment Act of 1998 and administered by the Department of Labor through a national office and nine regional offices. Throughout its existence, JC has served more than 2 million youths and every year, it accepts about 60,000 new participants in 120 centers located across the U.S. with an average $14,000 cost per participant, characterizing it as one of the most expensive programs. Job Corps has distinct features that distinguish it from other training programs which the success of the program is based on: (i) the target group, (ii) the services, and (iii) its residential component._x000a_Being the oldest training program for low-income youths, JC has undergone several changes to match the policy changes and recommendations in terms of its target population. In the 1960’s, JC served youths between 16 to 21 years of age from low-income families. The program widened its target age-group when JTPA passed to serve disadvantaged youths of 16 to 24 years old, residing in a disruptive environment._x000a_With the passing of WIA, JC formulated its current eligibility criteria. Applicants must meet the following criteria in order to be considered eligible for admission in JC: (1) be of age 16 to 24; (2) have registered with the selective service board if aged 18 or older; (3) have parental consent; (4) be a legal U.S. resident; (5) be economically disadvantaged1 ; (6) need additional education, training or job skills; (7) live in a disruptive environment; (8) have a clean health history; (9) be free of serious behavioral problems; (10) have an adequate child care plan and (11) possess the capability and aspirations to benefit from JC._x000a_Another distinct feature of the program is the services it offers to participants which despite the years the program is in effect have kept their original structure. Job Corps services are delivered in three stages: outreach and admissions (OA), center operations (CO), and placement. Outreach and Admissions are situated in disadvantaged 1 According to JC, a youth is categorized as economically disadvantaged if her/his family is receiving public assistance or the family income is below the poverty level as defined by the Department of Health and Human Services (DHHS) (Schochet et al., 2001b)_x000a__x000a_communities and recruit for JC mostly through schools, courts, employment services and welfare agencies. OA counselors are responsible for ensuring that applicants meet the eligibility criteria and informing them with respect to the program. Center operations take place at 120 Job Corps centers nationwide in both rural and urban areas with the majority of those centers being operated by private contractors and around one-quarter operated by the U.S. Department of Agriculture and U.S. Department of Interior. Center operations involve vocational training, academic education, health care and additional services including counseling, social skills training, health education, and recreation._x000a_JC provides an intensive education curriculum emphasizing academic classroom instruction and vocational skills training. Academic education includes remedial education (reading, math and writing skills) and a General Education Development program of high school equivalency. Vocational training areas may vary by center but typically include business and clerical, health, culinary arts and cosmetology, construction, and building and apartment maintenance. Average duration of the program is eight months and is characterized by an open-exit educational philosophy where instruction is individualized and self-paced. Typically, an individual is considered a graduate of the program if he/she has completed 60 or more calendar days of enrollment and has completed the requirements of Career Technical Training, or earned a high school diploma or its equivalent GED or who completes both, while enrolled in JC._x000a_Lastly, placement agencies help participants find jobs in training related occupations by providing assistance with resume writing and interviewing as well as services for job placement and referral. Usually placement activities are performed by state employment offices, private contractors and sometimes by the operational centers. Moreover, placement agencies are responsible of the task of distributing a stipend students receive after leaving JC._x000a__x000a_The third distinct feature of the training program is its residential component. With the majority of the students residing in a disruptive environment that may hinder their_x000a_performance and trigger the benefits of the program, JC centers offer residential slots characterized by zero-tolerance policy. In fact, around 88% of the participants reside in_x000a_the JC centers and only 12% in non-residential slots. Since, eligibility of admittance to the residential centers requires child support and is unlikely to accommodate families,_x000a_applicants with family dependents (like spouse, children, parents) are assigned to the non-residential slots. Individuals in both residential and non-residential slots are_x000a_exposed to the same academic and vocational training, and other program services"/>
    <m/>
    <s v="Classroom training: 8 months on average"/>
    <s v="Government"/>
    <s v="Randomization"/>
    <s v="Table II"/>
    <m/>
    <m/>
    <m/>
    <m/>
    <m/>
    <s v="both"/>
    <s v="classroom"/>
    <s v="less than 25"/>
    <m/>
    <s v="private"/>
    <n v="8"/>
    <n v="1200"/>
    <m/>
    <m/>
    <n v="12"/>
    <s v="no"/>
    <s v="The Job Corps study is based on an experimental design where, from late 1994 to early_x000a_1996, nearly 81,000 eligible applicants nationwide were randomly assigned to either a program_x000a_group, whose members were allowed to enroll in Job Corps, or to a control group, whose 6,000 members were not"/>
    <s v="centralized"/>
    <m/>
    <s v="yes"/>
    <s v="poverty"/>
    <n v="53"/>
    <m/>
    <m/>
    <x v="1"/>
  </r>
  <r>
    <s v="Macours 2013 i"/>
    <s v="Schochet 2008 i"/>
    <s v="PG"/>
    <x v="65"/>
    <s v="USA"/>
    <n v="1996"/>
    <s v="16-24_x000a_mean: 18.37"/>
    <s v="Table 1 _x000a_&amp;_x000a_Table 4.2 of Bampasidou 2012"/>
    <s v="Job Corps is the nation’s largest vocationally focused education and training program for disadvantaged youths. It serves youths between the ages of 16 and 24, primarily in a residential setting. The program’s goal is to help youths become more responsible, employable, and productive citizens.                   _x000a__x000a_From late 1994 to early 1996, nearly 81,000 eligible applicants nationwide were randomly assigned to either a program group.                  _x000a__x000a_Applicants must meet 11 criteria to be eligible for Job Corps: (1) be age 16 to 24; (2) be a legal US resident; (3) be economically disadvantaged (receiving welfare or food stamps or having income less than 70 percent of DOL’s “lower living standards income level”); (4) live in an environment_x000a_characterized by a disruptive home life, high crime rates, or limited job opportunities;_x000a_(5) need additional education, training, or job skills; (6) be free of serious behavioral problems; (7) have a clean health history; (8) have an adequate child care plan (for those with children); (9) have registered with the Selective Service Board (if applicable); (10) have parental consent (for minors); and (11) be judged to have the capability and aspirations to participate in Job Corps._x000a__x000a_Only 23 percent of youths in our sample had a high school credential at program application, and about 70 percent were members of racial or ethnic minority groups. About one fourth of applicants (and nearly one-third of male applicants) had been arrested before application. Nearly half lived in families that received food stamp benefits in the previous year, and mean annual earnings were less than $3,000. Using 1995 March Current Population Survey (CPS) data, we find that, compared to a nationwide population of low-income youths between the ages of 16 and 24, an eligible Job Corps applicant is more likely to be male, African American, younger, without a high school credential, from a large urban area, and to have been employed in the previous year._x000a__x000a__x000a__x000a__x000a_We obtain our data from the NJCS and focus our analysis on Quarter 16 after randomization, when the last follow-up interview took place. The purpose of our study is to estimate the causal effect of attaining a degree within JC on participants’ future labor outcomes, thus we construct a binary “mechanism” variable which corresponds to whether an individual attained a high school, GED or vocational certificate by the time of the last follow-up interview. Our sample consists of individuals with no missing values on key baseline variables - such as age -(we lose 5,587 observations), on the outcomes of interest at quarter 16 (we lose 307 observations) and lastly with no missing values on the degree attainment indicator (we lose n=1,472 observations). Hence, the estimation sample is smaller than the NJCS sample (8,020 versus 15,386) with 5,045 people assigned to the treatment and 2,975 people assigned to the control group, respectively._x000a_Breaking up our study population into racial groups we have that whites account for around 25% with 1,253 (712) being at the treatment (control) group and African-Americans account for 51% of the sample with 2,564 (1,507) being in the treatment (control) group._x000a_Furthermore, we perform an analysis by two broad age groups: youths, individuals 16-21 years old, where 2,634 belong in the control and 4,313 in the treatment group, and young adults of age 21 to 24 with 341 individuals in the control group and 732 in the treatment group, respectively._x000a_A description of the characteristics of individuals, portraying the profile of eligible applicants in the training program the period of our study is provided in Table 4-1. _x000a_Table 4-2 presents selected descriptive statistics by treatment status for the individuals in our study population (columns 1 to 3), and by subgroup decomposition: Whites (columns 4 to 6), African-Americans (columns 7 to 9), youths of age 16 to 21 (columns 10 to 12), and young adults (columns 13 to 15).2 The table reports the treatment and control means, standard errors, as well as the difference in means and the associated significance. Table 4-2 presents individual characteristics with respect to demographics, marriage status, parenthood, education level and an indicator for involvement into petty criminal activities (first 7 rows). It also displays pretreatment labor market variables for the year prior to application to JC: employment status, months being employed, hours  worked per week, as well as weekly and annual earnings (next rows 5 rows). Lastly, it shows indicators depicting intentions of applying to the training program (last 2 rows)._x000a_The estimates demonstrate that the means of the individual characteristics are similar between the control and the treatment group for the subgroups we are examining._x000a_As the data depict for our study population, the average applicant in the Job Corps program is an African-American male, of around 18 years of age, not married and_x000a_with no children, and not a high school graduate. A year prior applying to the training program, he was most likely unemployed or on-off employment (6 months employed on average, 35 hours a week) and reported weekly earnings about $100 for a total of about $2,500 annual earnings, an estimate below the poverty level._x000a_Individual characteristics with respect to demographic decomposition by race and age show no significant differences between the control and the treatment group as_x000a_reported in Table 4-2. The table also demonstrates the heterogeneity of the subgroups with respect to individual characteristics and importantly with respect to labor market_x000a_characteristics. White applicants are in advantage relative to African-American ones reporting higher employment rates, working for a longer period (captured by months_x000a_employed) and more hours, as well as earning a higher weekly paycheck which leads to notable higher annual incomes. Table 4-2 depicts also notable differences with respect. We use design weights in all the descriptive statistics presented below as well as in our estimation._x000a_to the age-risk subgroups. Older applicants are more likely to be married and have a child, more likely to have completed a higher education grade and are more likely to have vocational training. In addition, they are less likely to be arrested for petty crimes relative to younger participants. Also, they are more likely to participate in the labor market, reporting lower rates of unemployment and more time working in a job. They also reported working slightly more hours per week than younger applicants which can be related to noticeable higher weekly and annual earnings. All subgroups are characterized by a low education and vocational level reporting the same aspirations by applying to the program, earning a GED or vocational degree."/>
    <s v="Job Corps"/>
    <s v="Job Corps is the nation’s largest vocationally focused education and training program for disadvantaged youths. _x000a__x000a_The National Job Corps Study is the first nationally representative experimental evaluation of a federal employment and training program for disadvantaged youths._x000a__x000a_From late 1994 to early 1996, nearly 81,000 eligible applicants nationwide were randomly assigned to either a program group, who were allowed to enroll in Job Corps, or to a control group, whose 6,000 members were not. Study findings are based on the comparisons of the outcomes of program and control group members using survey data collected during the four years after random assignment, and administrative earnings data covering the nine years after random assignment. This paper presents impact findings from this evaluation._x000a__x000a_The Job Corps program  currently operates under the provisions of the Workforce Investment Act (WIA) of 1998. DOL administers Job Corps through a national office and six regional offices. Private and public agencies under contract to DOL provide Job Corps services._x000a__x000a_Job Corps services are delivered in three stages: outreach and admissions, center operations, and _x000a_placement. The outreach and admissions functions are performed by agencies typically_x000a_located in disadvantaged communities. These agencies recruit for Job Corps mainly by providing program information to community organizations working with youth, such as schools, courts, employment services, and welfare agencies. When youth apply to Job Corps, these agencies ensure that applicants are informed about the program and meet eligibility criteria. During the study, it took about three weeks on average between program application and eligibility determination. Once found eligible, the agencies assigned the youths to a center, typically about one month later. The 73 percent of youths in the program group who enrolled in centers typically did so within one to four weeks after their center assignments. _x000a__x000a_While at centers, participants receive intensive vocational training, academic education, and a wide range of other services, including counseling, social skills training, and health education._x000a__x000a_The heart of Job Corps is the services provided at centers. At the time of the study, there were 110 Job Corps centers nationwide. These centers ranged in size from about 200 to 2,600 slots; about half of participants were served in 49 medium-sized centers with 226 to 495 slots, and about one-third were served in 16 large centers with 496 slots or more. Most centers are operated by private contractors, although about one-quarter are operated by the US Departments of Agriculture and Interior. Centers are located in both rural and urban areas. About two-thirds of participants in our sample enrolled in centers in their home state, and half enrolled in a center that was the closest or second closest center to their home._x000a__x000a_While at centers, participants receive intensive vocational training, academic education, and a wide range of other services, including counseling, social skills training, and health education. At the time of the study, Job Corps offered vocational training in more than 75 trades, and a typical center offered 10 or 11 trades. The vocational curricula were developed with input from business and labor organizations, and emphasize the achievement of specific competencies necessary to work in a trade. Academic education aims to alleviate deficits in reading, math, and writing skills, and to provide a General Educational Development (GED) certificate. Job Corps has a uniform, computer-based curriculum for major academic courses. Most academic and vocational instruction is individualized and self-paced. The length of time a youth spends at Job Corps varies widely, but at the time of the study, the average participant was enrolled for eight months._x000a__x000a_A unique feature of Job Corps is that most participants reside at a center while training. Even the 13 percent of participants who are nonresidential and reside at home spend most of each_x000a_weekday at the center. Both residents and nonresidents receive meals, health and dental care, and can participate in student government and recreation activities._x000a__x000a_Each Job Corps applicant was randomly assigned soon after the youth was found eligible for the program. _x000a_To initiate random assignment, outreach and admissions counselors sent program intake forms to Mathematica Policy Research, Inc. (MPR) soon after applicants were determined to be eligible for the program. MPR then conducted random assignment and notified outreach and admissions counselors of the random assignment results within 48 hours of receiving completed program intake forms. Outreach and admissions counselors notified youths of the results. Over 1,300 Job Corps outreach and admissions counselors nationwide were directly involved in random assignment._x000a__x000a_Job Corps provides placement services to help participants find jobs or pursue additional training. These services are provided by center staff while youth are enrolled in centers and for six months afterward by placement agencies in the communities in which the youth reside. Contracts to provide placement, outreach and admissions, and center services are separate, but some agencies hold multiple types of contracts._x000a__x000a_Job Corps differs from these other programs for disadvantaged youth in three main ways. First, Job Corps offers more comprehensive services than other programs. While other programs may offer basic education, vocational training, or counseling, only Job Corps offers all these services along with a wide range of support services associated with residential living (such as health care and recreation). Second, Job Corps is more intensive and, hence, expensive. Third, while other education or training programs are administered by state or local agencies, Job Corps is administered by DOL._x000a__x000a_The National Job Corps Study is based on a national sample of eligible program applicants. With a few exceptions, all youths who applied to Job Corps in the 48 contiguous states between November 1994 and December 1995 and were found eligible by the end of February 1996 were randomly assigned to either a program or control group.1 Program group members were allowed to enroll in Job Corps; control group members were not for three years after random assignment, although they could enroll in other training or education programs. Thus, the counterfactual for the evaluation is other available programs that the study population would enroll in if Job Corps were not an option._x000a__x000a_The evaluation is based on large samples. Nearly 81,000 eligible applicants were randomly assigned. During the sample intake period, 5,977 youths (about 7 percent of the total) were randomly assigned to the control group, 9,409 youths were randomly assigned to the program group as part of the research sample—which we refer to hereafter as the treatment group—and the remaining youths were randomly assigned to a program nonresearch group._x000a__x000a_Only 1.4 percent of controls enrolled in Job Corps before the end of their three-year embargo period. An additional 3.2 percent of control group members enrolled in Job Corps after their three-year restriction period ended._x000a__x000a_The survey analysis sample includes 11,313 youths (6,828 treatments and 4,485 controls) who completed a 48-month interview. The response rate to the 48-month interview in the “intensive baseline” areas was 81 percent for treatments and 78 percent for controls._x000a__x000a_Average impact estimates per participant (that is, for those “treated”) were obtained using an instrumental variable approach where the estimated impacts per eligible applicant were divided by the_x000a_difference between the treatment group Job Corps enrollment rate (73 percent) and the control group crossover rate._x000a__x000a_Treatments received a substantial dose of Job Corps services. About 73 percent enrolled in centers. The average length of stay per participant was about eight months, although duration varied considerably; nearly one-quarter stayed for over a year, and 28 percent stayed for less than three months. About 85 percent of participants reported receiving academic and vocational instruction in Job Corps, and the average participant received nearly 1,200 hours of instruction. Participants also took part in the many other Job Corps activities, such as parenting education, health education, social skills training, cultural awareness classes, and recreation._x000a__x000a_About 70 percent of controls enrolled in education and training programs other than Job Corps during the four years after random assignment (Table 2). Participation rates were highest in programs that substitute for Job Corps: GED programs, high school, and vocational, technical, or trade schools (about 33 percent each)._x000a__x000a__x000a__x000a__x000a__x000a_Job Corps is the most intensive remedial education and vocational program for low-income youths in the United States. It was established by the Economic Opportunity Act of 1964, and is operating under the provisions of the Workforce Investment Act of 1998 and administered by the Department of Labor through a national office and nine regional offices. Throughout its existence, JC has served more than 2 million youths and every year, it accepts about 60,000 new participants in 120 centers located across the U.S. with an average $14,000 cost per participant, characterizing it as one of the most expensive programs. Job Corps has distinct features that distinguish it from other training programs which the success of the program is based on: (i) the target group, (ii) the services, and (iii) its residential component._x000a_Being the oldest training program for low-income youths, JC has undergone several changes to match the policy changes and recommendations in terms of its target population. In the 1960’s, JC served youths between 16 to 21 years of age from low-income families. The program widened its target age-group when JTPA passed to serve disadvantaged youths of 16 to 24 years old, residing in a disruptive environment._x000a_With the passing of WIA, JC formulated its current eligibility criteria. Applicants must meet the following criteria in order to be considered eligible for admission in JC: (1) be of age 16 to 24; (2) have registered with the selective service board if aged 18 or older; (3) have parental consent; (4) be a legal U.S. resident; (5) be economically disadvantaged1 ; (6) need additional education, training or job skills; (7) live in a disruptive environment; (8) have a clean health history; (9) be free of serious behavioral problems; (10) have an adequate child care plan and (11) possess the capability and aspirations to benefit from JC._x000a_Another distinct feature of the program is the services it offers to participants which despite the years the program is in effect have kept their original structure. Job Corps services are delivered in three stages: outreach and admissions (OA), center operations (CO), and placement. Outreach and Admissions are situated in disadvantaged 1 According to JC, a youth is categorized as economically disadvantaged if her/his family is receiving public assistance or the family income is below the poverty level as defined by the Department of Health and Human Services (DHHS) (Schochet et al., 2001b)_x000a__x000a_communities and recruit for JC mostly through schools, courts, employment services and welfare agencies. OA counselors are responsible for ensuring that applicants meet the eligibility criteria and informing them with respect to the program. Center operations take place at 120 Job Corps centers nationwide in both rural and urban areas with the majority of those centers being operated by private contractors and around one-quarter operated by the U.S. Department of Agriculture and U.S. Department of Interior. Center operations involve vocational training, academic education, health care and additional services including counseling, social skills training, health education, and recreation._x000a_JC provides an intensive education curriculum emphasizing academic classroom instruction and vocational skills training. Academic education includes remedial education (reading, math and writing skills) and a General Education Development program of high school equivalency. Vocational training areas may vary by center but typically include business and clerical, health, culinary arts and cosmetology, construction, and building and apartment maintenance. Average duration of the program is eight months and is characterized by an open-exit educational philosophy where instruction is individualized and self-paced. Typically, an individual is considered a graduate of the program if he/she has completed 60 or more calendar days of enrollment and has completed the requirements of Career Technical Training, or earned a high school diploma or its equivalent GED or who completes both, while enrolled in JC._x000a_Lastly, placement agencies help participants find jobs in training related occupations by providing assistance with resume writing and interviewing as well as services for job placement and referral. Usually placement activities are performed by state employment offices, private contractors and sometimes by the operational centers. Moreover, placement agencies are responsible of the task of distributing a stipend students receive after leaving JC._x000a__x000a_The third distinct feature of the training program is its residential component. With the majority of the students residing in a disruptive environment that may hinder their_x000a_performance and trigger the benefits of the program, JC centers offer residential slots characterized by zero-tolerance policy. In fact, around 88% of the participants reside in_x000a_the JC centers and only 12% in non-residential slots. Since, eligibility of admittance to the residential centers requires child support and is unlikely to accommodate families,_x000a_applicants with family dependents (like spouse, children, parents) are assigned to the non-residential slots. Individuals in both residential and non-residential slots are_x000a_exposed to the same academic and vocational training, and other program services"/>
    <s v="In 1995, Job Corps cost about $16,500 per participant. Each year, the program serves more than 60,000 new participants at a cost of about $1.5 billion. The program cost per participant is about 25 percent higher for residential participants."/>
    <s v="Classroom training: 8 months on average"/>
    <s v="Government"/>
    <s v="Randomization"/>
    <s v="Figure 1_x000a_&amp;_x000a_'Figure 4.1, 4.2 of Bampasidou2012"/>
    <s v="Bampasidou 2012"/>
    <s v="Eren 2014"/>
    <m/>
    <m/>
    <m/>
    <s v="both"/>
    <s v="classroom"/>
    <s v="less than 25"/>
    <m/>
    <s v="private"/>
    <n v="8"/>
    <n v="1200"/>
    <m/>
    <m/>
    <n v="267"/>
    <s v="no"/>
    <s v="The Job Corps study is based on an experimental design where, from late 1994 to early_x000a_1996, nearly 81,000 eligible applicants nationwide were randomly assigned to either a program_x000a_group, whose members were allowed to enroll in Job Corps, or to a control group, whose 6,000 members were not"/>
    <s v="centralized"/>
    <m/>
    <s v="yes"/>
    <s v="poverty"/>
    <n v="54"/>
    <m/>
    <m/>
    <x v="1"/>
  </r>
  <r>
    <s v="Schochet 2006"/>
    <s v="Skemer 2017 ii"/>
    <s v="DH"/>
    <x v="66"/>
    <s v="USA"/>
    <n v="2013"/>
    <s v="16-24"/>
    <s v="Table 2.1"/>
    <s v="In early adulthood, it is important to gain skills and experience through education, training, and employment in order to establish a solid foundation for future success. However, many young people in the United States are neither enrolled in school nor participating in the labor market._x000a_The detachment of these young people from society’s larger structures of school and work poses serious costs to their future well-being, their communities, and to the country as a whole._x000a__x000a_Disconnected youth are a heterogeneous group in terms of the causes of their disconnection, their level of disadvantage, their educational backgrounds, and the length of their disconnection. Because of this heterogeneity, appropriate service models vary considerably in terms of the subpopulations they target, the services they provide, their level of intensity, and their underlying theories for how best to reconnect young people to school, training, or work._x000a_Programs targeting disconnected young people tend to offer different combinations of educational support, job skills training, paid or subsidized employment, case management, and other services. A number of these programs have been rigorously evaluated, with some showing positive, statistically significant effects, primarily on employment and earnings.4 YAIP is unique among disconnected youth programs in a few respects: it is a relatively simple model focused on work experience; it targets a more job-ready subset of disconnected youth (this point will be discussed in greater detail below); and it operates at large scale._x000a__x000a_YAIP participants must be New York City residents, 16 to 24 years old, eligible to work in the United States, and neither in school nor working. In an effort to pinpoint the most job-ready disconnected young people, additional eligibility criteria were devised to screen out severely disadvantaged young adults, as well as young adults that do not need program services to improve their employability. Participants must score at least a sixth-grade reading level on the Test for Adult Basic Education (TABE), which is administered as part of the application process. They cannot have a postsecondary degree and must observe a semester-long waiting period if they recently graduated from high school or dropped out of high school or college. (In theory, this waiting period gives these young adults time to reengage in school or work on their own.) Additionally, young people cannot have participated in a CEO-funded paid internship program at any point in the past."/>
    <s v="Young Adult Internship Program (YAIP)"/>
    <s v="YAIP is a multiphase program that enrolls youth in cohorts, with a new cohort starting_x000a_every four months; participants in a particular cohort move through the program together. Each community-based YAIP provider is responsible for enrolling and serving a portion of the full cohort, usually about 30 young adults each. The program’s three phases are as follows:_x000a__x000a_Phase 1: The first 2 to 4 weeks of the program (duration varies by provider) are referred to as the orientation phase, wherein youth are expected to attend daily workshops facilitated by program staff at provider offices. Youth arepaid minimum wage for 25 hours per week,6 and workshops are typically five hours per day. The goals of orientation are to prepare participants for the workplace by providing various job-readiness and personal development activities,_x000a_to lay a foundation for cohort cohesion using icebreakers and group activities, and to match participants’ interests and skills with an available and appropriate internship._x000a__x000a_Phase 2: During the 10 to 12 weeks of this phase, youth are expected to work 20 hours a week in their internship placement and continue to earn minimum wage. Their earnings are fully subsidized. The goals of internship placements vary based on the particular needs of young people, but generally include work experience, development of soft or hard skills, career exploration, and potential transition from a subsidized internship to a permanent, unsubsidized_x000a_position. Once a week, youth are required to return to the provider offices to attend five-hour educational workshops, for which they are also paid minimum wage. These workshops cover topics including job readiness, healthy living, money and time management, and conflict resolution._x000a__x000a_Phase 3: The nine months following youths’ completion of their internship is the follow-up phase of YAIP. During this time, providers are expected to help participants secure and maintain an “outcome placement.” Outcome placements include participation in unsubsidized employment, education, training, or the military. Providers also offer support services during this phase, including housing assistance, counseling, and transportation assistance, among other types of support. "/>
    <m/>
    <s v="Total: 12 - 13 months_x000a__x000a_2-4 weeks (0.5-1 month) of daily workshops_x000a__x000a_10-12 weeks (2.5-3 months) of internship_x000a__x000a_09 months of job placement support"/>
    <s v="Government"/>
    <s v="Randomization"/>
    <m/>
    <m/>
    <m/>
    <m/>
    <m/>
    <m/>
    <s v="both"/>
    <s v="both"/>
    <s v="less than 25"/>
    <s v="private-subsidized"/>
    <s v="private"/>
    <n v="4.5"/>
    <n v="400"/>
    <n v="3"/>
    <n v="240"/>
    <n v="2"/>
    <s v="no"/>
    <s v="; participants in a particular cohort move through the program together"/>
    <s v="centralized"/>
    <m/>
    <s v="no"/>
    <m/>
    <n v="55"/>
    <m/>
    <m/>
    <x v="0"/>
  </r>
  <r>
    <s v="Filges 2015"/>
    <s v="Theodos 2017"/>
    <s v="DH"/>
    <x v="67"/>
    <s v="USA"/>
    <n v="2011"/>
    <m/>
    <s v="Table 1"/>
    <s v="Urban Alliance targets students at selected schools (further described in the Study Participants section) they consider to have a high proportion of youth at risk of not connecting to further education or meaningful work. The organization seeks out youth who will be in their senior year of high school during the upcoming program year. These youth will need to have enough course credits accumulated to allow for an early-release schedule during the internship phase of the program. The Urban Alliance program targets high school seniors because program staff believe the program is most effective at reaching young people during this transitional year; its lessons and curriculum are designed for youth about to enter adulthood. In addition, the program targets youth in their senior year because only by that point will they have accumulated enough credits to have a shortened school day schedule._x000a__x000a_The program aims to serve middle-of-the-road high school students who maintain a GPA of 2.0 to 3.0, but it is not limited to that group. Although Urban Alliance leadership believes students with GPAs that are too low will generally have insufficient time, resources, and course credits to participate in the program and graduate on time, the program often accepts youth with lower GPAs. The program also does not exclude youth with high GPAs, though these students often cannot participate in the program because, although they may have sufficient credits for an early-release schedule, they are more likely to be taking honors and Advanced Placement courses to fill up their schedules. Youth with high grades may also have higher skill levels and more external support, so their need for the program may be lower._x000a__x000a_Urban Alliance begins to recruit students for its High School Internship Program in the spring of students’ junior year, and recruitment continues into the fall of their senior year. The recruitment process differs between cities. In Washington, DC, the organization’s relationship with schools was informal at the time of this study, though it has since become more formalized. Urban Alliance presents its program during assemblies or in classrooms to high school juniors at several public and charter schools in the city. In Baltimore, the relationship with the school system is formalized, and youth receive course credit for participating in the program. School counselors and teachers identify and refer students in their schools who they think will benefit most from the program. Many of these youth do not formally apply until they start pre-work training."/>
    <s v="Urban Alliance High School Internship Program"/>
    <s v="The Urban Alliance High School Internship Program has four primary components: professional and life skills training, paid internships, coaching and mentoring, and alumni services._x000a__x000a_Training: Pre-work and Workshops_x000a__x000a_Urban Alliance conducts training workshops from late September or early October of each school year through the end of July. This training includes three to six weeks (varying by city) of pre-work training before the start of the internship. Program participants are expected to attend training for one to one and a half hours every day after school during that period. The primary goal of pre-work training is to prepare the youth for their internships. Topics include workplace etiquette and culture, as well as hard skills such as faxing and Microsoft Excel basics. Urban Alliance also uses these sessions to familiarize youth with post–high school education and employment options, financial literacy, and select life skills. During pre-work training, youth receive training on job interviewing, which they then use in interviews with mentors at their prospective job sites._x000a__x000a_After the internships start in the late fall, youth are expected to attend workshops most Fridays after school. Workshops focus heavily on topics related to post–high school planning, financial self-sufficiency, and life skills, though they also continue to review workplace-relevant topics. After the school year ends, youth attend half-day workshops every Friday._x000a__x000a_Urban Alliance staff also prepare youth for a final presentation that interns give in July, toward the end of the program year, at Urban Alliance’s public speaking challenge event. These PowerPoint presentations are designed by the youth to describe their recent internship experiences and career goals. A volunteer panel of community stakeholders judges the youth, who can receive a $100 prize for performance. Youth can also receive bonuses earlier in the year for participating at other events or participating in program activities while waiting on a delayed job placement._x000a__x000a_Paid Internships_x000a_Urban Alliance program staff pair students who complete pre-work training with paid internships based on each student’s skill levels, needs, interests, and the range of internships available. Starting in the late fall, Urban Alliance participants go to their internships from 2:00 to 5:00 p.m. after school Monday through Thursday. This schedule requires that interns obtain permission for an early-release class schedule during their senior year of high school. During the summer following graduation (and optionally during winter and spring breaks), Urban Alliance interns work full days Monday through Thursday. Urban Alliance partners with professional clothing nonprofits such as Dress for Success to give interns access to clothing appropriate for the workplace._x000a__x000a_The settings and responsibilities for internships vary, but most are office settings and include such tasks as filing, copying, and answering phones. Other jobs include greeting and directing guests in hotels or banks. Some interns also work in educational or day care settings. Interns earn a starting hourly wage close to their city’s minimum wage ($8.25 in DC and $7.25 in Baltimore during this study, though both these hourly rates are now higher). This wage could rise to $10.00 per hour based on interns’ job performance and effort, including workshop attendance and communication with their assigned program coordinator. For the most part, interns are officially employed and paid by Urban Alliance while working at their internship sites, though select job sites pay interns directly._x000a__x000a_Coaching and Mentorship_x000a_Youth receive job mentoring and general coaching as part of the program. In addition to running the training workshops described above, front-line staff (program coordinators) maintain coaching relationships with each youth assigned to their workshop group. Each program coordinator has a caseload of approximately 30 to 35 interns whom they support throughout the program. Coordinators track individual student performance in various areas including workshop and job attendance, punctuality, workshop homework assignments, academic progress, post–high school planning, and progress toward the presentation at the public speaking challenge. Program coordinators also send out a K44weekly e-mail to youth, and youth must check in with program coordinators at least once during the week. If interns are going to be late to work or miss work, they must contact their program coordinators and their employers._x000a__x000a_The program coordinators sit down formally with each intern at least three times per year in a one-on-one meeting to discuss post–high school planning. They also provide ad hoc support; speak with youth before or after workshop sessions; coordinate groups during workshops in which they discuss youths’ program-related experiences; and keep in touch via individual phone calls, e-mails, and texts. Some youth face serious challenges such as teen pregnancy, domestic or relationship abuse, problems with their home life, or housing instability. Program coordinators support youth emotionally and connect them with external resources to meet their needs._x000a__x000a_Each intern is also assigned to a “job mentor” or supervisor, who is an employee at the intern’s workplace responsible for ensuring the intern has adequate and appropriate work, teaching the intern necessary skills, and, ideally, providing opportunities for enrichment and networking within the workplace. Job mentors assess interns’ performance in the workplace. They may suggest possible termination of an intern’s position if his or her attendance or performance is poor, but the program endeavors to resolve all performance issues except the most severe (e.g., time-sheet fraud). When performance concerns arise, Urban Alliance staff first establish a work contract with the youth. Only if poor performance persists after several intervention attempts will the organization fire the youth and ask the intern to leave the program._x000a__x000a_Alumni Services_x000a_As the Urban Alliance program has grown, the program coordinators have increasingly found themselves providing informal support to youth who keep in touch after graduating from the program. In 2007, Urban Alliance first began offering informal education and career support services to alumni. More recently, Urban Alliance formalized this program component by adding regional alumni services directors, and in 2016 it established a national alumni director. Through alumni services, Urban Alliance aims to prevent program alumni who are college students from dropping out and to link alumni with work. Alumni services also provides an avenue for tracking student outcomes after program completion._x000a_Services for alumni include ad hoc individual coaching meetings with youth, a resource room where alumni can access job search and education materials, networking opportunities through a website, alumni reunions, and connections to paid internship opportunities."/>
    <m/>
    <s v="Training component:_x000a_avg: 01 month_x000a_3 - 6 weeks"/>
    <s v="NGO"/>
    <s v="Randomization"/>
    <m/>
    <m/>
    <m/>
    <m/>
    <m/>
    <m/>
    <s v="soft, job-readiness"/>
    <s v="both"/>
    <s v="less than 25"/>
    <s v="private-subsidized"/>
    <s v="private"/>
    <n v="1"/>
    <n v="37.5"/>
    <n v="5"/>
    <n v="114"/>
    <n v="0"/>
    <s v="no"/>
    <s v=". Program participants are expected to attend training for one to one and a half hours every day after school during that period. The primary goal of pre-work training is to prepare the youth for their internships. "/>
    <s v="centralized"/>
    <m/>
    <s v="no"/>
    <m/>
    <n v="58"/>
    <m/>
    <m/>
    <x v="0"/>
  </r>
  <r>
    <s v="Filges 2015"/>
    <s v="Vinokur 2000"/>
    <s v="BT/DU"/>
    <x v="68"/>
    <s v="USA"/>
    <n v="1991"/>
    <s v="mean: 36"/>
    <s v="-"/>
    <s v="Study participants were recruited from four offices of the _x000a_Michigan Employment Security Commission in southeast- _x000a_ern Michigan, the state agency that provides unemployment _x000a_insurance payments. The recruited sample of participants _x000a_included those who returned the baseline Test 1 (TI) pretest _x000a_questionnaire (73% of those eligible) and was composed of _x000a_2,005 workers who had recently lost a job (M = 4.11 weeks _x000a_since job loss) and were unemployed for no longer than 13 _x000a_weeks. The demographic characteristics of this sample _x000a_closely resembled the U.S. unemployed population as _x000a_reported by the U.S. Bureau of Labor Statistics (1992a). For _x000a_example, in this sample, the median age was 34.7 years _x000a_(M = 36.20 years, SD = 10.38) and included 45% men and _x000a_55% women. Of the participants, 22% were African _x000a_Americans and 76% were Whites, 41% were married, and _x000a_the mean monthly income from their last job was $1,881. _x000a_The U.S. unemployed population during 1991 had a median _x000a_age of 30.4 years and included 58% men, 20% African _x000a_Americans, 76% Whites, 41% married, and monthly _x000a_earnings of $1,834. _x000a__x000a_Using a short screening questionnaire to determine_x000a_eligibility, we recruited 1,801 respondents in the JOBS II_x000a_field study. Eligible respondents were those unemployed for_x000a_less than 13 weeks, still looking to find a job, and not_x000a_expecting to retire within the next 2 years or to be recalled_x000a_back to their former jobs. _x000a__x000a_Those who met all of the above initial criteria_x000a_were asked to fill out a 5-page, self-administered screening questionnaire_x000a_described below to determine three additional final eligibility criteria and_x000a_to provide baseline pretest measures. Only 3,402 (Fig. 1, Box 3) met all_x000a_eligibility criteria for participation in the field experiment. Of the three_x000a_final exclusion criteria, the first included information that the respondent_x000a_had lost his~her job and was unemployed for over 13 weeks. The second criterion_x000a_was designed to exclude respondents who were likely to introduce selection and attrition bias due to a strong preference for the program offered_x000a_to the control or the experimental group. Thus the respondents were_x000a_told about two programs that were being offered by the University of Michigan on how to seek jobs. One program was described as a five halfday_x000a_(Monday through Friday) seminar series (the experimental condition);_x000a_the other was described as a self-guided booklet program (the control condition)._x000a_To ensure equal motivation to enter one or the other condition,_x000a_only persons who expressed no preference were randomly assigned to the_x000a_experimental and control conditions. Of the 7,956 selected initially, those_x000a_1,159 (14.6%) who expressed a preference for one of the programs (versus_x000a_having no preference) and the 108 respondents who refused both programs_x000a_(1.3%) were excluded from the study but were sent the job search booklet_x000a_and eliminated from the sample. The majority of those with a preference_x000a_preferred the self-administered program._x000a_"/>
    <s v="Jobs II Program"/>
    <s v="The intervention process _x000a_was designed as an active learning experience that was _x000a_intended to increase sense of mastery and motivation to _x000a_search for a job by learning job-search skills and inoculation _x000a_against setbacks _x000a__x000a_Among those 1,249 who were assigned to the experimen- _x000a_tal condition and became study participants, 46% (n = 578) _x000a_failed to show up for the intervention but continued to _x000a_provide data at the subsequent follow-ups (T2, T3, and T4). _x000a_Of those 671 who showed up, 567, or 85%, showed up for at _x000a_least four of the five workshop sessions. _x000a__x000a_The JOBS seminar experimental condition consisted of five 4-hour _x000a_sessions conducted during the morning hours of a 1-week period. All per- _x000a_sons in the experimental condition were mailed an invitation to attend the _x000a_seminar with a $5 bill incentive to cover transportation costs. Respondents _x000a_assigned to the experimental condition were also told that they would re- _x000a_ceive a $20 check payment for completing at least 4 of the 5 sessions and _x000a_a certificate of participation. The certificate was awarded at the last session. _x000a__x000a_Each training site was located in the geographical area in which re- _x000a_cruitment to the site took place. The sites included community colleges, _x000a_community centers, and rented conference rooms at local hotels. The _x000a_rooms were large enough to accommodate 25 persons seated at movable _x000a_chairs and tables. A semicircular seating layout was used to facilitate dis- _x000a_cussion, and small groups were formed to carry out group exercises_x000a__x000a_The intervention seminars were delivered by three pairs of male and female _x000a_cotrainers to groups ranging from 12 to 22 participants (M = 15.6). The _x000a_seminar trainers included social workers, educational counselors, and high _x000a_school teachers who were themselves unemployed at the time but were _x000a_looking for work. _x000a__x000a_The sessions covered a wide range of substantive, skill-related topics. _x000a_The topics included examples and exercises in identifying and conveying _x000a_one's job-related skills, using social networks to obtain job leads, contact- _x000a_ing potential employers, preparing job applications and resum6s, and suc- _x000a_cessfully going through a job interview. Each of the five sessions was _x000a_standardized for the trainers in 8 to 12 pages of documentation per 4-hour _x000a_session._x000a_Those_x000a_randomized to the experimental condition received an_x000a_invitation to participate in the JOBS intervention program in_x000a_a site chosen for its proximity to the office from which they_x000a_were recruited._x000a_"/>
    <s v="-"/>
    <s v="The JOBS workshop experimental condition consisted of _x000a_five 4-hr sessions conducted during the morning hours of a _x000a_1-week period. The intervention workshops were delivered _x000a_to 671 partici_x000a__x000a_The new JOBS II study included the _x000a_hiring of a new team of six cotrainers and increasing their formal training _x000a_from 80 to 240 hours. To increase efficiency and attendance, the interven- _x000a_tion was shortened from eight sessions during a 2-week period (in JOBS _x000a_I) to five sessions during a 1-week period (in JOBS II) with total number _x000a_of intervention hours reduced by 30% (approximately from 28 to 20 hours)."/>
    <s v="Researchers"/>
    <s v="Randomization"/>
    <s v="Table 1"/>
    <m/>
    <m/>
    <m/>
    <m/>
    <m/>
    <s v="soft"/>
    <s v="classroom"/>
    <s v="more than 25"/>
    <m/>
    <s v="private"/>
    <n v="0.25"/>
    <n v="20"/>
    <m/>
    <m/>
    <n v="284"/>
    <s v="no"/>
    <s v=" Those _x000a_randomized to the experimental condition received an _x000a_invitation to participate in the JOBS intervention program in _x000a_a site chosen for its proximity to the office from which they _x000a_were recruited."/>
    <s v="centralized"/>
    <s v="voluntary enrollment"/>
    <s v="no"/>
    <m/>
    <n v="69"/>
    <m/>
    <m/>
    <x v="0"/>
  </r>
  <r>
    <s v="Filges 2015"/>
    <s v="Vinokur 1995"/>
    <s v="BT/DU"/>
    <x v="68"/>
    <s v="USA"/>
    <n v="1991"/>
    <s v="mean: 36"/>
    <s v="-"/>
    <s v="Study participants were recruited from four offices of the _x000a_Michigan Employment Security Commission in southeast- _x000a_ern Michigan, the state agency that provides unemployment _x000a_insurance payments. The recruited sample of participants _x000a_included those who returned the baseline Test 1 (TI) pretest _x000a_questionnaire (73% of those eligible) and was composed of _x000a_2,005 workers who had recently lost a job (M = 4.11 weeks _x000a_since job loss) and were unemployed for no longer than 13 _x000a_weeks. The demographic characteristics of this sample _x000a_closely resembled the U.S. unemployed population as _x000a_reported by the U.S. Bureau of Labor Statistics (1992a). For _x000a_example, in this sample, the median age was 34.7 years _x000a_(M = 36.20 years, SD = 10.38) and included 45% men and _x000a_55% women. Of the participants, 22% were African _x000a_Americans and 76% were Whites, 41% were married, and _x000a_the mean monthly income from their last job was $1,881. _x000a_The U.S. unemployed population during 1991 had a median _x000a_age of 30.4 years and included 58% men, 20% African _x000a_Americans, 76% Whites, 41% married, and monthly _x000a_earnings of $1,834. _x000a__x000a_Using a short screening questionnaire to determine_x000a_eligibility, we recruited 1,801 respondents in the JOBS II_x000a_field study. Eligible respondents were those unemployed for_x000a_less than 13 weeks, still looking to find a job, and not_x000a_expecting to retire within the next 2 years or to be recalled_x000a_back to their former jobs. _x000a__x000a_Those who met all of the above initial criteria_x000a_were asked to fill out a 5-page, self-administered screening questionnaire_x000a_described below to determine three additional final eligibility criteria and_x000a_to provide baseline pretest measures. Only 3,402 (Fig. 1, Box 3) met all_x000a_eligibility criteria for participation in the field experiment. Of the three_x000a_final exclusion criteria, the first included information that the respondent_x000a_had lost his~her job and was unemployed for over 13 weeks. The second criterion_x000a_was designed to exclude respondents who were likely to introduce selection and attrition bias due to a strong preference for the program offered_x000a_to the control or the experimental group. Thus the respondents were_x000a_told about two programs that were being offered by the University of Michigan on how to seek jobs. One program was described as a five halfday_x000a_(Monday through Friday) seminar series (the experimental condition);_x000a_the other was described as a self-guided booklet program (the control condition)._x000a_To ensure equal motivation to enter one or the other condition,_x000a_only persons who expressed no preference were randomly assigned to the_x000a_experimental and control conditions. Of the 7,956 selected initially, those_x000a_1,159 (14.6%) who expressed a preference for one of the programs (versus_x000a_having no preference) and the 108 respondents who refused both programs_x000a_(1.3%) were excluded from the study but were sent the job search booklet_x000a_and eliminated from the sample. The majority of those with a preference_x000a_preferred the self-administered program._x000a_"/>
    <s v="Jobs II Program"/>
    <s v="The intervention process _x000a_was designed as an active learning experience that was _x000a_intended to increase sense of mastery and motivation to _x000a_search for a job by learning job-search skills and inoculation _x000a_against setbacks _x000a__x000a_Among those 1,249 who were assigned to the experimen- _x000a_tal condition and became study participants, 46% (n = 578) _x000a_failed to show up for the intervention but continued to _x000a_provide data at the subsequent follow-ups (T2, T3, and T4). _x000a_Of those 671 who showed up, 567, or 85%, showed up for at _x000a_least four of the five workshop sessions. _x000a__x000a_The JOBS seminar experimental condition consisted of five 4-hour _x000a_sessions conducted during the morning hours of a 1-week period. All per- _x000a_sons in the experimental condition were mailed an invitation to attend the _x000a_seminar with a $5 bill incentive to cover transportation costs. Respondents _x000a_assigned to the experimental condition were also told that they would re- _x000a_ceive a $20 check payment for completing at least 4 of the 5 sessions and _x000a_a certificate of participation. The certificate was awarded at the last session. _x000a__x000a_Each training site was located in the geographical area in which re- _x000a_cruitment to the site took place. The sites included community colleges, _x000a_community centers, and rented conference rooms at local hotels. The _x000a_rooms were large enough to accommodate 25 persons seated at movable _x000a_chairs and tables. A semicircular seating layout was used to facilitate dis- _x000a_cussion, and small groups were formed to carry out group exercises_x000a__x000a_The intervention seminars were delivered by three pairs of male and female _x000a_cotrainers to groups ranging from 12 to 22 participants (M = 15.6). The _x000a_seminar trainers included social workers, educational counselors, and high _x000a_school teachers who were themselves unemployed at the time but were _x000a_looking for work. _x000a__x000a_The sessions covered a wide range of substantive, skill-related topics. _x000a_The topics included examples and exercises in identifying and conveying _x000a_one's job-related skills, using social networks to obtain job leads, contact- _x000a_ing potential employers, preparing job applications and resum6s, and suc- _x000a_cessfully going through a job interview. Each of the five sessions was _x000a_standardized for the trainers in 8 to 12 pages of documentation per 4-hour _x000a_session._x000a_Those_x000a_randomized to the experimental condition received an_x000a_invitation to participate in the JOBS intervention program in_x000a_a site chosen for its proximity to the office from which they_x000a_were recruited._x000a_"/>
    <s v="-"/>
    <s v="The JOBS workshop experimental condition consisted of _x000a_five 4-hr sessions conducted during the morning hours of a _x000a_1-week period. The intervention workshops were delivered _x000a_to 671 partici_x000a__x000a_The new JOBS II study included the _x000a_hiring of a new team of six cotrainers and increasing their formal training _x000a_from 80 to 240 hours. To increase efficiency and attendance, the interven- _x000a_tion was shortened from eight sessions during a 2-week period (in JOBS _x000a_I) to five sessions during a 1-week period (in JOBS II) with total number _x000a_of intervention hours reduced by 30% (approximately from 28 to 20 hours)."/>
    <s v="Researchers"/>
    <s v="Randomization"/>
    <s v="Table 1"/>
    <m/>
    <m/>
    <m/>
    <m/>
    <m/>
    <s v="soft"/>
    <s v="classroom"/>
    <s v="more than 25"/>
    <m/>
    <s v="private"/>
    <n v="0.25"/>
    <n v="20"/>
    <m/>
    <m/>
    <n v="284"/>
    <s v="no"/>
    <s v=" Those _x000a_randomized to the experimental condition received an _x000a_invitation to participate in the JOBS intervention program in _x000a_a site chosen for its proximity to the office from which they _x000a_were recruited."/>
    <s v="centralized"/>
    <s v="voluntary enrollment"/>
    <s v="no"/>
    <m/>
    <n v="70"/>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8" firstHeaderRow="1" firstDataRow="1" firstDataCol="1"/>
  <pivotFields count="41">
    <pivotField showAll="0"/>
    <pivotField showAll="0"/>
    <pivotField showAll="0"/>
    <pivotField dataField="1" showAll="0">
      <items count="70">
        <item x="9"/>
        <item x="14"/>
        <item x="15"/>
        <item x="22"/>
        <item x="29"/>
        <item x="37"/>
        <item x="25"/>
        <item x="26"/>
        <item x="0"/>
        <item x="39"/>
        <item x="11"/>
        <item x="42"/>
        <item x="30"/>
        <item x="43"/>
        <item x="17"/>
        <item x="18"/>
        <item x="44"/>
        <item x="45"/>
        <item x="46"/>
        <item x="47"/>
        <item x="48"/>
        <item x="49"/>
        <item x="50"/>
        <item x="4"/>
        <item x="5"/>
        <item x="51"/>
        <item x="31"/>
        <item x="6"/>
        <item x="52"/>
        <item x="3"/>
        <item x="32"/>
        <item x="35"/>
        <item x="53"/>
        <item x="1"/>
        <item x="19"/>
        <item x="20"/>
        <item x="21"/>
        <item x="54"/>
        <item x="55"/>
        <item x="56"/>
        <item x="57"/>
        <item x="58"/>
        <item x="59"/>
        <item x="60"/>
        <item x="61"/>
        <item x="24"/>
        <item x="62"/>
        <item x="27"/>
        <item x="41"/>
        <item x="28"/>
        <item x="16"/>
        <item x="10"/>
        <item x="36"/>
        <item x="33"/>
        <item x="23"/>
        <item x="63"/>
        <item x="2"/>
        <item x="64"/>
        <item x="34"/>
        <item x="7"/>
        <item x="38"/>
        <item x="13"/>
        <item x="12"/>
        <item x="65"/>
        <item x="66"/>
        <item x="8"/>
        <item x="40"/>
        <item x="67"/>
        <item x="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1"/>
        <item x="0"/>
        <item x="2"/>
        <item t="default"/>
      </items>
    </pivotField>
  </pivotFields>
  <rowFields count="1">
    <field x="40"/>
  </rowFields>
  <rowItems count="5">
    <i>
      <x/>
    </i>
    <i>
      <x v="1"/>
    </i>
    <i>
      <x v="2"/>
    </i>
    <i>
      <x v="3"/>
    </i>
    <i t="grand">
      <x/>
    </i>
  </rowItems>
  <colItems count="1">
    <i/>
  </colItems>
  <dataFields count="1">
    <dataField name="Cuenta de Evaluation_x000a_ID" fld="3"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pubdocs.worldbank.org/en/387401484327068475/GAP-Paper-v1.pdf"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3"/>
  <sheetViews>
    <sheetView zoomScaleNormal="100" zoomScalePageLayoutView="160" workbookViewId="0">
      <selection activeCell="B15" sqref="B15"/>
    </sheetView>
  </sheetViews>
  <sheetFormatPr baseColWidth="10" defaultColWidth="8.625" defaultRowHeight="15.75" x14ac:dyDescent="0.25"/>
  <cols>
    <col min="1" max="1" width="21.125" customWidth="1"/>
    <col min="2" max="2" width="19.5" customWidth="1"/>
  </cols>
  <sheetData>
    <row r="1" spans="1:2" ht="26.25" x14ac:dyDescent="0.4">
      <c r="A1" s="2" t="s">
        <v>0</v>
      </c>
    </row>
    <row r="2" spans="1:2" x14ac:dyDescent="0.25">
      <c r="A2" s="1"/>
    </row>
    <row r="3" spans="1:2" x14ac:dyDescent="0.25">
      <c r="A3" s="1" t="s">
        <v>1</v>
      </c>
      <c r="B3" s="13" t="s">
        <v>2</v>
      </c>
    </row>
    <row r="4" spans="1:2" x14ac:dyDescent="0.25">
      <c r="A4" s="1"/>
      <c r="B4" s="13" t="s">
        <v>3</v>
      </c>
    </row>
    <row r="5" spans="1:2" x14ac:dyDescent="0.25">
      <c r="A5" s="1"/>
      <c r="B5" t="s">
        <v>4</v>
      </c>
    </row>
    <row r="6" spans="1:2" x14ac:dyDescent="0.25">
      <c r="A6" s="1"/>
      <c r="B6" s="13" t="s">
        <v>5</v>
      </c>
    </row>
    <row r="7" spans="1:2" x14ac:dyDescent="0.25">
      <c r="A7" s="1"/>
      <c r="B7" t="s">
        <v>6</v>
      </c>
    </row>
    <row r="8" spans="1:2" x14ac:dyDescent="0.25">
      <c r="A8" s="1"/>
      <c r="B8" s="13" t="s">
        <v>7</v>
      </c>
    </row>
    <row r="9" spans="1:2" x14ac:dyDescent="0.25">
      <c r="A9" s="1"/>
      <c r="B9" t="s">
        <v>8</v>
      </c>
    </row>
    <row r="10" spans="1:2" x14ac:dyDescent="0.25">
      <c r="A10" s="1"/>
      <c r="B10" s="13" t="s">
        <v>9</v>
      </c>
    </row>
    <row r="11" spans="1:2" x14ac:dyDescent="0.25">
      <c r="A11" s="1"/>
      <c r="B11" t="s">
        <v>10</v>
      </c>
    </row>
    <row r="12" spans="1:2" x14ac:dyDescent="0.25">
      <c r="A12" s="1"/>
      <c r="B12" s="13" t="s">
        <v>11</v>
      </c>
    </row>
    <row r="13" spans="1:2" x14ac:dyDescent="0.25">
      <c r="A13" s="1"/>
    </row>
    <row r="14" spans="1:2" x14ac:dyDescent="0.25">
      <c r="A14" s="1"/>
      <c r="B14" s="13" t="s">
        <v>12</v>
      </c>
    </row>
    <row r="15" spans="1:2" x14ac:dyDescent="0.25">
      <c r="A15" s="1"/>
      <c r="B15" t="s">
        <v>13</v>
      </c>
    </row>
    <row r="16" spans="1:2" x14ac:dyDescent="0.25">
      <c r="A16" s="1"/>
    </row>
    <row r="17" spans="1:2" x14ac:dyDescent="0.25">
      <c r="A17" s="1"/>
    </row>
    <row r="18" spans="1:2" x14ac:dyDescent="0.25">
      <c r="A18" s="1" t="s">
        <v>14</v>
      </c>
      <c r="B18" t="s">
        <v>15</v>
      </c>
    </row>
    <row r="19" spans="1:2" x14ac:dyDescent="0.25">
      <c r="A19" s="1"/>
      <c r="B19" t="s">
        <v>16</v>
      </c>
    </row>
    <row r="20" spans="1:2" x14ac:dyDescent="0.25">
      <c r="A20" s="1"/>
      <c r="B20" t="s">
        <v>17</v>
      </c>
    </row>
    <row r="21" spans="1:2" x14ac:dyDescent="0.25">
      <c r="A21" s="1"/>
      <c r="B21" t="s">
        <v>18</v>
      </c>
    </row>
    <row r="22" spans="1:2" x14ac:dyDescent="0.25">
      <c r="A22" s="1"/>
      <c r="B22" t="s">
        <v>19</v>
      </c>
    </row>
    <row r="23" spans="1:2" x14ac:dyDescent="0.25">
      <c r="A23" s="1"/>
      <c r="B23" t="s">
        <v>20</v>
      </c>
    </row>
    <row r="24" spans="1:2" x14ac:dyDescent="0.25">
      <c r="A24" s="1"/>
    </row>
    <row r="25" spans="1:2" x14ac:dyDescent="0.25">
      <c r="A25" s="1"/>
    </row>
    <row r="26" spans="1:2" x14ac:dyDescent="0.25">
      <c r="A26" s="1"/>
    </row>
    <row r="27" spans="1:2" x14ac:dyDescent="0.25">
      <c r="A27" s="1"/>
    </row>
    <row r="28" spans="1:2" x14ac:dyDescent="0.25">
      <c r="A28" s="1"/>
    </row>
    <row r="29" spans="1:2" x14ac:dyDescent="0.25">
      <c r="A29" s="1"/>
    </row>
    <row r="30" spans="1:2" x14ac:dyDescent="0.25">
      <c r="A30" s="1"/>
    </row>
    <row r="31" spans="1:2" x14ac:dyDescent="0.25">
      <c r="A31" s="1"/>
    </row>
    <row r="32" spans="1:2"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row r="47" spans="1:1" x14ac:dyDescent="0.25">
      <c r="A47" s="1"/>
    </row>
    <row r="48" spans="1:1"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row r="61" spans="1:1" x14ac:dyDescent="0.25">
      <c r="A61" s="1"/>
    </row>
    <row r="62" spans="1:1" x14ac:dyDescent="0.25">
      <c r="A62" s="1"/>
    </row>
    <row r="63" spans="1:1" x14ac:dyDescent="0.25">
      <c r="A63" s="1"/>
    </row>
    <row r="64" spans="1:1"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8" sqref="B8"/>
    </sheetView>
  </sheetViews>
  <sheetFormatPr baseColWidth="10" defaultRowHeight="15.75" x14ac:dyDescent="0.25"/>
  <cols>
    <col min="1" max="1" width="16.5" customWidth="1"/>
    <col min="2" max="2" width="21.75" bestFit="1" customWidth="1"/>
    <col min="3" max="4" width="21.25" bestFit="1" customWidth="1"/>
    <col min="5" max="6" width="11.875" bestFit="1" customWidth="1"/>
  </cols>
  <sheetData>
    <row r="3" spans="1:2" x14ac:dyDescent="0.25">
      <c r="A3" s="34" t="s">
        <v>1454</v>
      </c>
      <c r="B3" t="s">
        <v>1456</v>
      </c>
    </row>
    <row r="4" spans="1:2" x14ac:dyDescent="0.25">
      <c r="A4" s="35" t="s">
        <v>1453</v>
      </c>
      <c r="B4" s="36">
        <v>18</v>
      </c>
    </row>
    <row r="5" spans="1:2" x14ac:dyDescent="0.25">
      <c r="A5" s="35" t="s">
        <v>1450</v>
      </c>
      <c r="B5" s="36">
        <v>12</v>
      </c>
    </row>
    <row r="6" spans="1:2" x14ac:dyDescent="0.25">
      <c r="A6" s="35" t="s">
        <v>1451</v>
      </c>
      <c r="B6" s="36">
        <v>51</v>
      </c>
    </row>
    <row r="7" spans="1:2" x14ac:dyDescent="0.25">
      <c r="A7" s="35" t="s">
        <v>1452</v>
      </c>
      <c r="B7" s="36">
        <v>2</v>
      </c>
    </row>
    <row r="8" spans="1:2" x14ac:dyDescent="0.25">
      <c r="A8" s="35" t="s">
        <v>1455</v>
      </c>
      <c r="B8" s="36">
        <v>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FF107"/>
  <sheetViews>
    <sheetView tabSelected="1" zoomScaleNormal="100" workbookViewId="0">
      <pane xSplit="4" ySplit="1" topLeftCell="L70" activePane="bottomRight" state="frozen"/>
      <selection activeCell="B1" sqref="B1"/>
      <selection pane="topRight" activeCell="E1" sqref="E1"/>
      <selection pane="bottomLeft" activeCell="B2" sqref="B2"/>
      <selection pane="bottomRight" activeCell="L1" sqref="L1"/>
    </sheetView>
  </sheetViews>
  <sheetFormatPr baseColWidth="10" defaultColWidth="7.625" defaultRowHeight="15" x14ac:dyDescent="0.25"/>
  <cols>
    <col min="1" max="1" width="11.25" style="124" customWidth="1"/>
    <col min="2" max="2" width="15.5" style="124" customWidth="1"/>
    <col min="3" max="3" width="7.625" style="124" customWidth="1"/>
    <col min="4" max="4" width="17.625" style="124" customWidth="1"/>
    <col min="5" max="5" width="10.625" style="124" customWidth="1"/>
    <col min="6" max="6" width="12.625" style="124" customWidth="1"/>
    <col min="7" max="7" width="12.5" style="124" customWidth="1"/>
    <col min="8" max="8" width="13.625" style="124" customWidth="1"/>
    <col min="9" max="9" width="75.625" style="124" customWidth="1"/>
    <col min="10" max="10" width="14.5" style="124" customWidth="1"/>
    <col min="11" max="11" width="80.125" style="124" customWidth="1"/>
    <col min="12" max="12" width="38.125" style="124" customWidth="1"/>
    <col min="13" max="13" width="16.625" style="124" customWidth="1"/>
    <col min="14" max="14" width="12.625" style="124" customWidth="1"/>
    <col min="15" max="15" width="19.75" style="124" customWidth="1"/>
    <col min="16" max="16" width="13.625" style="124" customWidth="1"/>
    <col min="17" max="18" width="22.125" style="124" customWidth="1"/>
    <col min="19" max="19" width="37.25" style="124" customWidth="1"/>
    <col min="20" max="20" width="7.625" style="124" customWidth="1"/>
    <col min="21" max="21" width="24.75" style="124" customWidth="1"/>
    <col min="22" max="22" width="17" style="63" customWidth="1"/>
    <col min="23" max="23" width="11" style="63" customWidth="1"/>
    <col min="24" max="24" width="10.625" style="63" customWidth="1"/>
    <col min="25" max="25" width="16" style="124" customWidth="1"/>
    <col min="26" max="27" width="12.375" style="124" customWidth="1"/>
    <col min="28" max="32" width="7.625" style="124" customWidth="1"/>
    <col min="33" max="33" width="10" style="124" customWidth="1"/>
    <col min="34" max="34" width="15.375" style="124" customWidth="1"/>
    <col min="35" max="35" width="17" style="124" customWidth="1"/>
    <col min="36" max="36" width="12.125" style="124" customWidth="1"/>
    <col min="37" max="37" width="9.5" style="124" customWidth="1"/>
    <col min="38" max="38" width="14.375" style="124" customWidth="1"/>
    <col min="39" max="39" width="7.625" style="124" customWidth="1"/>
    <col min="40" max="40" width="15.125" style="124" customWidth="1"/>
    <col min="41" max="41" width="15.875" style="124" customWidth="1"/>
    <col min="42" max="162" width="7.625" style="63"/>
    <col min="163" max="16384" width="7.625" style="124"/>
  </cols>
  <sheetData>
    <row r="1" spans="1:162" ht="55.5" customHeight="1" x14ac:dyDescent="0.25">
      <c r="A1" s="16" t="s">
        <v>47</v>
      </c>
      <c r="B1" s="17" t="s">
        <v>184</v>
      </c>
      <c r="C1" s="16" t="s">
        <v>185</v>
      </c>
      <c r="D1" s="16" t="s">
        <v>186</v>
      </c>
      <c r="E1" s="16" t="s">
        <v>48</v>
      </c>
      <c r="F1" s="16" t="s">
        <v>187</v>
      </c>
      <c r="G1" s="16" t="s">
        <v>188</v>
      </c>
      <c r="H1" s="16" t="s">
        <v>189</v>
      </c>
      <c r="I1" s="16" t="s">
        <v>190</v>
      </c>
      <c r="J1" s="16" t="s">
        <v>191</v>
      </c>
      <c r="K1" s="16" t="s">
        <v>192</v>
      </c>
      <c r="L1" s="16" t="s">
        <v>193</v>
      </c>
      <c r="M1" s="16" t="s">
        <v>194</v>
      </c>
      <c r="N1" s="16" t="s">
        <v>195</v>
      </c>
      <c r="O1" s="16" t="s">
        <v>1391</v>
      </c>
      <c r="P1" s="16" t="s">
        <v>196</v>
      </c>
      <c r="Q1" s="16" t="s">
        <v>197</v>
      </c>
      <c r="R1" s="16" t="s">
        <v>198</v>
      </c>
      <c r="S1" s="16" t="s">
        <v>36</v>
      </c>
      <c r="T1" s="16" t="s">
        <v>199</v>
      </c>
      <c r="U1" s="16" t="s">
        <v>200</v>
      </c>
      <c r="V1" s="18" t="s">
        <v>201</v>
      </c>
      <c r="W1" s="18" t="s">
        <v>202</v>
      </c>
      <c r="X1" s="18" t="s">
        <v>203</v>
      </c>
      <c r="Y1" s="18" t="s">
        <v>204</v>
      </c>
      <c r="Z1" s="18" t="s">
        <v>205</v>
      </c>
      <c r="AA1" s="18" t="s">
        <v>1460</v>
      </c>
      <c r="AB1" s="16" t="s">
        <v>990</v>
      </c>
      <c r="AC1" s="16" t="s">
        <v>991</v>
      </c>
      <c r="AD1" s="16" t="s">
        <v>992</v>
      </c>
      <c r="AE1" s="16" t="s">
        <v>993</v>
      </c>
      <c r="AF1" s="16" t="s">
        <v>206</v>
      </c>
      <c r="AG1" s="16" t="s">
        <v>1012</v>
      </c>
      <c r="AH1" s="16" t="s">
        <v>1016</v>
      </c>
      <c r="AI1" s="16" t="s">
        <v>1032</v>
      </c>
      <c r="AJ1" s="16" t="s">
        <v>1036</v>
      </c>
      <c r="AK1" s="16" t="s">
        <v>1071</v>
      </c>
      <c r="AL1" s="16" t="s">
        <v>1072</v>
      </c>
      <c r="AM1" s="31" t="s">
        <v>1381</v>
      </c>
      <c r="AN1" s="31" t="s">
        <v>1382</v>
      </c>
      <c r="AO1" s="31" t="s">
        <v>1390</v>
      </c>
      <c r="AP1" s="31" t="s">
        <v>1450</v>
      </c>
    </row>
    <row r="2" spans="1:162" s="116" customFormat="1" ht="30" hidden="1" customHeight="1" x14ac:dyDescent="0.25">
      <c r="A2" s="116" t="s">
        <v>44</v>
      </c>
      <c r="B2" s="116" t="s">
        <v>69</v>
      </c>
      <c r="C2" s="116" t="s">
        <v>273</v>
      </c>
      <c r="D2" s="116" t="s">
        <v>69</v>
      </c>
      <c r="E2" s="117" t="s">
        <v>83</v>
      </c>
      <c r="F2" s="116">
        <v>2010</v>
      </c>
      <c r="G2" s="117" t="s">
        <v>274</v>
      </c>
      <c r="H2" s="117" t="s">
        <v>238</v>
      </c>
      <c r="I2" s="117" t="s">
        <v>275</v>
      </c>
      <c r="J2" s="117" t="s">
        <v>276</v>
      </c>
      <c r="K2" s="117" t="s">
        <v>277</v>
      </c>
      <c r="L2" s="117" t="s">
        <v>278</v>
      </c>
      <c r="M2" s="117" t="s">
        <v>279</v>
      </c>
      <c r="N2" s="116" t="s">
        <v>248</v>
      </c>
      <c r="O2" s="116" t="s">
        <v>215</v>
      </c>
      <c r="P2" s="116" t="s">
        <v>280</v>
      </c>
      <c r="S2" s="117" t="s">
        <v>281</v>
      </c>
      <c r="V2" s="115" t="s">
        <v>219</v>
      </c>
      <c r="W2" s="115" t="s">
        <v>219</v>
      </c>
      <c r="X2" s="111" t="s">
        <v>219</v>
      </c>
      <c r="Y2" s="116" t="s">
        <v>230</v>
      </c>
      <c r="Z2" s="56" t="s">
        <v>231</v>
      </c>
      <c r="AA2" s="56"/>
      <c r="AB2" s="116">
        <v>4</v>
      </c>
      <c r="AC2" s="116">
        <v>180</v>
      </c>
      <c r="AD2" s="116">
        <v>4</v>
      </c>
      <c r="AE2" s="116">
        <v>80</v>
      </c>
      <c r="AF2" s="116">
        <v>11</v>
      </c>
      <c r="AG2" s="116" t="s">
        <v>971</v>
      </c>
      <c r="AH2" s="116" t="s">
        <v>1023</v>
      </c>
      <c r="AI2" s="116" t="s">
        <v>1044</v>
      </c>
      <c r="AK2" s="116" t="s">
        <v>971</v>
      </c>
      <c r="AL2" s="116" t="s">
        <v>1383</v>
      </c>
      <c r="AM2" s="116">
        <v>9</v>
      </c>
      <c r="AN2" s="134" t="s">
        <v>1458</v>
      </c>
      <c r="AO2" s="117" t="s">
        <v>1459</v>
      </c>
      <c r="AP2" s="63" t="s">
        <v>1451</v>
      </c>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c r="CK2" s="63"/>
      <c r="CL2" s="63"/>
      <c r="CM2" s="63"/>
      <c r="CN2" s="63"/>
      <c r="CO2" s="63"/>
      <c r="CP2" s="63"/>
      <c r="CQ2" s="63"/>
      <c r="CR2" s="63"/>
      <c r="CS2" s="63"/>
      <c r="CT2" s="63"/>
      <c r="CU2" s="63"/>
      <c r="CV2" s="63"/>
      <c r="CW2" s="63"/>
      <c r="CX2" s="63"/>
      <c r="CY2" s="63"/>
      <c r="CZ2" s="63"/>
      <c r="DA2" s="63"/>
      <c r="DB2" s="63"/>
      <c r="DC2" s="63"/>
      <c r="DD2" s="63"/>
      <c r="DE2" s="63"/>
      <c r="DF2" s="63"/>
      <c r="DG2" s="63"/>
      <c r="DH2" s="63"/>
      <c r="DI2" s="63"/>
      <c r="DJ2" s="63"/>
      <c r="DK2" s="63"/>
      <c r="DL2" s="63"/>
      <c r="DM2" s="63"/>
      <c r="DN2" s="63"/>
      <c r="DO2" s="63"/>
      <c r="DP2" s="63"/>
      <c r="DQ2" s="63"/>
      <c r="DR2" s="63"/>
      <c r="DS2" s="63"/>
      <c r="DT2" s="63"/>
      <c r="DU2" s="63"/>
      <c r="DV2" s="63"/>
      <c r="DW2" s="63"/>
      <c r="DX2" s="63"/>
      <c r="DY2" s="63"/>
      <c r="DZ2" s="63"/>
      <c r="EA2" s="63"/>
      <c r="EB2" s="63"/>
      <c r="EC2" s="63"/>
      <c r="ED2" s="63"/>
      <c r="EE2" s="63"/>
      <c r="EF2" s="63"/>
      <c r="EG2" s="63"/>
      <c r="EH2" s="63"/>
      <c r="EI2" s="63"/>
      <c r="EJ2" s="63"/>
      <c r="EK2" s="63"/>
      <c r="EL2" s="63"/>
      <c r="EM2" s="63"/>
      <c r="EN2" s="63"/>
      <c r="EO2" s="63"/>
      <c r="EP2" s="63"/>
      <c r="EQ2" s="63"/>
      <c r="ER2" s="63"/>
      <c r="ES2" s="63"/>
      <c r="ET2" s="63"/>
      <c r="EU2" s="63"/>
      <c r="EV2" s="63"/>
      <c r="EW2" s="63"/>
      <c r="EX2" s="63"/>
      <c r="EY2" s="63"/>
      <c r="EZ2" s="63"/>
      <c r="FA2" s="63"/>
      <c r="FB2" s="63"/>
      <c r="FC2" s="63"/>
      <c r="FD2" s="63"/>
      <c r="FE2" s="63"/>
      <c r="FF2" s="63"/>
    </row>
    <row r="3" spans="1:162" s="116" customFormat="1" ht="30" customHeight="1" x14ac:dyDescent="0.25">
      <c r="A3" s="118" t="s">
        <v>57</v>
      </c>
      <c r="B3" s="116" t="s">
        <v>125</v>
      </c>
      <c r="C3" s="116" t="s">
        <v>293</v>
      </c>
      <c r="D3" s="116" t="s">
        <v>383</v>
      </c>
      <c r="E3" s="116" t="s">
        <v>83</v>
      </c>
      <c r="F3" s="116">
        <v>1996</v>
      </c>
      <c r="G3" s="117" t="s">
        <v>384</v>
      </c>
      <c r="H3" s="116" t="s">
        <v>385</v>
      </c>
      <c r="I3" s="117" t="s">
        <v>386</v>
      </c>
      <c r="J3" s="117" t="s">
        <v>387</v>
      </c>
      <c r="K3" s="117" t="s">
        <v>388</v>
      </c>
      <c r="L3" s="117" t="s">
        <v>389</v>
      </c>
      <c r="M3" s="117" t="s">
        <v>390</v>
      </c>
      <c r="N3" s="20" t="s">
        <v>301</v>
      </c>
      <c r="O3" s="116" t="s">
        <v>315</v>
      </c>
      <c r="V3" s="115" t="s">
        <v>219</v>
      </c>
      <c r="W3" s="111" t="s">
        <v>219</v>
      </c>
      <c r="X3" s="111" t="s">
        <v>219</v>
      </c>
      <c r="Y3" s="116" t="s">
        <v>230</v>
      </c>
      <c r="Z3" s="56" t="s">
        <v>231</v>
      </c>
      <c r="AA3" s="56"/>
      <c r="AB3" s="116">
        <v>3</v>
      </c>
      <c r="AD3" s="116">
        <v>2</v>
      </c>
      <c r="AF3" s="116">
        <v>25</v>
      </c>
      <c r="AG3" s="116" t="s">
        <v>971</v>
      </c>
      <c r="AH3" s="116" t="s">
        <v>1041</v>
      </c>
      <c r="AI3" s="116" t="s">
        <v>1033</v>
      </c>
      <c r="AJ3" s="23" t="s">
        <v>1040</v>
      </c>
      <c r="AK3" s="116" t="s">
        <v>971</v>
      </c>
      <c r="AL3" s="116" t="s">
        <v>1074</v>
      </c>
      <c r="AM3" s="116">
        <v>24</v>
      </c>
      <c r="AN3" s="117" t="s">
        <v>1461</v>
      </c>
      <c r="AO3" s="23" t="s">
        <v>1462</v>
      </c>
      <c r="AP3" s="63" t="s">
        <v>1451</v>
      </c>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c r="DI3" s="63"/>
      <c r="DJ3" s="63"/>
      <c r="DK3" s="63"/>
      <c r="DL3" s="63"/>
      <c r="DM3" s="63"/>
      <c r="DN3" s="63"/>
      <c r="DO3" s="63"/>
      <c r="DP3" s="63"/>
      <c r="DQ3" s="63"/>
      <c r="DR3" s="63"/>
      <c r="DS3" s="63"/>
      <c r="DT3" s="63"/>
      <c r="DU3" s="63"/>
      <c r="DV3" s="63"/>
      <c r="DW3" s="63"/>
      <c r="DX3" s="63"/>
      <c r="DY3" s="63"/>
      <c r="DZ3" s="63"/>
      <c r="EA3" s="63"/>
      <c r="EB3" s="63"/>
      <c r="EC3" s="63"/>
      <c r="ED3" s="63"/>
      <c r="EE3" s="63"/>
      <c r="EF3" s="63"/>
      <c r="EG3" s="63"/>
      <c r="EH3" s="63"/>
      <c r="EI3" s="63"/>
      <c r="EJ3" s="63"/>
      <c r="EK3" s="63"/>
      <c r="EL3" s="63"/>
      <c r="EM3" s="63"/>
      <c r="EN3" s="63"/>
      <c r="EO3" s="63"/>
      <c r="EP3" s="63"/>
      <c r="EQ3" s="63"/>
      <c r="ER3" s="63"/>
      <c r="ES3" s="63"/>
      <c r="ET3" s="63"/>
      <c r="EU3" s="63"/>
      <c r="EV3" s="63"/>
      <c r="EW3" s="63"/>
      <c r="EX3" s="63"/>
      <c r="EY3" s="63"/>
      <c r="EZ3" s="63"/>
      <c r="FA3" s="63"/>
      <c r="FB3" s="63"/>
      <c r="FC3" s="63"/>
      <c r="FD3" s="63"/>
      <c r="FE3" s="63"/>
      <c r="FF3" s="63"/>
    </row>
    <row r="4" spans="1:162" s="116" customFormat="1" ht="30" customHeight="1" x14ac:dyDescent="0.25">
      <c r="A4" s="27" t="s">
        <v>93</v>
      </c>
      <c r="B4" s="22" t="s">
        <v>163</v>
      </c>
      <c r="C4" s="23" t="s">
        <v>293</v>
      </c>
      <c r="D4" s="22" t="s">
        <v>163</v>
      </c>
      <c r="E4" s="23" t="s">
        <v>83</v>
      </c>
      <c r="F4" s="23">
        <v>2003</v>
      </c>
      <c r="G4" s="23" t="s">
        <v>494</v>
      </c>
      <c r="H4" s="23" t="s">
        <v>376</v>
      </c>
      <c r="I4" s="24" t="s">
        <v>495</v>
      </c>
      <c r="J4" s="24" t="s">
        <v>496</v>
      </c>
      <c r="K4" s="24" t="s">
        <v>497</v>
      </c>
      <c r="L4" s="23"/>
      <c r="M4" s="23"/>
      <c r="N4" s="20" t="s">
        <v>301</v>
      </c>
      <c r="O4" s="116" t="s">
        <v>315</v>
      </c>
      <c r="P4" s="23"/>
      <c r="Q4" s="23"/>
      <c r="R4" s="23"/>
      <c r="S4" s="23"/>
      <c r="T4" s="23"/>
      <c r="U4" s="23"/>
      <c r="V4" s="111" t="s">
        <v>352</v>
      </c>
      <c r="W4" s="111" t="s">
        <v>247</v>
      </c>
      <c r="X4" s="20" t="s">
        <v>1379</v>
      </c>
      <c r="Y4" s="23"/>
      <c r="Z4" s="23" t="s">
        <v>220</v>
      </c>
      <c r="AA4" s="23"/>
      <c r="AB4" s="23">
        <v>6</v>
      </c>
      <c r="AC4" s="23">
        <f>AB4*3*5*5</f>
        <v>450</v>
      </c>
      <c r="AD4" s="23"/>
      <c r="AE4" s="23"/>
      <c r="AF4" s="23">
        <v>9</v>
      </c>
      <c r="AG4" s="23" t="s">
        <v>971</v>
      </c>
      <c r="AH4" s="24" t="s">
        <v>1387</v>
      </c>
      <c r="AI4" s="23" t="s">
        <v>1047</v>
      </c>
      <c r="AJ4" s="23"/>
      <c r="AK4" s="23" t="s">
        <v>970</v>
      </c>
      <c r="AL4" s="23"/>
      <c r="AM4" s="116">
        <v>45</v>
      </c>
      <c r="AN4" s="117" t="s">
        <v>1463</v>
      </c>
      <c r="AO4" s="23" t="s">
        <v>1464</v>
      </c>
      <c r="AP4" s="63" t="s">
        <v>1450</v>
      </c>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c r="DI4" s="63"/>
      <c r="DJ4" s="63"/>
      <c r="DK4" s="63"/>
      <c r="DL4" s="63"/>
      <c r="DM4" s="63"/>
      <c r="DN4" s="63"/>
      <c r="DO4" s="63"/>
      <c r="DP4" s="63"/>
      <c r="DQ4" s="63"/>
      <c r="DR4" s="63"/>
      <c r="DS4" s="63"/>
      <c r="DT4" s="63"/>
      <c r="DU4" s="63"/>
      <c r="DV4" s="63"/>
      <c r="DW4" s="63"/>
      <c r="DX4" s="63"/>
      <c r="DY4" s="63"/>
      <c r="DZ4" s="63"/>
      <c r="EA4" s="63"/>
      <c r="EB4" s="63"/>
      <c r="EC4" s="63"/>
      <c r="ED4" s="63"/>
      <c r="EE4" s="63"/>
      <c r="EF4" s="63"/>
      <c r="EG4" s="63"/>
      <c r="EH4" s="63"/>
      <c r="EI4" s="63"/>
      <c r="EJ4" s="63"/>
      <c r="EK4" s="63"/>
      <c r="EL4" s="63"/>
      <c r="EM4" s="63"/>
      <c r="EN4" s="63"/>
      <c r="EO4" s="63"/>
      <c r="EP4" s="63"/>
      <c r="EQ4" s="63"/>
      <c r="ER4" s="63"/>
      <c r="ES4" s="63"/>
      <c r="ET4" s="63"/>
      <c r="EU4" s="63"/>
      <c r="EV4" s="63"/>
      <c r="EW4" s="63"/>
      <c r="EX4" s="63"/>
      <c r="EY4" s="63"/>
      <c r="EZ4" s="63"/>
      <c r="FA4" s="63"/>
      <c r="FB4" s="63"/>
      <c r="FC4" s="63"/>
      <c r="FD4" s="63"/>
      <c r="FE4" s="63"/>
      <c r="FF4" s="63"/>
    </row>
    <row r="5" spans="1:162" s="116" customFormat="1" ht="30" hidden="1" customHeight="1" x14ac:dyDescent="0.25">
      <c r="A5" s="117" t="s">
        <v>49</v>
      </c>
      <c r="B5" s="22" t="s">
        <v>133</v>
      </c>
      <c r="C5" s="116" t="s">
        <v>293</v>
      </c>
      <c r="D5" s="116" t="s">
        <v>133</v>
      </c>
      <c r="E5" s="116" t="s">
        <v>134</v>
      </c>
      <c r="F5" s="116">
        <v>2016</v>
      </c>
      <c r="G5" s="116" t="s">
        <v>353</v>
      </c>
      <c r="H5" s="116" t="s">
        <v>354</v>
      </c>
      <c r="I5" s="117" t="s">
        <v>355</v>
      </c>
      <c r="J5" s="117" t="s">
        <v>356</v>
      </c>
      <c r="K5" s="117" t="s">
        <v>357</v>
      </c>
      <c r="L5" s="117" t="s">
        <v>358</v>
      </c>
      <c r="M5" s="116" t="s">
        <v>359</v>
      </c>
      <c r="N5" s="116" t="s">
        <v>248</v>
      </c>
      <c r="O5" s="116" t="s">
        <v>215</v>
      </c>
      <c r="V5" s="111" t="s">
        <v>352</v>
      </c>
      <c r="W5" s="115" t="s">
        <v>219</v>
      </c>
      <c r="X5" s="111" t="s">
        <v>1378</v>
      </c>
      <c r="Y5" s="116" t="s">
        <v>230</v>
      </c>
      <c r="Z5" s="56" t="s">
        <v>231</v>
      </c>
      <c r="AA5" s="56"/>
      <c r="AB5" s="116">
        <v>6</v>
      </c>
      <c r="AC5" s="116">
        <f>AB5*3.5*4</f>
        <v>84</v>
      </c>
      <c r="AD5" s="116">
        <v>6</v>
      </c>
      <c r="AE5" s="116">
        <f>AD5*5*4*4</f>
        <v>480</v>
      </c>
      <c r="AF5" s="116">
        <v>0</v>
      </c>
      <c r="AG5" s="116" t="s">
        <v>970</v>
      </c>
      <c r="AH5" s="135" t="s">
        <v>1031</v>
      </c>
      <c r="AI5" s="116" t="s">
        <v>1033</v>
      </c>
      <c r="AJ5" s="116" t="s">
        <v>1106</v>
      </c>
      <c r="AK5" s="116" t="s">
        <v>971</v>
      </c>
      <c r="AL5" s="116" t="s">
        <v>1384</v>
      </c>
      <c r="AM5" s="116">
        <v>20</v>
      </c>
      <c r="AN5" s="117" t="s">
        <v>1465</v>
      </c>
      <c r="AO5" s="116" t="s">
        <v>1466</v>
      </c>
      <c r="AP5" s="63" t="s">
        <v>1451</v>
      </c>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c r="DI5" s="63"/>
      <c r="DJ5" s="63"/>
      <c r="DK5" s="63"/>
      <c r="DL5" s="63"/>
      <c r="DM5" s="63"/>
      <c r="DN5" s="63"/>
      <c r="DO5" s="63"/>
      <c r="DP5" s="63"/>
      <c r="DQ5" s="63"/>
      <c r="DR5" s="63"/>
      <c r="DS5" s="63"/>
      <c r="DT5" s="63"/>
      <c r="DU5" s="63"/>
      <c r="DV5" s="63"/>
      <c r="DW5" s="63"/>
      <c r="DX5" s="63"/>
      <c r="DY5" s="63"/>
      <c r="DZ5" s="63"/>
      <c r="EA5" s="63"/>
      <c r="EB5" s="63"/>
      <c r="EC5" s="63"/>
      <c r="ED5" s="63"/>
      <c r="EE5" s="63"/>
      <c r="EF5" s="63"/>
      <c r="EG5" s="63"/>
      <c r="EH5" s="63"/>
      <c r="EI5" s="63"/>
      <c r="EJ5" s="63"/>
      <c r="EK5" s="63"/>
      <c r="EL5" s="63"/>
      <c r="EM5" s="63"/>
      <c r="EN5" s="63"/>
      <c r="EO5" s="63"/>
      <c r="EP5" s="63"/>
      <c r="EQ5" s="63"/>
      <c r="ER5" s="63"/>
      <c r="ES5" s="63"/>
      <c r="ET5" s="63"/>
      <c r="EU5" s="63"/>
      <c r="EV5" s="63"/>
      <c r="EW5" s="63"/>
      <c r="EX5" s="63"/>
      <c r="EY5" s="63"/>
      <c r="EZ5" s="63"/>
      <c r="FA5" s="63"/>
      <c r="FB5" s="63"/>
      <c r="FC5" s="63"/>
      <c r="FD5" s="63"/>
      <c r="FE5" s="63"/>
      <c r="FF5" s="63"/>
    </row>
    <row r="6" spans="1:162" s="116" customFormat="1" ht="30" hidden="1" customHeight="1" x14ac:dyDescent="0.25">
      <c r="A6" s="23" t="s">
        <v>81</v>
      </c>
      <c r="B6" s="116" t="s">
        <v>112</v>
      </c>
      <c r="C6" s="116" t="s">
        <v>293</v>
      </c>
      <c r="D6" s="116" t="s">
        <v>112</v>
      </c>
      <c r="E6" s="116" t="s">
        <v>118</v>
      </c>
      <c r="F6" s="116">
        <v>2012</v>
      </c>
      <c r="G6" s="117" t="s">
        <v>323</v>
      </c>
      <c r="H6" s="116" t="s">
        <v>238</v>
      </c>
      <c r="I6" s="117" t="s">
        <v>324</v>
      </c>
      <c r="J6" s="116" t="s">
        <v>325</v>
      </c>
      <c r="K6" s="117" t="s">
        <v>326</v>
      </c>
      <c r="L6" s="117" t="s">
        <v>327</v>
      </c>
      <c r="M6" s="117" t="s">
        <v>328</v>
      </c>
      <c r="N6" s="23" t="s">
        <v>248</v>
      </c>
      <c r="O6" s="116" t="s">
        <v>215</v>
      </c>
      <c r="S6" s="117"/>
      <c r="V6" s="115" t="s">
        <v>219</v>
      </c>
      <c r="W6" s="111" t="s">
        <v>247</v>
      </c>
      <c r="X6" s="111" t="s">
        <v>219</v>
      </c>
      <c r="Y6" s="23"/>
      <c r="Z6" s="56" t="s">
        <v>231</v>
      </c>
      <c r="AA6" s="56"/>
      <c r="AB6" s="116">
        <v>6</v>
      </c>
      <c r="AC6" s="23"/>
      <c r="AD6" s="23"/>
      <c r="AE6" s="23"/>
      <c r="AF6" s="23">
        <v>4</v>
      </c>
      <c r="AG6" s="116" t="s">
        <v>971</v>
      </c>
      <c r="AH6" s="117" t="s">
        <v>1028</v>
      </c>
      <c r="AI6" s="116" t="s">
        <v>1044</v>
      </c>
      <c r="AK6" s="116" t="s">
        <v>971</v>
      </c>
      <c r="AL6" s="116" t="s">
        <v>1077</v>
      </c>
      <c r="AM6" s="116">
        <v>16</v>
      </c>
      <c r="AN6" s="116" t="s">
        <v>1467</v>
      </c>
      <c r="AO6" s="117" t="s">
        <v>1468</v>
      </c>
      <c r="AP6" s="63" t="s">
        <v>1451</v>
      </c>
      <c r="AQ6" s="63"/>
      <c r="AR6" s="63"/>
      <c r="AS6" s="63"/>
      <c r="AT6" s="63"/>
      <c r="AU6" s="63"/>
      <c r="AV6" s="63"/>
      <c r="AW6" s="63"/>
      <c r="AX6" s="63"/>
      <c r="AY6" s="63"/>
      <c r="AZ6" s="63"/>
      <c r="BA6" s="63"/>
      <c r="BB6" s="63"/>
      <c r="BC6" s="63"/>
      <c r="BD6" s="63"/>
      <c r="BE6" s="63"/>
      <c r="BF6" s="63"/>
      <c r="BG6" s="63"/>
      <c r="BH6" s="63"/>
      <c r="BI6" s="63"/>
      <c r="BJ6" s="63"/>
      <c r="BK6" s="63"/>
      <c r="BL6" s="63"/>
      <c r="BM6" s="63"/>
      <c r="BN6" s="63"/>
      <c r="BO6" s="63"/>
      <c r="BP6" s="63"/>
      <c r="BQ6" s="63"/>
      <c r="BR6" s="63"/>
      <c r="BS6" s="63"/>
      <c r="BT6" s="63"/>
      <c r="BU6" s="63"/>
      <c r="BV6" s="63"/>
      <c r="BW6" s="63"/>
      <c r="BX6" s="63"/>
      <c r="BY6" s="63"/>
      <c r="BZ6" s="63"/>
      <c r="CA6" s="63"/>
      <c r="CB6" s="63"/>
      <c r="CC6" s="63"/>
      <c r="CD6" s="63"/>
      <c r="CE6" s="63"/>
      <c r="CF6" s="63"/>
      <c r="CG6" s="63"/>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c r="DI6" s="63"/>
      <c r="DJ6" s="63"/>
      <c r="DK6" s="63"/>
      <c r="DL6" s="63"/>
      <c r="DM6" s="63"/>
      <c r="DN6" s="63"/>
      <c r="DO6" s="63"/>
      <c r="DP6" s="63"/>
      <c r="DQ6" s="63"/>
      <c r="DR6" s="63"/>
      <c r="DS6" s="63"/>
      <c r="DT6" s="63"/>
      <c r="DU6" s="63"/>
      <c r="DV6" s="63"/>
      <c r="DW6" s="63"/>
      <c r="DX6" s="63"/>
      <c r="DY6" s="63"/>
      <c r="DZ6" s="63"/>
      <c r="EA6" s="63"/>
      <c r="EB6" s="63"/>
      <c r="EC6" s="63"/>
      <c r="ED6" s="63"/>
      <c r="EE6" s="63"/>
      <c r="EF6" s="63"/>
      <c r="EG6" s="63"/>
      <c r="EH6" s="63"/>
      <c r="EI6" s="63"/>
      <c r="EJ6" s="63"/>
      <c r="EK6" s="63"/>
      <c r="EL6" s="63"/>
      <c r="EM6" s="63"/>
      <c r="EN6" s="63"/>
      <c r="EO6" s="63"/>
      <c r="EP6" s="63"/>
      <c r="EQ6" s="63"/>
      <c r="ER6" s="63"/>
      <c r="ES6" s="63"/>
      <c r="ET6" s="63"/>
      <c r="EU6" s="63"/>
      <c r="EV6" s="63"/>
      <c r="EW6" s="63"/>
      <c r="EX6" s="63"/>
      <c r="EY6" s="63"/>
      <c r="EZ6" s="63"/>
      <c r="FA6" s="63"/>
      <c r="FB6" s="63"/>
      <c r="FC6" s="63"/>
      <c r="FD6" s="63"/>
      <c r="FE6" s="63"/>
      <c r="FF6" s="63"/>
    </row>
    <row r="7" spans="1:162" s="116" customFormat="1" ht="30" hidden="1" customHeight="1" x14ac:dyDescent="0.25">
      <c r="A7" s="20" t="s">
        <v>59</v>
      </c>
      <c r="B7" s="20" t="s">
        <v>120</v>
      </c>
      <c r="C7" s="20" t="s">
        <v>1082</v>
      </c>
      <c r="D7" s="20" t="s">
        <v>120</v>
      </c>
      <c r="E7" s="20" t="s">
        <v>118</v>
      </c>
      <c r="F7" s="20">
        <v>2012</v>
      </c>
      <c r="G7" s="20" t="s">
        <v>1092</v>
      </c>
      <c r="H7" s="20" t="s">
        <v>1093</v>
      </c>
      <c r="I7" s="28" t="s">
        <v>1094</v>
      </c>
      <c r="J7" s="28" t="s">
        <v>119</v>
      </c>
      <c r="K7" s="28" t="s">
        <v>1095</v>
      </c>
      <c r="L7" s="28" t="s">
        <v>1096</v>
      </c>
      <c r="M7" s="28" t="s">
        <v>1097</v>
      </c>
      <c r="N7" s="20" t="s">
        <v>248</v>
      </c>
      <c r="O7" s="20" t="s">
        <v>215</v>
      </c>
      <c r="P7" s="20" t="s">
        <v>712</v>
      </c>
      <c r="Q7" s="20"/>
      <c r="R7" s="20"/>
      <c r="S7" s="20"/>
      <c r="T7" s="20"/>
      <c r="U7" s="20"/>
      <c r="V7" s="20" t="s">
        <v>219</v>
      </c>
      <c r="W7" s="111" t="s">
        <v>247</v>
      </c>
      <c r="X7" s="111" t="s">
        <v>219</v>
      </c>
      <c r="Y7" s="20"/>
      <c r="Z7" s="20" t="s">
        <v>231</v>
      </c>
      <c r="AA7" s="20"/>
      <c r="AB7" s="20">
        <v>6</v>
      </c>
      <c r="AC7" s="20">
        <f>300+180+120</f>
        <v>600</v>
      </c>
      <c r="AD7" s="20"/>
      <c r="AE7" s="20"/>
      <c r="AF7" s="20">
        <v>10</v>
      </c>
      <c r="AG7" s="20" t="s">
        <v>971</v>
      </c>
      <c r="AH7" s="28" t="s">
        <v>1098</v>
      </c>
      <c r="AI7" s="23" t="s">
        <v>1047</v>
      </c>
      <c r="AJ7" s="20"/>
      <c r="AK7" s="20" t="s">
        <v>971</v>
      </c>
      <c r="AL7" s="28" t="s">
        <v>1074</v>
      </c>
      <c r="AM7" s="116">
        <v>60</v>
      </c>
      <c r="AN7" s="116" t="s">
        <v>1469</v>
      </c>
      <c r="AO7" s="23" t="s">
        <v>1470</v>
      </c>
      <c r="AP7" s="63" t="s">
        <v>1451</v>
      </c>
      <c r="AQ7" s="63"/>
      <c r="AR7" s="63"/>
      <c r="AS7" s="63"/>
      <c r="AT7" s="63"/>
      <c r="AU7" s="63"/>
      <c r="AV7" s="63"/>
      <c r="AW7" s="63"/>
      <c r="AX7" s="63"/>
      <c r="AY7" s="63"/>
      <c r="AZ7" s="63"/>
      <c r="BA7" s="63"/>
      <c r="BB7" s="63"/>
      <c r="BC7" s="63"/>
      <c r="BD7" s="63"/>
      <c r="BE7" s="63"/>
      <c r="BF7" s="63"/>
      <c r="BG7" s="63"/>
      <c r="BH7" s="63"/>
      <c r="BI7" s="63"/>
      <c r="BJ7" s="63"/>
      <c r="BK7" s="63"/>
      <c r="BL7" s="63"/>
      <c r="BM7" s="63"/>
      <c r="BN7" s="63"/>
      <c r="BO7" s="63"/>
      <c r="BP7" s="63"/>
      <c r="BQ7" s="63"/>
      <c r="BR7" s="63"/>
      <c r="BS7" s="63"/>
      <c r="BT7" s="63"/>
      <c r="BU7" s="63"/>
      <c r="BV7" s="63"/>
      <c r="BW7" s="63"/>
      <c r="BX7" s="63"/>
      <c r="BY7" s="63"/>
      <c r="BZ7" s="63"/>
      <c r="CA7" s="63"/>
      <c r="CB7" s="63"/>
      <c r="CC7" s="63"/>
      <c r="CD7" s="63"/>
      <c r="CE7" s="63"/>
      <c r="CF7" s="63"/>
      <c r="CG7" s="63"/>
      <c r="CH7" s="63"/>
      <c r="CI7" s="63"/>
      <c r="CJ7" s="63"/>
      <c r="CK7" s="63"/>
      <c r="CL7" s="63"/>
      <c r="CM7" s="63"/>
      <c r="CN7" s="63"/>
      <c r="CO7" s="63"/>
      <c r="CP7" s="63"/>
      <c r="CQ7" s="63"/>
      <c r="CR7" s="63"/>
      <c r="CS7" s="63"/>
      <c r="CT7" s="63"/>
      <c r="CU7" s="63"/>
      <c r="CV7" s="63"/>
      <c r="CW7" s="63"/>
      <c r="CX7" s="63"/>
      <c r="CY7" s="63"/>
      <c r="CZ7" s="63"/>
      <c r="DA7" s="63"/>
      <c r="DB7" s="63"/>
      <c r="DC7" s="63"/>
      <c r="DD7" s="63"/>
      <c r="DE7" s="63"/>
      <c r="DF7" s="63"/>
      <c r="DG7" s="63"/>
      <c r="DH7" s="63"/>
      <c r="DI7" s="63"/>
      <c r="DJ7" s="63"/>
      <c r="DK7" s="63"/>
      <c r="DL7" s="63"/>
      <c r="DM7" s="63"/>
      <c r="DN7" s="63"/>
      <c r="DO7" s="63"/>
      <c r="DP7" s="63"/>
      <c r="DQ7" s="63"/>
      <c r="DR7" s="63"/>
      <c r="DS7" s="63"/>
      <c r="DT7" s="63"/>
      <c r="DU7" s="63"/>
      <c r="DV7" s="63"/>
      <c r="DW7" s="63"/>
      <c r="DX7" s="63"/>
      <c r="DY7" s="63"/>
      <c r="DZ7" s="63"/>
      <c r="EA7" s="63"/>
      <c r="EB7" s="63"/>
      <c r="EC7" s="63"/>
      <c r="ED7" s="63"/>
      <c r="EE7" s="63"/>
      <c r="EF7" s="63"/>
      <c r="EG7" s="63"/>
      <c r="EH7" s="63"/>
      <c r="EI7" s="63"/>
      <c r="EJ7" s="63"/>
      <c r="EK7" s="63"/>
      <c r="EL7" s="63"/>
      <c r="EM7" s="63"/>
      <c r="EN7" s="63"/>
      <c r="EO7" s="63"/>
      <c r="EP7" s="63"/>
      <c r="EQ7" s="63"/>
      <c r="ER7" s="63"/>
      <c r="ES7" s="63"/>
      <c r="ET7" s="63"/>
      <c r="EU7" s="63"/>
      <c r="EV7" s="63"/>
      <c r="EW7" s="63"/>
      <c r="EX7" s="63"/>
      <c r="EY7" s="63"/>
      <c r="EZ7" s="63"/>
      <c r="FA7" s="63"/>
      <c r="FB7" s="63"/>
      <c r="FC7" s="63"/>
      <c r="FD7" s="63"/>
      <c r="FE7" s="63"/>
      <c r="FF7" s="63"/>
    </row>
    <row r="8" spans="1:162" s="116" customFormat="1" ht="30" customHeight="1" x14ac:dyDescent="0.25">
      <c r="A8" s="20" t="s">
        <v>53</v>
      </c>
      <c r="B8" s="20" t="s">
        <v>129</v>
      </c>
      <c r="C8" s="20" t="s">
        <v>1082</v>
      </c>
      <c r="D8" s="20" t="s">
        <v>129</v>
      </c>
      <c r="E8" s="20" t="s">
        <v>118</v>
      </c>
      <c r="F8" s="20">
        <v>2001</v>
      </c>
      <c r="G8" s="20" t="s">
        <v>1083</v>
      </c>
      <c r="H8" s="20" t="s">
        <v>1084</v>
      </c>
      <c r="I8" s="28" t="s">
        <v>1085</v>
      </c>
      <c r="J8" s="28" t="s">
        <v>128</v>
      </c>
      <c r="K8" s="28" t="s">
        <v>1086</v>
      </c>
      <c r="L8" s="28" t="s">
        <v>1087</v>
      </c>
      <c r="M8" s="24"/>
      <c r="N8" s="20" t="s">
        <v>301</v>
      </c>
      <c r="O8" s="20" t="s">
        <v>404</v>
      </c>
      <c r="P8" s="20" t="s">
        <v>462</v>
      </c>
      <c r="Q8" s="20" t="s">
        <v>175</v>
      </c>
      <c r="R8" s="20"/>
      <c r="S8" s="20" t="s">
        <v>1088</v>
      </c>
      <c r="T8" s="20" t="s">
        <v>308</v>
      </c>
      <c r="U8" s="20" t="s">
        <v>1089</v>
      </c>
      <c r="V8" s="20" t="s">
        <v>218</v>
      </c>
      <c r="W8" s="20" t="s">
        <v>219</v>
      </c>
      <c r="X8" s="111" t="s">
        <v>1378</v>
      </c>
      <c r="Y8" s="116" t="s">
        <v>230</v>
      </c>
      <c r="Z8" s="23" t="s">
        <v>1380</v>
      </c>
      <c r="AA8" s="23"/>
      <c r="AB8" s="20"/>
      <c r="AC8" s="20">
        <v>1000</v>
      </c>
      <c r="AD8" s="20">
        <v>24</v>
      </c>
      <c r="AE8" s="20"/>
      <c r="AF8" s="20">
        <v>5</v>
      </c>
      <c r="AG8" s="20" t="s">
        <v>971</v>
      </c>
      <c r="AH8" s="28" t="s">
        <v>1090</v>
      </c>
      <c r="AI8" s="20" t="s">
        <v>1044</v>
      </c>
      <c r="AJ8" s="20" t="s">
        <v>1091</v>
      </c>
      <c r="AK8" s="20" t="s">
        <v>970</v>
      </c>
      <c r="AL8" s="20"/>
      <c r="AM8" s="116">
        <v>59</v>
      </c>
      <c r="AN8" s="116" t="s">
        <v>1471</v>
      </c>
      <c r="AO8" s="23" t="s">
        <v>1472</v>
      </c>
      <c r="AP8" s="63" t="s">
        <v>1452</v>
      </c>
      <c r="AQ8" s="63"/>
      <c r="AR8" s="63"/>
      <c r="AS8" s="63"/>
      <c r="AT8" s="63"/>
      <c r="AU8" s="63"/>
      <c r="AV8" s="63"/>
      <c r="AW8" s="63"/>
      <c r="AX8" s="63"/>
      <c r="AY8" s="63"/>
      <c r="AZ8" s="63"/>
      <c r="BA8" s="63"/>
      <c r="BB8" s="63"/>
      <c r="BC8" s="63"/>
      <c r="BD8" s="63"/>
      <c r="BE8" s="63"/>
      <c r="BF8" s="63"/>
      <c r="BG8" s="63"/>
      <c r="BH8" s="63"/>
      <c r="BI8" s="63"/>
      <c r="BJ8" s="63"/>
      <c r="BK8" s="63"/>
      <c r="BL8" s="63"/>
      <c r="BM8" s="63"/>
      <c r="BN8" s="63"/>
      <c r="BO8" s="63"/>
      <c r="BP8" s="63"/>
      <c r="BQ8" s="63"/>
      <c r="BR8" s="63"/>
      <c r="BS8" s="63"/>
      <c r="BT8" s="63"/>
      <c r="BU8" s="63"/>
      <c r="BV8" s="63"/>
      <c r="BW8" s="63"/>
      <c r="BX8" s="63"/>
      <c r="BY8" s="63"/>
      <c r="BZ8" s="63"/>
      <c r="CA8" s="63"/>
      <c r="CB8" s="63"/>
      <c r="CC8" s="63"/>
      <c r="CD8" s="63"/>
      <c r="CE8" s="63"/>
      <c r="CF8" s="63"/>
      <c r="CG8" s="63"/>
      <c r="CH8" s="63"/>
      <c r="CI8" s="63"/>
      <c r="CJ8" s="63"/>
      <c r="CK8" s="63"/>
      <c r="CL8" s="63"/>
      <c r="CM8" s="63"/>
      <c r="CN8" s="63"/>
      <c r="CO8" s="63"/>
      <c r="CP8" s="63"/>
      <c r="CQ8" s="63"/>
      <c r="CR8" s="63"/>
      <c r="CS8" s="63"/>
      <c r="CT8" s="63"/>
      <c r="CU8" s="63"/>
      <c r="CV8" s="63"/>
      <c r="CW8" s="63"/>
      <c r="CX8" s="63"/>
      <c r="CY8" s="63"/>
      <c r="CZ8" s="63"/>
      <c r="DA8" s="63"/>
      <c r="DB8" s="63"/>
      <c r="DC8" s="63"/>
      <c r="DD8" s="63"/>
      <c r="DE8" s="63"/>
      <c r="DF8" s="63"/>
      <c r="DG8" s="63"/>
      <c r="DH8" s="63"/>
      <c r="DI8" s="63"/>
      <c r="DJ8" s="63"/>
      <c r="DK8" s="63"/>
      <c r="DL8" s="63"/>
      <c r="DM8" s="63"/>
      <c r="DN8" s="63"/>
      <c r="DO8" s="63"/>
      <c r="DP8" s="63"/>
      <c r="DQ8" s="63"/>
      <c r="DR8" s="63"/>
      <c r="DS8" s="63"/>
      <c r="DT8" s="63"/>
      <c r="DU8" s="63"/>
      <c r="DV8" s="63"/>
      <c r="DW8" s="63"/>
      <c r="DX8" s="63"/>
      <c r="DY8" s="63"/>
      <c r="DZ8" s="63"/>
      <c r="EA8" s="63"/>
      <c r="EB8" s="63"/>
      <c r="EC8" s="63"/>
      <c r="ED8" s="63"/>
      <c r="EE8" s="63"/>
      <c r="EF8" s="63"/>
      <c r="EG8" s="63"/>
      <c r="EH8" s="63"/>
      <c r="EI8" s="63"/>
      <c r="EJ8" s="63"/>
      <c r="EK8" s="63"/>
      <c r="EL8" s="63"/>
      <c r="EM8" s="63"/>
      <c r="EN8" s="63"/>
      <c r="EO8" s="63"/>
      <c r="EP8" s="63"/>
      <c r="EQ8" s="63"/>
      <c r="ER8" s="63"/>
      <c r="ES8" s="63"/>
      <c r="ET8" s="63"/>
      <c r="EU8" s="63"/>
      <c r="EV8" s="63"/>
      <c r="EW8" s="63"/>
      <c r="EX8" s="63"/>
      <c r="EY8" s="63"/>
      <c r="EZ8" s="63"/>
      <c r="FA8" s="63"/>
      <c r="FB8" s="63"/>
      <c r="FC8" s="63"/>
      <c r="FD8" s="63"/>
      <c r="FE8" s="63"/>
      <c r="FF8" s="63"/>
    </row>
    <row r="9" spans="1:162" s="116" customFormat="1" ht="30" customHeight="1" x14ac:dyDescent="0.25">
      <c r="A9" s="27" t="s">
        <v>54</v>
      </c>
      <c r="B9" s="22" t="s">
        <v>166</v>
      </c>
      <c r="C9" s="23" t="s">
        <v>293</v>
      </c>
      <c r="D9" s="22" t="s">
        <v>166</v>
      </c>
      <c r="E9" s="23" t="s">
        <v>118</v>
      </c>
      <c r="F9" s="23">
        <v>2006</v>
      </c>
      <c r="G9" s="23" t="s">
        <v>502</v>
      </c>
      <c r="H9" s="23" t="s">
        <v>311</v>
      </c>
      <c r="I9" s="24" t="s">
        <v>1357</v>
      </c>
      <c r="J9" s="24" t="s">
        <v>167</v>
      </c>
      <c r="K9" s="24" t="s">
        <v>503</v>
      </c>
      <c r="L9" s="23"/>
      <c r="M9" s="23"/>
      <c r="N9" s="20" t="s">
        <v>301</v>
      </c>
      <c r="O9" s="116" t="s">
        <v>315</v>
      </c>
      <c r="P9" s="23"/>
      <c r="Q9" s="23"/>
      <c r="R9" s="23"/>
      <c r="S9" s="23"/>
      <c r="T9" s="23"/>
      <c r="U9" s="23"/>
      <c r="V9" s="126" t="s">
        <v>218</v>
      </c>
      <c r="W9" s="111" t="s">
        <v>247</v>
      </c>
      <c r="X9" s="111" t="s">
        <v>219</v>
      </c>
      <c r="Y9" s="23"/>
      <c r="Z9" s="23" t="s">
        <v>1380</v>
      </c>
      <c r="AA9" s="23"/>
      <c r="AB9" s="23"/>
      <c r="AC9" s="23">
        <v>200</v>
      </c>
      <c r="AD9" s="23"/>
      <c r="AE9" s="23"/>
      <c r="AF9" s="23">
        <v>9</v>
      </c>
      <c r="AG9" s="23" t="s">
        <v>971</v>
      </c>
      <c r="AH9" s="24" t="s">
        <v>1064</v>
      </c>
      <c r="AI9" s="23" t="s">
        <v>1033</v>
      </c>
      <c r="AJ9" s="23" t="s">
        <v>1040</v>
      </c>
      <c r="AK9" s="23" t="s">
        <v>970</v>
      </c>
      <c r="AL9" s="23"/>
      <c r="AM9" s="116">
        <v>47</v>
      </c>
      <c r="AN9" s="116" t="s">
        <v>1491</v>
      </c>
      <c r="AO9" s="24" t="s">
        <v>1492</v>
      </c>
      <c r="AP9" s="63" t="s">
        <v>1451</v>
      </c>
      <c r="AQ9" s="63"/>
      <c r="AR9" s="63"/>
      <c r="AS9" s="63"/>
      <c r="AT9" s="63"/>
      <c r="AU9" s="63"/>
      <c r="AV9" s="63"/>
      <c r="AW9" s="63"/>
      <c r="AX9" s="63"/>
      <c r="AY9" s="63"/>
      <c r="AZ9" s="63"/>
      <c r="BA9" s="63"/>
      <c r="BB9" s="63"/>
      <c r="BC9" s="63"/>
      <c r="BD9" s="63"/>
      <c r="BE9" s="63"/>
      <c r="BF9" s="63"/>
      <c r="BG9" s="63"/>
      <c r="BH9" s="63"/>
      <c r="BI9" s="63"/>
      <c r="BJ9" s="63"/>
      <c r="BK9" s="63"/>
      <c r="BL9" s="63"/>
      <c r="BM9" s="63"/>
      <c r="BN9" s="63"/>
      <c r="BO9" s="63"/>
      <c r="BP9" s="63"/>
      <c r="BQ9" s="63"/>
      <c r="BR9" s="63"/>
      <c r="BS9" s="63"/>
      <c r="BT9" s="63"/>
      <c r="BU9" s="63"/>
      <c r="BV9" s="63"/>
      <c r="BW9" s="63"/>
      <c r="BX9" s="63"/>
      <c r="BY9" s="63"/>
      <c r="BZ9" s="63"/>
      <c r="CA9" s="63"/>
      <c r="CB9" s="63"/>
      <c r="CC9" s="63"/>
      <c r="CD9" s="63"/>
      <c r="CE9" s="63"/>
      <c r="CF9" s="63"/>
      <c r="CG9" s="63"/>
      <c r="CH9" s="63"/>
      <c r="CI9" s="63"/>
      <c r="CJ9" s="63"/>
      <c r="CK9" s="63"/>
      <c r="CL9" s="63"/>
      <c r="CM9" s="63"/>
      <c r="CN9" s="63"/>
      <c r="CO9" s="63"/>
      <c r="CP9" s="63"/>
      <c r="CQ9" s="63"/>
      <c r="CR9" s="63"/>
      <c r="CS9" s="63"/>
      <c r="CT9" s="63"/>
      <c r="CU9" s="63"/>
      <c r="CV9" s="63"/>
      <c r="CW9" s="63"/>
      <c r="CX9" s="63"/>
      <c r="CY9" s="63"/>
      <c r="CZ9" s="63"/>
      <c r="DA9" s="63"/>
      <c r="DB9" s="63"/>
      <c r="DC9" s="63"/>
      <c r="DD9" s="63"/>
      <c r="DE9" s="63"/>
      <c r="DF9" s="63"/>
      <c r="DG9" s="63"/>
      <c r="DH9" s="63"/>
      <c r="DI9" s="63"/>
      <c r="DJ9" s="63"/>
      <c r="DK9" s="63"/>
      <c r="DL9" s="63"/>
      <c r="DM9" s="63"/>
      <c r="DN9" s="63"/>
      <c r="DO9" s="63"/>
      <c r="DP9" s="63"/>
      <c r="DQ9" s="63"/>
      <c r="DR9" s="63"/>
      <c r="DS9" s="63"/>
      <c r="DT9" s="63"/>
      <c r="DU9" s="63"/>
      <c r="DV9" s="63"/>
      <c r="DW9" s="63"/>
      <c r="DX9" s="63"/>
      <c r="DY9" s="63"/>
      <c r="DZ9" s="63"/>
      <c r="EA9" s="63"/>
      <c r="EB9" s="63"/>
      <c r="EC9" s="63"/>
      <c r="ED9" s="63"/>
      <c r="EE9" s="63"/>
      <c r="EF9" s="63"/>
      <c r="EG9" s="63"/>
      <c r="EH9" s="63"/>
      <c r="EI9" s="63"/>
      <c r="EJ9" s="63"/>
      <c r="EK9" s="63"/>
      <c r="EL9" s="63"/>
      <c r="EM9" s="63"/>
      <c r="EN9" s="63"/>
      <c r="EO9" s="63"/>
      <c r="EP9" s="63"/>
      <c r="EQ9" s="63"/>
      <c r="ER9" s="63"/>
      <c r="ES9" s="63"/>
      <c r="ET9" s="63"/>
      <c r="EU9" s="63"/>
      <c r="EV9" s="63"/>
      <c r="EW9" s="63"/>
      <c r="EX9" s="63"/>
      <c r="EY9" s="63"/>
      <c r="EZ9" s="63"/>
      <c r="FA9" s="63"/>
      <c r="FB9" s="63"/>
      <c r="FC9" s="63"/>
      <c r="FD9" s="63"/>
      <c r="FE9" s="63"/>
      <c r="FF9" s="63"/>
    </row>
    <row r="10" spans="1:162" s="116" customFormat="1" ht="30" customHeight="1" x14ac:dyDescent="0.25">
      <c r="A10" s="27" t="s">
        <v>93</v>
      </c>
      <c r="B10" s="22" t="s">
        <v>175</v>
      </c>
      <c r="C10" s="23" t="s">
        <v>293</v>
      </c>
      <c r="D10" s="22" t="s">
        <v>175</v>
      </c>
      <c r="E10" s="23" t="s">
        <v>118</v>
      </c>
      <c r="F10" s="23">
        <v>2012</v>
      </c>
      <c r="G10" s="24"/>
      <c r="H10" s="23" t="s">
        <v>376</v>
      </c>
      <c r="I10" s="24" t="s">
        <v>541</v>
      </c>
      <c r="J10" s="24" t="s">
        <v>542</v>
      </c>
      <c r="K10" s="24" t="s">
        <v>543</v>
      </c>
      <c r="L10" s="24" t="s">
        <v>544</v>
      </c>
      <c r="M10" s="24" t="s">
        <v>545</v>
      </c>
      <c r="N10" s="20" t="s">
        <v>301</v>
      </c>
      <c r="O10" s="23" t="s">
        <v>215</v>
      </c>
      <c r="P10" s="23"/>
      <c r="Q10" s="23"/>
      <c r="R10" s="23"/>
      <c r="S10" s="23"/>
      <c r="T10" s="23"/>
      <c r="U10" s="23"/>
      <c r="V10" s="126" t="s">
        <v>218</v>
      </c>
      <c r="W10" s="126" t="s">
        <v>219</v>
      </c>
      <c r="X10" s="111" t="s">
        <v>1378</v>
      </c>
      <c r="Y10" s="116" t="s">
        <v>230</v>
      </c>
      <c r="Z10" s="23" t="s">
        <v>220</v>
      </c>
      <c r="AA10" s="23"/>
      <c r="AB10" s="23">
        <f>2*0.3*12</f>
        <v>7.1999999999999993</v>
      </c>
      <c r="AC10" s="23">
        <v>400</v>
      </c>
      <c r="AD10" s="23">
        <f>24-AB10</f>
        <v>16.8</v>
      </c>
      <c r="AE10" s="23"/>
      <c r="AF10" s="23">
        <v>0</v>
      </c>
      <c r="AG10" s="23" t="s">
        <v>971</v>
      </c>
      <c r="AH10" s="23" t="s">
        <v>1388</v>
      </c>
      <c r="AI10" s="23" t="s">
        <v>1044</v>
      </c>
      <c r="AJ10" s="23"/>
      <c r="AK10" s="23" t="s">
        <v>970</v>
      </c>
      <c r="AL10" s="23"/>
      <c r="AM10" s="116">
        <v>56</v>
      </c>
      <c r="AN10" s="116" t="s">
        <v>1493</v>
      </c>
      <c r="AO10" s="23" t="s">
        <v>1494</v>
      </c>
      <c r="AP10" s="63" t="s">
        <v>1451</v>
      </c>
      <c r="AQ10" s="63"/>
      <c r="AR10" s="63"/>
      <c r="AS10" s="63"/>
      <c r="AT10" s="63"/>
      <c r="AU10" s="63"/>
      <c r="AV10" s="63"/>
      <c r="AW10" s="63"/>
      <c r="AX10" s="63"/>
      <c r="AY10" s="63"/>
      <c r="AZ10" s="63"/>
      <c r="BA10" s="63"/>
      <c r="BB10" s="63"/>
      <c r="BC10" s="63"/>
      <c r="BD10" s="63"/>
      <c r="BE10" s="63"/>
      <c r="BF10" s="63"/>
      <c r="BG10" s="63"/>
      <c r="BH10" s="63"/>
      <c r="BI10" s="63"/>
      <c r="BJ10" s="63"/>
      <c r="BK10" s="63"/>
      <c r="BL10" s="63"/>
      <c r="BM10" s="63"/>
      <c r="BN10" s="63"/>
      <c r="BO10" s="63"/>
      <c r="BP10" s="63"/>
      <c r="BQ10" s="63"/>
      <c r="BR10" s="63"/>
      <c r="BS10" s="63"/>
      <c r="BT10" s="63"/>
      <c r="BU10" s="63"/>
      <c r="BV10" s="63"/>
      <c r="BW10" s="63"/>
      <c r="BX10" s="63"/>
      <c r="BY10" s="63"/>
      <c r="BZ10" s="63"/>
      <c r="CA10" s="63"/>
      <c r="CB10" s="63"/>
      <c r="CC10" s="63"/>
      <c r="CD10" s="63"/>
      <c r="CE10" s="63"/>
      <c r="CF10" s="63"/>
      <c r="CG10" s="63"/>
      <c r="CH10" s="63"/>
      <c r="CI10" s="63"/>
      <c r="CJ10" s="63"/>
      <c r="CK10" s="63"/>
      <c r="CL10" s="63"/>
      <c r="CM10" s="63"/>
      <c r="CN10" s="63"/>
      <c r="CO10" s="63"/>
      <c r="CP10" s="63"/>
      <c r="CQ10" s="63"/>
      <c r="CR10" s="63"/>
      <c r="CS10" s="63"/>
      <c r="CT10" s="63"/>
      <c r="CU10" s="63"/>
      <c r="CV10" s="63"/>
      <c r="CW10" s="63"/>
      <c r="CX10" s="63"/>
      <c r="CY10" s="63"/>
      <c r="CZ10" s="63"/>
      <c r="DA10" s="63"/>
      <c r="DB10" s="63"/>
      <c r="DC10" s="63"/>
      <c r="DD10" s="63"/>
      <c r="DE10" s="63"/>
      <c r="DF10" s="63"/>
      <c r="DG10" s="63"/>
      <c r="DH10" s="63"/>
      <c r="DI10" s="63"/>
      <c r="DJ10" s="63"/>
      <c r="DK10" s="63"/>
      <c r="DL10" s="63"/>
      <c r="DM10" s="63"/>
      <c r="DN10" s="63"/>
      <c r="DO10" s="63"/>
      <c r="DP10" s="63"/>
      <c r="DQ10" s="63"/>
      <c r="DR10" s="63"/>
      <c r="DS10" s="63"/>
      <c r="DT10" s="63"/>
      <c r="DU10" s="63"/>
      <c r="DV10" s="63"/>
      <c r="DW10" s="63"/>
      <c r="DX10" s="63"/>
      <c r="DY10" s="63"/>
      <c r="DZ10" s="63"/>
      <c r="EA10" s="63"/>
      <c r="EB10" s="63"/>
      <c r="EC10" s="63"/>
      <c r="ED10" s="63"/>
      <c r="EE10" s="63"/>
      <c r="EF10" s="63"/>
      <c r="EG10" s="63"/>
      <c r="EH10" s="63"/>
      <c r="EI10" s="63"/>
      <c r="EJ10" s="63"/>
      <c r="EK10" s="63"/>
      <c r="EL10" s="63"/>
      <c r="EM10" s="63"/>
      <c r="EN10" s="63"/>
      <c r="EO10" s="63"/>
      <c r="EP10" s="63"/>
      <c r="EQ10" s="63"/>
      <c r="ER10" s="63"/>
      <c r="ES10" s="63"/>
      <c r="ET10" s="63"/>
      <c r="EU10" s="63"/>
      <c r="EV10" s="63"/>
      <c r="EW10" s="63"/>
      <c r="EX10" s="63"/>
      <c r="EY10" s="63"/>
      <c r="EZ10" s="63"/>
      <c r="FA10" s="63"/>
      <c r="FB10" s="63"/>
      <c r="FC10" s="63"/>
      <c r="FD10" s="63"/>
      <c r="FE10" s="63"/>
      <c r="FF10" s="63"/>
    </row>
    <row r="11" spans="1:162" s="116" customFormat="1" ht="30" customHeight="1" x14ac:dyDescent="0.25">
      <c r="A11" s="118" t="s">
        <v>61</v>
      </c>
      <c r="B11" s="19" t="s">
        <v>62</v>
      </c>
      <c r="C11" s="116" t="s">
        <v>207</v>
      </c>
      <c r="D11" s="19" t="s">
        <v>60</v>
      </c>
      <c r="E11" s="116" t="s">
        <v>63</v>
      </c>
      <c r="F11" s="116">
        <v>2008</v>
      </c>
      <c r="G11" s="119" t="s">
        <v>208</v>
      </c>
      <c r="H11" s="116" t="s">
        <v>209</v>
      </c>
      <c r="I11" s="117" t="s">
        <v>210</v>
      </c>
      <c r="J11" s="117" t="s">
        <v>211</v>
      </c>
      <c r="K11" s="117" t="s">
        <v>212</v>
      </c>
      <c r="L11" s="117" t="s">
        <v>213</v>
      </c>
      <c r="M11" s="119" t="s">
        <v>214</v>
      </c>
      <c r="N11" s="20" t="s">
        <v>301</v>
      </c>
      <c r="O11" s="116" t="s">
        <v>215</v>
      </c>
      <c r="P11" s="24" t="s">
        <v>216</v>
      </c>
      <c r="S11" s="117" t="s">
        <v>217</v>
      </c>
      <c r="V11" s="111" t="s">
        <v>218</v>
      </c>
      <c r="W11" s="111" t="s">
        <v>219</v>
      </c>
      <c r="X11" s="111" t="s">
        <v>219</v>
      </c>
      <c r="Y11" s="116" t="s">
        <v>230</v>
      </c>
      <c r="Z11" s="116" t="s">
        <v>220</v>
      </c>
      <c r="AB11" s="116">
        <v>6</v>
      </c>
      <c r="AC11" s="116">
        <v>800</v>
      </c>
      <c r="AD11" s="116">
        <v>4</v>
      </c>
      <c r="AE11" s="116">
        <v>360</v>
      </c>
      <c r="AF11" s="116">
        <v>6</v>
      </c>
      <c r="AG11" s="116" t="s">
        <v>971</v>
      </c>
      <c r="AH11" s="135" t="s">
        <v>1015</v>
      </c>
      <c r="AI11" s="116" t="s">
        <v>1047</v>
      </c>
      <c r="AK11" s="116" t="s">
        <v>971</v>
      </c>
      <c r="AL11" s="116" t="s">
        <v>1073</v>
      </c>
      <c r="AM11" s="116">
        <v>1</v>
      </c>
      <c r="AN11" s="116" t="s">
        <v>1495</v>
      </c>
      <c r="AO11" s="116" t="s">
        <v>1496</v>
      </c>
      <c r="AP11" s="63" t="s">
        <v>1451</v>
      </c>
      <c r="AQ11" s="63"/>
      <c r="AR11" s="63"/>
      <c r="AS11" s="63"/>
      <c r="AT11" s="63"/>
      <c r="AU11" s="63"/>
      <c r="AV11" s="63"/>
      <c r="AW11" s="63"/>
      <c r="AX11" s="63"/>
      <c r="AY11" s="63"/>
      <c r="AZ11" s="63"/>
      <c r="BA11" s="63"/>
      <c r="BB11" s="63"/>
      <c r="BC11" s="63"/>
      <c r="BD11" s="63"/>
      <c r="BE11" s="63"/>
      <c r="BF11" s="63"/>
      <c r="BG11" s="63"/>
      <c r="BH11" s="63"/>
      <c r="BI11" s="63"/>
      <c r="BJ11" s="63"/>
      <c r="BK11" s="63"/>
      <c r="BL11" s="63"/>
      <c r="BM11" s="63"/>
      <c r="BN11" s="63"/>
      <c r="BO11" s="63"/>
      <c r="BP11" s="63"/>
      <c r="BQ11" s="63"/>
      <c r="BR11" s="63"/>
      <c r="BS11" s="63"/>
      <c r="BT11" s="63"/>
      <c r="BU11" s="63"/>
      <c r="BV11" s="63"/>
      <c r="BW11" s="63"/>
      <c r="BX11" s="63"/>
      <c r="BY11" s="63"/>
      <c r="BZ11" s="63"/>
      <c r="CA11" s="63"/>
      <c r="CB11" s="63"/>
      <c r="CC11" s="63"/>
      <c r="CD11" s="63"/>
      <c r="CE11" s="63"/>
      <c r="CF11" s="63"/>
      <c r="CG11" s="63"/>
      <c r="CH11" s="63"/>
      <c r="CI11" s="63"/>
      <c r="CJ11" s="63"/>
      <c r="CK11" s="63"/>
      <c r="CL11" s="63"/>
      <c r="CM11" s="63"/>
      <c r="CN11" s="63"/>
      <c r="CO11" s="63"/>
      <c r="CP11" s="63"/>
      <c r="CQ11" s="63"/>
      <c r="CR11" s="63"/>
      <c r="CS11" s="63"/>
      <c r="CT11" s="63"/>
      <c r="CU11" s="63"/>
      <c r="CV11" s="63"/>
      <c r="CW11" s="63"/>
      <c r="CX11" s="63"/>
      <c r="CY11" s="63"/>
      <c r="CZ11" s="63"/>
      <c r="DA11" s="63"/>
      <c r="DB11" s="63"/>
      <c r="DC11" s="63"/>
      <c r="DD11" s="63"/>
      <c r="DE11" s="63"/>
      <c r="DF11" s="63"/>
      <c r="DG11" s="63"/>
      <c r="DH11" s="63"/>
      <c r="DI11" s="63"/>
      <c r="DJ11" s="63"/>
      <c r="DK11" s="63"/>
      <c r="DL11" s="63"/>
      <c r="DM11" s="63"/>
      <c r="DN11" s="63"/>
      <c r="DO11" s="63"/>
      <c r="DP11" s="63"/>
      <c r="DQ11" s="63"/>
      <c r="DR11" s="63"/>
      <c r="DS11" s="63"/>
      <c r="DT11" s="63"/>
      <c r="DU11" s="63"/>
      <c r="DV11" s="63"/>
      <c r="DW11" s="63"/>
      <c r="DX11" s="63"/>
      <c r="DY11" s="63"/>
      <c r="DZ11" s="63"/>
      <c r="EA11" s="63"/>
      <c r="EB11" s="63"/>
      <c r="EC11" s="63"/>
      <c r="ED11" s="63"/>
      <c r="EE11" s="63"/>
      <c r="EF11" s="63"/>
      <c r="EG11" s="63"/>
      <c r="EH11" s="63"/>
      <c r="EI11" s="63"/>
      <c r="EJ11" s="63"/>
      <c r="EK11" s="63"/>
      <c r="EL11" s="63"/>
      <c r="EM11" s="63"/>
      <c r="EN11" s="63"/>
      <c r="EO11" s="63"/>
      <c r="EP11" s="63"/>
      <c r="EQ11" s="63"/>
      <c r="ER11" s="63"/>
      <c r="ES11" s="63"/>
      <c r="ET11" s="63"/>
      <c r="EU11" s="63"/>
      <c r="EV11" s="63"/>
      <c r="EW11" s="63"/>
      <c r="EX11" s="63"/>
      <c r="EY11" s="63"/>
      <c r="EZ11" s="63"/>
      <c r="FA11" s="63"/>
      <c r="FB11" s="63"/>
      <c r="FC11" s="63"/>
      <c r="FD11" s="63"/>
      <c r="FE11" s="63"/>
      <c r="FF11" s="63"/>
    </row>
    <row r="12" spans="1:162" s="116" customFormat="1" ht="30" customHeight="1" x14ac:dyDescent="0.25">
      <c r="A12" s="23" t="s">
        <v>81</v>
      </c>
      <c r="B12" s="23" t="s">
        <v>85</v>
      </c>
      <c r="C12" s="23" t="s">
        <v>293</v>
      </c>
      <c r="D12" s="23" t="s">
        <v>463</v>
      </c>
      <c r="E12" s="23" t="s">
        <v>63</v>
      </c>
      <c r="F12" s="24" t="s">
        <v>464</v>
      </c>
      <c r="G12" s="23" t="s">
        <v>465</v>
      </c>
      <c r="H12" s="23" t="s">
        <v>238</v>
      </c>
      <c r="I12" s="24" t="s">
        <v>466</v>
      </c>
      <c r="J12" s="24" t="s">
        <v>157</v>
      </c>
      <c r="K12" s="24" t="s">
        <v>467</v>
      </c>
      <c r="L12" s="24" t="s">
        <v>468</v>
      </c>
      <c r="M12" s="24" t="s">
        <v>469</v>
      </c>
      <c r="N12" s="20" t="s">
        <v>301</v>
      </c>
      <c r="O12" s="116" t="s">
        <v>315</v>
      </c>
      <c r="P12" s="24" t="s">
        <v>280</v>
      </c>
      <c r="Q12" s="23"/>
      <c r="R12" s="23"/>
      <c r="S12" s="24"/>
      <c r="T12" s="24" t="s">
        <v>30</v>
      </c>
      <c r="U12" s="23"/>
      <c r="V12" s="127" t="s">
        <v>218</v>
      </c>
      <c r="W12" s="111" t="s">
        <v>247</v>
      </c>
      <c r="X12" s="111" t="s">
        <v>219</v>
      </c>
      <c r="Y12" s="23"/>
      <c r="Z12" s="23" t="s">
        <v>220</v>
      </c>
      <c r="AA12" s="23"/>
      <c r="AB12" s="23">
        <v>6</v>
      </c>
      <c r="AC12" s="23">
        <v>110</v>
      </c>
      <c r="AD12" s="23"/>
      <c r="AE12" s="23"/>
      <c r="AF12" s="23">
        <v>13</v>
      </c>
      <c r="AG12" s="23" t="s">
        <v>971</v>
      </c>
      <c r="AH12" s="23" t="s">
        <v>1057</v>
      </c>
      <c r="AI12" s="23" t="s">
        <v>1033</v>
      </c>
      <c r="AJ12" s="23" t="s">
        <v>1053</v>
      </c>
      <c r="AK12" s="23" t="s">
        <v>971</v>
      </c>
      <c r="AL12" s="23" t="s">
        <v>1074</v>
      </c>
      <c r="AM12" s="116">
        <v>39</v>
      </c>
      <c r="AN12" s="116" t="s">
        <v>1497</v>
      </c>
      <c r="AO12" s="24" t="s">
        <v>1498</v>
      </c>
      <c r="AP12" s="63" t="s">
        <v>1451</v>
      </c>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c r="BO12" s="63"/>
      <c r="BP12" s="63"/>
      <c r="BQ12" s="63"/>
      <c r="BR12" s="63"/>
      <c r="BS12" s="63"/>
      <c r="BT12" s="63"/>
      <c r="BU12" s="63"/>
      <c r="BV12" s="63"/>
      <c r="BW12" s="63"/>
      <c r="BX12" s="63"/>
      <c r="BY12" s="63"/>
      <c r="BZ12" s="63"/>
      <c r="CA12" s="63"/>
      <c r="CB12" s="63"/>
      <c r="CC12" s="63"/>
      <c r="CD12" s="63"/>
      <c r="CE12" s="63"/>
      <c r="CF12" s="63"/>
      <c r="CG12" s="63"/>
      <c r="CH12" s="63"/>
      <c r="CI12" s="63"/>
      <c r="CJ12" s="63"/>
      <c r="CK12" s="63"/>
      <c r="CL12" s="63"/>
      <c r="CM12" s="63"/>
      <c r="CN12" s="63"/>
      <c r="CO12" s="63"/>
      <c r="CP12" s="63"/>
      <c r="CQ12" s="63"/>
      <c r="CR12" s="63"/>
      <c r="CS12" s="63"/>
      <c r="CT12" s="63"/>
      <c r="CU12" s="63"/>
      <c r="CV12" s="63"/>
      <c r="CW12" s="63"/>
      <c r="CX12" s="63"/>
      <c r="CY12" s="63"/>
      <c r="CZ12" s="63"/>
      <c r="DA12" s="63"/>
      <c r="DB12" s="63"/>
      <c r="DC12" s="63"/>
      <c r="DD12" s="63"/>
      <c r="DE12" s="63"/>
      <c r="DF12" s="63"/>
      <c r="DG12" s="63"/>
      <c r="DH12" s="63"/>
      <c r="DI12" s="63"/>
      <c r="DJ12" s="63"/>
      <c r="DK12" s="63"/>
      <c r="DL12" s="63"/>
      <c r="DM12" s="63"/>
      <c r="DN12" s="63"/>
      <c r="DO12" s="63"/>
      <c r="DP12" s="63"/>
      <c r="DQ12" s="63"/>
      <c r="DR12" s="63"/>
      <c r="DS12" s="63"/>
      <c r="DT12" s="63"/>
      <c r="DU12" s="63"/>
      <c r="DV12" s="63"/>
      <c r="DW12" s="63"/>
      <c r="DX12" s="63"/>
      <c r="DY12" s="63"/>
      <c r="DZ12" s="63"/>
      <c r="EA12" s="63"/>
      <c r="EB12" s="63"/>
      <c r="EC12" s="63"/>
      <c r="ED12" s="63"/>
      <c r="EE12" s="63"/>
      <c r="EF12" s="63"/>
      <c r="EG12" s="63"/>
      <c r="EH12" s="63"/>
      <c r="EI12" s="63"/>
      <c r="EJ12" s="63"/>
      <c r="EK12" s="63"/>
      <c r="EL12" s="63"/>
      <c r="EM12" s="63"/>
      <c r="EN12" s="63"/>
      <c r="EO12" s="63"/>
      <c r="EP12" s="63"/>
      <c r="EQ12" s="63"/>
      <c r="ER12" s="63"/>
      <c r="ES12" s="63"/>
      <c r="ET12" s="63"/>
      <c r="EU12" s="63"/>
      <c r="EV12" s="63"/>
      <c r="EW12" s="63"/>
      <c r="EX12" s="63"/>
      <c r="EY12" s="63"/>
      <c r="EZ12" s="63"/>
      <c r="FA12" s="63"/>
      <c r="FB12" s="63"/>
      <c r="FC12" s="63"/>
      <c r="FD12" s="63"/>
      <c r="FE12" s="63"/>
      <c r="FF12" s="63"/>
    </row>
    <row r="13" spans="1:162" s="116" customFormat="1" ht="30" customHeight="1" x14ac:dyDescent="0.25">
      <c r="B13" s="21" t="s">
        <v>54</v>
      </c>
      <c r="C13" s="120" t="s">
        <v>221</v>
      </c>
      <c r="D13" s="120" t="s">
        <v>282</v>
      </c>
      <c r="E13" s="116" t="s">
        <v>99</v>
      </c>
      <c r="F13" s="116">
        <v>2005</v>
      </c>
      <c r="G13" s="117" t="s">
        <v>283</v>
      </c>
      <c r="H13" s="118" t="s">
        <v>284</v>
      </c>
      <c r="I13" s="117" t="s">
        <v>285</v>
      </c>
      <c r="J13" s="117" t="s">
        <v>286</v>
      </c>
      <c r="K13" s="136" t="s">
        <v>287</v>
      </c>
      <c r="L13" s="117" t="s">
        <v>288</v>
      </c>
      <c r="M13" s="117" t="s">
        <v>289</v>
      </c>
      <c r="N13" s="20" t="s">
        <v>301</v>
      </c>
      <c r="O13" s="116" t="s">
        <v>215</v>
      </c>
      <c r="P13" s="118" t="s">
        <v>284</v>
      </c>
      <c r="Q13" s="117" t="s">
        <v>54</v>
      </c>
      <c r="S13" s="117" t="s">
        <v>290</v>
      </c>
      <c r="V13" s="115" t="s">
        <v>219</v>
      </c>
      <c r="W13" s="115" t="s">
        <v>219</v>
      </c>
      <c r="X13" s="111" t="s">
        <v>219</v>
      </c>
      <c r="Y13" s="116" t="s">
        <v>230</v>
      </c>
      <c r="Z13" s="56" t="s">
        <v>231</v>
      </c>
      <c r="AA13" s="56"/>
      <c r="AB13" s="116">
        <v>3</v>
      </c>
      <c r="AD13" s="116">
        <v>3</v>
      </c>
      <c r="AF13" s="116">
        <v>243</v>
      </c>
      <c r="AG13" s="116" t="s">
        <v>971</v>
      </c>
      <c r="AH13" s="116" t="s">
        <v>1024</v>
      </c>
      <c r="AI13" s="116" t="s">
        <v>1033</v>
      </c>
      <c r="AJ13" s="116" t="s">
        <v>1040</v>
      </c>
      <c r="AK13" s="116" t="s">
        <v>971</v>
      </c>
      <c r="AL13" s="116" t="s">
        <v>1074</v>
      </c>
      <c r="AM13" s="116">
        <v>10</v>
      </c>
      <c r="AN13" s="116" t="s">
        <v>1499</v>
      </c>
      <c r="AO13" s="116" t="s">
        <v>1500</v>
      </c>
      <c r="AP13" s="63" t="s">
        <v>1451</v>
      </c>
      <c r="AQ13" s="63"/>
      <c r="AR13" s="63"/>
      <c r="AS13" s="63"/>
      <c r="AT13" s="63"/>
      <c r="AU13" s="63"/>
      <c r="AV13" s="63"/>
      <c r="AW13" s="63"/>
      <c r="AX13" s="63"/>
      <c r="AY13" s="63"/>
      <c r="AZ13" s="63"/>
      <c r="BA13" s="63"/>
      <c r="BB13" s="63"/>
      <c r="BC13" s="63"/>
      <c r="BD13" s="63"/>
      <c r="BE13" s="63"/>
      <c r="BF13" s="63"/>
      <c r="BG13" s="63"/>
      <c r="BH13" s="63"/>
      <c r="BI13" s="63"/>
      <c r="BJ13" s="63"/>
      <c r="BK13" s="63"/>
      <c r="BL13" s="63"/>
      <c r="BM13" s="63"/>
      <c r="BN13" s="63"/>
      <c r="BO13" s="63"/>
      <c r="BP13" s="63"/>
      <c r="BQ13" s="63"/>
      <c r="BR13" s="63"/>
      <c r="BS13" s="63"/>
      <c r="BT13" s="63"/>
      <c r="BU13" s="63"/>
      <c r="BV13" s="63"/>
      <c r="BW13" s="63"/>
      <c r="BX13" s="63"/>
      <c r="BY13" s="63"/>
      <c r="BZ13" s="63"/>
      <c r="CA13" s="63"/>
      <c r="CB13" s="63"/>
      <c r="CC13" s="63"/>
      <c r="CD13" s="63"/>
      <c r="CE13" s="63"/>
      <c r="CF13" s="63"/>
      <c r="CG13" s="63"/>
      <c r="CH13" s="63"/>
      <c r="CI13" s="63"/>
      <c r="CJ13" s="63"/>
      <c r="CK13" s="63"/>
      <c r="CL13" s="63"/>
      <c r="CM13" s="63"/>
      <c r="CN13" s="63"/>
      <c r="CO13" s="63"/>
      <c r="CP13" s="63"/>
      <c r="CQ13" s="63"/>
      <c r="CR13" s="63"/>
      <c r="CS13" s="63"/>
      <c r="CT13" s="63"/>
      <c r="CU13" s="63"/>
      <c r="CV13" s="63"/>
      <c r="CW13" s="63"/>
      <c r="CX13" s="63"/>
      <c r="CY13" s="63"/>
      <c r="CZ13" s="63"/>
      <c r="DA13" s="63"/>
      <c r="DB13" s="63"/>
      <c r="DC13" s="63"/>
      <c r="DD13" s="63"/>
      <c r="DE13" s="63"/>
      <c r="DF13" s="63"/>
      <c r="DG13" s="63"/>
      <c r="DH13" s="63"/>
      <c r="DI13" s="63"/>
      <c r="DJ13" s="63"/>
      <c r="DK13" s="63"/>
      <c r="DL13" s="63"/>
      <c r="DM13" s="63"/>
      <c r="DN13" s="63"/>
      <c r="DO13" s="63"/>
      <c r="DP13" s="63"/>
      <c r="DQ13" s="63"/>
      <c r="DR13" s="63"/>
      <c r="DS13" s="63"/>
      <c r="DT13" s="63"/>
      <c r="DU13" s="63"/>
      <c r="DV13" s="63"/>
      <c r="DW13" s="63"/>
      <c r="DX13" s="63"/>
      <c r="DY13" s="63"/>
      <c r="DZ13" s="63"/>
      <c r="EA13" s="63"/>
      <c r="EB13" s="63"/>
      <c r="EC13" s="63"/>
      <c r="ED13" s="63"/>
      <c r="EE13" s="63"/>
      <c r="EF13" s="63"/>
      <c r="EG13" s="63"/>
      <c r="EH13" s="63"/>
      <c r="EI13" s="63"/>
      <c r="EJ13" s="63"/>
      <c r="EK13" s="63"/>
      <c r="EL13" s="63"/>
      <c r="EM13" s="63"/>
      <c r="EN13" s="63"/>
      <c r="EO13" s="63"/>
      <c r="EP13" s="63"/>
      <c r="EQ13" s="63"/>
      <c r="ER13" s="63"/>
      <c r="ES13" s="63"/>
      <c r="ET13" s="63"/>
      <c r="EU13" s="63"/>
      <c r="EV13" s="63"/>
      <c r="EW13" s="63"/>
      <c r="EX13" s="63"/>
      <c r="EY13" s="63"/>
      <c r="EZ13" s="63"/>
      <c r="FA13" s="63"/>
      <c r="FB13" s="63"/>
      <c r="FC13" s="63"/>
      <c r="FD13" s="63"/>
      <c r="FE13" s="63"/>
      <c r="FF13" s="63"/>
    </row>
    <row r="14" spans="1:162" s="116" customFormat="1" ht="30" customHeight="1" x14ac:dyDescent="0.25">
      <c r="A14" s="118" t="s">
        <v>52</v>
      </c>
      <c r="B14" s="118" t="s">
        <v>64</v>
      </c>
      <c r="C14" s="116" t="s">
        <v>207</v>
      </c>
      <c r="D14" s="116" t="s">
        <v>282</v>
      </c>
      <c r="E14" s="116" t="s">
        <v>99</v>
      </c>
      <c r="F14" s="116">
        <v>2005</v>
      </c>
      <c r="G14" s="117" t="s">
        <v>283</v>
      </c>
      <c r="H14" s="116" t="s">
        <v>291</v>
      </c>
      <c r="I14" s="117" t="s">
        <v>285</v>
      </c>
      <c r="J14" s="117" t="s">
        <v>286</v>
      </c>
      <c r="K14" s="136" t="s">
        <v>287</v>
      </c>
      <c r="L14" s="117" t="s">
        <v>288</v>
      </c>
      <c r="M14" s="117" t="s">
        <v>289</v>
      </c>
      <c r="N14" s="20" t="s">
        <v>301</v>
      </c>
      <c r="O14" s="116" t="s">
        <v>215</v>
      </c>
      <c r="P14" s="117" t="s">
        <v>292</v>
      </c>
      <c r="Q14" s="117" t="s">
        <v>54</v>
      </c>
      <c r="S14" s="117" t="s">
        <v>290</v>
      </c>
      <c r="V14" s="115" t="s">
        <v>219</v>
      </c>
      <c r="W14" s="115" t="s">
        <v>219</v>
      </c>
      <c r="X14" s="111" t="s">
        <v>219</v>
      </c>
      <c r="Y14" s="116" t="s">
        <v>230</v>
      </c>
      <c r="Z14" s="56" t="s">
        <v>231</v>
      </c>
      <c r="AA14" s="56"/>
      <c r="AB14" s="116">
        <v>3</v>
      </c>
      <c r="AD14" s="116">
        <v>3</v>
      </c>
      <c r="AF14" s="116">
        <v>243</v>
      </c>
      <c r="AG14" s="116" t="s">
        <v>971</v>
      </c>
      <c r="AH14" s="116" t="s">
        <v>1024</v>
      </c>
      <c r="AI14" s="116" t="s">
        <v>1033</v>
      </c>
      <c r="AJ14" s="116" t="s">
        <v>1040</v>
      </c>
      <c r="AK14" s="116" t="s">
        <v>971</v>
      </c>
      <c r="AL14" s="116" t="s">
        <v>1074</v>
      </c>
      <c r="AM14" s="116">
        <v>11</v>
      </c>
      <c r="AN14" s="116" t="s">
        <v>1499</v>
      </c>
      <c r="AO14" s="116" t="s">
        <v>1500</v>
      </c>
      <c r="AP14" s="63" t="s">
        <v>1451</v>
      </c>
      <c r="AQ14" s="63"/>
      <c r="AR14" s="63"/>
      <c r="AS14" s="63"/>
      <c r="AT14" s="63"/>
      <c r="AU14" s="63"/>
      <c r="AV14" s="63"/>
      <c r="AW14" s="63"/>
      <c r="AX14" s="63"/>
      <c r="AY14" s="63"/>
      <c r="AZ14" s="63"/>
      <c r="BA14" s="63"/>
      <c r="BB14" s="63"/>
      <c r="BC14" s="63"/>
      <c r="BD14" s="63"/>
      <c r="BE14" s="63"/>
      <c r="BF14" s="63"/>
      <c r="BG14" s="63"/>
      <c r="BH14" s="63"/>
      <c r="BI14" s="63"/>
      <c r="BJ14" s="63"/>
      <c r="BK14" s="63"/>
      <c r="BL14" s="63"/>
      <c r="BM14" s="63"/>
      <c r="BN14" s="63"/>
      <c r="BO14" s="63"/>
      <c r="BP14" s="63"/>
      <c r="BQ14" s="63"/>
      <c r="BR14" s="63"/>
      <c r="BS14" s="63"/>
      <c r="BT14" s="63"/>
      <c r="BU14" s="63"/>
      <c r="BV14" s="63"/>
      <c r="BW14" s="63"/>
      <c r="BX14" s="63"/>
      <c r="BY14" s="63"/>
      <c r="BZ14" s="63"/>
      <c r="CA14" s="63"/>
      <c r="CB14" s="63"/>
      <c r="CC14" s="63"/>
      <c r="CD14" s="63"/>
      <c r="CE14" s="63"/>
      <c r="CF14" s="63"/>
      <c r="CG14" s="63"/>
      <c r="CH14" s="63"/>
      <c r="CI14" s="63"/>
      <c r="CJ14" s="63"/>
      <c r="CK14" s="63"/>
      <c r="CL14" s="63"/>
      <c r="CM14" s="63"/>
      <c r="CN14" s="63"/>
      <c r="CO14" s="63"/>
      <c r="CP14" s="63"/>
      <c r="CQ14" s="63"/>
      <c r="CR14" s="63"/>
      <c r="CS14" s="63"/>
      <c r="CT14" s="63"/>
      <c r="CU14" s="63"/>
      <c r="CV14" s="63"/>
      <c r="CW14" s="63"/>
      <c r="CX14" s="63"/>
      <c r="CY14" s="63"/>
      <c r="CZ14" s="63"/>
      <c r="DA14" s="63"/>
      <c r="DB14" s="63"/>
      <c r="DC14" s="63"/>
      <c r="DD14" s="63"/>
      <c r="DE14" s="63"/>
      <c r="DF14" s="63"/>
      <c r="DG14" s="63"/>
      <c r="DH14" s="63"/>
      <c r="DI14" s="63"/>
      <c r="DJ14" s="63"/>
      <c r="DK14" s="63"/>
      <c r="DL14" s="63"/>
      <c r="DM14" s="63"/>
      <c r="DN14" s="63"/>
      <c r="DO14" s="63"/>
      <c r="DP14" s="63"/>
      <c r="DQ14" s="63"/>
      <c r="DR14" s="63"/>
      <c r="DS14" s="63"/>
      <c r="DT14" s="63"/>
      <c r="DU14" s="63"/>
      <c r="DV14" s="63"/>
      <c r="DW14" s="63"/>
      <c r="DX14" s="63"/>
      <c r="DY14" s="63"/>
      <c r="DZ14" s="63"/>
      <c r="EA14" s="63"/>
      <c r="EB14" s="63"/>
      <c r="EC14" s="63"/>
      <c r="ED14" s="63"/>
      <c r="EE14" s="63"/>
      <c r="EF14" s="63"/>
      <c r="EG14" s="63"/>
      <c r="EH14" s="63"/>
      <c r="EI14" s="63"/>
      <c r="EJ14" s="63"/>
      <c r="EK14" s="63"/>
      <c r="EL14" s="63"/>
      <c r="EM14" s="63"/>
      <c r="EN14" s="63"/>
      <c r="EO14" s="63"/>
      <c r="EP14" s="63"/>
      <c r="EQ14" s="63"/>
      <c r="ER14" s="63"/>
      <c r="ES14" s="63"/>
      <c r="ET14" s="63"/>
      <c r="EU14" s="63"/>
      <c r="EV14" s="63"/>
      <c r="EW14" s="63"/>
      <c r="EX14" s="63"/>
      <c r="EY14" s="63"/>
      <c r="EZ14" s="63"/>
      <c r="FA14" s="63"/>
      <c r="FB14" s="63"/>
      <c r="FC14" s="63"/>
      <c r="FD14" s="63"/>
      <c r="FE14" s="63"/>
      <c r="FF14" s="63"/>
    </row>
    <row r="15" spans="1:162" s="116" customFormat="1" ht="30" customHeight="1" x14ac:dyDescent="0.25">
      <c r="A15" s="27" t="s">
        <v>70</v>
      </c>
      <c r="B15" s="23" t="s">
        <v>140</v>
      </c>
      <c r="C15" s="23" t="s">
        <v>293</v>
      </c>
      <c r="D15" s="23" t="s">
        <v>518</v>
      </c>
      <c r="E15" s="23" t="s">
        <v>99</v>
      </c>
      <c r="F15" s="23">
        <v>2007</v>
      </c>
      <c r="G15" s="24" t="s">
        <v>519</v>
      </c>
      <c r="H15" s="23"/>
      <c r="I15" s="24" t="s">
        <v>520</v>
      </c>
      <c r="J15" s="24" t="s">
        <v>521</v>
      </c>
      <c r="K15" s="24" t="s">
        <v>522</v>
      </c>
      <c r="L15" s="23"/>
      <c r="M15" s="24" t="s">
        <v>523</v>
      </c>
      <c r="N15" s="20" t="s">
        <v>301</v>
      </c>
      <c r="O15" s="116" t="s">
        <v>315</v>
      </c>
      <c r="P15" s="23"/>
      <c r="Q15" s="23"/>
      <c r="R15" s="23"/>
      <c r="S15" s="23"/>
      <c r="T15" s="23"/>
      <c r="U15" s="23"/>
      <c r="V15" s="126" t="s">
        <v>219</v>
      </c>
      <c r="W15" s="126" t="s">
        <v>219</v>
      </c>
      <c r="X15" s="111" t="s">
        <v>219</v>
      </c>
      <c r="Y15" s="116" t="s">
        <v>230</v>
      </c>
      <c r="Z15" s="20" t="s">
        <v>231</v>
      </c>
      <c r="AA15" s="20"/>
      <c r="AB15" s="23">
        <v>9</v>
      </c>
      <c r="AC15" s="23">
        <v>1200</v>
      </c>
      <c r="AD15" s="23">
        <f>AE15/40</f>
        <v>11</v>
      </c>
      <c r="AE15" s="23">
        <v>440</v>
      </c>
      <c r="AF15" s="23">
        <v>3</v>
      </c>
      <c r="AG15" s="23" t="s">
        <v>971</v>
      </c>
      <c r="AH15" s="24" t="s">
        <v>1067</v>
      </c>
      <c r="AI15" s="23" t="s">
        <v>1033</v>
      </c>
      <c r="AJ15" s="23" t="s">
        <v>1040</v>
      </c>
      <c r="AK15" s="23" t="s">
        <v>971</v>
      </c>
      <c r="AL15" s="23" t="s">
        <v>1074</v>
      </c>
      <c r="AM15" s="116">
        <v>50</v>
      </c>
      <c r="AN15" s="116" t="s">
        <v>1501</v>
      </c>
      <c r="AO15" s="23" t="s">
        <v>1502</v>
      </c>
      <c r="AP15" s="63" t="s">
        <v>1451</v>
      </c>
      <c r="AQ15" s="63"/>
      <c r="AR15" s="63"/>
      <c r="AS15" s="63"/>
      <c r="AT15" s="63"/>
      <c r="AU15" s="63"/>
      <c r="AV15" s="63"/>
      <c r="AW15" s="63"/>
      <c r="AX15" s="63"/>
      <c r="AY15" s="63"/>
      <c r="AZ15" s="63"/>
      <c r="BA15" s="63"/>
      <c r="BB15" s="63"/>
      <c r="BC15" s="63"/>
      <c r="BD15" s="63"/>
      <c r="BE15" s="63"/>
      <c r="BF15" s="63"/>
      <c r="BG15" s="63"/>
      <c r="BH15" s="63"/>
      <c r="BI15" s="63"/>
      <c r="BJ15" s="63"/>
      <c r="BK15" s="63"/>
      <c r="BL15" s="63"/>
      <c r="BM15" s="63"/>
      <c r="BN15" s="63"/>
      <c r="BO15" s="63"/>
      <c r="BP15" s="63"/>
      <c r="BQ15" s="63"/>
      <c r="BR15" s="63"/>
      <c r="BS15" s="63"/>
      <c r="BT15" s="63"/>
      <c r="BU15" s="63"/>
      <c r="BV15" s="63"/>
      <c r="BW15" s="63"/>
      <c r="BX15" s="63"/>
      <c r="BY15" s="63"/>
      <c r="BZ15" s="63"/>
      <c r="CA15" s="63"/>
      <c r="CB15" s="63"/>
      <c r="CC15" s="63"/>
      <c r="CD15" s="63"/>
      <c r="CE15" s="63"/>
      <c r="CF15" s="63"/>
      <c r="CG15" s="63"/>
      <c r="CH15" s="63"/>
      <c r="CI15" s="63"/>
      <c r="CJ15" s="63"/>
      <c r="CK15" s="63"/>
      <c r="CL15" s="63"/>
      <c r="CM15" s="63"/>
      <c r="CN15" s="63"/>
      <c r="CO15" s="63"/>
      <c r="CP15" s="63"/>
      <c r="CQ15" s="63"/>
      <c r="CR15" s="63"/>
      <c r="CS15" s="63"/>
      <c r="CT15" s="63"/>
      <c r="CU15" s="63"/>
      <c r="CV15" s="63"/>
      <c r="CW15" s="63"/>
      <c r="CX15" s="63"/>
      <c r="CY15" s="63"/>
      <c r="CZ15" s="63"/>
      <c r="DA15" s="63"/>
      <c r="DB15" s="63"/>
      <c r="DC15" s="63"/>
      <c r="DD15" s="63"/>
      <c r="DE15" s="63"/>
      <c r="DF15" s="63"/>
      <c r="DG15" s="63"/>
      <c r="DH15" s="63"/>
      <c r="DI15" s="63"/>
      <c r="DJ15" s="63"/>
      <c r="DK15" s="63"/>
      <c r="DL15" s="63"/>
      <c r="DM15" s="63"/>
      <c r="DN15" s="63"/>
      <c r="DO15" s="63"/>
      <c r="DP15" s="63"/>
      <c r="DQ15" s="63"/>
      <c r="DR15" s="63"/>
      <c r="DS15" s="63"/>
      <c r="DT15" s="63"/>
      <c r="DU15" s="63"/>
      <c r="DV15" s="63"/>
      <c r="DW15" s="63"/>
      <c r="DX15" s="63"/>
      <c r="DY15" s="63"/>
      <c r="DZ15" s="63"/>
      <c r="EA15" s="63"/>
      <c r="EB15" s="63"/>
      <c r="EC15" s="63"/>
      <c r="ED15" s="63"/>
      <c r="EE15" s="63"/>
      <c r="EF15" s="63"/>
      <c r="EG15" s="63"/>
      <c r="EH15" s="63"/>
      <c r="EI15" s="63"/>
      <c r="EJ15" s="63"/>
      <c r="EK15" s="63"/>
      <c r="EL15" s="63"/>
      <c r="EM15" s="63"/>
      <c r="EN15" s="63"/>
      <c r="EO15" s="63"/>
      <c r="EP15" s="63"/>
      <c r="EQ15" s="63"/>
      <c r="ER15" s="63"/>
      <c r="ES15" s="63"/>
      <c r="ET15" s="63"/>
      <c r="EU15" s="63"/>
      <c r="EV15" s="63"/>
      <c r="EW15" s="63"/>
      <c r="EX15" s="63"/>
      <c r="EY15" s="63"/>
      <c r="EZ15" s="63"/>
      <c r="FA15" s="63"/>
      <c r="FB15" s="63"/>
      <c r="FC15" s="63"/>
      <c r="FD15" s="63"/>
      <c r="FE15" s="63"/>
      <c r="FF15" s="63"/>
    </row>
    <row r="16" spans="1:162" s="116" customFormat="1" ht="30" customHeight="1" x14ac:dyDescent="0.25">
      <c r="A16" s="27" t="s">
        <v>56</v>
      </c>
      <c r="B16" s="22" t="s">
        <v>170</v>
      </c>
      <c r="C16" s="23" t="s">
        <v>344</v>
      </c>
      <c r="D16" s="22" t="s">
        <v>511</v>
      </c>
      <c r="E16" s="23" t="s">
        <v>102</v>
      </c>
      <c r="F16" s="23">
        <v>1994</v>
      </c>
      <c r="G16" s="23" t="s">
        <v>512</v>
      </c>
      <c r="H16" s="23" t="s">
        <v>311</v>
      </c>
      <c r="I16" s="24" t="s">
        <v>513</v>
      </c>
      <c r="J16" s="19" t="s">
        <v>171</v>
      </c>
      <c r="K16" s="24" t="s">
        <v>514</v>
      </c>
      <c r="L16" s="24" t="s">
        <v>515</v>
      </c>
      <c r="M16" s="24" t="s">
        <v>516</v>
      </c>
      <c r="N16" s="20" t="s">
        <v>301</v>
      </c>
      <c r="O16" s="23" t="s">
        <v>215</v>
      </c>
      <c r="P16" s="23" t="s">
        <v>517</v>
      </c>
      <c r="Q16" s="24"/>
      <c r="R16" s="23"/>
      <c r="S16" s="23"/>
      <c r="T16" s="23"/>
      <c r="U16" s="23"/>
      <c r="V16" s="126" t="s">
        <v>218</v>
      </c>
      <c r="W16" s="111" t="s">
        <v>247</v>
      </c>
      <c r="X16" s="111" t="s">
        <v>219</v>
      </c>
      <c r="Y16" s="23"/>
      <c r="Z16" s="23" t="s">
        <v>220</v>
      </c>
      <c r="AA16" s="23"/>
      <c r="AB16" s="23">
        <v>0.5</v>
      </c>
      <c r="AC16" s="23">
        <v>80</v>
      </c>
      <c r="AD16" s="23"/>
      <c r="AE16" s="23"/>
      <c r="AF16" s="23">
        <f>32+26</f>
        <v>58</v>
      </c>
      <c r="AG16" s="23" t="s">
        <v>970</v>
      </c>
      <c r="AH16" s="23" t="s">
        <v>1066</v>
      </c>
      <c r="AI16" s="23" t="s">
        <v>1033</v>
      </c>
      <c r="AJ16" s="23" t="s">
        <v>1040</v>
      </c>
      <c r="AK16" s="23" t="s">
        <v>970</v>
      </c>
      <c r="AL16" s="23"/>
      <c r="AM16" s="116">
        <v>49</v>
      </c>
      <c r="AN16" s="116" t="s">
        <v>1503</v>
      </c>
      <c r="AO16" s="116" t="s">
        <v>1504</v>
      </c>
      <c r="AP16" s="63" t="s">
        <v>1451</v>
      </c>
      <c r="AQ16" s="63"/>
      <c r="AR16" s="63"/>
      <c r="AS16" s="63"/>
      <c r="AT16" s="63"/>
      <c r="AU16" s="63"/>
      <c r="AV16" s="63"/>
      <c r="AW16" s="63"/>
      <c r="AX16" s="63"/>
      <c r="AY16" s="63"/>
      <c r="AZ16" s="63"/>
      <c r="BA16" s="63"/>
      <c r="BB16" s="63"/>
      <c r="BC16" s="63"/>
      <c r="BD16" s="63"/>
      <c r="BE16" s="63"/>
      <c r="BF16" s="63"/>
      <c r="BG16" s="63"/>
      <c r="BH16" s="63"/>
      <c r="BI16" s="63"/>
      <c r="BJ16" s="63"/>
      <c r="BK16" s="63"/>
      <c r="BL16" s="63"/>
      <c r="BM16" s="63"/>
      <c r="BN16" s="63"/>
      <c r="BO16" s="63"/>
      <c r="BP16" s="63"/>
      <c r="BQ16" s="63"/>
      <c r="BR16" s="63"/>
      <c r="BS16" s="63"/>
      <c r="BT16" s="63"/>
      <c r="BU16" s="63"/>
      <c r="BV16" s="63"/>
      <c r="BW16" s="63"/>
      <c r="BX16" s="63"/>
      <c r="BY16" s="63"/>
      <c r="BZ16" s="63"/>
      <c r="CA16" s="63"/>
      <c r="CB16" s="63"/>
      <c r="CC16" s="63"/>
      <c r="CD16" s="63"/>
      <c r="CE16" s="63"/>
      <c r="CF16" s="63"/>
      <c r="CG16" s="63"/>
      <c r="CH16" s="63"/>
      <c r="CI16" s="63"/>
      <c r="CJ16" s="63"/>
      <c r="CK16" s="63"/>
      <c r="CL16" s="63"/>
      <c r="CM16" s="63"/>
      <c r="CN16" s="63"/>
      <c r="CO16" s="63"/>
      <c r="CP16" s="63"/>
      <c r="CQ16" s="63"/>
      <c r="CR16" s="63"/>
      <c r="CS16" s="63"/>
      <c r="CT16" s="63"/>
      <c r="CU16" s="63"/>
      <c r="CV16" s="63"/>
      <c r="CW16" s="63"/>
      <c r="CX16" s="63"/>
      <c r="CY16" s="63"/>
      <c r="CZ16" s="63"/>
      <c r="DA16" s="63"/>
      <c r="DB16" s="63"/>
      <c r="DC16" s="63"/>
      <c r="DD16" s="63"/>
      <c r="DE16" s="63"/>
      <c r="DF16" s="63"/>
      <c r="DG16" s="63"/>
      <c r="DH16" s="63"/>
      <c r="DI16" s="63"/>
      <c r="DJ16" s="63"/>
      <c r="DK16" s="63"/>
      <c r="DL16" s="63"/>
      <c r="DM16" s="63"/>
      <c r="DN16" s="63"/>
      <c r="DO16" s="63"/>
      <c r="DP16" s="63"/>
      <c r="DQ16" s="63"/>
      <c r="DR16" s="63"/>
      <c r="DS16" s="63"/>
      <c r="DT16" s="63"/>
      <c r="DU16" s="63"/>
      <c r="DV16" s="63"/>
      <c r="DW16" s="63"/>
      <c r="DX16" s="63"/>
      <c r="DY16" s="63"/>
      <c r="DZ16" s="63"/>
      <c r="EA16" s="63"/>
      <c r="EB16" s="63"/>
      <c r="EC16" s="63"/>
      <c r="ED16" s="63"/>
      <c r="EE16" s="63"/>
      <c r="EF16" s="63"/>
      <c r="EG16" s="63"/>
      <c r="EH16" s="63"/>
      <c r="EI16" s="63"/>
      <c r="EJ16" s="63"/>
      <c r="EK16" s="63"/>
      <c r="EL16" s="63"/>
      <c r="EM16" s="63"/>
      <c r="EN16" s="63"/>
      <c r="EO16" s="63"/>
      <c r="EP16" s="63"/>
      <c r="EQ16" s="63"/>
      <c r="ER16" s="63"/>
      <c r="ES16" s="63"/>
      <c r="ET16" s="63"/>
      <c r="EU16" s="63"/>
      <c r="EV16" s="63"/>
      <c r="EW16" s="63"/>
      <c r="EX16" s="63"/>
      <c r="EY16" s="63"/>
      <c r="EZ16" s="63"/>
      <c r="FA16" s="63"/>
      <c r="FB16" s="63"/>
      <c r="FC16" s="63"/>
      <c r="FD16" s="63"/>
      <c r="FE16" s="63"/>
      <c r="FF16" s="63"/>
    </row>
    <row r="17" spans="1:162" s="116" customFormat="1" ht="30" customHeight="1" x14ac:dyDescent="0.25">
      <c r="A17" s="116" t="s">
        <v>44</v>
      </c>
      <c r="B17" s="116" t="s">
        <v>74</v>
      </c>
      <c r="C17" s="116" t="s">
        <v>221</v>
      </c>
      <c r="D17" s="116" t="s">
        <v>74</v>
      </c>
      <c r="E17" s="117" t="s">
        <v>67</v>
      </c>
      <c r="F17" s="116">
        <v>2009</v>
      </c>
      <c r="G17" s="117" t="s">
        <v>222</v>
      </c>
      <c r="H17" s="117" t="s">
        <v>223</v>
      </c>
      <c r="I17" s="117" t="s">
        <v>224</v>
      </c>
      <c r="J17" s="117" t="s">
        <v>225</v>
      </c>
      <c r="K17" s="117" t="s">
        <v>226</v>
      </c>
      <c r="L17" s="117" t="s">
        <v>227</v>
      </c>
      <c r="M17" s="117" t="s">
        <v>228</v>
      </c>
      <c r="N17" s="20" t="s">
        <v>301</v>
      </c>
      <c r="O17" s="116" t="s">
        <v>215</v>
      </c>
      <c r="S17" s="117" t="s">
        <v>229</v>
      </c>
      <c r="V17" s="111" t="s">
        <v>219</v>
      </c>
      <c r="W17" s="111" t="s">
        <v>219</v>
      </c>
      <c r="X17" s="111" t="s">
        <v>219</v>
      </c>
      <c r="Y17" s="116" t="s">
        <v>230</v>
      </c>
      <c r="Z17" s="56" t="s">
        <v>231</v>
      </c>
      <c r="AA17" s="56"/>
      <c r="AC17" s="116">
        <v>225</v>
      </c>
      <c r="AD17" s="116">
        <v>2</v>
      </c>
      <c r="AE17" s="116">
        <v>240</v>
      </c>
      <c r="AF17" s="116">
        <v>8</v>
      </c>
      <c r="AG17" s="116" t="s">
        <v>971</v>
      </c>
      <c r="AH17" s="117" t="s">
        <v>1017</v>
      </c>
      <c r="AI17" s="116" t="s">
        <v>1044</v>
      </c>
      <c r="AK17" s="116" t="s">
        <v>971</v>
      </c>
      <c r="AL17" s="116" t="s">
        <v>1383</v>
      </c>
      <c r="AM17" s="116">
        <v>2</v>
      </c>
      <c r="AN17" s="137" t="s">
        <v>1406</v>
      </c>
      <c r="AO17" s="24" t="s">
        <v>1405</v>
      </c>
      <c r="AP17" s="116" t="s">
        <v>1451</v>
      </c>
      <c r="AQ17" s="63"/>
      <c r="AR17" s="63"/>
      <c r="AS17" s="63"/>
      <c r="AT17" s="63"/>
      <c r="AU17" s="63"/>
      <c r="AV17" s="63"/>
      <c r="AW17" s="63"/>
      <c r="AX17" s="63"/>
      <c r="AY17" s="63"/>
      <c r="AZ17" s="63"/>
      <c r="BA17" s="63"/>
      <c r="BB17" s="63"/>
      <c r="BC17" s="63"/>
      <c r="BD17" s="63"/>
      <c r="BE17" s="63"/>
      <c r="BF17" s="63"/>
      <c r="BG17" s="63"/>
      <c r="BH17" s="63"/>
      <c r="BI17" s="63"/>
      <c r="BJ17" s="63"/>
      <c r="BK17" s="63"/>
      <c r="BL17" s="63"/>
      <c r="BM17" s="63"/>
      <c r="BN17" s="63"/>
      <c r="BO17" s="63"/>
      <c r="BP17" s="63"/>
      <c r="BQ17" s="63"/>
      <c r="BR17" s="63"/>
      <c r="BS17" s="63"/>
      <c r="BT17" s="63"/>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3"/>
      <c r="CV17" s="63"/>
      <c r="CW17" s="63"/>
      <c r="CX17" s="63"/>
      <c r="CY17" s="63"/>
      <c r="CZ17" s="63"/>
      <c r="DA17" s="63"/>
      <c r="DB17" s="63"/>
      <c r="DC17" s="63"/>
      <c r="DD17" s="63"/>
      <c r="DE17" s="63"/>
      <c r="DF17" s="63"/>
      <c r="DG17" s="63"/>
      <c r="DH17" s="63"/>
      <c r="DI17" s="63"/>
      <c r="DJ17" s="63"/>
      <c r="DK17" s="63"/>
      <c r="DL17" s="63"/>
      <c r="DM17" s="63"/>
      <c r="DN17" s="63"/>
      <c r="DO17" s="63"/>
      <c r="DP17" s="63"/>
      <c r="DQ17" s="63"/>
      <c r="DR17" s="63"/>
      <c r="DS17" s="63"/>
      <c r="DT17" s="63"/>
      <c r="DU17" s="63"/>
      <c r="DV17" s="63"/>
      <c r="DW17" s="63"/>
      <c r="DX17" s="63"/>
      <c r="DY17" s="63"/>
      <c r="DZ17" s="63"/>
      <c r="EA17" s="63"/>
      <c r="EB17" s="63"/>
      <c r="EC17" s="63"/>
      <c r="ED17" s="63"/>
      <c r="EE17" s="63"/>
      <c r="EF17" s="63"/>
      <c r="EG17" s="63"/>
      <c r="EH17" s="63"/>
      <c r="EI17" s="63"/>
      <c r="EJ17" s="63"/>
      <c r="EK17" s="63"/>
      <c r="EL17" s="63"/>
      <c r="EM17" s="63"/>
      <c r="EN17" s="63"/>
      <c r="EO17" s="63"/>
      <c r="EP17" s="63"/>
      <c r="EQ17" s="63"/>
      <c r="ER17" s="63"/>
      <c r="ES17" s="63"/>
      <c r="ET17" s="63"/>
      <c r="EU17" s="63"/>
      <c r="EV17" s="63"/>
      <c r="EW17" s="63"/>
      <c r="EX17" s="63"/>
      <c r="EY17" s="63"/>
      <c r="EZ17" s="63"/>
      <c r="FA17" s="63"/>
      <c r="FB17" s="63"/>
      <c r="FC17" s="63"/>
      <c r="FD17" s="63"/>
      <c r="FE17" s="63"/>
      <c r="FF17" s="63"/>
    </row>
    <row r="18" spans="1:162" s="40" customFormat="1" ht="30" customHeight="1" x14ac:dyDescent="0.25">
      <c r="A18" s="40" t="s">
        <v>44</v>
      </c>
      <c r="B18" s="40" t="s">
        <v>74</v>
      </c>
      <c r="C18" s="40" t="s">
        <v>221</v>
      </c>
      <c r="D18" s="40" t="s">
        <v>75</v>
      </c>
      <c r="E18" s="41" t="s">
        <v>67</v>
      </c>
      <c r="F18" s="40">
        <v>2009</v>
      </c>
      <c r="G18" s="41" t="s">
        <v>222</v>
      </c>
      <c r="H18" s="41" t="s">
        <v>223</v>
      </c>
      <c r="I18" s="40" t="s">
        <v>232</v>
      </c>
      <c r="J18" s="41" t="s">
        <v>225</v>
      </c>
      <c r="K18" s="41" t="s">
        <v>233</v>
      </c>
      <c r="L18" s="41" t="s">
        <v>227</v>
      </c>
      <c r="M18" s="41" t="s">
        <v>234</v>
      </c>
      <c r="N18" s="42" t="s">
        <v>301</v>
      </c>
      <c r="O18" s="40" t="s">
        <v>215</v>
      </c>
      <c r="S18" s="41" t="s">
        <v>235</v>
      </c>
      <c r="V18" s="128" t="s">
        <v>219</v>
      </c>
      <c r="W18" s="128" t="s">
        <v>219</v>
      </c>
      <c r="X18" s="128" t="s">
        <v>219</v>
      </c>
      <c r="Y18" s="40" t="s">
        <v>230</v>
      </c>
      <c r="Z18" s="42" t="s">
        <v>231</v>
      </c>
      <c r="AA18" s="42"/>
      <c r="AC18" s="40">
        <v>225</v>
      </c>
      <c r="AD18" s="40">
        <v>2</v>
      </c>
      <c r="AE18" s="40">
        <v>240</v>
      </c>
      <c r="AF18" s="40">
        <v>8</v>
      </c>
      <c r="AG18" s="40" t="s">
        <v>971</v>
      </c>
      <c r="AH18" s="40" t="s">
        <v>1018</v>
      </c>
      <c r="AI18" s="40" t="s">
        <v>1033</v>
      </c>
      <c r="AJ18" s="40" t="s">
        <v>1040</v>
      </c>
      <c r="AK18" s="40" t="s">
        <v>971</v>
      </c>
      <c r="AL18" s="40" t="s">
        <v>1383</v>
      </c>
      <c r="AM18" s="40">
        <v>3</v>
      </c>
      <c r="AN18" s="128" t="s">
        <v>1406</v>
      </c>
      <c r="AO18" s="41" t="s">
        <v>1407</v>
      </c>
      <c r="AP18" s="40" t="s">
        <v>1451</v>
      </c>
      <c r="AQ18" s="128"/>
      <c r="AR18" s="128"/>
      <c r="AS18" s="128"/>
      <c r="AT18" s="128"/>
      <c r="AU18" s="128"/>
      <c r="AV18" s="128"/>
      <c r="AW18" s="128"/>
      <c r="AX18" s="128"/>
      <c r="AY18" s="128"/>
      <c r="AZ18" s="128"/>
      <c r="BA18" s="128"/>
      <c r="BB18" s="128"/>
      <c r="BC18" s="128"/>
      <c r="BD18" s="128"/>
      <c r="BE18" s="128"/>
      <c r="BF18" s="128"/>
      <c r="BG18" s="128"/>
      <c r="BH18" s="128"/>
      <c r="BI18" s="128"/>
      <c r="BJ18" s="128"/>
      <c r="BK18" s="128"/>
      <c r="BL18" s="128"/>
      <c r="BM18" s="128"/>
      <c r="BN18" s="128"/>
      <c r="BO18" s="128"/>
      <c r="BP18" s="128"/>
      <c r="BQ18" s="128"/>
      <c r="BR18" s="128"/>
      <c r="BS18" s="128"/>
      <c r="BT18" s="128"/>
      <c r="BU18" s="128"/>
      <c r="BV18" s="128"/>
      <c r="BW18" s="128"/>
      <c r="BX18" s="128"/>
      <c r="BY18" s="128"/>
      <c r="BZ18" s="128"/>
      <c r="CA18" s="128"/>
      <c r="CB18" s="128"/>
      <c r="CC18" s="128"/>
      <c r="CD18" s="128"/>
      <c r="CE18" s="128"/>
      <c r="CF18" s="128"/>
      <c r="CG18" s="128"/>
      <c r="CH18" s="128"/>
      <c r="CI18" s="128"/>
      <c r="CJ18" s="128"/>
      <c r="CK18" s="128"/>
      <c r="CL18" s="128"/>
      <c r="CM18" s="128"/>
      <c r="CN18" s="128"/>
      <c r="CO18" s="128"/>
      <c r="CP18" s="128"/>
      <c r="CQ18" s="128"/>
      <c r="CR18" s="128"/>
      <c r="CS18" s="128"/>
      <c r="CT18" s="128"/>
      <c r="CU18" s="128"/>
      <c r="CV18" s="128"/>
      <c r="CW18" s="128"/>
      <c r="CX18" s="128"/>
      <c r="CY18" s="128"/>
      <c r="CZ18" s="128"/>
      <c r="DA18" s="128"/>
      <c r="DB18" s="128"/>
      <c r="DC18" s="128"/>
      <c r="DD18" s="128"/>
      <c r="DE18" s="128"/>
      <c r="DF18" s="128"/>
      <c r="DG18" s="128"/>
      <c r="DH18" s="128"/>
      <c r="DI18" s="128"/>
      <c r="DJ18" s="128"/>
      <c r="DK18" s="128"/>
      <c r="DL18" s="128"/>
      <c r="DM18" s="128"/>
      <c r="DN18" s="128"/>
      <c r="DO18" s="128"/>
      <c r="DP18" s="128"/>
      <c r="DQ18" s="128"/>
      <c r="DR18" s="128"/>
      <c r="DS18" s="128"/>
      <c r="DT18" s="128"/>
      <c r="DU18" s="128"/>
      <c r="DV18" s="128"/>
      <c r="DW18" s="128"/>
      <c r="DX18" s="128"/>
      <c r="DY18" s="128"/>
      <c r="DZ18" s="128"/>
      <c r="EA18" s="128"/>
      <c r="EB18" s="128"/>
      <c r="EC18" s="128"/>
      <c r="ED18" s="128"/>
      <c r="EE18" s="128"/>
      <c r="EF18" s="128"/>
      <c r="EG18" s="128"/>
      <c r="EH18" s="128"/>
      <c r="EI18" s="128"/>
      <c r="EJ18" s="128"/>
      <c r="EK18" s="128"/>
      <c r="EL18" s="128"/>
      <c r="EM18" s="128"/>
      <c r="EN18" s="128"/>
      <c r="EO18" s="128"/>
      <c r="EP18" s="128"/>
      <c r="EQ18" s="128"/>
      <c r="ER18" s="128"/>
      <c r="ES18" s="128"/>
      <c r="ET18" s="128"/>
      <c r="EU18" s="128"/>
      <c r="EV18" s="128"/>
      <c r="EW18" s="128"/>
      <c r="EX18" s="128"/>
      <c r="EY18" s="128"/>
      <c r="EZ18" s="128"/>
      <c r="FA18" s="128"/>
      <c r="FB18" s="128"/>
      <c r="FC18" s="128"/>
      <c r="FD18" s="128"/>
      <c r="FE18" s="128"/>
      <c r="FF18" s="128"/>
    </row>
    <row r="19" spans="1:162" s="40" customFormat="1" ht="30" customHeight="1" x14ac:dyDescent="0.25">
      <c r="A19" s="43" t="s">
        <v>53</v>
      </c>
      <c r="B19" s="43" t="s">
        <v>65</v>
      </c>
      <c r="C19" s="40" t="s">
        <v>207</v>
      </c>
      <c r="D19" s="40" t="s">
        <v>454</v>
      </c>
      <c r="E19" s="41" t="s">
        <v>67</v>
      </c>
      <c r="F19" s="40">
        <v>2008</v>
      </c>
      <c r="G19" s="41" t="s">
        <v>455</v>
      </c>
      <c r="H19" s="41" t="s">
        <v>456</v>
      </c>
      <c r="I19" s="41" t="s">
        <v>457</v>
      </c>
      <c r="J19" s="41" t="s">
        <v>225</v>
      </c>
      <c r="K19" s="41" t="s">
        <v>458</v>
      </c>
      <c r="L19" s="41" t="s">
        <v>459</v>
      </c>
      <c r="M19" s="41" t="s">
        <v>460</v>
      </c>
      <c r="N19" s="42" t="s">
        <v>301</v>
      </c>
      <c r="O19" s="40" t="s">
        <v>215</v>
      </c>
      <c r="P19" s="41" t="s">
        <v>461</v>
      </c>
      <c r="Q19" s="43" t="s">
        <v>66</v>
      </c>
      <c r="V19" s="129" t="s">
        <v>219</v>
      </c>
      <c r="W19" s="128" t="s">
        <v>219</v>
      </c>
      <c r="X19" s="128" t="s">
        <v>219</v>
      </c>
      <c r="Y19" s="40" t="s">
        <v>230</v>
      </c>
      <c r="Z19" s="42" t="s">
        <v>231</v>
      </c>
      <c r="AA19" s="42"/>
      <c r="AC19" s="40">
        <v>225</v>
      </c>
      <c r="AD19" s="40">
        <v>3</v>
      </c>
      <c r="AF19" s="40">
        <v>111</v>
      </c>
      <c r="AG19" s="40" t="s">
        <v>971</v>
      </c>
      <c r="AH19" s="41" t="s">
        <v>1056</v>
      </c>
      <c r="AI19" s="40" t="s">
        <v>1033</v>
      </c>
      <c r="AJ19" s="40" t="s">
        <v>1040</v>
      </c>
      <c r="AK19" s="40" t="s">
        <v>971</v>
      </c>
      <c r="AL19" s="40" t="s">
        <v>1383</v>
      </c>
      <c r="AM19" s="40">
        <v>37</v>
      </c>
      <c r="AN19" s="41" t="s">
        <v>1408</v>
      </c>
      <c r="AO19" s="40" t="s">
        <v>1409</v>
      </c>
      <c r="AP19" s="128" t="s">
        <v>1451</v>
      </c>
      <c r="AQ19" s="128"/>
      <c r="AR19" s="128"/>
      <c r="AS19" s="128"/>
      <c r="AT19" s="128"/>
      <c r="AU19" s="128"/>
      <c r="AV19" s="128"/>
      <c r="AW19" s="128"/>
      <c r="AX19" s="128"/>
      <c r="AY19" s="128"/>
      <c r="AZ19" s="128"/>
      <c r="BA19" s="128"/>
      <c r="BB19" s="128"/>
      <c r="BC19" s="128"/>
      <c r="BD19" s="128"/>
      <c r="BE19" s="128"/>
      <c r="BF19" s="128"/>
      <c r="BG19" s="128"/>
      <c r="BH19" s="128"/>
      <c r="BI19" s="128"/>
      <c r="BJ19" s="128"/>
      <c r="BK19" s="128"/>
      <c r="BL19" s="128"/>
      <c r="BM19" s="128"/>
      <c r="BN19" s="128"/>
      <c r="BO19" s="128"/>
      <c r="BP19" s="128"/>
      <c r="BQ19" s="128"/>
      <c r="BR19" s="128"/>
      <c r="BS19" s="128"/>
      <c r="BT19" s="128"/>
      <c r="BU19" s="128"/>
      <c r="BV19" s="128"/>
      <c r="BW19" s="128"/>
      <c r="BX19" s="128"/>
      <c r="BY19" s="128"/>
      <c r="BZ19" s="128"/>
      <c r="CA19" s="128"/>
      <c r="CB19" s="128"/>
      <c r="CC19" s="128"/>
      <c r="CD19" s="128"/>
      <c r="CE19" s="128"/>
      <c r="CF19" s="128"/>
      <c r="CG19" s="128"/>
      <c r="CH19" s="128"/>
      <c r="CI19" s="128"/>
      <c r="CJ19" s="128"/>
      <c r="CK19" s="128"/>
      <c r="CL19" s="128"/>
      <c r="CM19" s="128"/>
      <c r="CN19" s="128"/>
      <c r="CO19" s="128"/>
      <c r="CP19" s="128"/>
      <c r="CQ19" s="128"/>
      <c r="CR19" s="128"/>
      <c r="CS19" s="128"/>
      <c r="CT19" s="128"/>
      <c r="CU19" s="128"/>
      <c r="CV19" s="128"/>
      <c r="CW19" s="128"/>
      <c r="CX19" s="128"/>
      <c r="CY19" s="128"/>
      <c r="CZ19" s="128"/>
      <c r="DA19" s="128"/>
      <c r="DB19" s="128"/>
      <c r="DC19" s="128"/>
      <c r="DD19" s="128"/>
      <c r="DE19" s="128"/>
      <c r="DF19" s="128"/>
      <c r="DG19" s="128"/>
      <c r="DH19" s="128"/>
      <c r="DI19" s="128"/>
      <c r="DJ19" s="128"/>
      <c r="DK19" s="128"/>
      <c r="DL19" s="128"/>
      <c r="DM19" s="128"/>
      <c r="DN19" s="128"/>
      <c r="DO19" s="128"/>
      <c r="DP19" s="128"/>
      <c r="DQ19" s="128"/>
      <c r="DR19" s="128"/>
      <c r="DS19" s="128"/>
      <c r="DT19" s="128"/>
      <c r="DU19" s="128"/>
      <c r="DV19" s="128"/>
      <c r="DW19" s="128"/>
      <c r="DX19" s="128"/>
      <c r="DY19" s="128"/>
      <c r="DZ19" s="128"/>
      <c r="EA19" s="128"/>
      <c r="EB19" s="128"/>
      <c r="EC19" s="128"/>
      <c r="ED19" s="128"/>
      <c r="EE19" s="128"/>
      <c r="EF19" s="128"/>
      <c r="EG19" s="128"/>
      <c r="EH19" s="128"/>
      <c r="EI19" s="128"/>
      <c r="EJ19" s="128"/>
      <c r="EK19" s="128"/>
      <c r="EL19" s="128"/>
      <c r="EM19" s="128"/>
      <c r="EN19" s="128"/>
      <c r="EO19" s="128"/>
      <c r="EP19" s="128"/>
      <c r="EQ19" s="128"/>
      <c r="ER19" s="128"/>
      <c r="ES19" s="128"/>
      <c r="ET19" s="128"/>
      <c r="EU19" s="128"/>
      <c r="EV19" s="128"/>
      <c r="EW19" s="128"/>
      <c r="EX19" s="128"/>
      <c r="EY19" s="128"/>
      <c r="EZ19" s="128"/>
      <c r="FA19" s="128"/>
      <c r="FB19" s="128"/>
      <c r="FC19" s="128"/>
      <c r="FD19" s="128"/>
      <c r="FE19" s="128"/>
      <c r="FF19" s="128"/>
    </row>
    <row r="20" spans="1:162" s="40" customFormat="1" ht="30" customHeight="1" x14ac:dyDescent="0.25">
      <c r="A20" s="43"/>
      <c r="B20" s="44" t="s">
        <v>66</v>
      </c>
      <c r="C20" s="40" t="s">
        <v>207</v>
      </c>
      <c r="D20" s="40" t="s">
        <v>454</v>
      </c>
      <c r="E20" s="41" t="s">
        <v>67</v>
      </c>
      <c r="F20" s="40">
        <v>2008</v>
      </c>
      <c r="G20" s="41" t="s">
        <v>455</v>
      </c>
      <c r="H20" s="40" t="s">
        <v>462</v>
      </c>
      <c r="I20" s="41" t="s">
        <v>457</v>
      </c>
      <c r="J20" s="41" t="s">
        <v>225</v>
      </c>
      <c r="K20" s="41" t="s">
        <v>458</v>
      </c>
      <c r="L20" s="41" t="s">
        <v>459</v>
      </c>
      <c r="M20" s="41" t="s">
        <v>460</v>
      </c>
      <c r="N20" s="42" t="s">
        <v>301</v>
      </c>
      <c r="O20" s="40" t="s">
        <v>215</v>
      </c>
      <c r="P20" s="41"/>
      <c r="Q20" s="43"/>
      <c r="V20" s="129" t="s">
        <v>219</v>
      </c>
      <c r="W20" s="128" t="s">
        <v>219</v>
      </c>
      <c r="X20" s="128" t="s">
        <v>219</v>
      </c>
      <c r="Y20" s="40" t="s">
        <v>230</v>
      </c>
      <c r="Z20" s="42" t="s">
        <v>231</v>
      </c>
      <c r="AA20" s="42"/>
      <c r="AC20" s="40">
        <v>225</v>
      </c>
      <c r="AD20" s="40">
        <v>3</v>
      </c>
      <c r="AF20" s="40">
        <v>51</v>
      </c>
      <c r="AG20" s="40" t="s">
        <v>971</v>
      </c>
      <c r="AH20" s="41" t="s">
        <v>1056</v>
      </c>
      <c r="AI20" s="40" t="s">
        <v>1033</v>
      </c>
      <c r="AJ20" s="40" t="s">
        <v>1040</v>
      </c>
      <c r="AK20" s="40" t="s">
        <v>971</v>
      </c>
      <c r="AL20" s="40" t="s">
        <v>1383</v>
      </c>
      <c r="AM20" s="40">
        <v>38</v>
      </c>
      <c r="AN20" s="41" t="s">
        <v>1408</v>
      </c>
      <c r="AO20" s="40" t="s">
        <v>1409</v>
      </c>
      <c r="AP20" s="128" t="s">
        <v>1451</v>
      </c>
      <c r="AQ20" s="128"/>
      <c r="AR20" s="128"/>
      <c r="AS20" s="128"/>
      <c r="AT20" s="128"/>
      <c r="AU20" s="128"/>
      <c r="AV20" s="128"/>
      <c r="AW20" s="128"/>
      <c r="AX20" s="128"/>
      <c r="AY20" s="128"/>
      <c r="AZ20" s="128"/>
      <c r="BA20" s="128"/>
      <c r="BB20" s="128"/>
      <c r="BC20" s="128"/>
      <c r="BD20" s="128"/>
      <c r="BE20" s="128"/>
      <c r="BF20" s="128"/>
      <c r="BG20" s="128"/>
      <c r="BH20" s="128"/>
      <c r="BI20" s="128"/>
      <c r="BJ20" s="128"/>
      <c r="BK20" s="128"/>
      <c r="BL20" s="128"/>
      <c r="BM20" s="128"/>
      <c r="BN20" s="128"/>
      <c r="BO20" s="128"/>
      <c r="BP20" s="128"/>
      <c r="BQ20" s="128"/>
      <c r="BR20" s="128"/>
      <c r="BS20" s="128"/>
      <c r="BT20" s="128"/>
      <c r="BU20" s="128"/>
      <c r="BV20" s="128"/>
      <c r="BW20" s="128"/>
      <c r="BX20" s="128"/>
      <c r="BY20" s="128"/>
      <c r="BZ20" s="128"/>
      <c r="CA20" s="128"/>
      <c r="CB20" s="128"/>
      <c r="CC20" s="128"/>
      <c r="CD20" s="128"/>
      <c r="CE20" s="128"/>
      <c r="CF20" s="128"/>
      <c r="CG20" s="128"/>
      <c r="CH20" s="128"/>
      <c r="CI20" s="128"/>
      <c r="CJ20" s="128"/>
      <c r="CK20" s="128"/>
      <c r="CL20" s="128"/>
      <c r="CM20" s="128"/>
      <c r="CN20" s="128"/>
      <c r="CO20" s="128"/>
      <c r="CP20" s="128"/>
      <c r="CQ20" s="128"/>
      <c r="CR20" s="128"/>
      <c r="CS20" s="128"/>
      <c r="CT20" s="128"/>
      <c r="CU20" s="128"/>
      <c r="CV20" s="128"/>
      <c r="CW20" s="128"/>
      <c r="CX20" s="128"/>
      <c r="CY20" s="128"/>
      <c r="CZ20" s="128"/>
      <c r="DA20" s="128"/>
      <c r="DB20" s="128"/>
      <c r="DC20" s="128"/>
      <c r="DD20" s="128"/>
      <c r="DE20" s="128"/>
      <c r="DF20" s="128"/>
      <c r="DG20" s="128"/>
      <c r="DH20" s="128"/>
      <c r="DI20" s="128"/>
      <c r="DJ20" s="128"/>
      <c r="DK20" s="128"/>
      <c r="DL20" s="128"/>
      <c r="DM20" s="128"/>
      <c r="DN20" s="128"/>
      <c r="DO20" s="128"/>
      <c r="DP20" s="128"/>
      <c r="DQ20" s="128"/>
      <c r="DR20" s="128"/>
      <c r="DS20" s="128"/>
      <c r="DT20" s="128"/>
      <c r="DU20" s="128"/>
      <c r="DV20" s="128"/>
      <c r="DW20" s="128"/>
      <c r="DX20" s="128"/>
      <c r="DY20" s="128"/>
      <c r="DZ20" s="128"/>
      <c r="EA20" s="128"/>
      <c r="EB20" s="128"/>
      <c r="EC20" s="128"/>
      <c r="ED20" s="128"/>
      <c r="EE20" s="128"/>
      <c r="EF20" s="128"/>
      <c r="EG20" s="128"/>
      <c r="EH20" s="128"/>
      <c r="EI20" s="128"/>
      <c r="EJ20" s="128"/>
      <c r="EK20" s="128"/>
      <c r="EL20" s="128"/>
      <c r="EM20" s="128"/>
      <c r="EN20" s="128"/>
      <c r="EO20" s="128"/>
      <c r="EP20" s="128"/>
      <c r="EQ20" s="128"/>
      <c r="ER20" s="128"/>
      <c r="ES20" s="128"/>
      <c r="ET20" s="128"/>
      <c r="EU20" s="128"/>
      <c r="EV20" s="128"/>
      <c r="EW20" s="128"/>
      <c r="EX20" s="128"/>
      <c r="EY20" s="128"/>
      <c r="EZ20" s="128"/>
      <c r="FA20" s="128"/>
      <c r="FB20" s="128"/>
      <c r="FC20" s="128"/>
      <c r="FD20" s="128"/>
      <c r="FE20" s="128"/>
      <c r="FF20" s="128"/>
    </row>
    <row r="21" spans="1:162" s="116" customFormat="1" ht="30" customHeight="1" x14ac:dyDescent="0.25">
      <c r="B21" s="118" t="s">
        <v>93</v>
      </c>
      <c r="C21" s="116" t="s">
        <v>207</v>
      </c>
      <c r="D21" s="118" t="s">
        <v>661</v>
      </c>
      <c r="E21" s="116" t="s">
        <v>88</v>
      </c>
      <c r="F21" s="116">
        <v>2000</v>
      </c>
      <c r="G21" s="116" t="s">
        <v>317</v>
      </c>
      <c r="H21" s="116" t="s">
        <v>311</v>
      </c>
      <c r="I21" s="117" t="s">
        <v>318</v>
      </c>
      <c r="J21" s="121" t="s">
        <v>240</v>
      </c>
      <c r="K21" s="117" t="s">
        <v>319</v>
      </c>
      <c r="L21" s="117" t="s">
        <v>320</v>
      </c>
      <c r="M21" s="116" t="s">
        <v>321</v>
      </c>
      <c r="N21" s="20" t="s">
        <v>301</v>
      </c>
      <c r="O21" s="116" t="s">
        <v>315</v>
      </c>
      <c r="P21" s="117" t="s">
        <v>322</v>
      </c>
      <c r="V21" s="111" t="s">
        <v>352</v>
      </c>
      <c r="W21" s="111" t="s">
        <v>247</v>
      </c>
      <c r="X21" s="20" t="s">
        <v>1379</v>
      </c>
      <c r="Z21" s="56" t="s">
        <v>231</v>
      </c>
      <c r="AA21" s="56"/>
      <c r="AB21" s="116">
        <v>1</v>
      </c>
      <c r="AF21" s="116">
        <v>75</v>
      </c>
      <c r="AG21" s="116" t="s">
        <v>970</v>
      </c>
      <c r="AH21" s="116" t="s">
        <v>1027</v>
      </c>
      <c r="AI21" s="116" t="s">
        <v>1047</v>
      </c>
      <c r="AK21" s="116" t="s">
        <v>970</v>
      </c>
      <c r="AM21" s="116">
        <v>14</v>
      </c>
      <c r="AN21" s="137" t="s">
        <v>1410</v>
      </c>
      <c r="AO21" s="117" t="s">
        <v>1411</v>
      </c>
      <c r="AP21" s="116" t="s">
        <v>1451</v>
      </c>
      <c r="AQ21" s="63"/>
      <c r="AR21" s="63"/>
      <c r="AS21" s="63"/>
      <c r="AT21" s="63"/>
      <c r="AU21" s="63"/>
      <c r="AV21" s="63"/>
      <c r="AW21" s="63"/>
      <c r="AX21" s="63"/>
      <c r="AY21" s="63"/>
      <c r="AZ21" s="63"/>
      <c r="BA21" s="63"/>
      <c r="BB21" s="63"/>
      <c r="BC21" s="63"/>
      <c r="BD21" s="63"/>
      <c r="BE21" s="63"/>
      <c r="BF21" s="63"/>
      <c r="BG21" s="63"/>
      <c r="BH21" s="63"/>
      <c r="BI21" s="63"/>
      <c r="BJ21" s="63"/>
      <c r="BK21" s="63"/>
      <c r="BL21" s="63"/>
      <c r="BM21" s="63"/>
      <c r="BN21" s="63"/>
      <c r="BO21" s="63"/>
      <c r="BP21" s="63"/>
      <c r="BQ21" s="63"/>
      <c r="BR21" s="63"/>
      <c r="BS21" s="63"/>
      <c r="BT21" s="63"/>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3"/>
      <c r="CV21" s="63"/>
      <c r="CW21" s="63"/>
      <c r="CX21" s="63"/>
      <c r="CY21" s="63"/>
      <c r="CZ21" s="63"/>
      <c r="DA21" s="63"/>
      <c r="DB21" s="63"/>
      <c r="DC21" s="63"/>
      <c r="DD21" s="63"/>
      <c r="DE21" s="63"/>
      <c r="DF21" s="63"/>
      <c r="DG21" s="63"/>
      <c r="DH21" s="63"/>
      <c r="DI21" s="63"/>
      <c r="DJ21" s="63"/>
      <c r="DK21" s="63"/>
      <c r="DL21" s="63"/>
      <c r="DM21" s="63"/>
      <c r="DN21" s="63"/>
      <c r="DO21" s="63"/>
      <c r="DP21" s="63"/>
      <c r="DQ21" s="63"/>
      <c r="DR21" s="63"/>
      <c r="DS21" s="63"/>
      <c r="DT21" s="63"/>
      <c r="DU21" s="63"/>
      <c r="DV21" s="63"/>
      <c r="DW21" s="63"/>
      <c r="DX21" s="63"/>
      <c r="DY21" s="63"/>
      <c r="DZ21" s="63"/>
      <c r="EA21" s="63"/>
      <c r="EB21" s="63"/>
      <c r="EC21" s="63"/>
      <c r="ED21" s="63"/>
      <c r="EE21" s="63"/>
      <c r="EF21" s="63"/>
      <c r="EG21" s="63"/>
      <c r="EH21" s="63"/>
      <c r="EI21" s="63"/>
      <c r="EJ21" s="63"/>
      <c r="EK21" s="63"/>
      <c r="EL21" s="63"/>
      <c r="EM21" s="63"/>
      <c r="EN21" s="63"/>
      <c r="EO21" s="63"/>
      <c r="EP21" s="63"/>
      <c r="EQ21" s="63"/>
      <c r="ER21" s="63"/>
      <c r="ES21" s="63"/>
      <c r="ET21" s="63"/>
      <c r="EU21" s="63"/>
      <c r="EV21" s="63"/>
      <c r="EW21" s="63"/>
      <c r="EX21" s="63"/>
      <c r="EY21" s="63"/>
      <c r="EZ21" s="63"/>
      <c r="FA21" s="63"/>
      <c r="FB21" s="63"/>
      <c r="FC21" s="63"/>
      <c r="FD21" s="63"/>
      <c r="FE21" s="63"/>
      <c r="FF21" s="63"/>
    </row>
    <row r="22" spans="1:162" s="116" customFormat="1" ht="30" customHeight="1" x14ac:dyDescent="0.25">
      <c r="A22" s="118" t="s">
        <v>52</v>
      </c>
      <c r="B22" s="118" t="s">
        <v>93</v>
      </c>
      <c r="C22" s="116" t="s">
        <v>207</v>
      </c>
      <c r="D22" s="118" t="s">
        <v>316</v>
      </c>
      <c r="E22" s="116" t="s">
        <v>88</v>
      </c>
      <c r="F22" s="116">
        <v>2000</v>
      </c>
      <c r="G22" s="116" t="s">
        <v>317</v>
      </c>
      <c r="H22" s="116" t="s">
        <v>311</v>
      </c>
      <c r="I22" s="117" t="s">
        <v>318</v>
      </c>
      <c r="J22" s="121" t="s">
        <v>240</v>
      </c>
      <c r="K22" s="117" t="s">
        <v>319</v>
      </c>
      <c r="L22" s="117" t="s">
        <v>320</v>
      </c>
      <c r="M22" s="116" t="s">
        <v>321</v>
      </c>
      <c r="N22" s="20" t="s">
        <v>301</v>
      </c>
      <c r="O22" s="116" t="s">
        <v>315</v>
      </c>
      <c r="P22" s="117" t="s">
        <v>322</v>
      </c>
      <c r="V22" s="115" t="s">
        <v>218</v>
      </c>
      <c r="W22" s="111" t="s">
        <v>247</v>
      </c>
      <c r="X22" s="20" t="s">
        <v>1379</v>
      </c>
      <c r="Z22" s="56" t="s">
        <v>231</v>
      </c>
      <c r="AA22" s="56"/>
      <c r="AB22" s="116">
        <v>9</v>
      </c>
      <c r="AF22" s="116">
        <v>75</v>
      </c>
      <c r="AG22" s="116" t="s">
        <v>970</v>
      </c>
      <c r="AH22" s="116" t="s">
        <v>1027</v>
      </c>
      <c r="AI22" s="116" t="s">
        <v>1047</v>
      </c>
      <c r="AK22" s="116" t="s">
        <v>970</v>
      </c>
      <c r="AM22" s="116">
        <v>15</v>
      </c>
      <c r="AN22" s="137" t="s">
        <v>1410</v>
      </c>
      <c r="AO22" s="117" t="s">
        <v>1412</v>
      </c>
      <c r="AP22" s="116" t="s">
        <v>1451</v>
      </c>
      <c r="AQ22" s="63"/>
      <c r="AR22" s="63"/>
      <c r="AS22" s="63"/>
      <c r="AT22" s="63"/>
      <c r="AU22" s="63"/>
      <c r="AV22" s="63"/>
      <c r="AW22" s="63"/>
      <c r="AX22" s="63"/>
      <c r="AY22" s="63"/>
      <c r="AZ22" s="63"/>
      <c r="BA22" s="63"/>
      <c r="BB22" s="63"/>
      <c r="BC22" s="63"/>
      <c r="BD22" s="63"/>
      <c r="BE22" s="63"/>
      <c r="BF22" s="63"/>
      <c r="BG22" s="63"/>
      <c r="BH22" s="63"/>
      <c r="BI22" s="63"/>
      <c r="BJ22" s="63"/>
      <c r="BK22" s="63"/>
      <c r="BL22" s="63"/>
      <c r="BM22" s="63"/>
      <c r="BN22" s="63"/>
      <c r="BO22" s="63"/>
      <c r="BP22" s="63"/>
      <c r="BQ22" s="63"/>
      <c r="BR22" s="63"/>
      <c r="BS22" s="63"/>
      <c r="BT22" s="63"/>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3"/>
      <c r="CV22" s="63"/>
      <c r="CW22" s="63"/>
      <c r="CX22" s="63"/>
      <c r="CY22" s="63"/>
      <c r="CZ22" s="63"/>
      <c r="DA22" s="63"/>
      <c r="DB22" s="63"/>
      <c r="DC22" s="63"/>
      <c r="DD22" s="63"/>
      <c r="DE22" s="63"/>
      <c r="DF22" s="63"/>
      <c r="DG22" s="63"/>
      <c r="DH22" s="63"/>
      <c r="DI22" s="63"/>
      <c r="DJ22" s="63"/>
      <c r="DK22" s="63"/>
      <c r="DL22" s="63"/>
      <c r="DM22" s="63"/>
      <c r="DN22" s="63"/>
      <c r="DO22" s="63"/>
      <c r="DP22" s="63"/>
      <c r="DQ22" s="63"/>
      <c r="DR22" s="63"/>
      <c r="DS22" s="63"/>
      <c r="DT22" s="63"/>
      <c r="DU22" s="63"/>
      <c r="DV22" s="63"/>
      <c r="DW22" s="63"/>
      <c r="DX22" s="63"/>
      <c r="DY22" s="63"/>
      <c r="DZ22" s="63"/>
      <c r="EA22" s="63"/>
      <c r="EB22" s="63"/>
      <c r="EC22" s="63"/>
      <c r="ED22" s="63"/>
      <c r="EE22" s="63"/>
      <c r="EF22" s="63"/>
      <c r="EG22" s="63"/>
      <c r="EH22" s="63"/>
      <c r="EI22" s="63"/>
      <c r="EJ22" s="63"/>
      <c r="EK22" s="63"/>
      <c r="EL22" s="63"/>
      <c r="EM22" s="63"/>
      <c r="EN22" s="63"/>
      <c r="EO22" s="63"/>
      <c r="EP22" s="63"/>
      <c r="EQ22" s="63"/>
      <c r="ER22" s="63"/>
      <c r="ES22" s="63"/>
      <c r="ET22" s="63"/>
      <c r="EU22" s="63"/>
      <c r="EV22" s="63"/>
      <c r="EW22" s="63"/>
      <c r="EX22" s="63"/>
      <c r="EY22" s="63"/>
      <c r="EZ22" s="63"/>
      <c r="FA22" s="63"/>
      <c r="FB22" s="63"/>
      <c r="FC22" s="63"/>
      <c r="FD22" s="63"/>
      <c r="FE22" s="63"/>
      <c r="FF22" s="63"/>
    </row>
    <row r="23" spans="1:162" s="116" customFormat="1" ht="30" customHeight="1" x14ac:dyDescent="0.25">
      <c r="A23" s="118" t="s">
        <v>84</v>
      </c>
      <c r="B23" s="116" t="s">
        <v>141</v>
      </c>
      <c r="C23" s="116" t="s">
        <v>293</v>
      </c>
      <c r="D23" s="116" t="s">
        <v>392</v>
      </c>
      <c r="E23" s="116" t="s">
        <v>88</v>
      </c>
      <c r="F23" s="116">
        <v>1990</v>
      </c>
      <c r="G23" s="116" t="s">
        <v>393</v>
      </c>
      <c r="I23" s="117" t="s">
        <v>394</v>
      </c>
      <c r="J23" s="117" t="s">
        <v>142</v>
      </c>
      <c r="K23" s="117" t="s">
        <v>395</v>
      </c>
      <c r="M23" s="117" t="s">
        <v>396</v>
      </c>
      <c r="N23" s="20" t="s">
        <v>301</v>
      </c>
      <c r="O23" s="116" t="s">
        <v>315</v>
      </c>
      <c r="T23" s="116" t="s">
        <v>308</v>
      </c>
      <c r="U23" s="116" t="s">
        <v>397</v>
      </c>
      <c r="V23" s="115" t="s">
        <v>218</v>
      </c>
      <c r="W23" s="111" t="s">
        <v>247</v>
      </c>
      <c r="X23" s="111" t="s">
        <v>219</v>
      </c>
      <c r="Z23" s="56" t="s">
        <v>231</v>
      </c>
      <c r="AA23" s="56"/>
      <c r="AB23" s="116">
        <v>24</v>
      </c>
      <c r="AF23" s="116">
        <v>71</v>
      </c>
      <c r="AG23" s="116" t="s">
        <v>970</v>
      </c>
      <c r="AH23" s="116" t="s">
        <v>1042</v>
      </c>
      <c r="AI23" s="116" t="s">
        <v>1033</v>
      </c>
      <c r="AJ23" s="116" t="s">
        <v>1106</v>
      </c>
      <c r="AK23" s="116" t="s">
        <v>970</v>
      </c>
      <c r="AM23" s="116">
        <v>25</v>
      </c>
      <c r="AN23" s="116" t="s">
        <v>1413</v>
      </c>
      <c r="AO23" s="116" t="s">
        <v>1414</v>
      </c>
      <c r="AP23" s="116" t="s">
        <v>1451</v>
      </c>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c r="BO23" s="63"/>
      <c r="BP23" s="63"/>
      <c r="BQ23" s="63"/>
      <c r="BR23" s="63"/>
      <c r="BS23" s="63"/>
      <c r="BT23" s="63"/>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3"/>
      <c r="CV23" s="63"/>
      <c r="CW23" s="63"/>
      <c r="CX23" s="63"/>
      <c r="CY23" s="63"/>
      <c r="CZ23" s="63"/>
      <c r="DA23" s="63"/>
      <c r="DB23" s="63"/>
      <c r="DC23" s="63"/>
      <c r="DD23" s="63"/>
      <c r="DE23" s="63"/>
      <c r="DF23" s="63"/>
      <c r="DG23" s="63"/>
      <c r="DH23" s="63"/>
      <c r="DI23" s="63"/>
      <c r="DJ23" s="63"/>
      <c r="DK23" s="63"/>
      <c r="DL23" s="63"/>
      <c r="DM23" s="63"/>
      <c r="DN23" s="63"/>
      <c r="DO23" s="63"/>
      <c r="DP23" s="63"/>
      <c r="DQ23" s="63"/>
      <c r="DR23" s="63"/>
      <c r="DS23" s="63"/>
      <c r="DT23" s="63"/>
      <c r="DU23" s="63"/>
      <c r="DV23" s="63"/>
      <c r="DW23" s="63"/>
      <c r="DX23" s="63"/>
      <c r="DY23" s="63"/>
      <c r="DZ23" s="63"/>
      <c r="EA23" s="63"/>
      <c r="EB23" s="63"/>
      <c r="EC23" s="63"/>
      <c r="ED23" s="63"/>
      <c r="EE23" s="63"/>
      <c r="EF23" s="63"/>
      <c r="EG23" s="63"/>
      <c r="EH23" s="63"/>
      <c r="EI23" s="63"/>
      <c r="EJ23" s="63"/>
      <c r="EK23" s="63"/>
      <c r="EL23" s="63"/>
      <c r="EM23" s="63"/>
      <c r="EN23" s="63"/>
      <c r="EO23" s="63"/>
      <c r="EP23" s="63"/>
      <c r="EQ23" s="63"/>
      <c r="ER23" s="63"/>
      <c r="ES23" s="63"/>
      <c r="ET23" s="63"/>
      <c r="EU23" s="63"/>
      <c r="EV23" s="63"/>
      <c r="EW23" s="63"/>
      <c r="EX23" s="63"/>
      <c r="EY23" s="63"/>
      <c r="EZ23" s="63"/>
      <c r="FA23" s="63"/>
      <c r="FB23" s="63"/>
      <c r="FC23" s="63"/>
      <c r="FD23" s="63"/>
      <c r="FE23" s="63"/>
      <c r="FF23" s="63"/>
    </row>
    <row r="24" spans="1:162" s="23" customFormat="1" ht="30" customHeight="1" x14ac:dyDescent="0.25">
      <c r="A24" s="116" t="s">
        <v>44</v>
      </c>
      <c r="B24" s="22" t="s">
        <v>143</v>
      </c>
      <c r="C24" s="116" t="s">
        <v>293</v>
      </c>
      <c r="D24" s="22" t="s">
        <v>398</v>
      </c>
      <c r="E24" s="116" t="s">
        <v>88</v>
      </c>
      <c r="F24" s="116">
        <v>1980</v>
      </c>
      <c r="G24" s="116" t="s">
        <v>399</v>
      </c>
      <c r="H24" s="116" t="s">
        <v>311</v>
      </c>
      <c r="I24" s="117" t="s">
        <v>400</v>
      </c>
      <c r="J24" s="117" t="s">
        <v>401</v>
      </c>
      <c r="K24" s="117" t="s">
        <v>402</v>
      </c>
      <c r="L24" s="116"/>
      <c r="M24" s="116" t="s">
        <v>403</v>
      </c>
      <c r="N24" s="20" t="s">
        <v>301</v>
      </c>
      <c r="O24" s="116" t="s">
        <v>404</v>
      </c>
      <c r="P24" s="116"/>
      <c r="Q24" s="116"/>
      <c r="R24" s="116"/>
      <c r="S24" s="116"/>
      <c r="T24" s="116"/>
      <c r="U24" s="116"/>
      <c r="V24" s="115" t="s">
        <v>218</v>
      </c>
      <c r="W24" s="111" t="s">
        <v>247</v>
      </c>
      <c r="X24" s="111" t="s">
        <v>219</v>
      </c>
      <c r="Y24" s="116"/>
      <c r="Z24" s="56" t="s">
        <v>231</v>
      </c>
      <c r="AA24" s="56"/>
      <c r="AB24" s="116">
        <f>6/4</f>
        <v>1.5</v>
      </c>
      <c r="AC24" s="116"/>
      <c r="AD24" s="116"/>
      <c r="AE24" s="116"/>
      <c r="AF24" s="116">
        <v>4</v>
      </c>
      <c r="AG24" s="111" t="s">
        <v>970</v>
      </c>
      <c r="AH24" s="136" t="s">
        <v>1043</v>
      </c>
      <c r="AI24" s="111" t="s">
        <v>1044</v>
      </c>
      <c r="AJ24" s="111"/>
      <c r="AK24" s="116" t="s">
        <v>970</v>
      </c>
      <c r="AL24" s="111"/>
      <c r="AM24" s="116">
        <v>26</v>
      </c>
      <c r="AN24" s="23" t="s">
        <v>1415</v>
      </c>
      <c r="AO24" s="136" t="s">
        <v>1416</v>
      </c>
      <c r="AP24" s="116" t="s">
        <v>1450</v>
      </c>
      <c r="AQ24" s="63"/>
      <c r="AR24" s="63"/>
      <c r="AS24" s="63"/>
      <c r="AT24" s="63"/>
      <c r="AU24" s="63"/>
      <c r="AV24" s="63"/>
      <c r="AW24" s="63"/>
      <c r="AX24" s="63"/>
      <c r="AY24" s="63"/>
      <c r="AZ24" s="63"/>
      <c r="BA24" s="63"/>
      <c r="BB24" s="63"/>
      <c r="BC24" s="63"/>
      <c r="BD24" s="63"/>
      <c r="BE24" s="63"/>
      <c r="BF24" s="63"/>
      <c r="BG24" s="63"/>
      <c r="BH24" s="63"/>
      <c r="BI24" s="63"/>
      <c r="BJ24" s="63"/>
      <c r="BK24" s="63"/>
      <c r="BL24" s="63"/>
      <c r="BM24" s="63"/>
      <c r="BN24" s="63"/>
      <c r="BO24" s="63"/>
      <c r="BP24" s="63"/>
      <c r="BQ24" s="63"/>
      <c r="BR24" s="63"/>
      <c r="BS24" s="63"/>
      <c r="BT24" s="63"/>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3"/>
      <c r="CV24" s="63"/>
      <c r="CW24" s="63"/>
      <c r="CX24" s="63"/>
      <c r="CY24" s="63"/>
      <c r="CZ24" s="63"/>
      <c r="DA24" s="63"/>
      <c r="DB24" s="63"/>
      <c r="DC24" s="63"/>
      <c r="DD24" s="63"/>
      <c r="DE24" s="63"/>
      <c r="DF24" s="63"/>
      <c r="DG24" s="63"/>
      <c r="DH24" s="63"/>
      <c r="DI24" s="63"/>
      <c r="DJ24" s="63"/>
      <c r="DK24" s="63"/>
      <c r="DL24" s="63"/>
      <c r="DM24" s="63"/>
      <c r="DN24" s="63"/>
      <c r="DO24" s="63"/>
      <c r="DP24" s="63"/>
      <c r="DQ24" s="63"/>
      <c r="DR24" s="63"/>
      <c r="DS24" s="63"/>
      <c r="DT24" s="63"/>
      <c r="DU24" s="63"/>
      <c r="DV24" s="63"/>
      <c r="DW24" s="63"/>
      <c r="DX24" s="63"/>
      <c r="DY24" s="63"/>
      <c r="DZ24" s="63"/>
      <c r="EA24" s="63"/>
      <c r="EB24" s="63"/>
      <c r="EC24" s="63"/>
      <c r="ED24" s="63"/>
      <c r="EE24" s="63"/>
      <c r="EF24" s="63"/>
      <c r="EG24" s="63"/>
      <c r="EH24" s="63"/>
      <c r="EI24" s="63"/>
      <c r="EJ24" s="63"/>
      <c r="EK24" s="63"/>
      <c r="EL24" s="63"/>
      <c r="EM24" s="63"/>
      <c r="EN24" s="63"/>
      <c r="EO24" s="63"/>
      <c r="EP24" s="63"/>
      <c r="EQ24" s="63"/>
      <c r="ER24" s="63"/>
      <c r="ES24" s="63"/>
      <c r="ET24" s="63"/>
      <c r="EU24" s="63"/>
      <c r="EV24" s="63"/>
      <c r="EW24" s="63"/>
      <c r="EX24" s="63"/>
      <c r="EY24" s="63"/>
      <c r="EZ24" s="63"/>
      <c r="FA24" s="63"/>
      <c r="FB24" s="63"/>
      <c r="FC24" s="63"/>
      <c r="FD24" s="63"/>
      <c r="FE24" s="63"/>
      <c r="FF24" s="63"/>
    </row>
    <row r="25" spans="1:162" s="23" customFormat="1" ht="30" customHeight="1" x14ac:dyDescent="0.25">
      <c r="A25" s="32" t="s">
        <v>57</v>
      </c>
      <c r="B25" s="22" t="s">
        <v>143</v>
      </c>
      <c r="C25" s="33" t="s">
        <v>293</v>
      </c>
      <c r="D25" s="22" t="s">
        <v>405</v>
      </c>
      <c r="E25" s="23" t="s">
        <v>88</v>
      </c>
      <c r="F25" s="23">
        <v>1980</v>
      </c>
      <c r="G25" s="23" t="s">
        <v>399</v>
      </c>
      <c r="H25" s="23" t="s">
        <v>311</v>
      </c>
      <c r="I25" s="24" t="s">
        <v>400</v>
      </c>
      <c r="J25" s="24" t="s">
        <v>406</v>
      </c>
      <c r="K25" s="24" t="s">
        <v>1457</v>
      </c>
      <c r="M25" s="23" t="s">
        <v>407</v>
      </c>
      <c r="N25" s="20" t="s">
        <v>301</v>
      </c>
      <c r="O25" s="23" t="s">
        <v>404</v>
      </c>
      <c r="V25" s="127" t="s">
        <v>218</v>
      </c>
      <c r="W25" s="126" t="s">
        <v>247</v>
      </c>
      <c r="X25" s="126" t="s">
        <v>219</v>
      </c>
      <c r="Z25" s="20" t="s">
        <v>231</v>
      </c>
      <c r="AA25" s="20"/>
      <c r="AB25" s="23">
        <v>24</v>
      </c>
      <c r="AF25" s="23">
        <v>4</v>
      </c>
      <c r="AG25" s="23" t="s">
        <v>970</v>
      </c>
      <c r="AH25" s="24" t="s">
        <v>1045</v>
      </c>
      <c r="AI25" s="23" t="s">
        <v>1033</v>
      </c>
      <c r="AJ25" s="23" t="s">
        <v>1040</v>
      </c>
      <c r="AK25" s="23" t="s">
        <v>970</v>
      </c>
      <c r="AM25" s="23">
        <v>27</v>
      </c>
      <c r="AN25" s="138" t="s">
        <v>1392</v>
      </c>
      <c r="AO25" s="23" t="s">
        <v>1393</v>
      </c>
      <c r="AP25" s="23" t="s">
        <v>1451</v>
      </c>
      <c r="AQ25" s="138"/>
      <c r="AR25" s="138"/>
      <c r="AS25" s="138"/>
      <c r="AT25" s="138"/>
      <c r="AU25" s="138"/>
      <c r="AV25" s="138"/>
      <c r="AW25" s="138"/>
      <c r="AX25" s="138"/>
      <c r="AY25" s="138"/>
      <c r="AZ25" s="138"/>
      <c r="BA25" s="138"/>
      <c r="BB25" s="138"/>
      <c r="BC25" s="138"/>
      <c r="BD25" s="138"/>
      <c r="BE25" s="138"/>
      <c r="BF25" s="138"/>
      <c r="BG25" s="138"/>
      <c r="BH25" s="138"/>
      <c r="BI25" s="138"/>
      <c r="BJ25" s="138"/>
      <c r="BK25" s="138"/>
      <c r="BL25" s="138"/>
      <c r="BM25" s="138"/>
      <c r="BN25" s="138"/>
      <c r="BO25" s="138"/>
      <c r="BP25" s="138"/>
      <c r="BQ25" s="138"/>
      <c r="BR25" s="138"/>
      <c r="BS25" s="138"/>
      <c r="BT25" s="138"/>
      <c r="BU25" s="138"/>
      <c r="BV25" s="138"/>
      <c r="BW25" s="138"/>
      <c r="BX25" s="138"/>
      <c r="BY25" s="138"/>
      <c r="BZ25" s="138"/>
      <c r="CA25" s="138"/>
      <c r="CB25" s="138"/>
      <c r="CC25" s="138"/>
      <c r="CD25" s="138"/>
      <c r="CE25" s="138"/>
      <c r="CF25" s="138"/>
      <c r="CG25" s="138"/>
      <c r="CH25" s="138"/>
      <c r="CI25" s="138"/>
      <c r="CJ25" s="138"/>
      <c r="CK25" s="138"/>
      <c r="CL25" s="138"/>
      <c r="CM25" s="138"/>
      <c r="CN25" s="138"/>
      <c r="CO25" s="138"/>
      <c r="CP25" s="138"/>
      <c r="CQ25" s="138"/>
      <c r="CR25" s="138"/>
      <c r="CS25" s="138"/>
      <c r="CT25" s="138"/>
      <c r="CU25" s="138"/>
      <c r="CV25" s="138"/>
      <c r="CW25" s="138"/>
      <c r="CX25" s="138"/>
      <c r="CY25" s="138"/>
      <c r="CZ25" s="138"/>
      <c r="DA25" s="138"/>
      <c r="DB25" s="138"/>
      <c r="DC25" s="138"/>
      <c r="DD25" s="138"/>
      <c r="DE25" s="138"/>
      <c r="DF25" s="138"/>
      <c r="DG25" s="138"/>
      <c r="DH25" s="138"/>
      <c r="DI25" s="138"/>
      <c r="DJ25" s="138"/>
      <c r="DK25" s="138"/>
      <c r="DL25" s="138"/>
      <c r="DM25" s="138"/>
      <c r="DN25" s="138"/>
      <c r="DO25" s="138"/>
      <c r="DP25" s="138"/>
      <c r="DQ25" s="138"/>
      <c r="DR25" s="138"/>
      <c r="DS25" s="138"/>
      <c r="DT25" s="138"/>
      <c r="DU25" s="138"/>
      <c r="DV25" s="138"/>
      <c r="DW25" s="138"/>
      <c r="DX25" s="138"/>
      <c r="DY25" s="138"/>
      <c r="DZ25" s="138"/>
      <c r="EA25" s="138"/>
      <c r="EB25" s="138"/>
      <c r="EC25" s="138"/>
      <c r="ED25" s="138"/>
      <c r="EE25" s="138"/>
      <c r="EF25" s="138"/>
      <c r="EG25" s="138"/>
      <c r="EH25" s="138"/>
      <c r="EI25" s="138"/>
      <c r="EJ25" s="138"/>
      <c r="EK25" s="138"/>
      <c r="EL25" s="138"/>
      <c r="EM25" s="138"/>
      <c r="EN25" s="138"/>
      <c r="EO25" s="138"/>
      <c r="EP25" s="138"/>
      <c r="EQ25" s="138"/>
      <c r="ER25" s="138"/>
      <c r="ES25" s="138"/>
      <c r="ET25" s="138"/>
      <c r="EU25" s="138"/>
      <c r="EV25" s="138"/>
      <c r="EW25" s="138"/>
      <c r="EX25" s="138"/>
      <c r="EY25" s="138"/>
      <c r="EZ25" s="138"/>
      <c r="FA25" s="138"/>
      <c r="FB25" s="138"/>
      <c r="FC25" s="138"/>
      <c r="FD25" s="138"/>
      <c r="FE25" s="138"/>
      <c r="FF25" s="138"/>
    </row>
    <row r="26" spans="1:162" s="116" customFormat="1" ht="30" hidden="1" customHeight="1" x14ac:dyDescent="0.25">
      <c r="A26" s="118" t="s">
        <v>57</v>
      </c>
      <c r="B26" s="118" t="s">
        <v>79</v>
      </c>
      <c r="C26" s="116" t="s">
        <v>207</v>
      </c>
      <c r="D26" s="118" t="s">
        <v>79</v>
      </c>
      <c r="E26" s="116" t="s">
        <v>80</v>
      </c>
      <c r="F26" s="116">
        <v>2013</v>
      </c>
      <c r="G26" s="116" t="s">
        <v>237</v>
      </c>
      <c r="H26" s="116" t="s">
        <v>238</v>
      </c>
      <c r="I26" s="117" t="s">
        <v>239</v>
      </c>
      <c r="J26" s="121" t="s">
        <v>240</v>
      </c>
      <c r="K26" s="117" t="s">
        <v>241</v>
      </c>
      <c r="L26" s="117" t="s">
        <v>242</v>
      </c>
      <c r="M26" s="117" t="s">
        <v>243</v>
      </c>
      <c r="N26" s="116" t="s">
        <v>248</v>
      </c>
      <c r="O26" s="116" t="s">
        <v>215</v>
      </c>
      <c r="P26" s="116" t="s">
        <v>245</v>
      </c>
      <c r="S26" s="117" t="s">
        <v>246</v>
      </c>
      <c r="V26" s="111" t="s">
        <v>236</v>
      </c>
      <c r="W26" s="111" t="s">
        <v>247</v>
      </c>
      <c r="X26" s="111" t="s">
        <v>219</v>
      </c>
      <c r="Z26" s="56" t="s">
        <v>231</v>
      </c>
      <c r="AA26" s="56"/>
      <c r="AB26" s="116">
        <v>11</v>
      </c>
      <c r="AC26" s="116">
        <v>80</v>
      </c>
      <c r="AF26" s="116">
        <v>11</v>
      </c>
      <c r="AG26" s="116" t="s">
        <v>970</v>
      </c>
      <c r="AH26" s="116" t="s">
        <v>1019</v>
      </c>
      <c r="AI26" s="116" t="s">
        <v>1044</v>
      </c>
      <c r="AK26" s="116" t="s">
        <v>970</v>
      </c>
      <c r="AL26" s="116" t="s">
        <v>1075</v>
      </c>
      <c r="AM26" s="116">
        <v>4</v>
      </c>
      <c r="AN26" s="116" t="s">
        <v>1394</v>
      </c>
      <c r="AO26" s="116" t="s">
        <v>1395</v>
      </c>
      <c r="AP26" s="116" t="s">
        <v>1451</v>
      </c>
      <c r="AQ26" s="63"/>
      <c r="AR26" s="63"/>
      <c r="AS26" s="63"/>
      <c r="AT26" s="63"/>
      <c r="AU26" s="63"/>
      <c r="AV26" s="63"/>
      <c r="AW26" s="63"/>
      <c r="AX26" s="63"/>
      <c r="AY26" s="63"/>
      <c r="AZ26" s="63"/>
      <c r="BA26" s="63"/>
      <c r="BB26" s="63"/>
      <c r="BC26" s="63"/>
      <c r="BD26" s="63"/>
      <c r="BE26" s="63"/>
      <c r="BF26" s="63"/>
      <c r="BG26" s="63"/>
      <c r="BH26" s="63"/>
      <c r="BI26" s="63"/>
      <c r="BJ26" s="63"/>
      <c r="BK26" s="63"/>
      <c r="BL26" s="63"/>
      <c r="BM26" s="63"/>
      <c r="BN26" s="63"/>
      <c r="BO26" s="63"/>
      <c r="BP26" s="63"/>
      <c r="BQ26" s="63"/>
      <c r="BR26" s="63"/>
      <c r="BS26" s="63"/>
      <c r="BT26" s="63"/>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3"/>
      <c r="CV26" s="63"/>
      <c r="CW26" s="63"/>
      <c r="CX26" s="63"/>
      <c r="CY26" s="63"/>
      <c r="CZ26" s="63"/>
      <c r="DA26" s="63"/>
      <c r="DB26" s="63"/>
      <c r="DC26" s="63"/>
      <c r="DD26" s="63"/>
      <c r="DE26" s="63"/>
      <c r="DF26" s="63"/>
      <c r="DG26" s="63"/>
      <c r="DH26" s="63"/>
      <c r="DI26" s="63"/>
      <c r="DJ26" s="63"/>
      <c r="DK26" s="63"/>
      <c r="DL26" s="63"/>
      <c r="DM26" s="63"/>
      <c r="DN26" s="63"/>
      <c r="DO26" s="63"/>
      <c r="DP26" s="63"/>
      <c r="DQ26" s="63"/>
      <c r="DR26" s="63"/>
      <c r="DS26" s="63"/>
      <c r="DT26" s="63"/>
      <c r="DU26" s="63"/>
      <c r="DV26" s="63"/>
      <c r="DW26" s="63"/>
      <c r="DX26" s="63"/>
      <c r="DY26" s="63"/>
      <c r="DZ26" s="63"/>
      <c r="EA26" s="63"/>
      <c r="EB26" s="63"/>
      <c r="EC26" s="63"/>
      <c r="ED26" s="63"/>
      <c r="EE26" s="63"/>
      <c r="EF26" s="63"/>
      <c r="EG26" s="63"/>
      <c r="EH26" s="63"/>
      <c r="EI26" s="63"/>
      <c r="EJ26" s="63"/>
      <c r="EK26" s="63"/>
      <c r="EL26" s="63"/>
      <c r="EM26" s="63"/>
      <c r="EN26" s="63"/>
      <c r="EO26" s="63"/>
      <c r="EP26" s="63"/>
      <c r="EQ26" s="63"/>
      <c r="ER26" s="63"/>
      <c r="ES26" s="63"/>
      <c r="ET26" s="63"/>
      <c r="EU26" s="63"/>
      <c r="EV26" s="63"/>
      <c r="EW26" s="63"/>
      <c r="EX26" s="63"/>
      <c r="EY26" s="63"/>
      <c r="EZ26" s="63"/>
      <c r="FA26" s="63"/>
      <c r="FB26" s="63"/>
      <c r="FC26" s="63"/>
      <c r="FD26" s="63"/>
      <c r="FE26" s="63"/>
      <c r="FF26" s="63"/>
    </row>
    <row r="27" spans="1:162" s="111" customFormat="1" ht="30" hidden="1" customHeight="1" x14ac:dyDescent="0.25">
      <c r="A27" s="27" t="s">
        <v>74</v>
      </c>
      <c r="B27" s="23" t="s">
        <v>72</v>
      </c>
      <c r="C27" s="23" t="s">
        <v>221</v>
      </c>
      <c r="D27" s="23" t="s">
        <v>159</v>
      </c>
      <c r="E27" s="23" t="s">
        <v>80</v>
      </c>
      <c r="F27" s="23">
        <v>2010</v>
      </c>
      <c r="G27" s="23" t="s">
        <v>480</v>
      </c>
      <c r="H27" s="23" t="s">
        <v>311</v>
      </c>
      <c r="I27" s="24" t="s">
        <v>481</v>
      </c>
      <c r="J27" s="24" t="s">
        <v>240</v>
      </c>
      <c r="K27" s="24" t="s">
        <v>482</v>
      </c>
      <c r="L27" s="24" t="s">
        <v>483</v>
      </c>
      <c r="M27" s="24" t="s">
        <v>484</v>
      </c>
      <c r="N27" s="23" t="s">
        <v>248</v>
      </c>
      <c r="O27" s="24" t="s">
        <v>215</v>
      </c>
      <c r="P27" s="23"/>
      <c r="Q27" s="23"/>
      <c r="R27" s="23"/>
      <c r="S27" s="23"/>
      <c r="T27" s="23"/>
      <c r="U27" s="23"/>
      <c r="V27" s="127" t="s">
        <v>218</v>
      </c>
      <c r="W27" s="111" t="s">
        <v>247</v>
      </c>
      <c r="X27" s="111" t="s">
        <v>219</v>
      </c>
      <c r="Y27" s="23"/>
      <c r="Z27" s="20" t="s">
        <v>231</v>
      </c>
      <c r="AA27" s="20"/>
      <c r="AB27" s="23">
        <v>6</v>
      </c>
      <c r="AC27" s="23">
        <f>2*5*5*AB27</f>
        <v>300</v>
      </c>
      <c r="AD27" s="23"/>
      <c r="AE27" s="23"/>
      <c r="AF27" s="23">
        <v>55</v>
      </c>
      <c r="AG27" s="23" t="s">
        <v>970</v>
      </c>
      <c r="AH27" s="23" t="s">
        <v>1061</v>
      </c>
      <c r="AI27" s="23" t="s">
        <v>1044</v>
      </c>
      <c r="AJ27" s="23"/>
      <c r="AK27" s="23" t="s">
        <v>971</v>
      </c>
      <c r="AL27" s="23" t="s">
        <v>1080</v>
      </c>
      <c r="AM27" s="116">
        <v>42</v>
      </c>
      <c r="AN27" s="63" t="s">
        <v>1396</v>
      </c>
      <c r="AO27" s="63" t="s">
        <v>1397</v>
      </c>
      <c r="AP27" s="116" t="s">
        <v>1451</v>
      </c>
      <c r="AQ27" s="63"/>
      <c r="AR27" s="63"/>
      <c r="AS27" s="63"/>
      <c r="AT27" s="63"/>
      <c r="AU27" s="63"/>
      <c r="AV27" s="63"/>
      <c r="AW27" s="63"/>
      <c r="AX27" s="63"/>
      <c r="AY27" s="63"/>
      <c r="AZ27" s="63"/>
      <c r="BA27" s="63"/>
      <c r="BB27" s="63"/>
      <c r="BC27" s="63"/>
      <c r="BD27" s="63"/>
      <c r="BE27" s="63"/>
      <c r="BF27" s="63"/>
      <c r="BG27" s="63"/>
      <c r="BH27" s="63"/>
      <c r="BI27" s="63"/>
      <c r="BJ27" s="63"/>
      <c r="BK27" s="63"/>
      <c r="BL27" s="63"/>
      <c r="BM27" s="63"/>
      <c r="BN27" s="63"/>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3"/>
      <c r="CV27" s="63"/>
      <c r="CW27" s="63"/>
      <c r="CX27" s="63"/>
      <c r="CY27" s="63"/>
      <c r="CZ27" s="63"/>
      <c r="DA27" s="63"/>
      <c r="DB27" s="63"/>
      <c r="DC27" s="63"/>
      <c r="DD27" s="63"/>
      <c r="DE27" s="63"/>
      <c r="DF27" s="63"/>
      <c r="DG27" s="63"/>
      <c r="DH27" s="63"/>
      <c r="DI27" s="63"/>
      <c r="DJ27" s="63"/>
      <c r="DK27" s="63"/>
      <c r="DL27" s="63"/>
      <c r="DM27" s="63"/>
      <c r="DN27" s="63"/>
      <c r="DO27" s="63"/>
      <c r="DP27" s="63"/>
      <c r="DQ27" s="63"/>
      <c r="DR27" s="63"/>
      <c r="DS27" s="63"/>
      <c r="DT27" s="63"/>
      <c r="DU27" s="63"/>
      <c r="DV27" s="63"/>
      <c r="DW27" s="63"/>
      <c r="DX27" s="63"/>
      <c r="DY27" s="63"/>
      <c r="DZ27" s="63"/>
      <c r="EA27" s="63"/>
      <c r="EB27" s="63"/>
      <c r="EC27" s="63"/>
      <c r="ED27" s="63"/>
      <c r="EE27" s="63"/>
      <c r="EF27" s="63"/>
      <c r="EG27" s="63"/>
      <c r="EH27" s="63"/>
      <c r="EI27" s="63"/>
      <c r="EJ27" s="63"/>
      <c r="EK27" s="63"/>
      <c r="EL27" s="63"/>
      <c r="EM27" s="63"/>
      <c r="EN27" s="63"/>
      <c r="EO27" s="63"/>
      <c r="EP27" s="63"/>
      <c r="EQ27" s="63"/>
      <c r="ER27" s="63"/>
      <c r="ES27" s="63"/>
      <c r="ET27" s="63"/>
      <c r="EU27" s="63"/>
      <c r="EV27" s="63"/>
      <c r="EW27" s="63"/>
      <c r="EX27" s="63"/>
      <c r="EY27" s="63"/>
      <c r="EZ27" s="63"/>
      <c r="FA27" s="63"/>
      <c r="FB27" s="63"/>
      <c r="FC27" s="63"/>
      <c r="FD27" s="63"/>
      <c r="FE27" s="63"/>
      <c r="FF27" s="63"/>
    </row>
    <row r="28" spans="1:162" s="116" customFormat="1" ht="30" hidden="1" customHeight="1" x14ac:dyDescent="0.25">
      <c r="A28" s="23" t="s">
        <v>59</v>
      </c>
      <c r="B28" s="19" t="s">
        <v>55</v>
      </c>
      <c r="C28" s="23" t="s">
        <v>293</v>
      </c>
      <c r="D28" s="19" t="s">
        <v>149</v>
      </c>
      <c r="E28" s="23" t="s">
        <v>150</v>
      </c>
      <c r="F28" s="23">
        <v>2010</v>
      </c>
      <c r="G28" s="24" t="s">
        <v>425</v>
      </c>
      <c r="H28" s="23" t="s">
        <v>238</v>
      </c>
      <c r="I28" s="24" t="s">
        <v>426</v>
      </c>
      <c r="J28" s="24" t="s">
        <v>427</v>
      </c>
      <c r="K28" s="24" t="s">
        <v>1352</v>
      </c>
      <c r="L28" s="26" t="s">
        <v>1353</v>
      </c>
      <c r="M28" s="23" t="s">
        <v>428</v>
      </c>
      <c r="N28" s="23" t="s">
        <v>1349</v>
      </c>
      <c r="O28" s="23" t="s">
        <v>215</v>
      </c>
      <c r="P28" s="23"/>
      <c r="Q28" s="23"/>
      <c r="R28" s="23"/>
      <c r="S28" s="23"/>
      <c r="T28" s="23" t="s">
        <v>30</v>
      </c>
      <c r="U28" s="23"/>
      <c r="V28" s="127" t="s">
        <v>236</v>
      </c>
      <c r="W28" s="111" t="s">
        <v>247</v>
      </c>
      <c r="X28" s="111" t="s">
        <v>219</v>
      </c>
      <c r="Y28" s="23"/>
      <c r="Z28" s="20" t="s">
        <v>231</v>
      </c>
      <c r="AA28" s="20"/>
      <c r="AB28" s="23">
        <f>9/30</f>
        <v>0.3</v>
      </c>
      <c r="AC28" s="23">
        <v>45</v>
      </c>
      <c r="AD28" s="23"/>
      <c r="AE28" s="23"/>
      <c r="AF28" s="23">
        <v>22</v>
      </c>
      <c r="AG28" s="23" t="s">
        <v>970</v>
      </c>
      <c r="AH28" s="23" t="s">
        <v>1049</v>
      </c>
      <c r="AI28" s="23" t="s">
        <v>1044</v>
      </c>
      <c r="AJ28" s="23"/>
      <c r="AK28" s="23" t="s">
        <v>970</v>
      </c>
      <c r="AL28" s="23"/>
      <c r="AM28" s="116">
        <v>31</v>
      </c>
      <c r="AN28" s="63" t="s">
        <v>1398</v>
      </c>
      <c r="AO28" s="24" t="s">
        <v>1399</v>
      </c>
      <c r="AP28" s="116" t="s">
        <v>1451</v>
      </c>
      <c r="AQ28" s="63"/>
      <c r="AR28" s="63"/>
      <c r="AS28" s="63"/>
      <c r="AT28" s="63"/>
      <c r="AU28" s="63"/>
      <c r="AV28" s="63"/>
      <c r="AW28" s="63"/>
      <c r="AX28" s="63"/>
      <c r="AY28" s="63"/>
      <c r="AZ28" s="63"/>
      <c r="BA28" s="63"/>
      <c r="BB28" s="63"/>
      <c r="BC28" s="63"/>
      <c r="BD28" s="63"/>
      <c r="BE28" s="63"/>
      <c r="BF28" s="63"/>
      <c r="BG28" s="63"/>
      <c r="BH28" s="63"/>
      <c r="BI28" s="63"/>
      <c r="BJ28" s="63"/>
      <c r="BK28" s="63"/>
      <c r="BL28" s="63"/>
      <c r="BM28" s="63"/>
      <c r="BN28" s="63"/>
      <c r="BO28" s="63"/>
      <c r="BP28" s="63"/>
      <c r="BQ28" s="63"/>
      <c r="BR28" s="63"/>
      <c r="BS28" s="63"/>
      <c r="BT28" s="63"/>
      <c r="BU28" s="63"/>
      <c r="BV28" s="63"/>
      <c r="BW28" s="63"/>
      <c r="BX28" s="63"/>
      <c r="BY28" s="63"/>
      <c r="BZ28" s="63"/>
      <c r="CA28" s="63"/>
      <c r="CB28" s="63"/>
      <c r="CC28" s="63"/>
      <c r="CD28" s="63"/>
      <c r="CE28" s="63"/>
      <c r="CF28" s="63"/>
      <c r="CG28" s="63"/>
      <c r="CH28" s="63"/>
      <c r="CI28" s="63"/>
      <c r="CJ28" s="63"/>
      <c r="CK28" s="63"/>
      <c r="CL28" s="63"/>
      <c r="CM28" s="63"/>
      <c r="CN28" s="63"/>
      <c r="CO28" s="63"/>
      <c r="CP28" s="63"/>
      <c r="CQ28" s="63"/>
      <c r="CR28" s="63"/>
      <c r="CS28" s="63"/>
      <c r="CT28" s="63"/>
      <c r="CU28" s="63"/>
      <c r="CV28" s="63"/>
      <c r="CW28" s="63"/>
      <c r="CX28" s="63"/>
      <c r="CY28" s="63"/>
      <c r="CZ28" s="63"/>
      <c r="DA28" s="63"/>
      <c r="DB28" s="63"/>
      <c r="DC28" s="63"/>
      <c r="DD28" s="63"/>
      <c r="DE28" s="63"/>
      <c r="DF28" s="63"/>
      <c r="DG28" s="63"/>
      <c r="DH28" s="63"/>
      <c r="DI28" s="63"/>
      <c r="DJ28" s="63"/>
      <c r="DK28" s="63"/>
      <c r="DL28" s="63"/>
      <c r="DM28" s="63"/>
      <c r="DN28" s="63"/>
      <c r="DO28" s="63"/>
      <c r="DP28" s="63"/>
      <c r="DQ28" s="63"/>
      <c r="DR28" s="63"/>
      <c r="DS28" s="63"/>
      <c r="DT28" s="63"/>
      <c r="DU28" s="63"/>
      <c r="DV28" s="63"/>
      <c r="DW28" s="63"/>
      <c r="DX28" s="63"/>
      <c r="DY28" s="63"/>
      <c r="DZ28" s="63"/>
      <c r="EA28" s="63"/>
      <c r="EB28" s="63"/>
      <c r="EC28" s="63"/>
      <c r="ED28" s="63"/>
      <c r="EE28" s="63"/>
      <c r="EF28" s="63"/>
      <c r="EG28" s="63"/>
      <c r="EH28" s="63"/>
      <c r="EI28" s="63"/>
      <c r="EJ28" s="63"/>
      <c r="EK28" s="63"/>
      <c r="EL28" s="63"/>
      <c r="EM28" s="63"/>
      <c r="EN28" s="63"/>
      <c r="EO28" s="63"/>
      <c r="EP28" s="63"/>
      <c r="EQ28" s="63"/>
      <c r="ER28" s="63"/>
      <c r="ES28" s="63"/>
      <c r="ET28" s="63"/>
      <c r="EU28" s="63"/>
      <c r="EV28" s="63"/>
      <c r="EW28" s="63"/>
      <c r="EX28" s="63"/>
      <c r="EY28" s="63"/>
      <c r="EZ28" s="63"/>
      <c r="FA28" s="63"/>
      <c r="FB28" s="63"/>
      <c r="FC28" s="63"/>
      <c r="FD28" s="63"/>
      <c r="FE28" s="63"/>
      <c r="FF28" s="63"/>
    </row>
    <row r="29" spans="1:162" s="116" customFormat="1" ht="30" hidden="1" customHeight="1" x14ac:dyDescent="0.25">
      <c r="A29" s="118" t="s">
        <v>81</v>
      </c>
      <c r="B29" s="118" t="s">
        <v>89</v>
      </c>
      <c r="C29" s="116" t="s">
        <v>207</v>
      </c>
      <c r="D29" s="118" t="s">
        <v>264</v>
      </c>
      <c r="E29" s="116" t="s">
        <v>90</v>
      </c>
      <c r="F29" s="116">
        <v>2011</v>
      </c>
      <c r="G29" s="116" t="s">
        <v>265</v>
      </c>
      <c r="H29" s="116" t="s">
        <v>266</v>
      </c>
      <c r="I29" s="117" t="s">
        <v>267</v>
      </c>
      <c r="J29" s="116" t="s">
        <v>91</v>
      </c>
      <c r="K29" s="136" t="s">
        <v>268</v>
      </c>
      <c r="L29" s="121" t="s">
        <v>240</v>
      </c>
      <c r="M29" s="117" t="s">
        <v>269</v>
      </c>
      <c r="N29" s="116" t="s">
        <v>248</v>
      </c>
      <c r="O29" s="116" t="s">
        <v>215</v>
      </c>
      <c r="P29" s="121" t="s">
        <v>240</v>
      </c>
      <c r="S29" s="116" t="s">
        <v>270</v>
      </c>
      <c r="V29" s="115" t="s">
        <v>219</v>
      </c>
      <c r="W29" s="115" t="s">
        <v>219</v>
      </c>
      <c r="X29" s="111" t="s">
        <v>219</v>
      </c>
      <c r="Y29" s="116" t="s">
        <v>230</v>
      </c>
      <c r="Z29" s="56" t="s">
        <v>231</v>
      </c>
      <c r="AA29" s="56"/>
      <c r="AB29" s="116">
        <v>2.5</v>
      </c>
      <c r="AC29" s="116">
        <v>190</v>
      </c>
      <c r="AD29" s="116">
        <v>2</v>
      </c>
      <c r="AF29" s="116">
        <v>10</v>
      </c>
      <c r="AG29" s="116" t="s">
        <v>970</v>
      </c>
      <c r="AH29" s="116" t="s">
        <v>1022</v>
      </c>
      <c r="AI29" s="116" t="s">
        <v>1044</v>
      </c>
      <c r="AK29" s="116" t="s">
        <v>971</v>
      </c>
      <c r="AL29" s="116" t="s">
        <v>1076</v>
      </c>
      <c r="AM29" s="116">
        <v>7</v>
      </c>
      <c r="AN29" s="63" t="s">
        <v>1400</v>
      </c>
      <c r="AO29" s="117" t="s">
        <v>1401</v>
      </c>
      <c r="AP29" s="116" t="s">
        <v>1451</v>
      </c>
      <c r="AQ29" s="63"/>
      <c r="AR29" s="63"/>
      <c r="AS29" s="63"/>
      <c r="AT29" s="63"/>
      <c r="AU29" s="63"/>
      <c r="AV29" s="63"/>
      <c r="AW29" s="63"/>
      <c r="AX29" s="63"/>
      <c r="AY29" s="63"/>
      <c r="AZ29" s="63"/>
      <c r="BA29" s="63"/>
      <c r="BB29" s="63"/>
      <c r="BC29" s="63"/>
      <c r="BD29" s="63"/>
      <c r="BE29" s="63"/>
      <c r="BF29" s="63"/>
      <c r="BG29" s="63"/>
      <c r="BH29" s="63"/>
      <c r="BI29" s="63"/>
      <c r="BJ29" s="63"/>
      <c r="BK29" s="63"/>
      <c r="BL29" s="63"/>
      <c r="BM29" s="63"/>
      <c r="BN29" s="63"/>
      <c r="BO29" s="63"/>
      <c r="BP29" s="63"/>
      <c r="BQ29" s="63"/>
      <c r="BR29" s="63"/>
      <c r="BS29" s="63"/>
      <c r="BT29" s="63"/>
      <c r="BU29" s="63"/>
      <c r="BV29" s="63"/>
      <c r="BW29" s="63"/>
      <c r="BX29" s="63"/>
      <c r="BY29" s="63"/>
      <c r="BZ29" s="63"/>
      <c r="CA29" s="63"/>
      <c r="CB29" s="63"/>
      <c r="CC29" s="63"/>
      <c r="CD29" s="63"/>
      <c r="CE29" s="63"/>
      <c r="CF29" s="63"/>
      <c r="CG29" s="63"/>
      <c r="CH29" s="63"/>
      <c r="CI29" s="63"/>
      <c r="CJ29" s="63"/>
      <c r="CK29" s="63"/>
      <c r="CL29" s="63"/>
      <c r="CM29" s="63"/>
      <c r="CN29" s="63"/>
      <c r="CO29" s="63"/>
      <c r="CP29" s="63"/>
      <c r="CQ29" s="63"/>
      <c r="CR29" s="63"/>
      <c r="CS29" s="63"/>
      <c r="CT29" s="63"/>
      <c r="CU29" s="63"/>
      <c r="CV29" s="63"/>
      <c r="CW29" s="63"/>
      <c r="CX29" s="63"/>
      <c r="CY29" s="63"/>
      <c r="CZ29" s="63"/>
      <c r="DA29" s="63"/>
      <c r="DB29" s="63"/>
      <c r="DC29" s="63"/>
      <c r="DD29" s="63"/>
      <c r="DE29" s="63"/>
      <c r="DF29" s="63"/>
      <c r="DG29" s="63"/>
      <c r="DH29" s="63"/>
      <c r="DI29" s="63"/>
      <c r="DJ29" s="63"/>
      <c r="DK29" s="63"/>
      <c r="DL29" s="63"/>
      <c r="DM29" s="63"/>
      <c r="DN29" s="63"/>
      <c r="DO29" s="63"/>
      <c r="DP29" s="63"/>
      <c r="DQ29" s="63"/>
      <c r="DR29" s="63"/>
      <c r="DS29" s="63"/>
      <c r="DT29" s="63"/>
      <c r="DU29" s="63"/>
      <c r="DV29" s="63"/>
      <c r="DW29" s="63"/>
      <c r="DX29" s="63"/>
      <c r="DY29" s="63"/>
      <c r="DZ29" s="63"/>
      <c r="EA29" s="63"/>
      <c r="EB29" s="63"/>
      <c r="EC29" s="63"/>
      <c r="ED29" s="63"/>
      <c r="EE29" s="63"/>
      <c r="EF29" s="63"/>
      <c r="EG29" s="63"/>
      <c r="EH29" s="63"/>
      <c r="EI29" s="63"/>
      <c r="EJ29" s="63"/>
      <c r="EK29" s="63"/>
      <c r="EL29" s="63"/>
      <c r="EM29" s="63"/>
      <c r="EN29" s="63"/>
      <c r="EO29" s="63"/>
      <c r="EP29" s="63"/>
      <c r="EQ29" s="63"/>
      <c r="ER29" s="63"/>
      <c r="ES29" s="63"/>
      <c r="ET29" s="63"/>
      <c r="EU29" s="63"/>
      <c r="EV29" s="63"/>
      <c r="EW29" s="63"/>
      <c r="EX29" s="63"/>
      <c r="EY29" s="63"/>
      <c r="EZ29" s="63"/>
      <c r="FA29" s="63"/>
      <c r="FB29" s="63"/>
      <c r="FC29" s="63"/>
      <c r="FD29" s="63"/>
      <c r="FE29" s="63"/>
      <c r="FF29" s="63"/>
    </row>
    <row r="30" spans="1:162" s="23" customFormat="1" ht="30" hidden="1" customHeight="1" x14ac:dyDescent="0.25">
      <c r="A30" s="118" t="s">
        <v>81</v>
      </c>
      <c r="B30" s="118" t="s">
        <v>89</v>
      </c>
      <c r="C30" s="116" t="s">
        <v>207</v>
      </c>
      <c r="D30" s="118" t="s">
        <v>271</v>
      </c>
      <c r="E30" s="116" t="s">
        <v>90</v>
      </c>
      <c r="F30" s="116">
        <v>2011</v>
      </c>
      <c r="G30" s="116" t="s">
        <v>265</v>
      </c>
      <c r="H30" s="116" t="s">
        <v>266</v>
      </c>
      <c r="I30" s="117" t="s">
        <v>267</v>
      </c>
      <c r="J30" s="116" t="s">
        <v>91</v>
      </c>
      <c r="K30" s="136" t="s">
        <v>268</v>
      </c>
      <c r="L30" s="121" t="s">
        <v>240</v>
      </c>
      <c r="M30" s="117" t="s">
        <v>272</v>
      </c>
      <c r="N30" s="116" t="s">
        <v>248</v>
      </c>
      <c r="O30" s="116" t="s">
        <v>215</v>
      </c>
      <c r="P30" s="121" t="s">
        <v>240</v>
      </c>
      <c r="Q30" s="116"/>
      <c r="R30" s="116"/>
      <c r="S30" s="116" t="s">
        <v>270</v>
      </c>
      <c r="T30" s="116"/>
      <c r="U30" s="116"/>
      <c r="V30" s="115" t="s">
        <v>218</v>
      </c>
      <c r="W30" s="115" t="s">
        <v>219</v>
      </c>
      <c r="X30" s="111" t="s">
        <v>219</v>
      </c>
      <c r="Y30" s="116" t="s">
        <v>230</v>
      </c>
      <c r="Z30" s="56" t="s">
        <v>231</v>
      </c>
      <c r="AA30" s="56"/>
      <c r="AB30" s="116">
        <v>2</v>
      </c>
      <c r="AC30" s="116">
        <v>150</v>
      </c>
      <c r="AD30" s="116">
        <v>2</v>
      </c>
      <c r="AE30" s="116"/>
      <c r="AF30" s="116">
        <v>10</v>
      </c>
      <c r="AG30" s="116" t="s">
        <v>970</v>
      </c>
      <c r="AH30" s="116" t="s">
        <v>1022</v>
      </c>
      <c r="AI30" s="116" t="s">
        <v>1044</v>
      </c>
      <c r="AJ30" s="116"/>
      <c r="AK30" s="116" t="s">
        <v>971</v>
      </c>
      <c r="AL30" s="116" t="s">
        <v>1076</v>
      </c>
      <c r="AM30" s="116">
        <v>8</v>
      </c>
      <c r="AN30" s="137" t="s">
        <v>1400</v>
      </c>
      <c r="AO30" s="117" t="s">
        <v>1402</v>
      </c>
      <c r="AP30" s="116" t="s">
        <v>1451</v>
      </c>
      <c r="AQ30" s="63"/>
      <c r="AR30" s="63"/>
      <c r="AS30" s="63"/>
      <c r="AT30" s="63"/>
      <c r="AU30" s="63"/>
      <c r="AV30" s="63"/>
      <c r="AW30" s="63"/>
      <c r="AX30" s="63"/>
      <c r="AY30" s="63"/>
      <c r="AZ30" s="63"/>
      <c r="BA30" s="63"/>
      <c r="BB30" s="63"/>
      <c r="BC30" s="63"/>
      <c r="BD30" s="63"/>
      <c r="BE30" s="63"/>
      <c r="BF30" s="63"/>
      <c r="BG30" s="63"/>
      <c r="BH30" s="63"/>
      <c r="BI30" s="63"/>
      <c r="BJ30" s="63"/>
      <c r="BK30" s="63"/>
      <c r="BL30" s="63"/>
      <c r="BM30" s="63"/>
      <c r="BN30" s="63"/>
      <c r="BO30" s="63"/>
      <c r="BP30" s="63"/>
      <c r="BQ30" s="63"/>
      <c r="BR30" s="63"/>
      <c r="BS30" s="63"/>
      <c r="BT30" s="63"/>
      <c r="BU30" s="63"/>
      <c r="BV30" s="63"/>
      <c r="BW30" s="63"/>
      <c r="BX30" s="63"/>
      <c r="BY30" s="63"/>
      <c r="BZ30" s="63"/>
      <c r="CA30" s="63"/>
      <c r="CB30" s="63"/>
      <c r="CC30" s="63"/>
      <c r="CD30" s="63"/>
      <c r="CE30" s="63"/>
      <c r="CF30" s="63"/>
      <c r="CG30" s="63"/>
      <c r="CH30" s="63"/>
      <c r="CI30" s="63"/>
      <c r="CJ30" s="63"/>
      <c r="CK30" s="63"/>
      <c r="CL30" s="63"/>
      <c r="CM30" s="63"/>
      <c r="CN30" s="63"/>
      <c r="CO30" s="63"/>
      <c r="CP30" s="63"/>
      <c r="CQ30" s="63"/>
      <c r="CR30" s="63"/>
      <c r="CS30" s="63"/>
      <c r="CT30" s="63"/>
      <c r="CU30" s="63"/>
      <c r="CV30" s="63"/>
      <c r="CW30" s="63"/>
      <c r="CX30" s="63"/>
      <c r="CY30" s="63"/>
      <c r="CZ30" s="63"/>
      <c r="DA30" s="63"/>
      <c r="DB30" s="63"/>
      <c r="DC30" s="63"/>
      <c r="DD30" s="63"/>
      <c r="DE30" s="63"/>
      <c r="DF30" s="63"/>
      <c r="DG30" s="63"/>
      <c r="DH30" s="63"/>
      <c r="DI30" s="63"/>
      <c r="DJ30" s="63"/>
      <c r="DK30" s="63"/>
      <c r="DL30" s="63"/>
      <c r="DM30" s="63"/>
      <c r="DN30" s="63"/>
      <c r="DO30" s="63"/>
      <c r="DP30" s="63"/>
      <c r="DQ30" s="63"/>
      <c r="DR30" s="63"/>
      <c r="DS30" s="63"/>
      <c r="DT30" s="63"/>
      <c r="DU30" s="63"/>
      <c r="DV30" s="63"/>
      <c r="DW30" s="63"/>
      <c r="DX30" s="63"/>
      <c r="DY30" s="63"/>
      <c r="DZ30" s="63"/>
      <c r="EA30" s="63"/>
      <c r="EB30" s="63"/>
      <c r="EC30" s="63"/>
      <c r="ED30" s="63"/>
      <c r="EE30" s="63"/>
      <c r="EF30" s="63"/>
      <c r="EG30" s="63"/>
      <c r="EH30" s="63"/>
      <c r="EI30" s="63"/>
      <c r="EJ30" s="63"/>
      <c r="EK30" s="63"/>
      <c r="EL30" s="63"/>
      <c r="EM30" s="63"/>
      <c r="EN30" s="63"/>
      <c r="EO30" s="63"/>
      <c r="EP30" s="63"/>
      <c r="EQ30" s="63"/>
      <c r="ER30" s="63"/>
      <c r="ES30" s="63"/>
      <c r="ET30" s="63"/>
      <c r="EU30" s="63"/>
      <c r="EV30" s="63"/>
      <c r="EW30" s="63"/>
      <c r="EX30" s="63"/>
      <c r="EY30" s="63"/>
      <c r="EZ30" s="63"/>
      <c r="FA30" s="63"/>
      <c r="FB30" s="63"/>
      <c r="FC30" s="63"/>
      <c r="FD30" s="63"/>
      <c r="FE30" s="63"/>
      <c r="FF30" s="63"/>
    </row>
    <row r="31" spans="1:162" s="23" customFormat="1" ht="30" hidden="1" customHeight="1" x14ac:dyDescent="0.25">
      <c r="A31" s="19" t="s">
        <v>59</v>
      </c>
      <c r="B31" s="19" t="s">
        <v>126</v>
      </c>
      <c r="C31" s="23" t="s">
        <v>207</v>
      </c>
      <c r="D31" s="19" t="s">
        <v>126</v>
      </c>
      <c r="E31" s="23" t="s">
        <v>90</v>
      </c>
      <c r="F31" s="23">
        <v>2007</v>
      </c>
      <c r="G31" s="24" t="s">
        <v>437</v>
      </c>
      <c r="H31" s="23" t="s">
        <v>438</v>
      </c>
      <c r="I31" s="24" t="s">
        <v>439</v>
      </c>
      <c r="J31" s="25" t="s">
        <v>240</v>
      </c>
      <c r="K31" s="24" t="s">
        <v>440</v>
      </c>
      <c r="L31" s="24" t="s">
        <v>441</v>
      </c>
      <c r="M31" s="24" t="s">
        <v>442</v>
      </c>
      <c r="N31" s="23" t="s">
        <v>248</v>
      </c>
      <c r="O31" s="23" t="s">
        <v>215</v>
      </c>
      <c r="P31" s="25" t="s">
        <v>240</v>
      </c>
      <c r="V31" s="127" t="s">
        <v>218</v>
      </c>
      <c r="W31" s="111" t="s">
        <v>247</v>
      </c>
      <c r="X31" s="111" t="s">
        <v>219</v>
      </c>
      <c r="Z31" s="23" t="s">
        <v>1380</v>
      </c>
      <c r="AB31" s="23">
        <v>12</v>
      </c>
      <c r="AF31" s="23">
        <v>9</v>
      </c>
      <c r="AG31" s="23" t="s">
        <v>970</v>
      </c>
      <c r="AH31" s="23" t="s">
        <v>1052</v>
      </c>
      <c r="AI31" s="23" t="s">
        <v>1033</v>
      </c>
      <c r="AJ31" s="23" t="s">
        <v>1053</v>
      </c>
      <c r="AK31" s="23" t="s">
        <v>970</v>
      </c>
      <c r="AM31" s="116">
        <v>34</v>
      </c>
      <c r="AN31" s="63" t="s">
        <v>1403</v>
      </c>
      <c r="AO31" s="24" t="s">
        <v>1404</v>
      </c>
      <c r="AP31" s="116" t="s">
        <v>1451</v>
      </c>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c r="BO31" s="63"/>
      <c r="BP31" s="63"/>
      <c r="BQ31" s="63"/>
      <c r="BR31" s="63"/>
      <c r="BS31" s="63"/>
      <c r="BT31" s="63"/>
      <c r="BU31" s="63"/>
      <c r="BV31" s="63"/>
      <c r="BW31" s="63"/>
      <c r="BX31" s="63"/>
      <c r="BY31" s="63"/>
      <c r="BZ31" s="63"/>
      <c r="CA31" s="63"/>
      <c r="CB31" s="63"/>
      <c r="CC31" s="63"/>
      <c r="CD31" s="63"/>
      <c r="CE31" s="63"/>
      <c r="CF31" s="63"/>
      <c r="CG31" s="63"/>
      <c r="CH31" s="63"/>
      <c r="CI31" s="63"/>
      <c r="CJ31" s="63"/>
      <c r="CK31" s="63"/>
      <c r="CL31" s="63"/>
      <c r="CM31" s="63"/>
      <c r="CN31" s="63"/>
      <c r="CO31" s="63"/>
      <c r="CP31" s="63"/>
      <c r="CQ31" s="63"/>
      <c r="CR31" s="63"/>
      <c r="CS31" s="63"/>
      <c r="CT31" s="63"/>
      <c r="CU31" s="63"/>
      <c r="CV31" s="63"/>
      <c r="CW31" s="63"/>
      <c r="CX31" s="63"/>
      <c r="CY31" s="63"/>
      <c r="CZ31" s="63"/>
      <c r="DA31" s="63"/>
      <c r="DB31" s="63"/>
      <c r="DC31" s="63"/>
      <c r="DD31" s="63"/>
      <c r="DE31" s="63"/>
      <c r="DF31" s="63"/>
      <c r="DG31" s="63"/>
      <c r="DH31" s="63"/>
      <c r="DI31" s="63"/>
      <c r="DJ31" s="63"/>
      <c r="DK31" s="63"/>
      <c r="DL31" s="63"/>
      <c r="DM31" s="63"/>
      <c r="DN31" s="63"/>
      <c r="DO31" s="63"/>
      <c r="DP31" s="63"/>
      <c r="DQ31" s="63"/>
      <c r="DR31" s="63"/>
      <c r="DS31" s="63"/>
      <c r="DT31" s="63"/>
      <c r="DU31" s="63"/>
      <c r="DV31" s="63"/>
      <c r="DW31" s="63"/>
      <c r="DX31" s="63"/>
      <c r="DY31" s="63"/>
      <c r="DZ31" s="63"/>
      <c r="EA31" s="63"/>
      <c r="EB31" s="63"/>
      <c r="EC31" s="63"/>
      <c r="ED31" s="63"/>
      <c r="EE31" s="63"/>
      <c r="EF31" s="63"/>
      <c r="EG31" s="63"/>
      <c r="EH31" s="63"/>
      <c r="EI31" s="63"/>
      <c r="EJ31" s="63"/>
      <c r="EK31" s="63"/>
      <c r="EL31" s="63"/>
      <c r="EM31" s="63"/>
      <c r="EN31" s="63"/>
      <c r="EO31" s="63"/>
      <c r="EP31" s="63"/>
      <c r="EQ31" s="63"/>
      <c r="ER31" s="63"/>
      <c r="ES31" s="63"/>
      <c r="ET31" s="63"/>
      <c r="EU31" s="63"/>
      <c r="EV31" s="63"/>
      <c r="EW31" s="63"/>
      <c r="EX31" s="63"/>
      <c r="EY31" s="63"/>
      <c r="EZ31" s="63"/>
      <c r="FA31" s="63"/>
      <c r="FB31" s="63"/>
      <c r="FC31" s="63"/>
      <c r="FD31" s="63"/>
      <c r="FE31" s="63"/>
      <c r="FF31" s="63"/>
    </row>
    <row r="32" spans="1:162" s="23" customFormat="1" ht="30" customHeight="1" x14ac:dyDescent="0.25">
      <c r="A32" s="19" t="s">
        <v>121</v>
      </c>
      <c r="B32" s="19" t="s">
        <v>117</v>
      </c>
      <c r="C32" s="23" t="s">
        <v>207</v>
      </c>
      <c r="D32" s="19" t="s">
        <v>117</v>
      </c>
      <c r="E32" s="23" t="s">
        <v>90</v>
      </c>
      <c r="F32" s="23">
        <v>2012</v>
      </c>
      <c r="G32" s="24" t="s">
        <v>448</v>
      </c>
      <c r="H32" s="23" t="s">
        <v>449</v>
      </c>
      <c r="I32" s="24" t="s">
        <v>450</v>
      </c>
      <c r="J32" s="24" t="s">
        <v>451</v>
      </c>
      <c r="K32" s="24" t="s">
        <v>1354</v>
      </c>
      <c r="L32" s="24" t="s">
        <v>452</v>
      </c>
      <c r="M32" s="24" t="s">
        <v>453</v>
      </c>
      <c r="N32" s="20" t="s">
        <v>301</v>
      </c>
      <c r="O32" s="23" t="s">
        <v>215</v>
      </c>
      <c r="P32" s="23" t="s">
        <v>240</v>
      </c>
      <c r="V32" s="127" t="s">
        <v>219</v>
      </c>
      <c r="W32" s="126" t="s">
        <v>219</v>
      </c>
      <c r="X32" s="111" t="s">
        <v>219</v>
      </c>
      <c r="Y32" s="116" t="s">
        <v>230</v>
      </c>
      <c r="Z32" s="20" t="s">
        <v>231</v>
      </c>
      <c r="AA32" s="20"/>
      <c r="AB32" s="23">
        <v>3</v>
      </c>
      <c r="AD32" s="23">
        <v>3</v>
      </c>
      <c r="AF32" s="23">
        <v>13</v>
      </c>
      <c r="AG32" s="23" t="s">
        <v>970</v>
      </c>
      <c r="AH32" s="24" t="s">
        <v>1055</v>
      </c>
      <c r="AI32" s="23" t="s">
        <v>1044</v>
      </c>
      <c r="AK32" s="23" t="s">
        <v>970</v>
      </c>
      <c r="AM32" s="116">
        <v>36</v>
      </c>
      <c r="AN32" s="23" t="s">
        <v>1505</v>
      </c>
      <c r="AO32" s="24" t="s">
        <v>1506</v>
      </c>
      <c r="AP32" s="116" t="s">
        <v>1451</v>
      </c>
      <c r="AQ32" s="63"/>
      <c r="AR32" s="63"/>
      <c r="AS32" s="63"/>
      <c r="AT32" s="63"/>
      <c r="AU32" s="63"/>
      <c r="AV32" s="63"/>
      <c r="AW32" s="63"/>
      <c r="AX32" s="63"/>
      <c r="AY32" s="63"/>
      <c r="AZ32" s="63"/>
      <c r="BA32" s="63"/>
      <c r="BB32" s="63"/>
      <c r="BC32" s="63"/>
      <c r="BD32" s="63"/>
      <c r="BE32" s="63"/>
      <c r="BF32" s="63"/>
      <c r="BG32" s="63"/>
      <c r="BH32" s="63"/>
      <c r="BI32" s="63"/>
      <c r="BJ32" s="63"/>
      <c r="BK32" s="63"/>
      <c r="BL32" s="63"/>
      <c r="BM32" s="63"/>
      <c r="BN32" s="63"/>
      <c r="BO32" s="63"/>
      <c r="BP32" s="63"/>
      <c r="BQ32" s="63"/>
      <c r="BR32" s="63"/>
      <c r="BS32" s="63"/>
      <c r="BT32" s="63"/>
      <c r="BU32" s="63"/>
      <c r="BV32" s="63"/>
      <c r="BW32" s="63"/>
      <c r="BX32" s="63"/>
      <c r="BY32" s="63"/>
      <c r="BZ32" s="63"/>
      <c r="CA32" s="63"/>
      <c r="CB32" s="63"/>
      <c r="CC32" s="63"/>
      <c r="CD32" s="63"/>
      <c r="CE32" s="63"/>
      <c r="CF32" s="63"/>
      <c r="CG32" s="63"/>
      <c r="CH32" s="63"/>
      <c r="CI32" s="63"/>
      <c r="CJ32" s="63"/>
      <c r="CK32" s="63"/>
      <c r="CL32" s="63"/>
      <c r="CM32" s="63"/>
      <c r="CN32" s="63"/>
      <c r="CO32" s="63"/>
      <c r="CP32" s="63"/>
      <c r="CQ32" s="63"/>
      <c r="CR32" s="63"/>
      <c r="CS32" s="63"/>
      <c r="CT32" s="63"/>
      <c r="CU32" s="63"/>
      <c r="CV32" s="63"/>
      <c r="CW32" s="63"/>
      <c r="CX32" s="63"/>
      <c r="CY32" s="63"/>
      <c r="CZ32" s="63"/>
      <c r="DA32" s="63"/>
      <c r="DB32" s="63"/>
      <c r="DC32" s="63"/>
      <c r="DD32" s="63"/>
      <c r="DE32" s="63"/>
      <c r="DF32" s="63"/>
      <c r="DG32" s="63"/>
      <c r="DH32" s="63"/>
      <c r="DI32" s="63"/>
      <c r="DJ32" s="63"/>
      <c r="DK32" s="63"/>
      <c r="DL32" s="63"/>
      <c r="DM32" s="63"/>
      <c r="DN32" s="63"/>
      <c r="DO32" s="63"/>
      <c r="DP32" s="63"/>
      <c r="DQ32" s="63"/>
      <c r="DR32" s="63"/>
      <c r="DS32" s="63"/>
      <c r="DT32" s="63"/>
      <c r="DU32" s="63"/>
      <c r="DV32" s="63"/>
      <c r="DW32" s="63"/>
      <c r="DX32" s="63"/>
      <c r="DY32" s="63"/>
      <c r="DZ32" s="63"/>
      <c r="EA32" s="63"/>
      <c r="EB32" s="63"/>
      <c r="EC32" s="63"/>
      <c r="ED32" s="63"/>
      <c r="EE32" s="63"/>
      <c r="EF32" s="63"/>
      <c r="EG32" s="63"/>
      <c r="EH32" s="63"/>
      <c r="EI32" s="63"/>
      <c r="EJ32" s="63"/>
      <c r="EK32" s="63"/>
      <c r="EL32" s="63"/>
      <c r="EM32" s="63"/>
      <c r="EN32" s="63"/>
      <c r="EO32" s="63"/>
      <c r="EP32" s="63"/>
      <c r="EQ32" s="63"/>
      <c r="ER32" s="63"/>
      <c r="ES32" s="63"/>
      <c r="ET32" s="63"/>
      <c r="EU32" s="63"/>
      <c r="EV32" s="63"/>
      <c r="EW32" s="63"/>
      <c r="EX32" s="63"/>
      <c r="EY32" s="63"/>
      <c r="EZ32" s="63"/>
      <c r="FA32" s="63"/>
      <c r="FB32" s="63"/>
      <c r="FC32" s="63"/>
      <c r="FD32" s="63"/>
      <c r="FE32" s="63"/>
      <c r="FF32" s="63"/>
    </row>
    <row r="33" spans="1:162" s="23" customFormat="1" ht="30" hidden="1" customHeight="1" x14ac:dyDescent="0.25">
      <c r="A33" s="118" t="s">
        <v>81</v>
      </c>
      <c r="B33" s="118" t="s">
        <v>68</v>
      </c>
      <c r="C33" s="116" t="s">
        <v>207</v>
      </c>
      <c r="D33" s="118" t="s">
        <v>68</v>
      </c>
      <c r="E33" s="116" t="s">
        <v>82</v>
      </c>
      <c r="F33" s="116">
        <v>2010</v>
      </c>
      <c r="G33" s="119" t="s">
        <v>249</v>
      </c>
      <c r="H33" s="117" t="s">
        <v>250</v>
      </c>
      <c r="I33" s="117" t="s">
        <v>251</v>
      </c>
      <c r="J33" s="117" t="s">
        <v>252</v>
      </c>
      <c r="K33" s="136" t="s">
        <v>253</v>
      </c>
      <c r="L33" s="117" t="s">
        <v>254</v>
      </c>
      <c r="M33" s="117" t="s">
        <v>255</v>
      </c>
      <c r="N33" s="116" t="s">
        <v>248</v>
      </c>
      <c r="O33" s="116" t="s">
        <v>215</v>
      </c>
      <c r="P33" s="116"/>
      <c r="Q33" s="116"/>
      <c r="R33" s="116"/>
      <c r="S33" s="116" t="s">
        <v>256</v>
      </c>
      <c r="T33" s="116"/>
      <c r="U33" s="117"/>
      <c r="V33" s="115" t="s">
        <v>218</v>
      </c>
      <c r="W33" s="111" t="s">
        <v>247</v>
      </c>
      <c r="X33" s="111" t="s">
        <v>219</v>
      </c>
      <c r="Y33" s="116"/>
      <c r="Z33" s="56" t="s">
        <v>231</v>
      </c>
      <c r="AA33" s="56"/>
      <c r="AB33" s="116">
        <v>6</v>
      </c>
      <c r="AC33" s="116"/>
      <c r="AD33" s="116"/>
      <c r="AE33" s="116"/>
      <c r="AF33" s="116">
        <v>44</v>
      </c>
      <c r="AG33" s="116" t="s">
        <v>970</v>
      </c>
      <c r="AH33" s="116" t="s">
        <v>1020</v>
      </c>
      <c r="AI33" s="116" t="s">
        <v>1033</v>
      </c>
      <c r="AJ33" s="116"/>
      <c r="AK33" s="116" t="s">
        <v>970</v>
      </c>
      <c r="AL33" s="116" t="s">
        <v>1075</v>
      </c>
      <c r="AM33" s="116">
        <v>5</v>
      </c>
      <c r="AN33" s="23" t="s">
        <v>1507</v>
      </c>
      <c r="AO33" s="117" t="s">
        <v>1508</v>
      </c>
      <c r="AP33" s="116" t="s">
        <v>1451</v>
      </c>
      <c r="AQ33" s="63"/>
      <c r="AR33" s="63"/>
      <c r="AS33" s="63"/>
      <c r="AT33" s="63"/>
      <c r="AU33" s="63"/>
      <c r="AV33" s="63"/>
      <c r="AW33" s="63"/>
      <c r="AX33" s="63"/>
      <c r="AY33" s="63"/>
      <c r="AZ33" s="63"/>
      <c r="BA33" s="63"/>
      <c r="BB33" s="63"/>
      <c r="BC33" s="63"/>
      <c r="BD33" s="63"/>
      <c r="BE33" s="63"/>
      <c r="BF33" s="63"/>
      <c r="BG33" s="63"/>
      <c r="BH33" s="63"/>
      <c r="BI33" s="63"/>
      <c r="BJ33" s="63"/>
      <c r="BK33" s="63"/>
      <c r="BL33" s="63"/>
      <c r="BM33" s="63"/>
      <c r="BN33" s="63"/>
      <c r="BO33" s="63"/>
      <c r="BP33" s="63"/>
      <c r="BQ33" s="63"/>
      <c r="BR33" s="63"/>
      <c r="BS33" s="63"/>
      <c r="BT33" s="63"/>
      <c r="BU33" s="63"/>
      <c r="BV33" s="63"/>
      <c r="BW33" s="63"/>
      <c r="BX33" s="63"/>
      <c r="BY33" s="63"/>
      <c r="BZ33" s="63"/>
      <c r="CA33" s="63"/>
      <c r="CB33" s="63"/>
      <c r="CC33" s="63"/>
      <c r="CD33" s="63"/>
      <c r="CE33" s="63"/>
      <c r="CF33" s="63"/>
      <c r="CG33" s="63"/>
      <c r="CH33" s="63"/>
      <c r="CI33" s="63"/>
      <c r="CJ33" s="63"/>
      <c r="CK33" s="63"/>
      <c r="CL33" s="63"/>
      <c r="CM33" s="63"/>
      <c r="CN33" s="63"/>
      <c r="CO33" s="63"/>
      <c r="CP33" s="63"/>
      <c r="CQ33" s="63"/>
      <c r="CR33" s="63"/>
      <c r="CS33" s="63"/>
      <c r="CT33" s="63"/>
      <c r="CU33" s="63"/>
      <c r="CV33" s="63"/>
      <c r="CW33" s="63"/>
      <c r="CX33" s="63"/>
      <c r="CY33" s="63"/>
      <c r="CZ33" s="63"/>
      <c r="DA33" s="63"/>
      <c r="DB33" s="63"/>
      <c r="DC33" s="63"/>
      <c r="DD33" s="63"/>
      <c r="DE33" s="63"/>
      <c r="DF33" s="63"/>
      <c r="DG33" s="63"/>
      <c r="DH33" s="63"/>
      <c r="DI33" s="63"/>
      <c r="DJ33" s="63"/>
      <c r="DK33" s="63"/>
      <c r="DL33" s="63"/>
      <c r="DM33" s="63"/>
      <c r="DN33" s="63"/>
      <c r="DO33" s="63"/>
      <c r="DP33" s="63"/>
      <c r="DQ33" s="63"/>
      <c r="DR33" s="63"/>
      <c r="DS33" s="63"/>
      <c r="DT33" s="63"/>
      <c r="DU33" s="63"/>
      <c r="DV33" s="63"/>
      <c r="DW33" s="63"/>
      <c r="DX33" s="63"/>
      <c r="DY33" s="63"/>
      <c r="DZ33" s="63"/>
      <c r="EA33" s="63"/>
      <c r="EB33" s="63"/>
      <c r="EC33" s="63"/>
      <c r="ED33" s="63"/>
      <c r="EE33" s="63"/>
      <c r="EF33" s="63"/>
      <c r="EG33" s="63"/>
      <c r="EH33" s="63"/>
      <c r="EI33" s="63"/>
      <c r="EJ33" s="63"/>
      <c r="EK33" s="63"/>
      <c r="EL33" s="63"/>
      <c r="EM33" s="63"/>
      <c r="EN33" s="63"/>
      <c r="EO33" s="63"/>
      <c r="EP33" s="63"/>
      <c r="EQ33" s="63"/>
      <c r="ER33" s="63"/>
      <c r="ES33" s="63"/>
      <c r="ET33" s="63"/>
      <c r="EU33" s="63"/>
      <c r="EV33" s="63"/>
      <c r="EW33" s="63"/>
      <c r="EX33" s="63"/>
      <c r="EY33" s="63"/>
      <c r="EZ33" s="63"/>
      <c r="FA33" s="63"/>
      <c r="FB33" s="63"/>
      <c r="FC33" s="63"/>
      <c r="FD33" s="63"/>
      <c r="FE33" s="63"/>
      <c r="FF33" s="63"/>
    </row>
    <row r="34" spans="1:162" s="23" customFormat="1" ht="30" customHeight="1" x14ac:dyDescent="0.25">
      <c r="A34" s="118" t="s">
        <v>53</v>
      </c>
      <c r="B34" s="22" t="s">
        <v>107</v>
      </c>
      <c r="C34" s="116" t="s">
        <v>293</v>
      </c>
      <c r="D34" s="22" t="s">
        <v>107</v>
      </c>
      <c r="E34" s="116" t="s">
        <v>108</v>
      </c>
      <c r="F34" s="116">
        <v>2012</v>
      </c>
      <c r="G34" s="116" t="s">
        <v>302</v>
      </c>
      <c r="H34" s="116" t="s">
        <v>303</v>
      </c>
      <c r="I34" s="117" t="s">
        <v>304</v>
      </c>
      <c r="J34" s="116" t="s">
        <v>305</v>
      </c>
      <c r="K34" s="117" t="s">
        <v>306</v>
      </c>
      <c r="L34" s="117"/>
      <c r="M34" s="117" t="s">
        <v>307</v>
      </c>
      <c r="N34" s="20" t="s">
        <v>301</v>
      </c>
      <c r="O34" s="116" t="s">
        <v>215</v>
      </c>
      <c r="P34" s="116"/>
      <c r="Q34" s="116"/>
      <c r="R34" s="116"/>
      <c r="S34" s="116"/>
      <c r="T34" s="117" t="s">
        <v>308</v>
      </c>
      <c r="U34" s="117" t="s">
        <v>309</v>
      </c>
      <c r="V34" s="130" t="s">
        <v>219</v>
      </c>
      <c r="W34" s="111" t="s">
        <v>247</v>
      </c>
      <c r="X34" s="111" t="s">
        <v>1378</v>
      </c>
      <c r="Y34" s="116"/>
      <c r="Z34" s="56" t="s">
        <v>231</v>
      </c>
      <c r="AA34" s="56"/>
      <c r="AB34" s="116"/>
      <c r="AC34" s="116">
        <v>100</v>
      </c>
      <c r="AD34" s="116"/>
      <c r="AE34" s="116"/>
      <c r="AF34" s="116">
        <v>2</v>
      </c>
      <c r="AG34" s="116" t="s">
        <v>970</v>
      </c>
      <c r="AH34" s="116" t="s">
        <v>1025</v>
      </c>
      <c r="AI34" s="116" t="s">
        <v>1044</v>
      </c>
      <c r="AJ34" s="116"/>
      <c r="AK34" s="116" t="s">
        <v>970</v>
      </c>
      <c r="AL34" s="116"/>
      <c r="AM34" s="116">
        <v>12</v>
      </c>
      <c r="AN34" s="23" t="s">
        <v>1509</v>
      </c>
      <c r="AO34" s="117" t="s">
        <v>1510</v>
      </c>
      <c r="AP34" s="116" t="s">
        <v>1451</v>
      </c>
      <c r="AQ34" s="63"/>
      <c r="AR34" s="63"/>
      <c r="AS34" s="63"/>
      <c r="AT34" s="63"/>
      <c r="AU34" s="63"/>
      <c r="AV34" s="63"/>
      <c r="AW34" s="63"/>
      <c r="AX34" s="63"/>
      <c r="AY34" s="63"/>
      <c r="AZ34" s="63"/>
      <c r="BA34" s="63"/>
      <c r="BB34" s="63"/>
      <c r="BC34" s="63"/>
      <c r="BD34" s="63"/>
      <c r="BE34" s="63"/>
      <c r="BF34" s="63"/>
      <c r="BG34" s="63"/>
      <c r="BH34" s="63"/>
      <c r="BI34" s="63"/>
      <c r="BJ34" s="63"/>
      <c r="BK34" s="63"/>
      <c r="BL34" s="63"/>
      <c r="BM34" s="63"/>
      <c r="BN34" s="63"/>
      <c r="BO34" s="63"/>
      <c r="BP34" s="63"/>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3"/>
      <c r="CV34" s="63"/>
      <c r="CW34" s="63"/>
      <c r="CX34" s="63"/>
      <c r="CY34" s="63"/>
      <c r="CZ34" s="63"/>
      <c r="DA34" s="63"/>
      <c r="DB34" s="63"/>
      <c r="DC34" s="63"/>
      <c r="DD34" s="63"/>
      <c r="DE34" s="63"/>
      <c r="DF34" s="63"/>
      <c r="DG34" s="63"/>
      <c r="DH34" s="63"/>
      <c r="DI34" s="63"/>
      <c r="DJ34" s="63"/>
      <c r="DK34" s="63"/>
      <c r="DL34" s="63"/>
      <c r="DM34" s="63"/>
      <c r="DN34" s="63"/>
      <c r="DO34" s="63"/>
      <c r="DP34" s="63"/>
      <c r="DQ34" s="63"/>
      <c r="DR34" s="63"/>
      <c r="DS34" s="63"/>
      <c r="DT34" s="63"/>
      <c r="DU34" s="63"/>
      <c r="DV34" s="63"/>
      <c r="DW34" s="63"/>
      <c r="DX34" s="63"/>
      <c r="DY34" s="63"/>
      <c r="DZ34" s="63"/>
      <c r="EA34" s="63"/>
      <c r="EB34" s="63"/>
      <c r="EC34" s="63"/>
      <c r="ED34" s="63"/>
      <c r="EE34" s="63"/>
      <c r="EF34" s="63"/>
      <c r="EG34" s="63"/>
      <c r="EH34" s="63"/>
      <c r="EI34" s="63"/>
      <c r="EJ34" s="63"/>
      <c r="EK34" s="63"/>
      <c r="EL34" s="63"/>
      <c r="EM34" s="63"/>
      <c r="EN34" s="63"/>
      <c r="EO34" s="63"/>
      <c r="EP34" s="63"/>
      <c r="EQ34" s="63"/>
      <c r="ER34" s="63"/>
      <c r="ES34" s="63"/>
      <c r="ET34" s="63"/>
      <c r="EU34" s="63"/>
      <c r="EV34" s="63"/>
      <c r="EW34" s="63"/>
      <c r="EX34" s="63"/>
      <c r="EY34" s="63"/>
      <c r="EZ34" s="63"/>
      <c r="FA34" s="63"/>
      <c r="FB34" s="63"/>
      <c r="FC34" s="63"/>
      <c r="FD34" s="63"/>
      <c r="FE34" s="63"/>
      <c r="FF34" s="63"/>
    </row>
    <row r="35" spans="1:162" s="23" customFormat="1" ht="30" customHeight="1" x14ac:dyDescent="0.25">
      <c r="A35" s="118" t="s">
        <v>57</v>
      </c>
      <c r="B35" s="23" t="s">
        <v>111</v>
      </c>
      <c r="C35" s="23" t="s">
        <v>273</v>
      </c>
      <c r="D35" s="23" t="s">
        <v>122</v>
      </c>
      <c r="E35" s="23" t="s">
        <v>123</v>
      </c>
      <c r="F35" s="23" t="s">
        <v>336</v>
      </c>
      <c r="G35" s="24" t="s">
        <v>337</v>
      </c>
      <c r="H35" s="23" t="s">
        <v>338</v>
      </c>
      <c r="I35" s="24" t="s">
        <v>339</v>
      </c>
      <c r="J35" s="24" t="s">
        <v>340</v>
      </c>
      <c r="K35" s="24" t="s">
        <v>341</v>
      </c>
      <c r="M35" s="24" t="s">
        <v>342</v>
      </c>
      <c r="N35" s="20" t="s">
        <v>301</v>
      </c>
      <c r="O35" s="116" t="s">
        <v>315</v>
      </c>
      <c r="S35" s="24" t="s">
        <v>343</v>
      </c>
      <c r="V35" s="115" t="s">
        <v>218</v>
      </c>
      <c r="W35" s="111" t="s">
        <v>247</v>
      </c>
      <c r="X35" s="111" t="s">
        <v>219</v>
      </c>
      <c r="Y35" s="116"/>
      <c r="Z35" s="23" t="s">
        <v>1380</v>
      </c>
      <c r="AB35" s="116"/>
      <c r="AC35" s="116">
        <v>40</v>
      </c>
      <c r="AD35" s="116"/>
      <c r="AE35" s="116"/>
      <c r="AF35" s="116">
        <v>13</v>
      </c>
      <c r="AG35" s="116" t="s">
        <v>970</v>
      </c>
      <c r="AH35" s="117" t="s">
        <v>1030</v>
      </c>
      <c r="AI35" s="116" t="s">
        <v>1033</v>
      </c>
      <c r="AJ35" s="116" t="s">
        <v>1513</v>
      </c>
      <c r="AK35" s="116" t="s">
        <v>971</v>
      </c>
      <c r="AL35" s="116" t="s">
        <v>1074</v>
      </c>
      <c r="AM35" s="116">
        <v>18</v>
      </c>
      <c r="AN35" s="23" t="s">
        <v>1511</v>
      </c>
      <c r="AO35" s="117" t="s">
        <v>1512</v>
      </c>
      <c r="AP35" s="116" t="s">
        <v>1451</v>
      </c>
      <c r="AQ35" s="63"/>
      <c r="AR35" s="63"/>
      <c r="AS35" s="63"/>
      <c r="AT35" s="63"/>
      <c r="AU35" s="63"/>
      <c r="AV35" s="63"/>
      <c r="AW35" s="63"/>
      <c r="AX35" s="63"/>
      <c r="AY35" s="63"/>
      <c r="AZ35" s="63"/>
      <c r="BA35" s="63"/>
      <c r="BB35" s="63"/>
      <c r="BC35" s="63"/>
      <c r="BD35" s="63"/>
      <c r="BE35" s="63"/>
      <c r="BF35" s="63"/>
      <c r="BG35" s="63"/>
      <c r="BH35" s="63"/>
      <c r="BI35" s="63"/>
      <c r="BJ35" s="63"/>
      <c r="BK35" s="63"/>
      <c r="BL35" s="63"/>
      <c r="BM35" s="63"/>
      <c r="BN35" s="63"/>
      <c r="BO35" s="63"/>
      <c r="BP35" s="63"/>
      <c r="BQ35" s="63"/>
      <c r="BR35" s="63"/>
      <c r="BS35" s="63"/>
      <c r="BT35" s="63"/>
      <c r="BU35" s="63"/>
      <c r="BV35" s="63"/>
      <c r="BW35" s="63"/>
      <c r="BX35" s="63"/>
      <c r="BY35" s="63"/>
      <c r="BZ35" s="63"/>
      <c r="CA35" s="63"/>
      <c r="CB35" s="63"/>
      <c r="CC35" s="63"/>
      <c r="CD35" s="63"/>
      <c r="CE35" s="63"/>
      <c r="CF35" s="63"/>
      <c r="CG35" s="63"/>
      <c r="CH35" s="63"/>
      <c r="CI35" s="63"/>
      <c r="CJ35" s="63"/>
      <c r="CK35" s="63"/>
      <c r="CL35" s="63"/>
      <c r="CM35" s="63"/>
      <c r="CN35" s="63"/>
      <c r="CO35" s="63"/>
      <c r="CP35" s="63"/>
      <c r="CQ35" s="63"/>
      <c r="CR35" s="63"/>
      <c r="CS35" s="63"/>
      <c r="CT35" s="63"/>
      <c r="CU35" s="63"/>
      <c r="CV35" s="63"/>
      <c r="CW35" s="63"/>
      <c r="CX35" s="63"/>
      <c r="CY35" s="63"/>
      <c r="CZ35" s="63"/>
      <c r="DA35" s="63"/>
      <c r="DB35" s="63"/>
      <c r="DC35" s="63"/>
      <c r="DD35" s="63"/>
      <c r="DE35" s="63"/>
      <c r="DF35" s="63"/>
      <c r="DG35" s="63"/>
      <c r="DH35" s="63"/>
      <c r="DI35" s="63"/>
      <c r="DJ35" s="63"/>
      <c r="DK35" s="63"/>
      <c r="DL35" s="63"/>
      <c r="DM35" s="63"/>
      <c r="DN35" s="63"/>
      <c r="DO35" s="63"/>
      <c r="DP35" s="63"/>
      <c r="DQ35" s="63"/>
      <c r="DR35" s="63"/>
      <c r="DS35" s="63"/>
      <c r="DT35" s="63"/>
      <c r="DU35" s="63"/>
      <c r="DV35" s="63"/>
      <c r="DW35" s="63"/>
      <c r="DX35" s="63"/>
      <c r="DY35" s="63"/>
      <c r="DZ35" s="63"/>
      <c r="EA35" s="63"/>
      <c r="EB35" s="63"/>
      <c r="EC35" s="63"/>
      <c r="ED35" s="63"/>
      <c r="EE35" s="63"/>
      <c r="EF35" s="63"/>
      <c r="EG35" s="63"/>
      <c r="EH35" s="63"/>
      <c r="EI35" s="63"/>
      <c r="EJ35" s="63"/>
      <c r="EK35" s="63"/>
      <c r="EL35" s="63"/>
      <c r="EM35" s="63"/>
      <c r="EN35" s="63"/>
      <c r="EO35" s="63"/>
      <c r="EP35" s="63"/>
      <c r="EQ35" s="63"/>
      <c r="ER35" s="63"/>
      <c r="ES35" s="63"/>
      <c r="ET35" s="63"/>
      <c r="EU35" s="63"/>
      <c r="EV35" s="63"/>
      <c r="EW35" s="63"/>
      <c r="EX35" s="63"/>
      <c r="EY35" s="63"/>
      <c r="EZ35" s="63"/>
      <c r="FA35" s="63"/>
      <c r="FB35" s="63"/>
      <c r="FC35" s="63"/>
      <c r="FD35" s="63"/>
      <c r="FE35" s="63"/>
      <c r="FF35" s="63"/>
    </row>
    <row r="36" spans="1:162" s="23" customFormat="1" ht="30" hidden="1" customHeight="1" x14ac:dyDescent="0.25">
      <c r="A36" s="118" t="s">
        <v>53</v>
      </c>
      <c r="B36" s="22" t="s">
        <v>136</v>
      </c>
      <c r="C36" s="116" t="s">
        <v>293</v>
      </c>
      <c r="D36" s="22" t="s">
        <v>136</v>
      </c>
      <c r="E36" s="116" t="s">
        <v>137</v>
      </c>
      <c r="F36" s="116">
        <v>2009</v>
      </c>
      <c r="G36" s="116" t="s">
        <v>360</v>
      </c>
      <c r="H36" s="116" t="s">
        <v>238</v>
      </c>
      <c r="I36" s="117" t="s">
        <v>361</v>
      </c>
      <c r="J36" s="116"/>
      <c r="K36" s="117" t="s">
        <v>362</v>
      </c>
      <c r="L36" s="117" t="s">
        <v>363</v>
      </c>
      <c r="M36" s="117" t="s">
        <v>1013</v>
      </c>
      <c r="N36" s="116" t="s">
        <v>248</v>
      </c>
      <c r="O36" s="116" t="s">
        <v>215</v>
      </c>
      <c r="P36" s="116"/>
      <c r="Q36" s="139" t="s">
        <v>1014</v>
      </c>
      <c r="R36" s="116"/>
      <c r="S36" s="117" t="s">
        <v>364</v>
      </c>
      <c r="T36" s="116"/>
      <c r="U36" s="116"/>
      <c r="V36" s="115" t="s">
        <v>218</v>
      </c>
      <c r="W36" s="111" t="s">
        <v>247</v>
      </c>
      <c r="X36" s="111" t="s">
        <v>219</v>
      </c>
      <c r="Y36" s="116"/>
      <c r="Z36" s="56" t="s">
        <v>231</v>
      </c>
      <c r="AA36" s="56"/>
      <c r="AB36" s="116"/>
      <c r="AC36" s="116"/>
      <c r="AD36" s="116"/>
      <c r="AE36" s="116"/>
      <c r="AF36" s="116">
        <v>3</v>
      </c>
      <c r="AG36" s="116" t="s">
        <v>971</v>
      </c>
      <c r="AH36" s="117" t="s">
        <v>1034</v>
      </c>
      <c r="AI36" s="116" t="s">
        <v>1033</v>
      </c>
      <c r="AJ36" s="116" t="s">
        <v>1037</v>
      </c>
      <c r="AK36" s="116" t="s">
        <v>971</v>
      </c>
      <c r="AL36" s="116" t="s">
        <v>1074</v>
      </c>
      <c r="AM36" s="116">
        <v>21</v>
      </c>
      <c r="AN36" s="23" t="s">
        <v>1514</v>
      </c>
      <c r="AO36" s="116" t="s">
        <v>1515</v>
      </c>
      <c r="AP36" s="116" t="s">
        <v>1450</v>
      </c>
      <c r="AQ36" s="63"/>
      <c r="AR36" s="63"/>
      <c r="AS36" s="63"/>
      <c r="AT36" s="63"/>
      <c r="AU36" s="63"/>
      <c r="AV36" s="63"/>
      <c r="AW36" s="63"/>
      <c r="AX36" s="63"/>
      <c r="AY36" s="63"/>
      <c r="AZ36" s="63"/>
      <c r="BA36" s="63"/>
      <c r="BB36" s="63"/>
      <c r="BC36" s="63"/>
      <c r="BD36" s="63"/>
      <c r="BE36" s="63"/>
      <c r="BF36" s="63"/>
      <c r="BG36" s="63"/>
      <c r="BH36" s="63"/>
      <c r="BI36" s="63"/>
      <c r="BJ36" s="63"/>
      <c r="BK36" s="63"/>
      <c r="BL36" s="63"/>
      <c r="BM36" s="63"/>
      <c r="BN36" s="63"/>
      <c r="BO36" s="63"/>
      <c r="BP36" s="63"/>
      <c r="BQ36" s="63"/>
      <c r="BR36" s="63"/>
      <c r="BS36" s="63"/>
      <c r="BT36" s="63"/>
      <c r="BU36" s="63"/>
      <c r="BV36" s="63"/>
      <c r="BW36" s="63"/>
      <c r="BX36" s="63"/>
      <c r="BY36" s="63"/>
      <c r="BZ36" s="63"/>
      <c r="CA36" s="63"/>
      <c r="CB36" s="63"/>
      <c r="CC36" s="63"/>
      <c r="CD36" s="63"/>
      <c r="CE36" s="63"/>
      <c r="CF36" s="63"/>
      <c r="CG36" s="63"/>
      <c r="CH36" s="63"/>
      <c r="CI36" s="63"/>
      <c r="CJ36" s="63"/>
      <c r="CK36" s="63"/>
      <c r="CL36" s="63"/>
      <c r="CM36" s="63"/>
      <c r="CN36" s="63"/>
      <c r="CO36" s="63"/>
      <c r="CP36" s="63"/>
      <c r="CQ36" s="63"/>
      <c r="CR36" s="63"/>
      <c r="CS36" s="63"/>
      <c r="CT36" s="63"/>
      <c r="CU36" s="63"/>
      <c r="CV36" s="63"/>
      <c r="CW36" s="63"/>
      <c r="CX36" s="63"/>
      <c r="CY36" s="63"/>
      <c r="CZ36" s="63"/>
      <c r="DA36" s="63"/>
      <c r="DB36" s="63"/>
      <c r="DC36" s="63"/>
      <c r="DD36" s="63"/>
      <c r="DE36" s="63"/>
      <c r="DF36" s="63"/>
      <c r="DG36" s="63"/>
      <c r="DH36" s="63"/>
      <c r="DI36" s="63"/>
      <c r="DJ36" s="63"/>
      <c r="DK36" s="63"/>
      <c r="DL36" s="63"/>
      <c r="DM36" s="63"/>
      <c r="DN36" s="63"/>
      <c r="DO36" s="63"/>
      <c r="DP36" s="63"/>
      <c r="DQ36" s="63"/>
      <c r="DR36" s="63"/>
      <c r="DS36" s="63"/>
      <c r="DT36" s="63"/>
      <c r="DU36" s="63"/>
      <c r="DV36" s="63"/>
      <c r="DW36" s="63"/>
      <c r="DX36" s="63"/>
      <c r="DY36" s="63"/>
      <c r="DZ36" s="63"/>
      <c r="EA36" s="63"/>
      <c r="EB36" s="63"/>
      <c r="EC36" s="63"/>
      <c r="ED36" s="63"/>
      <c r="EE36" s="63"/>
      <c r="EF36" s="63"/>
      <c r="EG36" s="63"/>
      <c r="EH36" s="63"/>
      <c r="EI36" s="63"/>
      <c r="EJ36" s="63"/>
      <c r="EK36" s="63"/>
      <c r="EL36" s="63"/>
      <c r="EM36" s="63"/>
      <c r="EN36" s="63"/>
      <c r="EO36" s="63"/>
      <c r="EP36" s="63"/>
      <c r="EQ36" s="63"/>
      <c r="ER36" s="63"/>
      <c r="ES36" s="63"/>
      <c r="ET36" s="63"/>
      <c r="EU36" s="63"/>
      <c r="EV36" s="63"/>
      <c r="EW36" s="63"/>
      <c r="EX36" s="63"/>
      <c r="EY36" s="63"/>
      <c r="EZ36" s="63"/>
      <c r="FA36" s="63"/>
      <c r="FB36" s="63"/>
      <c r="FC36" s="63"/>
      <c r="FD36" s="63"/>
      <c r="FE36" s="63"/>
      <c r="FF36" s="63"/>
    </row>
    <row r="37" spans="1:162" s="23" customFormat="1" ht="30" customHeight="1" x14ac:dyDescent="0.25">
      <c r="A37" s="27" t="s">
        <v>109</v>
      </c>
      <c r="B37" s="19" t="s">
        <v>135</v>
      </c>
      <c r="C37" s="23" t="s">
        <v>207</v>
      </c>
      <c r="D37" s="19" t="s">
        <v>474</v>
      </c>
      <c r="E37" s="23" t="s">
        <v>137</v>
      </c>
      <c r="F37" s="23">
        <v>2005</v>
      </c>
      <c r="G37" s="23" t="s">
        <v>240</v>
      </c>
      <c r="H37" s="23" t="s">
        <v>240</v>
      </c>
      <c r="I37" s="24" t="s">
        <v>475</v>
      </c>
      <c r="J37" s="24" t="s">
        <v>476</v>
      </c>
      <c r="K37" s="24" t="s">
        <v>477</v>
      </c>
      <c r="L37" s="24" t="s">
        <v>478</v>
      </c>
      <c r="M37" s="23" t="s">
        <v>479</v>
      </c>
      <c r="N37" s="20" t="s">
        <v>301</v>
      </c>
      <c r="O37" s="23" t="s">
        <v>215</v>
      </c>
      <c r="P37" s="23" t="s">
        <v>240</v>
      </c>
      <c r="V37" s="127" t="s">
        <v>218</v>
      </c>
      <c r="W37" s="111" t="s">
        <v>247</v>
      </c>
      <c r="X37" s="111" t="s">
        <v>219</v>
      </c>
      <c r="Z37" s="23" t="s">
        <v>220</v>
      </c>
      <c r="AB37" s="23">
        <v>6</v>
      </c>
      <c r="AF37" s="23">
        <v>13</v>
      </c>
      <c r="AG37" s="23" t="s">
        <v>971</v>
      </c>
      <c r="AH37" s="24" t="s">
        <v>1060</v>
      </c>
      <c r="AI37" s="23" t="s">
        <v>1044</v>
      </c>
      <c r="AK37" s="23" t="s">
        <v>971</v>
      </c>
      <c r="AL37" s="23" t="s">
        <v>1074</v>
      </c>
      <c r="AM37" s="116">
        <v>41</v>
      </c>
      <c r="AN37" s="23" t="s">
        <v>1516</v>
      </c>
      <c r="AO37" s="23" t="s">
        <v>1517</v>
      </c>
      <c r="AP37" s="116" t="s">
        <v>1451</v>
      </c>
      <c r="AQ37" s="63"/>
      <c r="AR37" s="63"/>
      <c r="AS37" s="63"/>
      <c r="AT37" s="63"/>
      <c r="AU37" s="63"/>
      <c r="AV37" s="63"/>
      <c r="AW37" s="63"/>
      <c r="AX37" s="63"/>
      <c r="AY37" s="63"/>
      <c r="AZ37" s="63"/>
      <c r="BA37" s="63"/>
      <c r="BB37" s="63"/>
      <c r="BC37" s="63"/>
      <c r="BD37" s="63"/>
      <c r="BE37" s="63"/>
      <c r="BF37" s="63"/>
      <c r="BG37" s="63"/>
      <c r="BH37" s="63"/>
      <c r="BI37" s="63"/>
      <c r="BJ37" s="63"/>
      <c r="BK37" s="63"/>
      <c r="BL37" s="63"/>
      <c r="BM37" s="63"/>
      <c r="BN37" s="63"/>
      <c r="BO37" s="63"/>
      <c r="BP37" s="63"/>
      <c r="BQ37" s="63"/>
      <c r="BR37" s="63"/>
      <c r="BS37" s="63"/>
      <c r="BT37" s="63"/>
      <c r="BU37" s="63"/>
      <c r="BV37" s="63"/>
      <c r="BW37" s="63"/>
      <c r="BX37" s="63"/>
      <c r="BY37" s="63"/>
      <c r="BZ37" s="63"/>
      <c r="CA37" s="63"/>
      <c r="CB37" s="63"/>
      <c r="CC37" s="63"/>
      <c r="CD37" s="63"/>
      <c r="CE37" s="63"/>
      <c r="CF37" s="63"/>
      <c r="CG37" s="63"/>
      <c r="CH37" s="63"/>
      <c r="CI37" s="63"/>
      <c r="CJ37" s="63"/>
      <c r="CK37" s="63"/>
      <c r="CL37" s="63"/>
      <c r="CM37" s="63"/>
      <c r="CN37" s="63"/>
      <c r="CO37" s="63"/>
      <c r="CP37" s="63"/>
      <c r="CQ37" s="63"/>
      <c r="CR37" s="63"/>
      <c r="CS37" s="63"/>
      <c r="CT37" s="63"/>
      <c r="CU37" s="63"/>
      <c r="CV37" s="63"/>
      <c r="CW37" s="63"/>
      <c r="CX37" s="63"/>
      <c r="CY37" s="63"/>
      <c r="CZ37" s="63"/>
      <c r="DA37" s="63"/>
      <c r="DB37" s="63"/>
      <c r="DC37" s="63"/>
      <c r="DD37" s="63"/>
      <c r="DE37" s="63"/>
      <c r="DF37" s="63"/>
      <c r="DG37" s="63"/>
      <c r="DH37" s="63"/>
      <c r="DI37" s="63"/>
      <c r="DJ37" s="63"/>
      <c r="DK37" s="63"/>
      <c r="DL37" s="63"/>
      <c r="DM37" s="63"/>
      <c r="DN37" s="63"/>
      <c r="DO37" s="63"/>
      <c r="DP37" s="63"/>
      <c r="DQ37" s="63"/>
      <c r="DR37" s="63"/>
      <c r="DS37" s="63"/>
      <c r="DT37" s="63"/>
      <c r="DU37" s="63"/>
      <c r="DV37" s="63"/>
      <c r="DW37" s="63"/>
      <c r="DX37" s="63"/>
      <c r="DY37" s="63"/>
      <c r="DZ37" s="63"/>
      <c r="EA37" s="63"/>
      <c r="EB37" s="63"/>
      <c r="EC37" s="63"/>
      <c r="ED37" s="63"/>
      <c r="EE37" s="63"/>
      <c r="EF37" s="63"/>
      <c r="EG37" s="63"/>
      <c r="EH37" s="63"/>
      <c r="EI37" s="63"/>
      <c r="EJ37" s="63"/>
      <c r="EK37" s="63"/>
      <c r="EL37" s="63"/>
      <c r="EM37" s="63"/>
      <c r="EN37" s="63"/>
      <c r="EO37" s="63"/>
      <c r="EP37" s="63"/>
      <c r="EQ37" s="63"/>
      <c r="ER37" s="63"/>
      <c r="ES37" s="63"/>
      <c r="ET37" s="63"/>
      <c r="EU37" s="63"/>
      <c r="EV37" s="63"/>
      <c r="EW37" s="63"/>
      <c r="EX37" s="63"/>
      <c r="EY37" s="63"/>
      <c r="EZ37" s="63"/>
      <c r="FA37" s="63"/>
      <c r="FB37" s="63"/>
      <c r="FC37" s="63"/>
      <c r="FD37" s="63"/>
      <c r="FE37" s="63"/>
      <c r="FF37" s="63"/>
    </row>
    <row r="38" spans="1:162" s="23" customFormat="1" ht="30" customHeight="1" x14ac:dyDescent="0.25">
      <c r="A38" s="20" t="s">
        <v>58</v>
      </c>
      <c r="B38" s="20" t="s">
        <v>165</v>
      </c>
      <c r="C38" s="20" t="s">
        <v>1082</v>
      </c>
      <c r="D38" s="20" t="s">
        <v>165</v>
      </c>
      <c r="E38" s="20" t="s">
        <v>132</v>
      </c>
      <c r="F38" s="20">
        <v>1991</v>
      </c>
      <c r="G38" s="20" t="s">
        <v>1099</v>
      </c>
      <c r="H38" s="20" t="s">
        <v>238</v>
      </c>
      <c r="I38" s="28" t="s">
        <v>1100</v>
      </c>
      <c r="J38" s="28" t="s">
        <v>164</v>
      </c>
      <c r="K38" s="28" t="s">
        <v>1101</v>
      </c>
      <c r="L38" s="28" t="s">
        <v>1102</v>
      </c>
      <c r="M38" s="20" t="s">
        <v>1103</v>
      </c>
      <c r="N38" s="20" t="s">
        <v>301</v>
      </c>
      <c r="O38" s="20" t="s">
        <v>215</v>
      </c>
      <c r="P38" s="20" t="s">
        <v>1104</v>
      </c>
      <c r="Q38" s="20"/>
      <c r="R38" s="20"/>
      <c r="S38" s="20"/>
      <c r="T38" s="20" t="s">
        <v>30</v>
      </c>
      <c r="U38" s="20"/>
      <c r="V38" s="20" t="s">
        <v>218</v>
      </c>
      <c r="W38" s="111" t="s">
        <v>247</v>
      </c>
      <c r="X38" s="111" t="s">
        <v>219</v>
      </c>
      <c r="Y38" s="20"/>
      <c r="Z38" s="23" t="s">
        <v>1380</v>
      </c>
      <c r="AB38" s="20">
        <f>20/4</f>
        <v>5</v>
      </c>
      <c r="AC38" s="20">
        <f>+AB38*30</f>
        <v>150</v>
      </c>
      <c r="AD38" s="20"/>
      <c r="AE38" s="20"/>
      <c r="AF38" s="20">
        <v>80</v>
      </c>
      <c r="AG38" s="20" t="s">
        <v>970</v>
      </c>
      <c r="AH38" s="28" t="s">
        <v>1105</v>
      </c>
      <c r="AI38" s="23" t="s">
        <v>1033</v>
      </c>
      <c r="AJ38" s="20" t="s">
        <v>1106</v>
      </c>
      <c r="AK38" s="20" t="s">
        <v>970</v>
      </c>
      <c r="AL38" s="20"/>
      <c r="AM38" s="116">
        <v>61</v>
      </c>
      <c r="AN38" s="23" t="s">
        <v>1518</v>
      </c>
      <c r="AO38" s="23" t="s">
        <v>1519</v>
      </c>
      <c r="AP38" s="116" t="s">
        <v>1451</v>
      </c>
      <c r="AQ38" s="63"/>
      <c r="AR38" s="63"/>
      <c r="AS38" s="63"/>
      <c r="AT38" s="63"/>
      <c r="AU38" s="63"/>
      <c r="AV38" s="63"/>
      <c r="AW38" s="63"/>
      <c r="AX38" s="63"/>
      <c r="AY38" s="63"/>
      <c r="AZ38" s="63"/>
      <c r="BA38" s="63"/>
      <c r="BB38" s="63"/>
      <c r="BC38" s="63"/>
      <c r="BD38" s="63"/>
      <c r="BE38" s="63"/>
      <c r="BF38" s="63"/>
      <c r="BG38" s="63"/>
      <c r="BH38" s="63"/>
      <c r="BI38" s="63"/>
      <c r="BJ38" s="63"/>
      <c r="BK38" s="63"/>
      <c r="BL38" s="63"/>
      <c r="BM38" s="63"/>
      <c r="BN38" s="63"/>
      <c r="BO38" s="63"/>
      <c r="BP38" s="63"/>
      <c r="BQ38" s="63"/>
      <c r="BR38" s="63"/>
      <c r="BS38" s="63"/>
      <c r="BT38" s="63"/>
      <c r="BU38" s="63"/>
      <c r="BV38" s="63"/>
      <c r="BW38" s="63"/>
      <c r="BX38" s="63"/>
      <c r="BY38" s="63"/>
      <c r="BZ38" s="63"/>
      <c r="CA38" s="63"/>
      <c r="CB38" s="63"/>
      <c r="CC38" s="63"/>
      <c r="CD38" s="63"/>
      <c r="CE38" s="63"/>
      <c r="CF38" s="63"/>
      <c r="CG38" s="63"/>
      <c r="CH38" s="63"/>
      <c r="CI38" s="63"/>
      <c r="CJ38" s="63"/>
      <c r="CK38" s="63"/>
      <c r="CL38" s="63"/>
      <c r="CM38" s="63"/>
      <c r="CN38" s="63"/>
      <c r="CO38" s="63"/>
      <c r="CP38" s="63"/>
      <c r="CQ38" s="63"/>
      <c r="CR38" s="63"/>
      <c r="CS38" s="63"/>
      <c r="CT38" s="63"/>
      <c r="CU38" s="63"/>
      <c r="CV38" s="63"/>
      <c r="CW38" s="63"/>
      <c r="CX38" s="63"/>
      <c r="CY38" s="63"/>
      <c r="CZ38" s="63"/>
      <c r="DA38" s="63"/>
      <c r="DB38" s="63"/>
      <c r="DC38" s="63"/>
      <c r="DD38" s="63"/>
      <c r="DE38" s="63"/>
      <c r="DF38" s="63"/>
      <c r="DG38" s="63"/>
      <c r="DH38" s="63"/>
      <c r="DI38" s="63"/>
      <c r="DJ38" s="63"/>
      <c r="DK38" s="63"/>
      <c r="DL38" s="63"/>
      <c r="DM38" s="63"/>
      <c r="DN38" s="63"/>
      <c r="DO38" s="63"/>
      <c r="DP38" s="63"/>
      <c r="DQ38" s="63"/>
      <c r="DR38" s="63"/>
      <c r="DS38" s="63"/>
      <c r="DT38" s="63"/>
      <c r="DU38" s="63"/>
      <c r="DV38" s="63"/>
      <c r="DW38" s="63"/>
      <c r="DX38" s="63"/>
      <c r="DY38" s="63"/>
      <c r="DZ38" s="63"/>
      <c r="EA38" s="63"/>
      <c r="EB38" s="63"/>
      <c r="EC38" s="63"/>
      <c r="ED38" s="63"/>
      <c r="EE38" s="63"/>
      <c r="EF38" s="63"/>
      <c r="EG38" s="63"/>
      <c r="EH38" s="63"/>
      <c r="EI38" s="63"/>
      <c r="EJ38" s="63"/>
      <c r="EK38" s="63"/>
      <c r="EL38" s="63"/>
      <c r="EM38" s="63"/>
      <c r="EN38" s="63"/>
      <c r="EO38" s="63"/>
      <c r="EP38" s="63"/>
      <c r="EQ38" s="63"/>
      <c r="ER38" s="63"/>
      <c r="ES38" s="63"/>
      <c r="ET38" s="63"/>
      <c r="EU38" s="63"/>
      <c r="EV38" s="63"/>
      <c r="EW38" s="63"/>
      <c r="EX38" s="63"/>
      <c r="EY38" s="63"/>
      <c r="EZ38" s="63"/>
      <c r="FA38" s="63"/>
      <c r="FB38" s="63"/>
      <c r="FC38" s="63"/>
      <c r="FD38" s="63"/>
      <c r="FE38" s="63"/>
      <c r="FF38" s="63"/>
    </row>
    <row r="39" spans="1:162" s="23" customFormat="1" ht="30" customHeight="1" x14ac:dyDescent="0.25">
      <c r="A39" s="23" t="s">
        <v>81</v>
      </c>
      <c r="B39" s="116" t="s">
        <v>124</v>
      </c>
      <c r="C39" s="116" t="s">
        <v>221</v>
      </c>
      <c r="D39" s="116" t="s">
        <v>365</v>
      </c>
      <c r="E39" s="116" t="s">
        <v>114</v>
      </c>
      <c r="F39" s="116" t="s">
        <v>366</v>
      </c>
      <c r="G39" s="117" t="s">
        <v>367</v>
      </c>
      <c r="H39" s="117" t="s">
        <v>368</v>
      </c>
      <c r="I39" s="117" t="s">
        <v>369</v>
      </c>
      <c r="J39" s="116" t="s">
        <v>370</v>
      </c>
      <c r="K39" s="117" t="s">
        <v>371</v>
      </c>
      <c r="L39" s="117" t="s">
        <v>372</v>
      </c>
      <c r="M39" s="117" t="s">
        <v>228</v>
      </c>
      <c r="N39" s="20" t="s">
        <v>301</v>
      </c>
      <c r="O39" s="116" t="s">
        <v>315</v>
      </c>
      <c r="P39" s="116" t="s">
        <v>373</v>
      </c>
      <c r="Q39" s="116"/>
      <c r="R39" s="116"/>
      <c r="S39" s="117" t="s">
        <v>374</v>
      </c>
      <c r="T39" s="116"/>
      <c r="U39" s="116"/>
      <c r="V39" s="115" t="s">
        <v>218</v>
      </c>
      <c r="W39" s="111" t="s">
        <v>247</v>
      </c>
      <c r="X39" s="111" t="s">
        <v>1378</v>
      </c>
      <c r="Y39" s="116" t="s">
        <v>230</v>
      </c>
      <c r="Z39" s="23" t="s">
        <v>1380</v>
      </c>
      <c r="AB39" s="116">
        <v>3</v>
      </c>
      <c r="AC39" s="116"/>
      <c r="AD39" s="116">
        <v>3</v>
      </c>
      <c r="AE39" s="116"/>
      <c r="AF39" s="23">
        <v>44</v>
      </c>
      <c r="AG39" s="116" t="s">
        <v>971</v>
      </c>
      <c r="AH39" s="135" t="s">
        <v>1035</v>
      </c>
      <c r="AI39" s="116" t="s">
        <v>1033</v>
      </c>
      <c r="AJ39" s="116" t="s">
        <v>1038</v>
      </c>
      <c r="AK39" s="116" t="s">
        <v>971</v>
      </c>
      <c r="AL39" s="116" t="s">
        <v>1078</v>
      </c>
      <c r="AM39" s="116">
        <v>22</v>
      </c>
      <c r="AN39" s="23" t="s">
        <v>1520</v>
      </c>
      <c r="AO39" s="116" t="s">
        <v>1521</v>
      </c>
      <c r="AP39" s="116" t="s">
        <v>1451</v>
      </c>
      <c r="AQ39" s="63"/>
      <c r="AR39" s="63"/>
      <c r="AS39" s="63"/>
      <c r="AT39" s="63"/>
      <c r="AU39" s="63"/>
      <c r="AV39" s="63"/>
      <c r="AW39" s="63"/>
      <c r="AX39" s="63"/>
      <c r="AY39" s="63"/>
      <c r="AZ39" s="63"/>
      <c r="BA39" s="63"/>
      <c r="BB39" s="63"/>
      <c r="BC39" s="63"/>
      <c r="BD39" s="63"/>
      <c r="BE39" s="63"/>
      <c r="BF39" s="63"/>
      <c r="BG39" s="63"/>
      <c r="BH39" s="63"/>
      <c r="BI39" s="63"/>
      <c r="BJ39" s="63"/>
      <c r="BK39" s="63"/>
      <c r="BL39" s="63"/>
      <c r="BM39" s="63"/>
      <c r="BN39" s="63"/>
      <c r="BO39" s="63"/>
      <c r="BP39" s="63"/>
      <c r="BQ39" s="63"/>
      <c r="BR39" s="63"/>
      <c r="BS39" s="63"/>
      <c r="BT39" s="63"/>
      <c r="BU39" s="63"/>
      <c r="BV39" s="63"/>
      <c r="BW39" s="63"/>
      <c r="BX39" s="63"/>
      <c r="BY39" s="63"/>
      <c r="BZ39" s="63"/>
      <c r="CA39" s="63"/>
      <c r="CB39" s="63"/>
      <c r="CC39" s="63"/>
      <c r="CD39" s="63"/>
      <c r="CE39" s="63"/>
      <c r="CF39" s="63"/>
      <c r="CG39" s="63"/>
      <c r="CH39" s="63"/>
      <c r="CI39" s="63"/>
      <c r="CJ39" s="63"/>
      <c r="CK39" s="63"/>
      <c r="CL39" s="63"/>
      <c r="CM39" s="63"/>
      <c r="CN39" s="63"/>
      <c r="CO39" s="63"/>
      <c r="CP39" s="63"/>
      <c r="CQ39" s="63"/>
      <c r="CR39" s="63"/>
      <c r="CS39" s="63"/>
      <c r="CT39" s="63"/>
      <c r="CU39" s="63"/>
      <c r="CV39" s="63"/>
      <c r="CW39" s="63"/>
      <c r="CX39" s="63"/>
      <c r="CY39" s="63"/>
      <c r="CZ39" s="63"/>
      <c r="DA39" s="63"/>
      <c r="DB39" s="63"/>
      <c r="DC39" s="63"/>
      <c r="DD39" s="63"/>
      <c r="DE39" s="63"/>
      <c r="DF39" s="63"/>
      <c r="DG39" s="63"/>
      <c r="DH39" s="63"/>
      <c r="DI39" s="63"/>
      <c r="DJ39" s="63"/>
      <c r="DK39" s="63"/>
      <c r="DL39" s="63"/>
      <c r="DM39" s="63"/>
      <c r="DN39" s="63"/>
      <c r="DO39" s="63"/>
      <c r="DP39" s="63"/>
      <c r="DQ39" s="63"/>
      <c r="DR39" s="63"/>
      <c r="DS39" s="63"/>
      <c r="DT39" s="63"/>
      <c r="DU39" s="63"/>
      <c r="DV39" s="63"/>
      <c r="DW39" s="63"/>
      <c r="DX39" s="63"/>
      <c r="DY39" s="63"/>
      <c r="DZ39" s="63"/>
      <c r="EA39" s="63"/>
      <c r="EB39" s="63"/>
      <c r="EC39" s="63"/>
      <c r="ED39" s="63"/>
      <c r="EE39" s="63"/>
      <c r="EF39" s="63"/>
      <c r="EG39" s="63"/>
      <c r="EH39" s="63"/>
      <c r="EI39" s="63"/>
      <c r="EJ39" s="63"/>
      <c r="EK39" s="63"/>
      <c r="EL39" s="63"/>
      <c r="EM39" s="63"/>
      <c r="EN39" s="63"/>
      <c r="EO39" s="63"/>
      <c r="EP39" s="63"/>
      <c r="EQ39" s="63"/>
      <c r="ER39" s="63"/>
      <c r="ES39" s="63"/>
      <c r="ET39" s="63"/>
      <c r="EU39" s="63"/>
      <c r="EV39" s="63"/>
      <c r="EW39" s="63"/>
      <c r="EX39" s="63"/>
      <c r="EY39" s="63"/>
      <c r="EZ39" s="63"/>
      <c r="FA39" s="63"/>
      <c r="FB39" s="63"/>
      <c r="FC39" s="63"/>
      <c r="FD39" s="63"/>
      <c r="FE39" s="63"/>
      <c r="FF39" s="63"/>
    </row>
    <row r="40" spans="1:162" s="23" customFormat="1" ht="30" customHeight="1" x14ac:dyDescent="0.25">
      <c r="A40" s="118" t="s">
        <v>84</v>
      </c>
      <c r="B40" s="116" t="s">
        <v>71</v>
      </c>
      <c r="C40" s="116" t="s">
        <v>293</v>
      </c>
      <c r="D40" s="116" t="s">
        <v>365</v>
      </c>
      <c r="E40" s="116" t="s">
        <v>114</v>
      </c>
      <c r="F40" s="116">
        <v>2009</v>
      </c>
      <c r="G40" s="117" t="s">
        <v>375</v>
      </c>
      <c r="H40" s="116" t="s">
        <v>376</v>
      </c>
      <c r="I40" s="117" t="s">
        <v>377</v>
      </c>
      <c r="J40" s="116" t="s">
        <v>370</v>
      </c>
      <c r="K40" s="117" t="s">
        <v>378</v>
      </c>
      <c r="L40" s="117" t="s">
        <v>379</v>
      </c>
      <c r="M40" s="117" t="s">
        <v>380</v>
      </c>
      <c r="N40" s="20" t="s">
        <v>301</v>
      </c>
      <c r="O40" s="116" t="s">
        <v>215</v>
      </c>
      <c r="P40" s="117" t="s">
        <v>381</v>
      </c>
      <c r="Q40" s="117" t="s">
        <v>365</v>
      </c>
      <c r="R40" s="116"/>
      <c r="S40" s="116" t="s">
        <v>382</v>
      </c>
      <c r="T40" s="116" t="s">
        <v>30</v>
      </c>
      <c r="U40" s="116"/>
      <c r="V40" s="115" t="s">
        <v>218</v>
      </c>
      <c r="W40" s="111" t="s">
        <v>247</v>
      </c>
      <c r="X40" s="111" t="s">
        <v>1378</v>
      </c>
      <c r="Y40" s="116" t="s">
        <v>230</v>
      </c>
      <c r="Z40" s="23" t="s">
        <v>1380</v>
      </c>
      <c r="AB40" s="116">
        <v>3</v>
      </c>
      <c r="AC40" s="116"/>
      <c r="AD40" s="116">
        <v>3</v>
      </c>
      <c r="AE40" s="116"/>
      <c r="AF40" s="116">
        <v>20</v>
      </c>
      <c r="AG40" s="23" t="s">
        <v>971</v>
      </c>
      <c r="AH40" s="23" t="s">
        <v>1039</v>
      </c>
      <c r="AI40" s="116" t="s">
        <v>1033</v>
      </c>
      <c r="AJ40" s="23" t="s">
        <v>1040</v>
      </c>
      <c r="AK40" s="116" t="s">
        <v>971</v>
      </c>
      <c r="AL40" s="116" t="s">
        <v>1078</v>
      </c>
      <c r="AM40" s="116">
        <v>23</v>
      </c>
      <c r="AN40" s="23" t="s">
        <v>1520</v>
      </c>
      <c r="AO40" s="116" t="s">
        <v>1521</v>
      </c>
      <c r="AP40" s="116" t="s">
        <v>1451</v>
      </c>
      <c r="AQ40" s="63"/>
      <c r="AR40" s="63"/>
      <c r="AS40" s="63"/>
      <c r="AT40" s="63"/>
      <c r="AU40" s="63"/>
      <c r="AV40" s="63"/>
      <c r="AW40" s="63"/>
      <c r="AX40" s="63"/>
      <c r="AY40" s="63"/>
      <c r="AZ40" s="63"/>
      <c r="BA40" s="63"/>
      <c r="BB40" s="63"/>
      <c r="BC40" s="63"/>
      <c r="BD40" s="63"/>
      <c r="BE40" s="63"/>
      <c r="BF40" s="63"/>
      <c r="BG40" s="63"/>
      <c r="BH40" s="63"/>
      <c r="BI40" s="63"/>
      <c r="BJ40" s="63"/>
      <c r="BK40" s="63"/>
      <c r="BL40" s="63"/>
      <c r="BM40" s="63"/>
      <c r="BN40" s="63"/>
      <c r="BO40" s="63"/>
      <c r="BP40" s="63"/>
      <c r="BQ40" s="63"/>
      <c r="BR40" s="63"/>
      <c r="BS40" s="63"/>
      <c r="BT40" s="63"/>
      <c r="BU40" s="63"/>
      <c r="BV40" s="63"/>
      <c r="BW40" s="63"/>
      <c r="BX40" s="63"/>
      <c r="BY40" s="63"/>
      <c r="BZ40" s="63"/>
      <c r="CA40" s="63"/>
      <c r="CB40" s="63"/>
      <c r="CC40" s="63"/>
      <c r="CD40" s="63"/>
      <c r="CE40" s="63"/>
      <c r="CF40" s="63"/>
      <c r="CG40" s="63"/>
      <c r="CH40" s="63"/>
      <c r="CI40" s="63"/>
      <c r="CJ40" s="63"/>
      <c r="CK40" s="63"/>
      <c r="CL40" s="63"/>
      <c r="CM40" s="63"/>
      <c r="CN40" s="63"/>
      <c r="CO40" s="63"/>
      <c r="CP40" s="63"/>
      <c r="CQ40" s="63"/>
      <c r="CR40" s="63"/>
      <c r="CS40" s="63"/>
      <c r="CT40" s="63"/>
      <c r="CU40" s="63"/>
      <c r="CV40" s="63"/>
      <c r="CW40" s="63"/>
      <c r="CX40" s="63"/>
      <c r="CY40" s="63"/>
      <c r="CZ40" s="63"/>
      <c r="DA40" s="63"/>
      <c r="DB40" s="63"/>
      <c r="DC40" s="63"/>
      <c r="DD40" s="63"/>
      <c r="DE40" s="63"/>
      <c r="DF40" s="63"/>
      <c r="DG40" s="63"/>
      <c r="DH40" s="63"/>
      <c r="DI40" s="63"/>
      <c r="DJ40" s="63"/>
      <c r="DK40" s="63"/>
      <c r="DL40" s="63"/>
      <c r="DM40" s="63"/>
      <c r="DN40" s="63"/>
      <c r="DO40" s="63"/>
      <c r="DP40" s="63"/>
      <c r="DQ40" s="63"/>
      <c r="DR40" s="63"/>
      <c r="DS40" s="63"/>
      <c r="DT40" s="63"/>
      <c r="DU40" s="63"/>
      <c r="DV40" s="63"/>
      <c r="DW40" s="63"/>
      <c r="DX40" s="63"/>
      <c r="DY40" s="63"/>
      <c r="DZ40" s="63"/>
      <c r="EA40" s="63"/>
      <c r="EB40" s="63"/>
      <c r="EC40" s="63"/>
      <c r="ED40" s="63"/>
      <c r="EE40" s="63"/>
      <c r="EF40" s="63"/>
      <c r="EG40" s="63"/>
      <c r="EH40" s="63"/>
      <c r="EI40" s="63"/>
      <c r="EJ40" s="63"/>
      <c r="EK40" s="63"/>
      <c r="EL40" s="63"/>
      <c r="EM40" s="63"/>
      <c r="EN40" s="63"/>
      <c r="EO40" s="63"/>
      <c r="EP40" s="63"/>
      <c r="EQ40" s="63"/>
      <c r="ER40" s="63"/>
      <c r="ES40" s="63"/>
      <c r="ET40" s="63"/>
      <c r="EU40" s="63"/>
      <c r="EV40" s="63"/>
      <c r="EW40" s="63"/>
      <c r="EX40" s="63"/>
      <c r="EY40" s="63"/>
      <c r="EZ40" s="63"/>
      <c r="FA40" s="63"/>
      <c r="FB40" s="63"/>
      <c r="FC40" s="63"/>
      <c r="FD40" s="63"/>
      <c r="FE40" s="63"/>
      <c r="FF40" s="63"/>
    </row>
    <row r="41" spans="1:162" s="23" customFormat="1" ht="30" customHeight="1" x14ac:dyDescent="0.25">
      <c r="A41" s="20" t="s">
        <v>59</v>
      </c>
      <c r="B41" s="20" t="s">
        <v>127</v>
      </c>
      <c r="C41" s="20" t="s">
        <v>1082</v>
      </c>
      <c r="D41" s="20" t="s">
        <v>365</v>
      </c>
      <c r="E41" s="20" t="s">
        <v>114</v>
      </c>
      <c r="F41" s="20">
        <v>1996</v>
      </c>
      <c r="G41" s="20" t="s">
        <v>1107</v>
      </c>
      <c r="H41" s="20" t="s">
        <v>311</v>
      </c>
      <c r="I41" s="28" t="s">
        <v>1108</v>
      </c>
      <c r="J41" s="28" t="s">
        <v>115</v>
      </c>
      <c r="K41" s="28" t="s">
        <v>1109</v>
      </c>
      <c r="L41" s="140" t="s">
        <v>240</v>
      </c>
      <c r="M41" s="28" t="s">
        <v>1110</v>
      </c>
      <c r="N41" s="20" t="s">
        <v>301</v>
      </c>
      <c r="O41" s="20" t="s">
        <v>1111</v>
      </c>
      <c r="P41" s="20" t="s">
        <v>338</v>
      </c>
      <c r="Q41" s="20"/>
      <c r="R41" s="20"/>
      <c r="S41" s="20"/>
      <c r="T41" s="20"/>
      <c r="U41" s="20"/>
      <c r="V41" s="20" t="s">
        <v>218</v>
      </c>
      <c r="W41" s="111" t="s">
        <v>247</v>
      </c>
      <c r="X41" s="111" t="s">
        <v>1378</v>
      </c>
      <c r="Y41" s="116" t="s">
        <v>230</v>
      </c>
      <c r="Z41" s="23" t="s">
        <v>1380</v>
      </c>
      <c r="AB41" s="20">
        <v>3</v>
      </c>
      <c r="AC41" s="20">
        <v>300</v>
      </c>
      <c r="AD41" s="20">
        <v>3</v>
      </c>
      <c r="AE41" s="20"/>
      <c r="AF41" s="20">
        <v>6</v>
      </c>
      <c r="AG41" s="20" t="s">
        <v>971</v>
      </c>
      <c r="AH41" s="28" t="s">
        <v>1112</v>
      </c>
      <c r="AI41" s="23" t="s">
        <v>1033</v>
      </c>
      <c r="AJ41" s="20" t="s">
        <v>1038</v>
      </c>
      <c r="AK41" s="116" t="s">
        <v>971</v>
      </c>
      <c r="AL41" s="20"/>
      <c r="AM41" s="116">
        <v>62</v>
      </c>
      <c r="AN41" s="23" t="s">
        <v>1520</v>
      </c>
      <c r="AO41" s="116" t="s">
        <v>1521</v>
      </c>
      <c r="AP41" s="116" t="s">
        <v>1451</v>
      </c>
      <c r="AQ41" s="63"/>
      <c r="AR41" s="63"/>
      <c r="AS41" s="63"/>
      <c r="AT41" s="63"/>
      <c r="AU41" s="63"/>
      <c r="AV41" s="63"/>
      <c r="AW41" s="63"/>
      <c r="AX41" s="63"/>
      <c r="AY41" s="63"/>
      <c r="AZ41" s="63"/>
      <c r="BA41" s="63"/>
      <c r="BB41" s="63"/>
      <c r="BC41" s="63"/>
      <c r="BD41" s="63"/>
      <c r="BE41" s="63"/>
      <c r="BF41" s="63"/>
      <c r="BG41" s="63"/>
      <c r="BH41" s="63"/>
      <c r="BI41" s="63"/>
      <c r="BJ41" s="63"/>
      <c r="BK41" s="63"/>
      <c r="BL41" s="63"/>
      <c r="BM41" s="63"/>
      <c r="BN41" s="63"/>
      <c r="BO41" s="63"/>
      <c r="BP41" s="63"/>
      <c r="BQ41" s="63"/>
      <c r="BR41" s="63"/>
      <c r="BS41" s="63"/>
      <c r="BT41" s="63"/>
      <c r="BU41" s="63"/>
      <c r="BV41" s="63"/>
      <c r="BW41" s="63"/>
      <c r="BX41" s="63"/>
      <c r="BY41" s="63"/>
      <c r="BZ41" s="63"/>
      <c r="CA41" s="63"/>
      <c r="CB41" s="63"/>
      <c r="CC41" s="63"/>
      <c r="CD41" s="63"/>
      <c r="CE41" s="63"/>
      <c r="CF41" s="63"/>
      <c r="CG41" s="63"/>
      <c r="CH41" s="63"/>
      <c r="CI41" s="63"/>
      <c r="CJ41" s="63"/>
      <c r="CK41" s="63"/>
      <c r="CL41" s="63"/>
      <c r="CM41" s="63"/>
      <c r="CN41" s="63"/>
      <c r="CO41" s="63"/>
      <c r="CP41" s="63"/>
      <c r="CQ41" s="63"/>
      <c r="CR41" s="63"/>
      <c r="CS41" s="63"/>
      <c r="CT41" s="63"/>
      <c r="CU41" s="63"/>
      <c r="CV41" s="63"/>
      <c r="CW41" s="63"/>
      <c r="CX41" s="63"/>
      <c r="CY41" s="63"/>
      <c r="CZ41" s="63"/>
      <c r="DA41" s="63"/>
      <c r="DB41" s="63"/>
      <c r="DC41" s="63"/>
      <c r="DD41" s="63"/>
      <c r="DE41" s="63"/>
      <c r="DF41" s="63"/>
      <c r="DG41" s="63"/>
      <c r="DH41" s="63"/>
      <c r="DI41" s="63"/>
      <c r="DJ41" s="63"/>
      <c r="DK41" s="63"/>
      <c r="DL41" s="63"/>
      <c r="DM41" s="63"/>
      <c r="DN41" s="63"/>
      <c r="DO41" s="63"/>
      <c r="DP41" s="63"/>
      <c r="DQ41" s="63"/>
      <c r="DR41" s="63"/>
      <c r="DS41" s="63"/>
      <c r="DT41" s="63"/>
      <c r="DU41" s="63"/>
      <c r="DV41" s="63"/>
      <c r="DW41" s="63"/>
      <c r="DX41" s="63"/>
      <c r="DY41" s="63"/>
      <c r="DZ41" s="63"/>
      <c r="EA41" s="63"/>
      <c r="EB41" s="63"/>
      <c r="EC41" s="63"/>
      <c r="ED41" s="63"/>
      <c r="EE41" s="63"/>
      <c r="EF41" s="63"/>
      <c r="EG41" s="63"/>
      <c r="EH41" s="63"/>
      <c r="EI41" s="63"/>
      <c r="EJ41" s="63"/>
      <c r="EK41" s="63"/>
      <c r="EL41" s="63"/>
      <c r="EM41" s="63"/>
      <c r="EN41" s="63"/>
      <c r="EO41" s="63"/>
      <c r="EP41" s="63"/>
      <c r="EQ41" s="63"/>
      <c r="ER41" s="63"/>
      <c r="ES41" s="63"/>
      <c r="ET41" s="63"/>
      <c r="EU41" s="63"/>
      <c r="EV41" s="63"/>
      <c r="EW41" s="63"/>
      <c r="EX41" s="63"/>
      <c r="EY41" s="63"/>
      <c r="EZ41" s="63"/>
      <c r="FA41" s="63"/>
      <c r="FB41" s="63"/>
      <c r="FC41" s="63"/>
      <c r="FD41" s="63"/>
      <c r="FE41" s="63"/>
      <c r="FF41" s="63"/>
    </row>
    <row r="42" spans="1:162" s="23" customFormat="1" ht="30" customHeight="1" x14ac:dyDescent="0.25">
      <c r="A42" s="24" t="s">
        <v>54</v>
      </c>
      <c r="B42" s="19" t="s">
        <v>98</v>
      </c>
      <c r="C42" s="23" t="s">
        <v>207</v>
      </c>
      <c r="D42" s="19" t="s">
        <v>98</v>
      </c>
      <c r="E42" s="23" t="s">
        <v>158</v>
      </c>
      <c r="F42" s="23">
        <v>1992</v>
      </c>
      <c r="G42" s="23" t="s">
        <v>470</v>
      </c>
      <c r="H42" s="23" t="s">
        <v>338</v>
      </c>
      <c r="I42" s="24" t="s">
        <v>471</v>
      </c>
      <c r="J42" s="24" t="s">
        <v>1011</v>
      </c>
      <c r="K42" s="24" t="s">
        <v>472</v>
      </c>
      <c r="L42" s="23" t="s">
        <v>240</v>
      </c>
      <c r="M42" s="24" t="s">
        <v>473</v>
      </c>
      <c r="N42" s="20" t="s">
        <v>301</v>
      </c>
      <c r="O42" s="20" t="s">
        <v>1111</v>
      </c>
      <c r="V42" s="127" t="s">
        <v>218</v>
      </c>
      <c r="W42" s="126" t="s">
        <v>219</v>
      </c>
      <c r="X42" s="111" t="s">
        <v>219</v>
      </c>
      <c r="Z42" s="20" t="s">
        <v>231</v>
      </c>
      <c r="AA42" s="20"/>
      <c r="AB42" s="23">
        <v>6</v>
      </c>
      <c r="AF42" s="23">
        <v>53</v>
      </c>
      <c r="AG42" s="23" t="s">
        <v>970</v>
      </c>
      <c r="AH42" s="23" t="s">
        <v>1058</v>
      </c>
      <c r="AI42" s="23" t="s">
        <v>1047</v>
      </c>
      <c r="AJ42" s="23" t="s">
        <v>1059</v>
      </c>
      <c r="AK42" s="23" t="s">
        <v>970</v>
      </c>
      <c r="AM42" s="116">
        <v>40</v>
      </c>
      <c r="AN42" s="23" t="s">
        <v>1522</v>
      </c>
      <c r="AO42" s="23" t="s">
        <v>1523</v>
      </c>
      <c r="AP42" s="116" t="s">
        <v>1451</v>
      </c>
      <c r="AQ42" s="63"/>
      <c r="AR42" s="63"/>
      <c r="AS42" s="63"/>
      <c r="AT42" s="63"/>
      <c r="AU42" s="63"/>
      <c r="AV42" s="63"/>
      <c r="AW42" s="63"/>
      <c r="AX42" s="63"/>
      <c r="AY42" s="63"/>
      <c r="AZ42" s="63"/>
      <c r="BA42" s="63"/>
      <c r="BB42" s="63"/>
      <c r="BC42" s="63"/>
      <c r="BD42" s="63"/>
      <c r="BE42" s="63"/>
      <c r="BF42" s="63"/>
      <c r="BG42" s="63"/>
      <c r="BH42" s="63"/>
      <c r="BI42" s="63"/>
      <c r="BJ42" s="63"/>
      <c r="BK42" s="63"/>
      <c r="BL42" s="63"/>
      <c r="BM42" s="63"/>
      <c r="BN42" s="63"/>
      <c r="BO42" s="63"/>
      <c r="BP42" s="63"/>
      <c r="BQ42" s="63"/>
      <c r="BR42" s="63"/>
      <c r="BS42" s="63"/>
      <c r="BT42" s="63"/>
      <c r="BU42" s="63"/>
      <c r="BV42" s="63"/>
      <c r="BW42" s="63"/>
      <c r="BX42" s="63"/>
      <c r="BY42" s="63"/>
      <c r="BZ42" s="63"/>
      <c r="CA42" s="63"/>
      <c r="CB42" s="63"/>
      <c r="CC42" s="63"/>
      <c r="CD42" s="63"/>
      <c r="CE42" s="63"/>
      <c r="CF42" s="63"/>
      <c r="CG42" s="63"/>
      <c r="CH42" s="63"/>
      <c r="CI42" s="63"/>
      <c r="CJ42" s="63"/>
      <c r="CK42" s="63"/>
      <c r="CL42" s="63"/>
      <c r="CM42" s="63"/>
      <c r="CN42" s="63"/>
      <c r="CO42" s="63"/>
      <c r="CP42" s="63"/>
      <c r="CQ42" s="63"/>
      <c r="CR42" s="63"/>
      <c r="CS42" s="63"/>
      <c r="CT42" s="63"/>
      <c r="CU42" s="63"/>
      <c r="CV42" s="63"/>
      <c r="CW42" s="63"/>
      <c r="CX42" s="63"/>
      <c r="CY42" s="63"/>
      <c r="CZ42" s="63"/>
      <c r="DA42" s="63"/>
      <c r="DB42" s="63"/>
      <c r="DC42" s="63"/>
      <c r="DD42" s="63"/>
      <c r="DE42" s="63"/>
      <c r="DF42" s="63"/>
      <c r="DG42" s="63"/>
      <c r="DH42" s="63"/>
      <c r="DI42" s="63"/>
      <c r="DJ42" s="63"/>
      <c r="DK42" s="63"/>
      <c r="DL42" s="63"/>
      <c r="DM42" s="63"/>
      <c r="DN42" s="63"/>
      <c r="DO42" s="63"/>
      <c r="DP42" s="63"/>
      <c r="DQ42" s="63"/>
      <c r="DR42" s="63"/>
      <c r="DS42" s="63"/>
      <c r="DT42" s="63"/>
      <c r="DU42" s="63"/>
      <c r="DV42" s="63"/>
      <c r="DW42" s="63"/>
      <c r="DX42" s="63"/>
      <c r="DY42" s="63"/>
      <c r="DZ42" s="63"/>
      <c r="EA42" s="63"/>
      <c r="EB42" s="63"/>
      <c r="EC42" s="63"/>
      <c r="ED42" s="63"/>
      <c r="EE42" s="63"/>
      <c r="EF42" s="63"/>
      <c r="EG42" s="63"/>
      <c r="EH42" s="63"/>
      <c r="EI42" s="63"/>
      <c r="EJ42" s="63"/>
      <c r="EK42" s="63"/>
      <c r="EL42" s="63"/>
      <c r="EM42" s="63"/>
      <c r="EN42" s="63"/>
      <c r="EO42" s="63"/>
      <c r="EP42" s="63"/>
      <c r="EQ42" s="63"/>
      <c r="ER42" s="63"/>
      <c r="ES42" s="63"/>
      <c r="ET42" s="63"/>
      <c r="EU42" s="63"/>
      <c r="EV42" s="63"/>
      <c r="EW42" s="63"/>
      <c r="EX42" s="63"/>
      <c r="EY42" s="63"/>
      <c r="EZ42" s="63"/>
      <c r="FA42" s="63"/>
      <c r="FB42" s="63"/>
      <c r="FC42" s="63"/>
      <c r="FD42" s="63"/>
      <c r="FE42" s="63"/>
      <c r="FF42" s="63"/>
    </row>
    <row r="43" spans="1:162" s="23" customFormat="1" ht="30" hidden="1" customHeight="1" x14ac:dyDescent="0.25">
      <c r="A43" s="118" t="s">
        <v>84</v>
      </c>
      <c r="B43" s="118" t="s">
        <v>86</v>
      </c>
      <c r="C43" s="116" t="s">
        <v>207</v>
      </c>
      <c r="D43" s="118" t="s">
        <v>86</v>
      </c>
      <c r="E43" s="116" t="s">
        <v>87</v>
      </c>
      <c r="F43" s="116">
        <v>2013</v>
      </c>
      <c r="G43" s="117" t="s">
        <v>257</v>
      </c>
      <c r="H43" s="116" t="s">
        <v>258</v>
      </c>
      <c r="I43" s="117" t="s">
        <v>259</v>
      </c>
      <c r="J43" s="117" t="s">
        <v>260</v>
      </c>
      <c r="K43" s="136" t="s">
        <v>261</v>
      </c>
      <c r="L43" s="119" t="s">
        <v>262</v>
      </c>
      <c r="M43" s="119" t="s">
        <v>263</v>
      </c>
      <c r="N43" s="116" t="s">
        <v>248</v>
      </c>
      <c r="O43" s="116" t="s">
        <v>215</v>
      </c>
      <c r="P43" s="121" t="s">
        <v>240</v>
      </c>
      <c r="Q43" s="116"/>
      <c r="R43" s="116"/>
      <c r="S43" s="116"/>
      <c r="T43" s="116"/>
      <c r="U43" s="116"/>
      <c r="V43" s="111" t="s">
        <v>352</v>
      </c>
      <c r="W43" s="115" t="s">
        <v>219</v>
      </c>
      <c r="X43" s="111" t="s">
        <v>219</v>
      </c>
      <c r="Y43" s="116" t="s">
        <v>230</v>
      </c>
      <c r="Z43" s="56" t="s">
        <v>231</v>
      </c>
      <c r="AA43" s="56"/>
      <c r="AB43" s="116"/>
      <c r="AC43" s="116">
        <v>135</v>
      </c>
      <c r="AD43" s="116">
        <v>3</v>
      </c>
      <c r="AE43" s="116"/>
      <c r="AF43" s="116">
        <v>6</v>
      </c>
      <c r="AG43" s="116" t="s">
        <v>970</v>
      </c>
      <c r="AH43" s="116" t="s">
        <v>1021</v>
      </c>
      <c r="AI43" s="116" t="s">
        <v>1044</v>
      </c>
      <c r="AJ43" s="116"/>
      <c r="AK43" s="116" t="s">
        <v>970</v>
      </c>
      <c r="AL43" s="116"/>
      <c r="AM43" s="116">
        <v>6</v>
      </c>
      <c r="AN43" s="23" t="s">
        <v>1524</v>
      </c>
      <c r="AO43" s="116" t="s">
        <v>1525</v>
      </c>
      <c r="AP43" s="116" t="s">
        <v>1451</v>
      </c>
      <c r="AQ43" s="63"/>
      <c r="AR43" s="63"/>
      <c r="AS43" s="63"/>
      <c r="AT43" s="63"/>
      <c r="AU43" s="63"/>
      <c r="AV43" s="63"/>
      <c r="AW43" s="63"/>
      <c r="AX43" s="63"/>
      <c r="AY43" s="63"/>
      <c r="AZ43" s="63"/>
      <c r="BA43" s="63"/>
      <c r="BB43" s="63"/>
      <c r="BC43" s="63"/>
      <c r="BD43" s="63"/>
      <c r="BE43" s="63"/>
      <c r="BF43" s="63"/>
      <c r="BG43" s="63"/>
      <c r="BH43" s="63"/>
      <c r="BI43" s="63"/>
      <c r="BJ43" s="63"/>
      <c r="BK43" s="63"/>
      <c r="BL43" s="63"/>
      <c r="BM43" s="63"/>
      <c r="BN43" s="63"/>
      <c r="BO43" s="63"/>
      <c r="BP43" s="63"/>
      <c r="BQ43" s="63"/>
      <c r="BR43" s="63"/>
      <c r="BS43" s="63"/>
      <c r="BT43" s="63"/>
      <c r="BU43" s="63"/>
      <c r="BV43" s="63"/>
      <c r="BW43" s="63"/>
      <c r="BX43" s="63"/>
      <c r="BY43" s="63"/>
      <c r="BZ43" s="63"/>
      <c r="CA43" s="63"/>
      <c r="CB43" s="63"/>
      <c r="CC43" s="63"/>
      <c r="CD43" s="63"/>
      <c r="CE43" s="63"/>
      <c r="CF43" s="63"/>
      <c r="CG43" s="63"/>
      <c r="CH43" s="63"/>
      <c r="CI43" s="63"/>
      <c r="CJ43" s="63"/>
      <c r="CK43" s="63"/>
      <c r="CL43" s="63"/>
      <c r="CM43" s="63"/>
      <c r="CN43" s="63"/>
      <c r="CO43" s="63"/>
      <c r="CP43" s="63"/>
      <c r="CQ43" s="63"/>
      <c r="CR43" s="63"/>
      <c r="CS43" s="63"/>
      <c r="CT43" s="63"/>
      <c r="CU43" s="63"/>
      <c r="CV43" s="63"/>
      <c r="CW43" s="63"/>
      <c r="CX43" s="63"/>
      <c r="CY43" s="63"/>
      <c r="CZ43" s="63"/>
      <c r="DA43" s="63"/>
      <c r="DB43" s="63"/>
      <c r="DC43" s="63"/>
      <c r="DD43" s="63"/>
      <c r="DE43" s="63"/>
      <c r="DF43" s="63"/>
      <c r="DG43" s="63"/>
      <c r="DH43" s="63"/>
      <c r="DI43" s="63"/>
      <c r="DJ43" s="63"/>
      <c r="DK43" s="63"/>
      <c r="DL43" s="63"/>
      <c r="DM43" s="63"/>
      <c r="DN43" s="63"/>
      <c r="DO43" s="63"/>
      <c r="DP43" s="63"/>
      <c r="DQ43" s="63"/>
      <c r="DR43" s="63"/>
      <c r="DS43" s="63"/>
      <c r="DT43" s="63"/>
      <c r="DU43" s="63"/>
      <c r="DV43" s="63"/>
      <c r="DW43" s="63"/>
      <c r="DX43" s="63"/>
      <c r="DY43" s="63"/>
      <c r="DZ43" s="63"/>
      <c r="EA43" s="63"/>
      <c r="EB43" s="63"/>
      <c r="EC43" s="63"/>
      <c r="ED43" s="63"/>
      <c r="EE43" s="63"/>
      <c r="EF43" s="63"/>
      <c r="EG43" s="63"/>
      <c r="EH43" s="63"/>
      <c r="EI43" s="63"/>
      <c r="EJ43" s="63"/>
      <c r="EK43" s="63"/>
      <c r="EL43" s="63"/>
      <c r="EM43" s="63"/>
      <c r="EN43" s="63"/>
      <c r="EO43" s="63"/>
      <c r="EP43" s="63"/>
      <c r="EQ43" s="63"/>
      <c r="ER43" s="63"/>
      <c r="ES43" s="63"/>
      <c r="ET43" s="63"/>
      <c r="EU43" s="63"/>
      <c r="EV43" s="63"/>
      <c r="EW43" s="63"/>
      <c r="EX43" s="63"/>
      <c r="EY43" s="63"/>
      <c r="EZ43" s="63"/>
      <c r="FA43" s="63"/>
      <c r="FB43" s="63"/>
      <c r="FC43" s="63"/>
      <c r="FD43" s="63"/>
      <c r="FE43" s="63"/>
      <c r="FF43" s="63"/>
    </row>
    <row r="44" spans="1:162" s="23" customFormat="1" ht="30" hidden="1" customHeight="1" x14ac:dyDescent="0.25">
      <c r="A44" s="27" t="s">
        <v>54</v>
      </c>
      <c r="B44" s="22" t="s">
        <v>168</v>
      </c>
      <c r="C44" s="23" t="s">
        <v>293</v>
      </c>
      <c r="D44" s="22" t="s">
        <v>168</v>
      </c>
      <c r="E44" s="23" t="s">
        <v>504</v>
      </c>
      <c r="F44" s="23">
        <v>2013</v>
      </c>
      <c r="G44" s="23" t="s">
        <v>505</v>
      </c>
      <c r="H44" s="23" t="s">
        <v>506</v>
      </c>
      <c r="I44" s="24" t="s">
        <v>507</v>
      </c>
      <c r="J44" s="24" t="s">
        <v>169</v>
      </c>
      <c r="K44" s="24" t="s">
        <v>508</v>
      </c>
      <c r="L44" s="24" t="s">
        <v>509</v>
      </c>
      <c r="M44" s="24" t="s">
        <v>510</v>
      </c>
      <c r="N44" s="23" t="s">
        <v>248</v>
      </c>
      <c r="O44" s="23" t="s">
        <v>215</v>
      </c>
      <c r="V44" s="126" t="s">
        <v>218</v>
      </c>
      <c r="W44" s="126" t="s">
        <v>219</v>
      </c>
      <c r="X44" s="111" t="s">
        <v>219</v>
      </c>
      <c r="Y44" s="116" t="s">
        <v>230</v>
      </c>
      <c r="Z44" s="20" t="s">
        <v>231</v>
      </c>
      <c r="AA44" s="20"/>
      <c r="AB44" s="23">
        <v>6</v>
      </c>
      <c r="AD44" s="23">
        <v>3</v>
      </c>
      <c r="AF44" s="23">
        <v>0</v>
      </c>
      <c r="AG44" s="23" t="s">
        <v>970</v>
      </c>
      <c r="AH44" s="23" t="s">
        <v>1065</v>
      </c>
      <c r="AI44" s="23" t="s">
        <v>1033</v>
      </c>
      <c r="AJ44" s="23" t="s">
        <v>1040</v>
      </c>
      <c r="AK44" s="23" t="s">
        <v>971</v>
      </c>
      <c r="AL44" s="23" t="s">
        <v>1081</v>
      </c>
      <c r="AM44" s="116">
        <v>48</v>
      </c>
      <c r="AN44" s="23" t="s">
        <v>1526</v>
      </c>
      <c r="AO44" s="23" t="s">
        <v>1527</v>
      </c>
      <c r="AP44" s="116" t="s">
        <v>1451</v>
      </c>
      <c r="AQ44" s="63"/>
      <c r="AR44" s="63"/>
      <c r="AS44" s="63"/>
      <c r="AT44" s="63"/>
      <c r="AU44" s="63"/>
      <c r="AV44" s="63"/>
      <c r="AW44" s="63"/>
      <c r="AX44" s="63"/>
      <c r="AY44" s="63"/>
      <c r="AZ44" s="63"/>
      <c r="BA44" s="63"/>
      <c r="BB44" s="63"/>
      <c r="BC44" s="63"/>
      <c r="BD44" s="63"/>
      <c r="BE44" s="63"/>
      <c r="BF44" s="63"/>
      <c r="BG44" s="63"/>
      <c r="BH44" s="63"/>
      <c r="BI44" s="63"/>
      <c r="BJ44" s="63"/>
      <c r="BK44" s="63"/>
      <c r="BL44" s="63"/>
      <c r="BM44" s="63"/>
      <c r="BN44" s="63"/>
      <c r="BO44" s="63"/>
      <c r="BP44" s="63"/>
      <c r="BQ44" s="63"/>
      <c r="BR44" s="63"/>
      <c r="BS44" s="63"/>
      <c r="BT44" s="63"/>
      <c r="BU44" s="63"/>
      <c r="BV44" s="63"/>
      <c r="BW44" s="63"/>
      <c r="BX44" s="63"/>
      <c r="BY44" s="63"/>
      <c r="BZ44" s="63"/>
      <c r="CA44" s="63"/>
      <c r="CB44" s="63"/>
      <c r="CC44" s="63"/>
      <c r="CD44" s="63"/>
      <c r="CE44" s="63"/>
      <c r="CF44" s="63"/>
      <c r="CG44" s="63"/>
      <c r="CH44" s="63"/>
      <c r="CI44" s="63"/>
      <c r="CJ44" s="63"/>
      <c r="CK44" s="63"/>
      <c r="CL44" s="63"/>
      <c r="CM44" s="63"/>
      <c r="CN44" s="63"/>
      <c r="CO44" s="63"/>
      <c r="CP44" s="63"/>
      <c r="CQ44" s="63"/>
      <c r="CR44" s="63"/>
      <c r="CS44" s="63"/>
      <c r="CT44" s="63"/>
      <c r="CU44" s="63"/>
      <c r="CV44" s="63"/>
      <c r="CW44" s="63"/>
      <c r="CX44" s="63"/>
      <c r="CY44" s="63"/>
      <c r="CZ44" s="63"/>
      <c r="DA44" s="63"/>
      <c r="DB44" s="63"/>
      <c r="DC44" s="63"/>
      <c r="DD44" s="63"/>
      <c r="DE44" s="63"/>
      <c r="DF44" s="63"/>
      <c r="DG44" s="63"/>
      <c r="DH44" s="63"/>
      <c r="DI44" s="63"/>
      <c r="DJ44" s="63"/>
      <c r="DK44" s="63"/>
      <c r="DL44" s="63"/>
      <c r="DM44" s="63"/>
      <c r="DN44" s="63"/>
      <c r="DO44" s="63"/>
      <c r="DP44" s="63"/>
      <c r="DQ44" s="63"/>
      <c r="DR44" s="63"/>
      <c r="DS44" s="63"/>
      <c r="DT44" s="63"/>
      <c r="DU44" s="63"/>
      <c r="DV44" s="63"/>
      <c r="DW44" s="63"/>
      <c r="DX44" s="63"/>
      <c r="DY44" s="63"/>
      <c r="DZ44" s="63"/>
      <c r="EA44" s="63"/>
      <c r="EB44" s="63"/>
      <c r="EC44" s="63"/>
      <c r="ED44" s="63"/>
      <c r="EE44" s="63"/>
      <c r="EF44" s="63"/>
      <c r="EG44" s="63"/>
      <c r="EH44" s="63"/>
      <c r="EI44" s="63"/>
      <c r="EJ44" s="63"/>
      <c r="EK44" s="63"/>
      <c r="EL44" s="63"/>
      <c r="EM44" s="63"/>
      <c r="EN44" s="63"/>
      <c r="EO44" s="63"/>
      <c r="EP44" s="63"/>
      <c r="EQ44" s="63"/>
      <c r="ER44" s="63"/>
      <c r="ES44" s="63"/>
      <c r="ET44" s="63"/>
      <c r="EU44" s="63"/>
      <c r="EV44" s="63"/>
      <c r="EW44" s="63"/>
      <c r="EX44" s="63"/>
      <c r="EY44" s="63"/>
      <c r="EZ44" s="63"/>
      <c r="FA44" s="63"/>
      <c r="FB44" s="63"/>
      <c r="FC44" s="63"/>
      <c r="FD44" s="63"/>
      <c r="FE44" s="63"/>
      <c r="FF44" s="63"/>
    </row>
    <row r="45" spans="1:162" s="23" customFormat="1" ht="30" customHeight="1" x14ac:dyDescent="0.25">
      <c r="A45" s="20" t="s">
        <v>53</v>
      </c>
      <c r="B45" s="20" t="s">
        <v>96</v>
      </c>
      <c r="C45" s="20" t="s">
        <v>1082</v>
      </c>
      <c r="D45" s="20" t="s">
        <v>96</v>
      </c>
      <c r="E45" s="20" t="s">
        <v>77</v>
      </c>
      <c r="F45" s="20">
        <v>1993</v>
      </c>
      <c r="G45" s="20" t="s">
        <v>1113</v>
      </c>
      <c r="H45" s="20" t="s">
        <v>914</v>
      </c>
      <c r="I45" s="28" t="s">
        <v>1114</v>
      </c>
      <c r="J45" s="28" t="s">
        <v>78</v>
      </c>
      <c r="K45" s="28" t="s">
        <v>1115</v>
      </c>
      <c r="L45" s="20" t="s">
        <v>240</v>
      </c>
      <c r="M45" s="28" t="s">
        <v>1116</v>
      </c>
      <c r="N45" s="20" t="s">
        <v>301</v>
      </c>
      <c r="O45" s="20" t="s">
        <v>1111</v>
      </c>
      <c r="P45" s="20" t="s">
        <v>712</v>
      </c>
      <c r="Q45" s="20"/>
      <c r="R45" s="20"/>
      <c r="S45" s="20"/>
      <c r="T45" s="20"/>
      <c r="U45" s="20"/>
      <c r="V45" s="20" t="s">
        <v>218</v>
      </c>
      <c r="W45" s="111" t="s">
        <v>247</v>
      </c>
      <c r="X45" s="111" t="s">
        <v>219</v>
      </c>
      <c r="Y45" s="20"/>
      <c r="Z45" s="20" t="s">
        <v>220</v>
      </c>
      <c r="AA45" s="20"/>
      <c r="AB45" s="20">
        <f>60/4</f>
        <v>15</v>
      </c>
      <c r="AC45" s="20"/>
      <c r="AD45" s="20"/>
      <c r="AE45" s="20"/>
      <c r="AF45" s="20">
        <v>21</v>
      </c>
      <c r="AG45" s="20" t="s">
        <v>970</v>
      </c>
      <c r="AH45" s="28" t="s">
        <v>1117</v>
      </c>
      <c r="AI45" s="23" t="s">
        <v>1047</v>
      </c>
      <c r="AJ45" s="20"/>
      <c r="AK45" s="20" t="s">
        <v>970</v>
      </c>
      <c r="AL45" s="28"/>
      <c r="AM45" s="116">
        <v>63</v>
      </c>
      <c r="AN45" s="24" t="s">
        <v>1528</v>
      </c>
      <c r="AO45" s="23" t="s">
        <v>1529</v>
      </c>
      <c r="AP45" s="116" t="s">
        <v>1451</v>
      </c>
      <c r="AQ45" s="63"/>
      <c r="AR45" s="63"/>
      <c r="AS45" s="63"/>
      <c r="AT45" s="63"/>
      <c r="AU45" s="63"/>
      <c r="AV45" s="63"/>
      <c r="AW45" s="63"/>
      <c r="AX45" s="63"/>
      <c r="AY45" s="63"/>
      <c r="AZ45" s="63"/>
      <c r="BA45" s="63"/>
      <c r="BB45" s="63"/>
      <c r="BC45" s="63"/>
      <c r="BD45" s="63"/>
      <c r="BE45" s="63"/>
      <c r="BF45" s="63"/>
      <c r="BG45" s="63"/>
      <c r="BH45" s="63"/>
      <c r="BI45" s="63"/>
      <c r="BJ45" s="63"/>
      <c r="BK45" s="63"/>
      <c r="BL45" s="63"/>
      <c r="BM45" s="63"/>
      <c r="BN45" s="63"/>
      <c r="BO45" s="63"/>
      <c r="BP45" s="63"/>
      <c r="BQ45" s="63"/>
      <c r="BR45" s="63"/>
      <c r="BS45" s="63"/>
      <c r="BT45" s="63"/>
      <c r="BU45" s="63"/>
      <c r="BV45" s="63"/>
      <c r="BW45" s="63"/>
      <c r="BX45" s="63"/>
      <c r="BY45" s="63"/>
      <c r="BZ45" s="63"/>
      <c r="CA45" s="63"/>
      <c r="CB45" s="63"/>
      <c r="CC45" s="63"/>
      <c r="CD45" s="63"/>
      <c r="CE45" s="63"/>
      <c r="CF45" s="63"/>
      <c r="CG45" s="63"/>
      <c r="CH45" s="63"/>
      <c r="CI45" s="63"/>
      <c r="CJ45" s="63"/>
      <c r="CK45" s="63"/>
      <c r="CL45" s="63"/>
      <c r="CM45" s="63"/>
      <c r="CN45" s="63"/>
      <c r="CO45" s="63"/>
      <c r="CP45" s="63"/>
      <c r="CQ45" s="63"/>
      <c r="CR45" s="63"/>
      <c r="CS45" s="63"/>
      <c r="CT45" s="63"/>
      <c r="CU45" s="63"/>
      <c r="CV45" s="63"/>
      <c r="CW45" s="63"/>
      <c r="CX45" s="63"/>
      <c r="CY45" s="63"/>
      <c r="CZ45" s="63"/>
      <c r="DA45" s="63"/>
      <c r="DB45" s="63"/>
      <c r="DC45" s="63"/>
      <c r="DD45" s="63"/>
      <c r="DE45" s="63"/>
      <c r="DF45" s="63"/>
      <c r="DG45" s="63"/>
      <c r="DH45" s="63"/>
      <c r="DI45" s="63"/>
      <c r="DJ45" s="63"/>
      <c r="DK45" s="63"/>
      <c r="DL45" s="63"/>
      <c r="DM45" s="63"/>
      <c r="DN45" s="63"/>
      <c r="DO45" s="63"/>
      <c r="DP45" s="63"/>
      <c r="DQ45" s="63"/>
      <c r="DR45" s="63"/>
      <c r="DS45" s="63"/>
      <c r="DT45" s="63"/>
      <c r="DU45" s="63"/>
      <c r="DV45" s="63"/>
      <c r="DW45" s="63"/>
      <c r="DX45" s="63"/>
      <c r="DY45" s="63"/>
      <c r="DZ45" s="63"/>
      <c r="EA45" s="63"/>
      <c r="EB45" s="63"/>
      <c r="EC45" s="63"/>
      <c r="ED45" s="63"/>
      <c r="EE45" s="63"/>
      <c r="EF45" s="63"/>
      <c r="EG45" s="63"/>
      <c r="EH45" s="63"/>
      <c r="EI45" s="63"/>
      <c r="EJ45" s="63"/>
      <c r="EK45" s="63"/>
      <c r="EL45" s="63"/>
      <c r="EM45" s="63"/>
      <c r="EN45" s="63"/>
      <c r="EO45" s="63"/>
      <c r="EP45" s="63"/>
      <c r="EQ45" s="63"/>
      <c r="ER45" s="63"/>
      <c r="ES45" s="63"/>
      <c r="ET45" s="63"/>
      <c r="EU45" s="63"/>
      <c r="EV45" s="63"/>
      <c r="EW45" s="63"/>
      <c r="EX45" s="63"/>
      <c r="EY45" s="63"/>
      <c r="EZ45" s="63"/>
      <c r="FA45" s="63"/>
      <c r="FB45" s="63"/>
      <c r="FC45" s="63"/>
      <c r="FD45" s="63"/>
      <c r="FE45" s="63"/>
      <c r="FF45" s="63"/>
    </row>
    <row r="46" spans="1:162" s="23" customFormat="1" ht="30" customHeight="1" x14ac:dyDescent="0.25">
      <c r="A46" s="27" t="s">
        <v>53</v>
      </c>
      <c r="B46" s="22" t="s">
        <v>176</v>
      </c>
      <c r="C46" s="23" t="s">
        <v>293</v>
      </c>
      <c r="D46" s="22" t="s">
        <v>176</v>
      </c>
      <c r="E46" s="23" t="s">
        <v>77</v>
      </c>
      <c r="F46" s="23">
        <v>1990</v>
      </c>
      <c r="G46" s="23" t="s">
        <v>546</v>
      </c>
      <c r="H46" s="23" t="s">
        <v>238</v>
      </c>
      <c r="I46" s="24" t="s">
        <v>547</v>
      </c>
      <c r="J46" s="23" t="s">
        <v>240</v>
      </c>
      <c r="K46" s="24" t="s">
        <v>548</v>
      </c>
      <c r="L46" s="24" t="s">
        <v>549</v>
      </c>
      <c r="M46" s="24" t="s">
        <v>550</v>
      </c>
      <c r="N46" s="20" t="s">
        <v>301</v>
      </c>
      <c r="O46" s="116" t="s">
        <v>315</v>
      </c>
      <c r="P46" s="23" t="s">
        <v>551</v>
      </c>
      <c r="Q46" s="24" t="s">
        <v>552</v>
      </c>
      <c r="V46" s="126" t="s">
        <v>218</v>
      </c>
      <c r="W46" s="111" t="s">
        <v>247</v>
      </c>
      <c r="X46" s="111" t="s">
        <v>219</v>
      </c>
      <c r="Z46" s="23" t="s">
        <v>220</v>
      </c>
      <c r="AB46" s="23">
        <v>12</v>
      </c>
      <c r="AF46" s="23">
        <v>17</v>
      </c>
      <c r="AG46" s="23" t="s">
        <v>970</v>
      </c>
      <c r="AH46" s="24" t="s">
        <v>1389</v>
      </c>
      <c r="AI46" s="23" t="s">
        <v>1047</v>
      </c>
      <c r="AK46" s="23" t="s">
        <v>970</v>
      </c>
      <c r="AM46" s="116">
        <v>57</v>
      </c>
      <c r="AN46" s="23" t="s">
        <v>1530</v>
      </c>
      <c r="AO46" s="24" t="s">
        <v>1531</v>
      </c>
      <c r="AP46" s="116" t="s">
        <v>1451</v>
      </c>
      <c r="AQ46" s="63"/>
      <c r="AR46" s="63"/>
      <c r="AS46" s="63"/>
      <c r="AT46" s="63"/>
      <c r="AU46" s="63"/>
      <c r="AV46" s="63"/>
      <c r="AW46" s="63"/>
      <c r="AX46" s="63"/>
      <c r="AY46" s="63"/>
      <c r="AZ46" s="63"/>
      <c r="BA46" s="63"/>
      <c r="BB46" s="63"/>
      <c r="BC46" s="63"/>
      <c r="BD46" s="63"/>
      <c r="BE46" s="63"/>
      <c r="BF46" s="63"/>
      <c r="BG46" s="63"/>
      <c r="BH46" s="63"/>
      <c r="BI46" s="63"/>
      <c r="BJ46" s="63"/>
      <c r="BK46" s="63"/>
      <c r="BL46" s="63"/>
      <c r="BM46" s="63"/>
      <c r="BN46" s="63"/>
      <c r="BO46" s="63"/>
      <c r="BP46" s="63"/>
      <c r="BQ46" s="63"/>
      <c r="BR46" s="63"/>
      <c r="BS46" s="63"/>
      <c r="BT46" s="63"/>
      <c r="BU46" s="63"/>
      <c r="BV46" s="63"/>
      <c r="BW46" s="63"/>
      <c r="BX46" s="63"/>
      <c r="BY46" s="63"/>
      <c r="BZ46" s="63"/>
      <c r="CA46" s="63"/>
      <c r="CB46" s="63"/>
      <c r="CC46" s="63"/>
      <c r="CD46" s="63"/>
      <c r="CE46" s="63"/>
      <c r="CF46" s="63"/>
      <c r="CG46" s="63"/>
      <c r="CH46" s="63"/>
      <c r="CI46" s="63"/>
      <c r="CJ46" s="63"/>
      <c r="CK46" s="63"/>
      <c r="CL46" s="63"/>
      <c r="CM46" s="63"/>
      <c r="CN46" s="63"/>
      <c r="CO46" s="63"/>
      <c r="CP46" s="63"/>
      <c r="CQ46" s="63"/>
      <c r="CR46" s="63"/>
      <c r="CS46" s="63"/>
      <c r="CT46" s="63"/>
      <c r="CU46" s="63"/>
      <c r="CV46" s="63"/>
      <c r="CW46" s="63"/>
      <c r="CX46" s="63"/>
      <c r="CY46" s="63"/>
      <c r="CZ46" s="63"/>
      <c r="DA46" s="63"/>
      <c r="DB46" s="63"/>
      <c r="DC46" s="63"/>
      <c r="DD46" s="63"/>
      <c r="DE46" s="63"/>
      <c r="DF46" s="63"/>
      <c r="DG46" s="63"/>
      <c r="DH46" s="63"/>
      <c r="DI46" s="63"/>
      <c r="DJ46" s="63"/>
      <c r="DK46" s="63"/>
      <c r="DL46" s="63"/>
      <c r="DM46" s="63"/>
      <c r="DN46" s="63"/>
      <c r="DO46" s="63"/>
      <c r="DP46" s="63"/>
      <c r="DQ46" s="63"/>
      <c r="DR46" s="63"/>
      <c r="DS46" s="63"/>
      <c r="DT46" s="63"/>
      <c r="DU46" s="63"/>
      <c r="DV46" s="63"/>
      <c r="DW46" s="63"/>
      <c r="DX46" s="63"/>
      <c r="DY46" s="63"/>
      <c r="DZ46" s="63"/>
      <c r="EA46" s="63"/>
      <c r="EB46" s="63"/>
      <c r="EC46" s="63"/>
      <c r="ED46" s="63"/>
      <c r="EE46" s="63"/>
      <c r="EF46" s="63"/>
      <c r="EG46" s="63"/>
      <c r="EH46" s="63"/>
      <c r="EI46" s="63"/>
      <c r="EJ46" s="63"/>
      <c r="EK46" s="63"/>
      <c r="EL46" s="63"/>
      <c r="EM46" s="63"/>
      <c r="EN46" s="63"/>
      <c r="EO46" s="63"/>
      <c r="EP46" s="63"/>
      <c r="EQ46" s="63"/>
      <c r="ER46" s="63"/>
      <c r="ES46" s="63"/>
      <c r="ET46" s="63"/>
      <c r="EU46" s="63"/>
      <c r="EV46" s="63"/>
      <c r="EW46" s="63"/>
      <c r="EX46" s="63"/>
      <c r="EY46" s="63"/>
      <c r="EZ46" s="63"/>
      <c r="FA46" s="63"/>
      <c r="FB46" s="63"/>
      <c r="FC46" s="63"/>
      <c r="FD46" s="63"/>
      <c r="FE46" s="63"/>
      <c r="FF46" s="63"/>
    </row>
    <row r="47" spans="1:162" s="23" customFormat="1" ht="30" customHeight="1" x14ac:dyDescent="0.25">
      <c r="A47" s="19" t="s">
        <v>59</v>
      </c>
      <c r="B47" s="23" t="s">
        <v>56</v>
      </c>
      <c r="C47" s="23" t="s">
        <v>221</v>
      </c>
      <c r="D47" s="23" t="s">
        <v>154</v>
      </c>
      <c r="E47" s="23" t="s">
        <v>155</v>
      </c>
      <c r="F47" s="23">
        <v>2010</v>
      </c>
      <c r="G47" s="24" t="s">
        <v>443</v>
      </c>
      <c r="H47" s="23" t="s">
        <v>311</v>
      </c>
      <c r="I47" s="24" t="s">
        <v>444</v>
      </c>
      <c r="J47" s="23" t="s">
        <v>240</v>
      </c>
      <c r="K47" s="24" t="s">
        <v>445</v>
      </c>
      <c r="L47" s="24" t="s">
        <v>446</v>
      </c>
      <c r="M47" s="24" t="s">
        <v>447</v>
      </c>
      <c r="N47" s="20" t="s">
        <v>301</v>
      </c>
      <c r="O47" s="23" t="s">
        <v>215</v>
      </c>
      <c r="P47" s="23" t="s">
        <v>381</v>
      </c>
      <c r="V47" s="127" t="s">
        <v>218</v>
      </c>
      <c r="W47" s="111" t="s">
        <v>247</v>
      </c>
      <c r="X47" s="111" t="s">
        <v>219</v>
      </c>
      <c r="Z47" s="23" t="s">
        <v>1380</v>
      </c>
      <c r="AB47" s="23">
        <v>3</v>
      </c>
      <c r="AC47" s="23">
        <f>6*5*4*AB47</f>
        <v>360</v>
      </c>
      <c r="AF47" s="23">
        <v>89</v>
      </c>
      <c r="AG47" s="23" t="s">
        <v>970</v>
      </c>
      <c r="AH47" s="23" t="s">
        <v>1054</v>
      </c>
      <c r="AI47" s="23" t="s">
        <v>1033</v>
      </c>
      <c r="AJ47" s="23" t="s">
        <v>1040</v>
      </c>
      <c r="AK47" s="23" t="s">
        <v>970</v>
      </c>
      <c r="AM47" s="116">
        <v>35</v>
      </c>
      <c r="AN47" s="23" t="s">
        <v>1532</v>
      </c>
      <c r="AO47" s="23" t="s">
        <v>1533</v>
      </c>
      <c r="AP47" s="116" t="s">
        <v>1451</v>
      </c>
      <c r="AQ47" s="63"/>
      <c r="AR47" s="63"/>
      <c r="AS47" s="63"/>
      <c r="AT47" s="63"/>
      <c r="AU47" s="63"/>
      <c r="AV47" s="63"/>
      <c r="AW47" s="63"/>
      <c r="AX47" s="63"/>
      <c r="AY47" s="63"/>
      <c r="AZ47" s="63"/>
      <c r="BA47" s="63"/>
      <c r="BB47" s="63"/>
      <c r="BC47" s="63"/>
      <c r="BD47" s="63"/>
      <c r="BE47" s="63"/>
      <c r="BF47" s="63"/>
      <c r="BG47" s="63"/>
      <c r="BH47" s="63"/>
      <c r="BI47" s="63"/>
      <c r="BJ47" s="63"/>
      <c r="BK47" s="63"/>
      <c r="BL47" s="63"/>
      <c r="BM47" s="63"/>
      <c r="BN47" s="63"/>
      <c r="BO47" s="63"/>
      <c r="BP47" s="63"/>
      <c r="BQ47" s="63"/>
      <c r="BR47" s="63"/>
      <c r="BS47" s="63"/>
      <c r="BT47" s="63"/>
      <c r="BU47" s="63"/>
      <c r="BV47" s="63"/>
      <c r="BW47" s="63"/>
      <c r="BX47" s="63"/>
      <c r="BY47" s="63"/>
      <c r="BZ47" s="63"/>
      <c r="CA47" s="63"/>
      <c r="CB47" s="63"/>
      <c r="CC47" s="63"/>
      <c r="CD47" s="63"/>
      <c r="CE47" s="63"/>
      <c r="CF47" s="63"/>
      <c r="CG47" s="63"/>
      <c r="CH47" s="63"/>
      <c r="CI47" s="63"/>
      <c r="CJ47" s="63"/>
      <c r="CK47" s="63"/>
      <c r="CL47" s="63"/>
      <c r="CM47" s="63"/>
      <c r="CN47" s="63"/>
      <c r="CO47" s="63"/>
      <c r="CP47" s="63"/>
      <c r="CQ47" s="63"/>
      <c r="CR47" s="63"/>
      <c r="CS47" s="63"/>
      <c r="CT47" s="63"/>
      <c r="CU47" s="63"/>
      <c r="CV47" s="63"/>
      <c r="CW47" s="63"/>
      <c r="CX47" s="63"/>
      <c r="CY47" s="63"/>
      <c r="CZ47" s="63"/>
      <c r="DA47" s="63"/>
      <c r="DB47" s="63"/>
      <c r="DC47" s="63"/>
      <c r="DD47" s="63"/>
      <c r="DE47" s="63"/>
      <c r="DF47" s="63"/>
      <c r="DG47" s="63"/>
      <c r="DH47" s="63"/>
      <c r="DI47" s="63"/>
      <c r="DJ47" s="63"/>
      <c r="DK47" s="63"/>
      <c r="DL47" s="63"/>
      <c r="DM47" s="63"/>
      <c r="DN47" s="63"/>
      <c r="DO47" s="63"/>
      <c r="DP47" s="63"/>
      <c r="DQ47" s="63"/>
      <c r="DR47" s="63"/>
      <c r="DS47" s="63"/>
      <c r="DT47" s="63"/>
      <c r="DU47" s="63"/>
      <c r="DV47" s="63"/>
      <c r="DW47" s="63"/>
      <c r="DX47" s="63"/>
      <c r="DY47" s="63"/>
      <c r="DZ47" s="63"/>
      <c r="EA47" s="63"/>
      <c r="EB47" s="63"/>
      <c r="EC47" s="63"/>
      <c r="ED47" s="63"/>
      <c r="EE47" s="63"/>
      <c r="EF47" s="63"/>
      <c r="EG47" s="63"/>
      <c r="EH47" s="63"/>
      <c r="EI47" s="63"/>
      <c r="EJ47" s="63"/>
      <c r="EK47" s="63"/>
      <c r="EL47" s="63"/>
      <c r="EM47" s="63"/>
      <c r="EN47" s="63"/>
      <c r="EO47" s="63"/>
      <c r="EP47" s="63"/>
      <c r="EQ47" s="63"/>
      <c r="ER47" s="63"/>
      <c r="ES47" s="63"/>
      <c r="ET47" s="63"/>
      <c r="EU47" s="63"/>
      <c r="EV47" s="63"/>
      <c r="EW47" s="63"/>
      <c r="EX47" s="63"/>
      <c r="EY47" s="63"/>
      <c r="EZ47" s="63"/>
      <c r="FA47" s="63"/>
      <c r="FB47" s="63"/>
      <c r="FC47" s="63"/>
      <c r="FD47" s="63"/>
      <c r="FE47" s="63"/>
      <c r="FF47" s="63"/>
    </row>
    <row r="48" spans="1:162" s="23" customFormat="1" ht="30" customHeight="1" x14ac:dyDescent="0.25">
      <c r="A48" s="20" t="s">
        <v>97</v>
      </c>
      <c r="B48" s="20" t="s">
        <v>100</v>
      </c>
      <c r="C48" s="20" t="s">
        <v>1082</v>
      </c>
      <c r="D48" s="20" t="s">
        <v>100</v>
      </c>
      <c r="E48" s="20" t="s">
        <v>50</v>
      </c>
      <c r="F48" s="20">
        <v>1983</v>
      </c>
      <c r="G48" s="20" t="s">
        <v>1160</v>
      </c>
      <c r="H48" s="20" t="s">
        <v>1161</v>
      </c>
      <c r="I48" s="28" t="s">
        <v>1162</v>
      </c>
      <c r="J48" s="28" t="s">
        <v>101</v>
      </c>
      <c r="K48" s="28" t="s">
        <v>1163</v>
      </c>
      <c r="L48" s="28" t="s">
        <v>1164</v>
      </c>
      <c r="M48" s="28" t="s">
        <v>1165</v>
      </c>
      <c r="N48" s="20" t="s">
        <v>301</v>
      </c>
      <c r="O48" s="20" t="s">
        <v>215</v>
      </c>
      <c r="P48" s="20" t="s">
        <v>675</v>
      </c>
      <c r="Q48" s="20"/>
      <c r="R48" s="20"/>
      <c r="S48" s="20"/>
      <c r="T48" s="20"/>
      <c r="U48" s="20"/>
      <c r="V48" s="20" t="s">
        <v>236</v>
      </c>
      <c r="W48" s="20" t="s">
        <v>219</v>
      </c>
      <c r="X48" s="111" t="s">
        <v>219</v>
      </c>
      <c r="Y48" s="20"/>
      <c r="Z48" s="23" t="s">
        <v>1380</v>
      </c>
      <c r="AB48" s="20">
        <f>+(5/4)</f>
        <v>1.25</v>
      </c>
      <c r="AC48" s="20"/>
      <c r="AD48" s="20">
        <f>6+12/4</f>
        <v>9</v>
      </c>
      <c r="AE48" s="20"/>
      <c r="AF48" s="20">
        <v>1</v>
      </c>
      <c r="AG48" s="20" t="s">
        <v>970</v>
      </c>
      <c r="AH48" s="28" t="s">
        <v>1166</v>
      </c>
      <c r="AI48" s="23" t="s">
        <v>1047</v>
      </c>
      <c r="AJ48" s="20"/>
      <c r="AK48" s="20" t="s">
        <v>971</v>
      </c>
      <c r="AL48" s="20" t="s">
        <v>1167</v>
      </c>
      <c r="AM48" s="116">
        <v>71</v>
      </c>
      <c r="AN48" s="23" t="s">
        <v>1417</v>
      </c>
      <c r="AO48" s="24" t="s">
        <v>1418</v>
      </c>
      <c r="AP48" s="23" t="s">
        <v>1451</v>
      </c>
      <c r="AQ48" s="63"/>
      <c r="AR48" s="63"/>
      <c r="AS48" s="63"/>
      <c r="AT48" s="63"/>
      <c r="AU48" s="63"/>
      <c r="AV48" s="63"/>
      <c r="AW48" s="63"/>
      <c r="AX48" s="63"/>
      <c r="AY48" s="63"/>
      <c r="AZ48" s="63"/>
      <c r="BA48" s="63"/>
      <c r="BB48" s="63"/>
      <c r="BC48" s="63"/>
      <c r="BD48" s="63"/>
      <c r="BE48" s="63"/>
      <c r="BF48" s="63"/>
      <c r="BG48" s="63"/>
      <c r="BH48" s="63"/>
      <c r="BI48" s="63"/>
      <c r="BJ48" s="63"/>
      <c r="BK48" s="63"/>
      <c r="BL48" s="63"/>
      <c r="BM48" s="63"/>
      <c r="BN48" s="63"/>
      <c r="BO48" s="63"/>
      <c r="BP48" s="63"/>
      <c r="BQ48" s="63"/>
      <c r="BR48" s="63"/>
      <c r="BS48" s="63"/>
      <c r="BT48" s="63"/>
      <c r="BU48" s="63"/>
      <c r="BV48" s="63"/>
      <c r="BW48" s="63"/>
      <c r="BX48" s="63"/>
      <c r="BY48" s="63"/>
      <c r="BZ48" s="63"/>
      <c r="CA48" s="63"/>
      <c r="CB48" s="63"/>
      <c r="CC48" s="63"/>
      <c r="CD48" s="63"/>
      <c r="CE48" s="63"/>
      <c r="CF48" s="63"/>
      <c r="CG48" s="63"/>
      <c r="CH48" s="63"/>
      <c r="CI48" s="63"/>
      <c r="CJ48" s="63"/>
      <c r="CK48" s="63"/>
      <c r="CL48" s="63"/>
      <c r="CM48" s="63"/>
      <c r="CN48" s="63"/>
      <c r="CO48" s="63"/>
      <c r="CP48" s="63"/>
      <c r="CQ48" s="63"/>
      <c r="CR48" s="63"/>
      <c r="CS48" s="63"/>
      <c r="CT48" s="63"/>
      <c r="CU48" s="63"/>
      <c r="CV48" s="63"/>
      <c r="CW48" s="63"/>
      <c r="CX48" s="63"/>
      <c r="CY48" s="63"/>
      <c r="CZ48" s="63"/>
      <c r="DA48" s="63"/>
      <c r="DB48" s="63"/>
      <c r="DC48" s="63"/>
      <c r="DD48" s="63"/>
      <c r="DE48" s="63"/>
      <c r="DF48" s="63"/>
      <c r="DG48" s="63"/>
      <c r="DH48" s="63"/>
      <c r="DI48" s="63"/>
      <c r="DJ48" s="63"/>
      <c r="DK48" s="63"/>
      <c r="DL48" s="63"/>
      <c r="DM48" s="63"/>
      <c r="DN48" s="63"/>
      <c r="DO48" s="63"/>
      <c r="DP48" s="63"/>
      <c r="DQ48" s="63"/>
      <c r="DR48" s="63"/>
      <c r="DS48" s="63"/>
      <c r="DT48" s="63"/>
      <c r="DU48" s="63"/>
      <c r="DV48" s="63"/>
      <c r="DW48" s="63"/>
      <c r="DX48" s="63"/>
      <c r="DY48" s="63"/>
      <c r="DZ48" s="63"/>
      <c r="EA48" s="63"/>
      <c r="EB48" s="63"/>
      <c r="EC48" s="63"/>
      <c r="ED48" s="63"/>
      <c r="EE48" s="63"/>
      <c r="EF48" s="63"/>
      <c r="EG48" s="63"/>
      <c r="EH48" s="63"/>
      <c r="EI48" s="63"/>
      <c r="EJ48" s="63"/>
      <c r="EK48" s="63"/>
      <c r="EL48" s="63"/>
      <c r="EM48" s="63"/>
      <c r="EN48" s="63"/>
      <c r="EO48" s="63"/>
      <c r="EP48" s="63"/>
      <c r="EQ48" s="63"/>
      <c r="ER48" s="63"/>
      <c r="ES48" s="63"/>
      <c r="ET48" s="63"/>
      <c r="EU48" s="63"/>
      <c r="EV48" s="63"/>
      <c r="EW48" s="63"/>
      <c r="EX48" s="63"/>
      <c r="EY48" s="63"/>
      <c r="EZ48" s="63"/>
      <c r="FA48" s="63"/>
      <c r="FB48" s="63"/>
      <c r="FC48" s="63"/>
      <c r="FD48" s="63"/>
      <c r="FE48" s="63"/>
      <c r="FF48" s="63"/>
    </row>
    <row r="49" spans="1:162" s="23" customFormat="1" ht="30" customHeight="1" x14ac:dyDescent="0.25">
      <c r="A49" s="116" t="s">
        <v>84</v>
      </c>
      <c r="B49" s="22" t="s">
        <v>110</v>
      </c>
      <c r="C49" s="116" t="s">
        <v>293</v>
      </c>
      <c r="D49" s="22" t="s">
        <v>110</v>
      </c>
      <c r="E49" s="116" t="s">
        <v>50</v>
      </c>
      <c r="F49" s="116">
        <v>2007</v>
      </c>
      <c r="G49" s="117" t="s">
        <v>310</v>
      </c>
      <c r="H49" s="116" t="s">
        <v>311</v>
      </c>
      <c r="I49" s="117" t="s">
        <v>312</v>
      </c>
      <c r="J49" s="117" t="s">
        <v>313</v>
      </c>
      <c r="K49" s="117" t="s">
        <v>314</v>
      </c>
      <c r="L49" s="116"/>
      <c r="M49" s="116"/>
      <c r="N49" s="20" t="s">
        <v>301</v>
      </c>
      <c r="O49" s="116" t="s">
        <v>315</v>
      </c>
      <c r="P49" s="116"/>
      <c r="Q49" s="116" t="s">
        <v>156</v>
      </c>
      <c r="R49" s="116"/>
      <c r="S49" s="116"/>
      <c r="T49" s="116"/>
      <c r="U49" s="116"/>
      <c r="V49" s="115" t="s">
        <v>218</v>
      </c>
      <c r="W49" s="111" t="s">
        <v>247</v>
      </c>
      <c r="X49" s="111" t="s">
        <v>219</v>
      </c>
      <c r="Y49" s="116"/>
      <c r="Z49" s="56" t="s">
        <v>231</v>
      </c>
      <c r="AA49" s="56"/>
      <c r="AB49" s="116">
        <v>6</v>
      </c>
      <c r="AC49" s="116"/>
      <c r="AD49" s="116"/>
      <c r="AE49" s="116"/>
      <c r="AF49" s="116">
        <v>1</v>
      </c>
      <c r="AG49" s="116" t="s">
        <v>970</v>
      </c>
      <c r="AH49" s="117" t="s">
        <v>1026</v>
      </c>
      <c r="AI49" s="116" t="s">
        <v>1047</v>
      </c>
      <c r="AJ49" s="116"/>
      <c r="AK49" s="116" t="s">
        <v>971</v>
      </c>
      <c r="AL49" s="116" t="s">
        <v>1420</v>
      </c>
      <c r="AM49" s="116">
        <v>13</v>
      </c>
      <c r="AN49" s="23" t="s">
        <v>1419</v>
      </c>
      <c r="AO49" s="117" t="s">
        <v>1534</v>
      </c>
      <c r="AP49" s="116" t="s">
        <v>1451</v>
      </c>
      <c r="AQ49" s="111"/>
      <c r="AR49" s="111"/>
      <c r="AS49" s="111"/>
      <c r="AT49" s="111"/>
      <c r="AU49" s="111"/>
      <c r="AV49" s="111"/>
      <c r="AW49" s="111"/>
      <c r="AX49" s="111"/>
      <c r="AY49" s="111"/>
      <c r="AZ49" s="111"/>
      <c r="BA49" s="111"/>
      <c r="BB49" s="111"/>
      <c r="BC49" s="111"/>
      <c r="BD49" s="111"/>
      <c r="BE49" s="111"/>
      <c r="BF49" s="111"/>
      <c r="BG49" s="111"/>
      <c r="BH49" s="111"/>
      <c r="BI49" s="111"/>
      <c r="BJ49" s="111"/>
      <c r="BK49" s="111"/>
      <c r="BL49" s="111"/>
      <c r="BM49" s="111"/>
      <c r="BN49" s="111"/>
      <c r="BO49" s="111"/>
      <c r="BP49" s="111"/>
      <c r="BQ49" s="111"/>
      <c r="BR49" s="111"/>
      <c r="BS49" s="111"/>
      <c r="BT49" s="111"/>
      <c r="BU49" s="111"/>
      <c r="BV49" s="111"/>
      <c r="BW49" s="111"/>
      <c r="BX49" s="111"/>
      <c r="BY49" s="111"/>
      <c r="BZ49" s="111"/>
      <c r="CA49" s="111"/>
      <c r="CB49" s="111"/>
      <c r="CC49" s="111"/>
      <c r="CD49" s="111"/>
      <c r="CE49" s="111"/>
      <c r="CF49" s="111"/>
      <c r="CG49" s="111"/>
      <c r="CH49" s="111"/>
      <c r="CI49" s="111"/>
      <c r="CJ49" s="111"/>
      <c r="CK49" s="111"/>
      <c r="CL49" s="111"/>
      <c r="CM49" s="111"/>
      <c r="CN49" s="111"/>
      <c r="CO49" s="111"/>
      <c r="CP49" s="111"/>
      <c r="CQ49" s="111"/>
      <c r="CR49" s="111"/>
      <c r="CS49" s="111"/>
      <c r="CT49" s="111"/>
      <c r="CU49" s="111"/>
      <c r="CV49" s="111"/>
      <c r="CW49" s="111"/>
      <c r="CX49" s="111"/>
      <c r="CY49" s="111"/>
      <c r="CZ49" s="111"/>
      <c r="DA49" s="111"/>
      <c r="DB49" s="111"/>
      <c r="DC49" s="111"/>
      <c r="DD49" s="111"/>
      <c r="DE49" s="111"/>
      <c r="DF49" s="111"/>
      <c r="DG49" s="111"/>
      <c r="DH49" s="111"/>
      <c r="DI49" s="111"/>
      <c r="DJ49" s="111"/>
      <c r="DK49" s="111"/>
      <c r="DL49" s="111"/>
      <c r="DM49" s="111"/>
      <c r="DN49" s="111"/>
      <c r="DO49" s="111"/>
      <c r="DP49" s="111"/>
      <c r="DQ49" s="111"/>
      <c r="DR49" s="111"/>
      <c r="DS49" s="111"/>
      <c r="DT49" s="111"/>
      <c r="DU49" s="111"/>
      <c r="DV49" s="111"/>
      <c r="DW49" s="111"/>
      <c r="DX49" s="111"/>
      <c r="DY49" s="111"/>
      <c r="DZ49" s="111"/>
      <c r="EA49" s="111"/>
      <c r="EB49" s="111"/>
      <c r="EC49" s="111"/>
      <c r="ED49" s="111"/>
      <c r="EE49" s="111"/>
      <c r="EF49" s="111"/>
      <c r="EG49" s="111"/>
      <c r="EH49" s="111"/>
      <c r="EI49" s="111"/>
      <c r="EJ49" s="111"/>
      <c r="EK49" s="111"/>
      <c r="EL49" s="111"/>
      <c r="EM49" s="111"/>
      <c r="EN49" s="111"/>
      <c r="EO49" s="111"/>
      <c r="EP49" s="111"/>
      <c r="EQ49" s="111"/>
      <c r="ER49" s="111"/>
      <c r="ES49" s="111"/>
      <c r="ET49" s="111"/>
      <c r="EU49" s="111"/>
      <c r="EV49" s="111"/>
      <c r="EW49" s="111"/>
      <c r="EX49" s="111"/>
      <c r="EY49" s="111"/>
      <c r="EZ49" s="111"/>
      <c r="FA49" s="111"/>
      <c r="FB49" s="111"/>
      <c r="FC49" s="111"/>
      <c r="FD49" s="111"/>
      <c r="FE49" s="111"/>
      <c r="FF49" s="111"/>
    </row>
    <row r="50" spans="1:162" s="23" customFormat="1" ht="30" customHeight="1" x14ac:dyDescent="0.25">
      <c r="A50" s="20" t="s">
        <v>76</v>
      </c>
      <c r="B50" s="20" t="s">
        <v>113</v>
      </c>
      <c r="C50" s="20" t="s">
        <v>1082</v>
      </c>
      <c r="D50" s="20" t="s">
        <v>1132</v>
      </c>
      <c r="E50" s="20" t="s">
        <v>50</v>
      </c>
      <c r="F50" s="20">
        <v>1984</v>
      </c>
      <c r="G50" s="20">
        <f>(35+54)/2</f>
        <v>44.5</v>
      </c>
      <c r="H50" s="20" t="s">
        <v>1133</v>
      </c>
      <c r="I50" s="28" t="s">
        <v>1134</v>
      </c>
      <c r="J50" s="28" t="s">
        <v>1135</v>
      </c>
      <c r="K50" s="28" t="s">
        <v>1136</v>
      </c>
      <c r="L50" s="28" t="s">
        <v>1137</v>
      </c>
      <c r="M50" s="28" t="s">
        <v>1138</v>
      </c>
      <c r="N50" s="20" t="s">
        <v>301</v>
      </c>
      <c r="O50" s="20" t="s">
        <v>215</v>
      </c>
      <c r="P50" s="20"/>
      <c r="Q50" s="20"/>
      <c r="R50" s="20"/>
      <c r="S50" s="20"/>
      <c r="T50" s="20"/>
      <c r="U50" s="20"/>
      <c r="V50" s="111" t="s">
        <v>352</v>
      </c>
      <c r="W50" s="20" t="s">
        <v>219</v>
      </c>
      <c r="X50" s="111" t="s">
        <v>219</v>
      </c>
      <c r="Y50" s="20"/>
      <c r="Z50" s="20" t="s">
        <v>220</v>
      </c>
      <c r="AA50" s="20"/>
      <c r="AB50" s="20">
        <f>+AC50/20/4</f>
        <v>1.375</v>
      </c>
      <c r="AC50" s="20">
        <f>5*6+5*4+3*20</f>
        <v>110</v>
      </c>
      <c r="AD50" s="20"/>
      <c r="AE50" s="20"/>
      <c r="AF50" s="20">
        <v>58</v>
      </c>
      <c r="AG50" s="20" t="s">
        <v>970</v>
      </c>
      <c r="AH50" s="28" t="s">
        <v>1139</v>
      </c>
      <c r="AI50" s="23" t="s">
        <v>1047</v>
      </c>
      <c r="AJ50" s="20"/>
      <c r="AK50" s="20" t="s">
        <v>970</v>
      </c>
      <c r="AL50" s="20"/>
      <c r="AM50" s="116">
        <v>66</v>
      </c>
      <c r="AN50" s="23" t="s">
        <v>1421</v>
      </c>
      <c r="AO50" s="24" t="s">
        <v>1422</v>
      </c>
      <c r="AP50" s="23" t="s">
        <v>1451</v>
      </c>
      <c r="AQ50" s="63"/>
      <c r="AR50" s="63"/>
      <c r="AS50" s="63"/>
      <c r="AT50" s="63"/>
      <c r="AU50" s="63"/>
      <c r="AV50" s="63"/>
      <c r="AW50" s="63"/>
      <c r="AX50" s="63"/>
      <c r="AY50" s="63"/>
      <c r="AZ50" s="63"/>
      <c r="BA50" s="63"/>
      <c r="BB50" s="63"/>
      <c r="BC50" s="63"/>
      <c r="BD50" s="63"/>
      <c r="BE50" s="63"/>
      <c r="BF50" s="63"/>
      <c r="BG50" s="63"/>
      <c r="BH50" s="63"/>
      <c r="BI50" s="63"/>
      <c r="BJ50" s="63"/>
      <c r="BK50" s="63"/>
      <c r="BL50" s="63"/>
      <c r="BM50" s="63"/>
      <c r="BN50" s="63"/>
      <c r="BO50" s="63"/>
      <c r="BP50" s="63"/>
      <c r="BQ50" s="63"/>
      <c r="BR50" s="63"/>
      <c r="BS50" s="63"/>
      <c r="BT50" s="63"/>
      <c r="BU50" s="63"/>
      <c r="BV50" s="63"/>
      <c r="BW50" s="63"/>
      <c r="BX50" s="63"/>
      <c r="BY50" s="63"/>
      <c r="BZ50" s="63"/>
      <c r="CA50" s="63"/>
      <c r="CB50" s="63"/>
      <c r="CC50" s="63"/>
      <c r="CD50" s="63"/>
      <c r="CE50" s="63"/>
      <c r="CF50" s="63"/>
      <c r="CG50" s="63"/>
      <c r="CH50" s="63"/>
      <c r="CI50" s="63"/>
      <c r="CJ50" s="63"/>
      <c r="CK50" s="63"/>
      <c r="CL50" s="63"/>
      <c r="CM50" s="63"/>
      <c r="CN50" s="63"/>
      <c r="CO50" s="63"/>
      <c r="CP50" s="63"/>
      <c r="CQ50" s="63"/>
      <c r="CR50" s="63"/>
      <c r="CS50" s="63"/>
      <c r="CT50" s="63"/>
      <c r="CU50" s="63"/>
      <c r="CV50" s="63"/>
      <c r="CW50" s="63"/>
      <c r="CX50" s="63"/>
      <c r="CY50" s="63"/>
      <c r="CZ50" s="63"/>
      <c r="DA50" s="63"/>
      <c r="DB50" s="63"/>
      <c r="DC50" s="63"/>
      <c r="DD50" s="63"/>
      <c r="DE50" s="63"/>
      <c r="DF50" s="63"/>
      <c r="DG50" s="63"/>
      <c r="DH50" s="63"/>
      <c r="DI50" s="63"/>
      <c r="DJ50" s="63"/>
      <c r="DK50" s="63"/>
      <c r="DL50" s="63"/>
      <c r="DM50" s="63"/>
      <c r="DN50" s="63"/>
      <c r="DO50" s="63"/>
      <c r="DP50" s="63"/>
      <c r="DQ50" s="63"/>
      <c r="DR50" s="63"/>
      <c r="DS50" s="63"/>
      <c r="DT50" s="63"/>
      <c r="DU50" s="63"/>
      <c r="DV50" s="63"/>
      <c r="DW50" s="63"/>
      <c r="DX50" s="63"/>
      <c r="DY50" s="63"/>
      <c r="DZ50" s="63"/>
      <c r="EA50" s="63"/>
      <c r="EB50" s="63"/>
      <c r="EC50" s="63"/>
      <c r="ED50" s="63"/>
      <c r="EE50" s="63"/>
      <c r="EF50" s="63"/>
      <c r="EG50" s="63"/>
      <c r="EH50" s="63"/>
      <c r="EI50" s="63"/>
      <c r="EJ50" s="63"/>
      <c r="EK50" s="63"/>
      <c r="EL50" s="63"/>
      <c r="EM50" s="63"/>
      <c r="EN50" s="63"/>
      <c r="EO50" s="63"/>
      <c r="EP50" s="63"/>
      <c r="EQ50" s="63"/>
      <c r="ER50" s="63"/>
      <c r="ES50" s="63"/>
      <c r="ET50" s="63"/>
      <c r="EU50" s="63"/>
      <c r="EV50" s="63"/>
      <c r="EW50" s="63"/>
      <c r="EX50" s="63"/>
      <c r="EY50" s="63"/>
      <c r="EZ50" s="63"/>
      <c r="FA50" s="63"/>
      <c r="FB50" s="63"/>
      <c r="FC50" s="63"/>
      <c r="FD50" s="63"/>
      <c r="FE50" s="63"/>
      <c r="FF50" s="63"/>
    </row>
    <row r="51" spans="1:162" s="23" customFormat="1" ht="30" hidden="1" customHeight="1" x14ac:dyDescent="0.25">
      <c r="A51" s="20" t="s">
        <v>76</v>
      </c>
      <c r="B51" s="20" t="s">
        <v>113</v>
      </c>
      <c r="C51" s="20" t="s">
        <v>1082</v>
      </c>
      <c r="D51" s="20" t="s">
        <v>1140</v>
      </c>
      <c r="E51" s="20" t="s">
        <v>50</v>
      </c>
      <c r="F51" s="20">
        <v>1984</v>
      </c>
      <c r="G51" s="20">
        <f>(35+54)/2</f>
        <v>44.5</v>
      </c>
      <c r="H51" s="20" t="s">
        <v>1133</v>
      </c>
      <c r="I51" s="28" t="s">
        <v>1141</v>
      </c>
      <c r="J51" s="28" t="s">
        <v>1142</v>
      </c>
      <c r="K51" s="28" t="s">
        <v>1143</v>
      </c>
      <c r="L51" s="28" t="s">
        <v>1144</v>
      </c>
      <c r="M51" s="28" t="s">
        <v>1145</v>
      </c>
      <c r="N51" s="20" t="s">
        <v>244</v>
      </c>
      <c r="O51" s="20" t="s">
        <v>215</v>
      </c>
      <c r="P51" s="20"/>
      <c r="Q51" s="20"/>
      <c r="R51" s="20"/>
      <c r="S51" s="20"/>
      <c r="T51" s="20"/>
      <c r="U51" s="20"/>
      <c r="V51" s="20" t="s">
        <v>218</v>
      </c>
      <c r="W51" s="20" t="s">
        <v>219</v>
      </c>
      <c r="X51" s="111" t="s">
        <v>219</v>
      </c>
      <c r="Y51" s="20"/>
      <c r="Z51" s="20" t="s">
        <v>231</v>
      </c>
      <c r="AA51" s="20"/>
      <c r="AB51" s="20">
        <f>+AC51/20/4</f>
        <v>1</v>
      </c>
      <c r="AC51" s="20">
        <f>5*4+3*20</f>
        <v>80</v>
      </c>
      <c r="AD51" s="20"/>
      <c r="AE51" s="20"/>
      <c r="AF51" s="20">
        <v>58</v>
      </c>
      <c r="AG51" s="20" t="s">
        <v>970</v>
      </c>
      <c r="AH51" s="28" t="s">
        <v>1146</v>
      </c>
      <c r="AI51" s="20" t="s">
        <v>1044</v>
      </c>
      <c r="AJ51" s="20"/>
      <c r="AK51" s="20" t="s">
        <v>970</v>
      </c>
      <c r="AL51" s="20"/>
      <c r="AM51" s="116">
        <v>67</v>
      </c>
      <c r="AN51" s="137" t="s">
        <v>1419</v>
      </c>
      <c r="AO51" s="24" t="s">
        <v>1423</v>
      </c>
      <c r="AP51" s="23" t="s">
        <v>1451</v>
      </c>
      <c r="AQ51" s="63"/>
      <c r="AR51" s="63"/>
      <c r="AS51" s="63"/>
      <c r="AT51" s="63"/>
      <c r="AU51" s="63"/>
      <c r="AV51" s="63"/>
      <c r="AW51" s="63"/>
      <c r="AX51" s="63"/>
      <c r="AY51" s="63"/>
      <c r="AZ51" s="63"/>
      <c r="BA51" s="63"/>
      <c r="BB51" s="63"/>
      <c r="BC51" s="63"/>
      <c r="BD51" s="63"/>
      <c r="BE51" s="63"/>
      <c r="BF51" s="63"/>
      <c r="BG51" s="63"/>
      <c r="BH51" s="63"/>
      <c r="BI51" s="63"/>
      <c r="BJ51" s="63"/>
      <c r="BK51" s="63"/>
      <c r="BL51" s="63"/>
      <c r="BM51" s="63"/>
      <c r="BN51" s="63"/>
      <c r="BO51" s="63"/>
      <c r="BP51" s="63"/>
      <c r="BQ51" s="63"/>
      <c r="BR51" s="63"/>
      <c r="BS51" s="63"/>
      <c r="BT51" s="63"/>
      <c r="BU51" s="63"/>
      <c r="BV51" s="63"/>
      <c r="BW51" s="63"/>
      <c r="BX51" s="63"/>
      <c r="BY51" s="63"/>
      <c r="BZ51" s="63"/>
      <c r="CA51" s="63"/>
      <c r="CB51" s="63"/>
      <c r="CC51" s="63"/>
      <c r="CD51" s="63"/>
      <c r="CE51" s="63"/>
      <c r="CF51" s="63"/>
      <c r="CG51" s="63"/>
      <c r="CH51" s="63"/>
      <c r="CI51" s="63"/>
      <c r="CJ51" s="63"/>
      <c r="CK51" s="63"/>
      <c r="CL51" s="63"/>
      <c r="CM51" s="63"/>
      <c r="CN51" s="63"/>
      <c r="CO51" s="63"/>
      <c r="CP51" s="63"/>
      <c r="CQ51" s="63"/>
      <c r="CR51" s="63"/>
      <c r="CS51" s="63"/>
      <c r="CT51" s="63"/>
      <c r="CU51" s="63"/>
      <c r="CV51" s="63"/>
      <c r="CW51" s="63"/>
      <c r="CX51" s="63"/>
      <c r="CY51" s="63"/>
      <c r="CZ51" s="63"/>
      <c r="DA51" s="63"/>
      <c r="DB51" s="63"/>
      <c r="DC51" s="63"/>
      <c r="DD51" s="63"/>
      <c r="DE51" s="63"/>
      <c r="DF51" s="63"/>
      <c r="DG51" s="63"/>
      <c r="DH51" s="63"/>
      <c r="DI51" s="63"/>
      <c r="DJ51" s="63"/>
      <c r="DK51" s="63"/>
      <c r="DL51" s="63"/>
      <c r="DM51" s="63"/>
      <c r="DN51" s="63"/>
      <c r="DO51" s="63"/>
      <c r="DP51" s="63"/>
      <c r="DQ51" s="63"/>
      <c r="DR51" s="63"/>
      <c r="DS51" s="63"/>
      <c r="DT51" s="63"/>
      <c r="DU51" s="63"/>
      <c r="DV51" s="63"/>
      <c r="DW51" s="63"/>
      <c r="DX51" s="63"/>
      <c r="DY51" s="63"/>
      <c r="DZ51" s="63"/>
      <c r="EA51" s="63"/>
      <c r="EB51" s="63"/>
      <c r="EC51" s="63"/>
      <c r="ED51" s="63"/>
      <c r="EE51" s="63"/>
      <c r="EF51" s="63"/>
      <c r="EG51" s="63"/>
      <c r="EH51" s="63"/>
      <c r="EI51" s="63"/>
      <c r="EJ51" s="63"/>
      <c r="EK51" s="63"/>
      <c r="EL51" s="63"/>
      <c r="EM51" s="63"/>
      <c r="EN51" s="63"/>
      <c r="EO51" s="63"/>
      <c r="EP51" s="63"/>
      <c r="EQ51" s="63"/>
      <c r="ER51" s="63"/>
      <c r="ES51" s="63"/>
      <c r="ET51" s="63"/>
      <c r="EU51" s="63"/>
      <c r="EV51" s="63"/>
      <c r="EW51" s="63"/>
      <c r="EX51" s="63"/>
      <c r="EY51" s="63"/>
      <c r="EZ51" s="63"/>
      <c r="FA51" s="63"/>
      <c r="FB51" s="63"/>
      <c r="FC51" s="63"/>
      <c r="FD51" s="63"/>
      <c r="FE51" s="63"/>
      <c r="FF51" s="63"/>
    </row>
    <row r="52" spans="1:162" s="23" customFormat="1" ht="30" hidden="1" customHeight="1" x14ac:dyDescent="0.25">
      <c r="A52" s="20" t="s">
        <v>76</v>
      </c>
      <c r="B52" s="20" t="s">
        <v>113</v>
      </c>
      <c r="C52" s="20" t="s">
        <v>1082</v>
      </c>
      <c r="D52" s="20" t="s">
        <v>1147</v>
      </c>
      <c r="E52" s="20" t="s">
        <v>50</v>
      </c>
      <c r="F52" s="20">
        <v>1984</v>
      </c>
      <c r="G52" s="20">
        <f>(35+54)/2</f>
        <v>44.5</v>
      </c>
      <c r="H52" s="20" t="s">
        <v>1133</v>
      </c>
      <c r="I52" s="28" t="s">
        <v>1148</v>
      </c>
      <c r="J52" s="28" t="s">
        <v>1149</v>
      </c>
      <c r="K52" s="28" t="s">
        <v>1143</v>
      </c>
      <c r="L52" s="28" t="s">
        <v>1150</v>
      </c>
      <c r="M52" s="28" t="s">
        <v>1151</v>
      </c>
      <c r="N52" s="20" t="s">
        <v>248</v>
      </c>
      <c r="O52" s="20" t="s">
        <v>215</v>
      </c>
      <c r="P52" s="20"/>
      <c r="Q52" s="20"/>
      <c r="R52" s="20"/>
      <c r="S52" s="20"/>
      <c r="T52" s="20"/>
      <c r="U52" s="20"/>
      <c r="V52" s="111" t="s">
        <v>352</v>
      </c>
      <c r="W52" s="20" t="s">
        <v>219</v>
      </c>
      <c r="X52" s="111" t="s">
        <v>219</v>
      </c>
      <c r="Y52" s="20"/>
      <c r="Z52" s="20" t="s">
        <v>231</v>
      </c>
      <c r="AA52" s="20"/>
      <c r="AB52" s="20">
        <f>+AC52/20/4</f>
        <v>1</v>
      </c>
      <c r="AC52" s="20">
        <f>5*4+3*20</f>
        <v>80</v>
      </c>
      <c r="AD52" s="20"/>
      <c r="AE52" s="20"/>
      <c r="AF52" s="20">
        <v>58</v>
      </c>
      <c r="AG52" s="20" t="s">
        <v>970</v>
      </c>
      <c r="AH52" s="28" t="s">
        <v>1152</v>
      </c>
      <c r="AI52" s="23" t="s">
        <v>1033</v>
      </c>
      <c r="AJ52" s="20" t="s">
        <v>1153</v>
      </c>
      <c r="AK52" s="20" t="s">
        <v>970</v>
      </c>
      <c r="AL52" s="20"/>
      <c r="AM52" s="116">
        <v>68</v>
      </c>
      <c r="AN52" s="137" t="s">
        <v>1419</v>
      </c>
      <c r="AO52" s="24" t="s">
        <v>1424</v>
      </c>
      <c r="AP52" s="23" t="s">
        <v>1451</v>
      </c>
      <c r="AQ52" s="63"/>
      <c r="AR52" s="63"/>
      <c r="AS52" s="63"/>
      <c r="AT52" s="63"/>
      <c r="AU52" s="63"/>
      <c r="AV52" s="63"/>
      <c r="AW52" s="63"/>
      <c r="AX52" s="63"/>
      <c r="AY52" s="63"/>
      <c r="AZ52" s="63"/>
      <c r="BA52" s="63"/>
      <c r="BB52" s="63"/>
      <c r="BC52" s="63"/>
      <c r="BD52" s="63"/>
      <c r="BE52" s="63"/>
      <c r="BF52" s="63"/>
      <c r="BG52" s="63"/>
      <c r="BH52" s="63"/>
      <c r="BI52" s="63"/>
      <c r="BJ52" s="63"/>
      <c r="BK52" s="63"/>
      <c r="BL52" s="63"/>
      <c r="BM52" s="63"/>
      <c r="BN52" s="63"/>
      <c r="BO52" s="63"/>
      <c r="BP52" s="63"/>
      <c r="BQ52" s="63"/>
      <c r="BR52" s="63"/>
      <c r="BS52" s="63"/>
      <c r="BT52" s="63"/>
      <c r="BU52" s="63"/>
      <c r="BV52" s="63"/>
      <c r="BW52" s="63"/>
      <c r="BX52" s="63"/>
      <c r="BY52" s="63"/>
      <c r="BZ52" s="63"/>
      <c r="CA52" s="63"/>
      <c r="CB52" s="63"/>
      <c r="CC52" s="63"/>
      <c r="CD52" s="63"/>
      <c r="CE52" s="63"/>
      <c r="CF52" s="63"/>
      <c r="CG52" s="63"/>
      <c r="CH52" s="63"/>
      <c r="CI52" s="63"/>
      <c r="CJ52" s="63"/>
      <c r="CK52" s="63"/>
      <c r="CL52" s="63"/>
      <c r="CM52" s="63"/>
      <c r="CN52" s="63"/>
      <c r="CO52" s="63"/>
      <c r="CP52" s="63"/>
      <c r="CQ52" s="63"/>
      <c r="CR52" s="63"/>
      <c r="CS52" s="63"/>
      <c r="CT52" s="63"/>
      <c r="CU52" s="63"/>
      <c r="CV52" s="63"/>
      <c r="CW52" s="63"/>
      <c r="CX52" s="63"/>
      <c r="CY52" s="63"/>
      <c r="CZ52" s="63"/>
      <c r="DA52" s="63"/>
      <c r="DB52" s="63"/>
      <c r="DC52" s="63"/>
      <c r="DD52" s="63"/>
      <c r="DE52" s="63"/>
      <c r="DF52" s="63"/>
      <c r="DG52" s="63"/>
      <c r="DH52" s="63"/>
      <c r="DI52" s="63"/>
      <c r="DJ52" s="63"/>
      <c r="DK52" s="63"/>
      <c r="DL52" s="63"/>
      <c r="DM52" s="63"/>
      <c r="DN52" s="63"/>
      <c r="DO52" s="63"/>
      <c r="DP52" s="63"/>
      <c r="DQ52" s="63"/>
      <c r="DR52" s="63"/>
      <c r="DS52" s="63"/>
      <c r="DT52" s="63"/>
      <c r="DU52" s="63"/>
      <c r="DV52" s="63"/>
      <c r="DW52" s="63"/>
      <c r="DX52" s="63"/>
      <c r="DY52" s="63"/>
      <c r="DZ52" s="63"/>
      <c r="EA52" s="63"/>
      <c r="EB52" s="63"/>
      <c r="EC52" s="63"/>
      <c r="ED52" s="63"/>
      <c r="EE52" s="63"/>
      <c r="EF52" s="63"/>
      <c r="EG52" s="63"/>
      <c r="EH52" s="63"/>
      <c r="EI52" s="63"/>
      <c r="EJ52" s="63"/>
      <c r="EK52" s="63"/>
      <c r="EL52" s="63"/>
      <c r="EM52" s="63"/>
      <c r="EN52" s="63"/>
      <c r="EO52" s="63"/>
      <c r="EP52" s="63"/>
      <c r="EQ52" s="63"/>
      <c r="ER52" s="63"/>
      <c r="ES52" s="63"/>
      <c r="ET52" s="63"/>
      <c r="EU52" s="63"/>
      <c r="EV52" s="63"/>
      <c r="EW52" s="63"/>
      <c r="EX52" s="63"/>
      <c r="EY52" s="63"/>
      <c r="EZ52" s="63"/>
      <c r="FA52" s="63"/>
      <c r="FB52" s="63"/>
      <c r="FC52" s="63"/>
      <c r="FD52" s="63"/>
      <c r="FE52" s="63"/>
      <c r="FF52" s="63"/>
    </row>
    <row r="53" spans="1:162" s="23" customFormat="1" ht="30" hidden="1" customHeight="1" x14ac:dyDescent="0.25">
      <c r="A53" s="20" t="s">
        <v>97</v>
      </c>
      <c r="B53" s="20" t="s">
        <v>116</v>
      </c>
      <c r="C53" s="20" t="s">
        <v>1082</v>
      </c>
      <c r="D53" s="20" t="s">
        <v>1168</v>
      </c>
      <c r="E53" s="20" t="s">
        <v>50</v>
      </c>
      <c r="F53" s="20">
        <v>1984</v>
      </c>
      <c r="G53" s="20" t="s">
        <v>1169</v>
      </c>
      <c r="H53" s="20" t="s">
        <v>703</v>
      </c>
      <c r="I53" s="28" t="s">
        <v>1170</v>
      </c>
      <c r="J53" s="28" t="s">
        <v>1171</v>
      </c>
      <c r="K53" s="28" t="s">
        <v>1172</v>
      </c>
      <c r="L53" s="28" t="s">
        <v>1173</v>
      </c>
      <c r="M53" s="28" t="s">
        <v>1174</v>
      </c>
      <c r="N53" s="20" t="s">
        <v>248</v>
      </c>
      <c r="O53" s="20" t="s">
        <v>215</v>
      </c>
      <c r="P53" s="20" t="s">
        <v>1175</v>
      </c>
      <c r="Q53" s="20"/>
      <c r="R53" s="20"/>
      <c r="S53" s="20"/>
      <c r="T53" s="20"/>
      <c r="U53" s="20"/>
      <c r="V53" s="111" t="s">
        <v>352</v>
      </c>
      <c r="W53" s="111" t="s">
        <v>247</v>
      </c>
      <c r="X53" s="111" t="s">
        <v>219</v>
      </c>
      <c r="Y53" s="20"/>
      <c r="Z53" s="20" t="s">
        <v>231</v>
      </c>
      <c r="AA53" s="20"/>
      <c r="AB53" s="20">
        <v>24</v>
      </c>
      <c r="AC53" s="20"/>
      <c r="AD53" s="20"/>
      <c r="AE53" s="20"/>
      <c r="AF53" s="20">
        <v>32</v>
      </c>
      <c r="AG53" s="20" t="s">
        <v>970</v>
      </c>
      <c r="AH53" s="28" t="s">
        <v>1176</v>
      </c>
      <c r="AI53" s="23" t="s">
        <v>1047</v>
      </c>
      <c r="AJ53" s="20"/>
      <c r="AK53" s="20" t="s">
        <v>971</v>
      </c>
      <c r="AL53" s="20" t="s">
        <v>1167</v>
      </c>
      <c r="AM53" s="116">
        <v>72</v>
      </c>
      <c r="AN53" s="23" t="s">
        <v>1425</v>
      </c>
      <c r="AO53" s="24" t="s">
        <v>1427</v>
      </c>
      <c r="AP53" s="23" t="s">
        <v>1451</v>
      </c>
      <c r="AQ53" s="63"/>
      <c r="AR53" s="63"/>
      <c r="AS53" s="63"/>
      <c r="AT53" s="63"/>
      <c r="AU53" s="63"/>
      <c r="AV53" s="63"/>
      <c r="AW53" s="63"/>
      <c r="AX53" s="63"/>
      <c r="AY53" s="63"/>
      <c r="AZ53" s="63"/>
      <c r="BA53" s="63"/>
      <c r="BB53" s="63"/>
      <c r="BC53" s="63"/>
      <c r="BD53" s="63"/>
      <c r="BE53" s="63"/>
      <c r="BF53" s="63"/>
      <c r="BG53" s="63"/>
      <c r="BH53" s="63"/>
      <c r="BI53" s="63"/>
      <c r="BJ53" s="63"/>
      <c r="BK53" s="63"/>
      <c r="BL53" s="63"/>
      <c r="BM53" s="63"/>
      <c r="BN53" s="63"/>
      <c r="BO53" s="63"/>
      <c r="BP53" s="63"/>
      <c r="BQ53" s="63"/>
      <c r="BR53" s="63"/>
      <c r="BS53" s="63"/>
      <c r="BT53" s="63"/>
      <c r="BU53" s="63"/>
      <c r="BV53" s="63"/>
      <c r="BW53" s="63"/>
      <c r="BX53" s="63"/>
      <c r="BY53" s="63"/>
      <c r="BZ53" s="63"/>
      <c r="CA53" s="63"/>
      <c r="CB53" s="63"/>
      <c r="CC53" s="63"/>
      <c r="CD53" s="63"/>
      <c r="CE53" s="63"/>
      <c r="CF53" s="63"/>
      <c r="CG53" s="63"/>
      <c r="CH53" s="63"/>
      <c r="CI53" s="63"/>
      <c r="CJ53" s="63"/>
      <c r="CK53" s="63"/>
      <c r="CL53" s="63"/>
      <c r="CM53" s="63"/>
      <c r="CN53" s="63"/>
      <c r="CO53" s="63"/>
      <c r="CP53" s="63"/>
      <c r="CQ53" s="63"/>
      <c r="CR53" s="63"/>
      <c r="CS53" s="63"/>
      <c r="CT53" s="63"/>
      <c r="CU53" s="63"/>
      <c r="CV53" s="63"/>
      <c r="CW53" s="63"/>
      <c r="CX53" s="63"/>
      <c r="CY53" s="63"/>
      <c r="CZ53" s="63"/>
      <c r="DA53" s="63"/>
      <c r="DB53" s="63"/>
      <c r="DC53" s="63"/>
      <c r="DD53" s="63"/>
      <c r="DE53" s="63"/>
      <c r="DF53" s="63"/>
      <c r="DG53" s="63"/>
      <c r="DH53" s="63"/>
      <c r="DI53" s="63"/>
      <c r="DJ53" s="63"/>
      <c r="DK53" s="63"/>
      <c r="DL53" s="63"/>
      <c r="DM53" s="63"/>
      <c r="DN53" s="63"/>
      <c r="DO53" s="63"/>
      <c r="DP53" s="63"/>
      <c r="DQ53" s="63"/>
      <c r="DR53" s="63"/>
      <c r="DS53" s="63"/>
      <c r="DT53" s="63"/>
      <c r="DU53" s="63"/>
      <c r="DV53" s="63"/>
      <c r="DW53" s="63"/>
      <c r="DX53" s="63"/>
      <c r="DY53" s="63"/>
      <c r="DZ53" s="63"/>
      <c r="EA53" s="63"/>
      <c r="EB53" s="63"/>
      <c r="EC53" s="63"/>
      <c r="ED53" s="63"/>
      <c r="EE53" s="63"/>
      <c r="EF53" s="63"/>
      <c r="EG53" s="63"/>
      <c r="EH53" s="63"/>
      <c r="EI53" s="63"/>
      <c r="EJ53" s="63"/>
      <c r="EK53" s="63"/>
      <c r="EL53" s="63"/>
      <c r="EM53" s="63"/>
      <c r="EN53" s="63"/>
      <c r="EO53" s="63"/>
      <c r="EP53" s="63"/>
      <c r="EQ53" s="63"/>
      <c r="ER53" s="63"/>
      <c r="ES53" s="63"/>
      <c r="ET53" s="63"/>
      <c r="EU53" s="63"/>
      <c r="EV53" s="63"/>
      <c r="EW53" s="63"/>
      <c r="EX53" s="63"/>
      <c r="EY53" s="63"/>
      <c r="EZ53" s="63"/>
      <c r="FA53" s="63"/>
      <c r="FB53" s="63"/>
      <c r="FC53" s="63"/>
      <c r="FD53" s="63"/>
      <c r="FE53" s="63"/>
      <c r="FF53" s="63"/>
    </row>
    <row r="54" spans="1:162" s="23" customFormat="1" ht="30" hidden="1" customHeight="1" x14ac:dyDescent="0.25">
      <c r="A54" s="20" t="s">
        <v>97</v>
      </c>
      <c r="B54" s="20" t="s">
        <v>116</v>
      </c>
      <c r="C54" s="20" t="s">
        <v>1082</v>
      </c>
      <c r="D54" s="20" t="s">
        <v>1177</v>
      </c>
      <c r="E54" s="20" t="s">
        <v>50</v>
      </c>
      <c r="F54" s="20">
        <v>1984</v>
      </c>
      <c r="G54" s="20" t="s">
        <v>1178</v>
      </c>
      <c r="H54" s="20" t="s">
        <v>703</v>
      </c>
      <c r="I54" s="28" t="s">
        <v>1170</v>
      </c>
      <c r="J54" s="28" t="s">
        <v>1179</v>
      </c>
      <c r="K54" s="28" t="s">
        <v>1180</v>
      </c>
      <c r="L54" s="28" t="s">
        <v>1173</v>
      </c>
      <c r="M54" s="28" t="s">
        <v>1181</v>
      </c>
      <c r="N54" s="20" t="s">
        <v>248</v>
      </c>
      <c r="O54" s="20" t="s">
        <v>215</v>
      </c>
      <c r="P54" s="20" t="s">
        <v>1175</v>
      </c>
      <c r="Q54" s="20"/>
      <c r="R54" s="20"/>
      <c r="S54" s="20"/>
      <c r="T54" s="20"/>
      <c r="U54" s="20"/>
      <c r="V54" s="111" t="s">
        <v>352</v>
      </c>
      <c r="W54" s="111" t="s">
        <v>247</v>
      </c>
      <c r="X54" s="111" t="s">
        <v>219</v>
      </c>
      <c r="Y54" s="20"/>
      <c r="Z54" s="20" t="s">
        <v>231</v>
      </c>
      <c r="AA54" s="20"/>
      <c r="AB54" s="20">
        <v>9</v>
      </c>
      <c r="AC54" s="20"/>
      <c r="AD54" s="20"/>
      <c r="AE54" s="20"/>
      <c r="AF54" s="20">
        <v>32</v>
      </c>
      <c r="AG54" s="20" t="s">
        <v>970</v>
      </c>
      <c r="AH54" s="28" t="s">
        <v>1182</v>
      </c>
      <c r="AI54" s="23" t="s">
        <v>1047</v>
      </c>
      <c r="AJ54" s="20"/>
      <c r="AK54" s="20" t="s">
        <v>971</v>
      </c>
      <c r="AL54" s="20" t="s">
        <v>1167</v>
      </c>
      <c r="AM54" s="116">
        <v>73</v>
      </c>
      <c r="AN54" s="23" t="s">
        <v>1425</v>
      </c>
      <c r="AO54" s="24" t="s">
        <v>1428</v>
      </c>
      <c r="AP54" s="23" t="s">
        <v>1451</v>
      </c>
      <c r="AQ54" s="63"/>
      <c r="AR54" s="63"/>
      <c r="AS54" s="63"/>
      <c r="AT54" s="63"/>
      <c r="AU54" s="63"/>
      <c r="AV54" s="63"/>
      <c r="AW54" s="63"/>
      <c r="AX54" s="63"/>
      <c r="AY54" s="63"/>
      <c r="AZ54" s="63"/>
      <c r="BA54" s="63"/>
      <c r="BB54" s="63"/>
      <c r="BC54" s="63"/>
      <c r="BD54" s="63"/>
      <c r="BE54" s="63"/>
      <c r="BF54" s="63"/>
      <c r="BG54" s="63"/>
      <c r="BH54" s="63"/>
      <c r="BI54" s="63"/>
      <c r="BJ54" s="63"/>
      <c r="BK54" s="63"/>
      <c r="BL54" s="63"/>
      <c r="BM54" s="63"/>
      <c r="BN54" s="63"/>
      <c r="BO54" s="63"/>
      <c r="BP54" s="63"/>
      <c r="BQ54" s="63"/>
      <c r="BR54" s="63"/>
      <c r="BS54" s="63"/>
      <c r="BT54" s="63"/>
      <c r="BU54" s="63"/>
      <c r="BV54" s="63"/>
      <c r="BW54" s="63"/>
      <c r="BX54" s="63"/>
      <c r="BY54" s="63"/>
      <c r="BZ54" s="63"/>
      <c r="CA54" s="63"/>
      <c r="CB54" s="63"/>
      <c r="CC54" s="63"/>
      <c r="CD54" s="63"/>
      <c r="CE54" s="63"/>
      <c r="CF54" s="63"/>
      <c r="CG54" s="63"/>
      <c r="CH54" s="63"/>
      <c r="CI54" s="63"/>
      <c r="CJ54" s="63"/>
      <c r="CK54" s="63"/>
      <c r="CL54" s="63"/>
      <c r="CM54" s="63"/>
      <c r="CN54" s="63"/>
      <c r="CO54" s="63"/>
      <c r="CP54" s="63"/>
      <c r="CQ54" s="63"/>
      <c r="CR54" s="63"/>
      <c r="CS54" s="63"/>
      <c r="CT54" s="63"/>
      <c r="CU54" s="63"/>
      <c r="CV54" s="63"/>
      <c r="CW54" s="63"/>
      <c r="CX54" s="63"/>
      <c r="CY54" s="63"/>
      <c r="CZ54" s="63"/>
      <c r="DA54" s="63"/>
      <c r="DB54" s="63"/>
      <c r="DC54" s="63"/>
      <c r="DD54" s="63"/>
      <c r="DE54" s="63"/>
      <c r="DF54" s="63"/>
      <c r="DG54" s="63"/>
      <c r="DH54" s="63"/>
      <c r="DI54" s="63"/>
      <c r="DJ54" s="63"/>
      <c r="DK54" s="63"/>
      <c r="DL54" s="63"/>
      <c r="DM54" s="63"/>
      <c r="DN54" s="63"/>
      <c r="DO54" s="63"/>
      <c r="DP54" s="63"/>
      <c r="DQ54" s="63"/>
      <c r="DR54" s="63"/>
      <c r="DS54" s="63"/>
      <c r="DT54" s="63"/>
      <c r="DU54" s="63"/>
      <c r="DV54" s="63"/>
      <c r="DW54" s="63"/>
      <c r="DX54" s="63"/>
      <c r="DY54" s="63"/>
      <c r="DZ54" s="63"/>
      <c r="EA54" s="63"/>
      <c r="EB54" s="63"/>
      <c r="EC54" s="63"/>
      <c r="ED54" s="63"/>
      <c r="EE54" s="63"/>
      <c r="EF54" s="63"/>
      <c r="EG54" s="63"/>
      <c r="EH54" s="63"/>
      <c r="EI54" s="63"/>
      <c r="EJ54" s="63"/>
      <c r="EK54" s="63"/>
      <c r="EL54" s="63"/>
      <c r="EM54" s="63"/>
      <c r="EN54" s="63"/>
      <c r="EO54" s="63"/>
      <c r="EP54" s="63"/>
      <c r="EQ54" s="63"/>
      <c r="ER54" s="63"/>
      <c r="ES54" s="63"/>
      <c r="ET54" s="63"/>
      <c r="EU54" s="63"/>
      <c r="EV54" s="63"/>
      <c r="EW54" s="63"/>
      <c r="EX54" s="63"/>
      <c r="EY54" s="63"/>
      <c r="EZ54" s="63"/>
      <c r="FA54" s="63"/>
      <c r="FB54" s="63"/>
      <c r="FC54" s="63"/>
      <c r="FD54" s="63"/>
      <c r="FE54" s="63"/>
      <c r="FF54" s="63"/>
    </row>
    <row r="55" spans="1:162" s="23" customFormat="1" ht="30" hidden="1" customHeight="1" x14ac:dyDescent="0.25">
      <c r="A55" s="20" t="s">
        <v>97</v>
      </c>
      <c r="B55" s="20" t="s">
        <v>182</v>
      </c>
      <c r="C55" s="20" t="s">
        <v>1082</v>
      </c>
      <c r="D55" s="20" t="s">
        <v>1177</v>
      </c>
      <c r="E55" s="20" t="s">
        <v>50</v>
      </c>
      <c r="F55" s="20">
        <v>1984</v>
      </c>
      <c r="G55" s="20" t="s">
        <v>1178</v>
      </c>
      <c r="H55" s="30" t="s">
        <v>240</v>
      </c>
      <c r="I55" s="28" t="s">
        <v>1170</v>
      </c>
      <c r="J55" s="28" t="s">
        <v>183</v>
      </c>
      <c r="K55" s="28" t="s">
        <v>1180</v>
      </c>
      <c r="L55" s="20" t="s">
        <v>1191</v>
      </c>
      <c r="M55" s="20" t="s">
        <v>1191</v>
      </c>
      <c r="N55" s="20" t="s">
        <v>248</v>
      </c>
      <c r="O55" s="20" t="s">
        <v>215</v>
      </c>
      <c r="P55" s="20" t="s">
        <v>1192</v>
      </c>
      <c r="Q55" s="20"/>
      <c r="R55" s="20"/>
      <c r="S55" s="20"/>
      <c r="T55" s="20"/>
      <c r="U55" s="20"/>
      <c r="V55" s="111" t="s">
        <v>352</v>
      </c>
      <c r="W55" s="111" t="s">
        <v>247</v>
      </c>
      <c r="X55" s="111" t="s">
        <v>219</v>
      </c>
      <c r="Y55" s="20"/>
      <c r="Z55" s="20" t="s">
        <v>231</v>
      </c>
      <c r="AA55" s="20"/>
      <c r="AB55" s="20">
        <v>9</v>
      </c>
      <c r="AC55" s="20"/>
      <c r="AD55" s="20"/>
      <c r="AE55" s="20"/>
      <c r="AF55" s="20">
        <v>32</v>
      </c>
      <c r="AG55" s="20" t="s">
        <v>970</v>
      </c>
      <c r="AH55" s="28" t="s">
        <v>1182</v>
      </c>
      <c r="AI55" s="23" t="s">
        <v>1047</v>
      </c>
      <c r="AJ55" s="20"/>
      <c r="AK55" s="20" t="s">
        <v>971</v>
      </c>
      <c r="AL55" s="20" t="s">
        <v>1167</v>
      </c>
      <c r="AM55" s="116">
        <v>76</v>
      </c>
      <c r="AN55" s="23" t="s">
        <v>1425</v>
      </c>
      <c r="AO55" s="24" t="s">
        <v>1428</v>
      </c>
      <c r="AP55" s="23" t="s">
        <v>1451</v>
      </c>
      <c r="AQ55" s="63"/>
      <c r="AR55" s="63"/>
      <c r="AS55" s="63"/>
      <c r="AT55" s="63"/>
      <c r="AU55" s="63"/>
      <c r="AV55" s="63"/>
      <c r="AW55" s="63"/>
      <c r="AX55" s="63"/>
      <c r="AY55" s="63"/>
      <c r="AZ55" s="63"/>
      <c r="BA55" s="63"/>
      <c r="BB55" s="63"/>
      <c r="BC55" s="63"/>
      <c r="BD55" s="63"/>
      <c r="BE55" s="63"/>
      <c r="BF55" s="63"/>
      <c r="BG55" s="63"/>
      <c r="BH55" s="63"/>
      <c r="BI55" s="63"/>
      <c r="BJ55" s="63"/>
      <c r="BK55" s="63"/>
      <c r="BL55" s="63"/>
      <c r="BM55" s="63"/>
      <c r="BN55" s="63"/>
      <c r="BO55" s="63"/>
      <c r="BP55" s="63"/>
      <c r="BQ55" s="63"/>
      <c r="BR55" s="63"/>
      <c r="BS55" s="63"/>
      <c r="BT55" s="63"/>
      <c r="BU55" s="63"/>
      <c r="BV55" s="63"/>
      <c r="BW55" s="63"/>
      <c r="BX55" s="63"/>
      <c r="BY55" s="63"/>
      <c r="BZ55" s="63"/>
      <c r="CA55" s="63"/>
      <c r="CB55" s="63"/>
      <c r="CC55" s="63"/>
      <c r="CD55" s="63"/>
      <c r="CE55" s="63"/>
      <c r="CF55" s="63"/>
      <c r="CG55" s="63"/>
      <c r="CH55" s="63"/>
      <c r="CI55" s="63"/>
      <c r="CJ55" s="63"/>
      <c r="CK55" s="63"/>
      <c r="CL55" s="63"/>
      <c r="CM55" s="63"/>
      <c r="CN55" s="63"/>
      <c r="CO55" s="63"/>
      <c r="CP55" s="63"/>
      <c r="CQ55" s="63"/>
      <c r="CR55" s="63"/>
      <c r="CS55" s="63"/>
      <c r="CT55" s="63"/>
      <c r="CU55" s="63"/>
      <c r="CV55" s="63"/>
      <c r="CW55" s="63"/>
      <c r="CX55" s="63"/>
      <c r="CY55" s="63"/>
      <c r="CZ55" s="63"/>
      <c r="DA55" s="63"/>
      <c r="DB55" s="63"/>
      <c r="DC55" s="63"/>
      <c r="DD55" s="63"/>
      <c r="DE55" s="63"/>
      <c r="DF55" s="63"/>
      <c r="DG55" s="63"/>
      <c r="DH55" s="63"/>
      <c r="DI55" s="63"/>
      <c r="DJ55" s="63"/>
      <c r="DK55" s="63"/>
      <c r="DL55" s="63"/>
      <c r="DM55" s="63"/>
      <c r="DN55" s="63"/>
      <c r="DO55" s="63"/>
      <c r="DP55" s="63"/>
      <c r="DQ55" s="63"/>
      <c r="DR55" s="63"/>
      <c r="DS55" s="63"/>
      <c r="DT55" s="63"/>
      <c r="DU55" s="63"/>
      <c r="DV55" s="63"/>
      <c r="DW55" s="63"/>
      <c r="DX55" s="63"/>
      <c r="DY55" s="63"/>
      <c r="DZ55" s="63"/>
      <c r="EA55" s="63"/>
      <c r="EB55" s="63"/>
      <c r="EC55" s="63"/>
      <c r="ED55" s="63"/>
      <c r="EE55" s="63"/>
      <c r="EF55" s="63"/>
      <c r="EG55" s="63"/>
      <c r="EH55" s="63"/>
      <c r="EI55" s="63"/>
      <c r="EJ55" s="63"/>
      <c r="EK55" s="63"/>
      <c r="EL55" s="63"/>
      <c r="EM55" s="63"/>
      <c r="EN55" s="63"/>
      <c r="EO55" s="63"/>
      <c r="EP55" s="63"/>
      <c r="EQ55" s="63"/>
      <c r="ER55" s="63"/>
      <c r="ES55" s="63"/>
      <c r="ET55" s="63"/>
      <c r="EU55" s="63"/>
      <c r="EV55" s="63"/>
      <c r="EW55" s="63"/>
      <c r="EX55" s="63"/>
      <c r="EY55" s="63"/>
      <c r="EZ55" s="63"/>
      <c r="FA55" s="63"/>
      <c r="FB55" s="63"/>
      <c r="FC55" s="63"/>
      <c r="FD55" s="63"/>
      <c r="FE55" s="63"/>
      <c r="FF55" s="63"/>
    </row>
    <row r="56" spans="1:162" s="23" customFormat="1" ht="30" hidden="1" customHeight="1" x14ac:dyDescent="0.25">
      <c r="A56" s="20" t="s">
        <v>97</v>
      </c>
      <c r="B56" s="20" t="s">
        <v>116</v>
      </c>
      <c r="C56" s="20" t="s">
        <v>1082</v>
      </c>
      <c r="D56" s="20" t="s">
        <v>1183</v>
      </c>
      <c r="E56" s="20" t="s">
        <v>50</v>
      </c>
      <c r="F56" s="20">
        <v>1984</v>
      </c>
      <c r="G56" s="20" t="s">
        <v>237</v>
      </c>
      <c r="H56" s="20" t="s">
        <v>703</v>
      </c>
      <c r="I56" s="28" t="s">
        <v>1170</v>
      </c>
      <c r="J56" s="28" t="s">
        <v>1184</v>
      </c>
      <c r="K56" s="28" t="s">
        <v>1172</v>
      </c>
      <c r="L56" s="28" t="s">
        <v>1173</v>
      </c>
      <c r="M56" s="28" t="s">
        <v>1185</v>
      </c>
      <c r="N56" s="20" t="s">
        <v>248</v>
      </c>
      <c r="O56" s="20" t="s">
        <v>215</v>
      </c>
      <c r="P56" s="20" t="s">
        <v>1175</v>
      </c>
      <c r="Q56" s="20"/>
      <c r="R56" s="20"/>
      <c r="S56" s="20"/>
      <c r="T56" s="20"/>
      <c r="U56" s="20"/>
      <c r="V56" s="111" t="s">
        <v>352</v>
      </c>
      <c r="W56" s="111" t="s">
        <v>247</v>
      </c>
      <c r="X56" s="111" t="s">
        <v>219</v>
      </c>
      <c r="Y56" s="20"/>
      <c r="Z56" s="20" t="s">
        <v>231</v>
      </c>
      <c r="AA56" s="20"/>
      <c r="AB56" s="20">
        <v>9</v>
      </c>
      <c r="AC56" s="20"/>
      <c r="AD56" s="20"/>
      <c r="AE56" s="20"/>
      <c r="AF56" s="20">
        <v>32</v>
      </c>
      <c r="AG56" s="20" t="s">
        <v>970</v>
      </c>
      <c r="AH56" s="28" t="s">
        <v>1186</v>
      </c>
      <c r="AI56" s="23" t="s">
        <v>1047</v>
      </c>
      <c r="AJ56" s="20"/>
      <c r="AK56" s="20" t="s">
        <v>971</v>
      </c>
      <c r="AL56" s="20" t="s">
        <v>1167</v>
      </c>
      <c r="AM56" s="116">
        <v>74</v>
      </c>
      <c r="AN56" s="23" t="s">
        <v>1425</v>
      </c>
      <c r="AO56" s="24" t="s">
        <v>1426</v>
      </c>
      <c r="AP56" s="23" t="s">
        <v>1451</v>
      </c>
      <c r="AQ56" s="63"/>
      <c r="AR56" s="63"/>
      <c r="AS56" s="63"/>
      <c r="AT56" s="63"/>
      <c r="AU56" s="63"/>
      <c r="AV56" s="63"/>
      <c r="AW56" s="63"/>
      <c r="AX56" s="63"/>
      <c r="AY56" s="63"/>
      <c r="AZ56" s="63"/>
      <c r="BA56" s="63"/>
      <c r="BB56" s="63"/>
      <c r="BC56" s="63"/>
      <c r="BD56" s="63"/>
      <c r="BE56" s="63"/>
      <c r="BF56" s="63"/>
      <c r="BG56" s="63"/>
      <c r="BH56" s="63"/>
      <c r="BI56" s="63"/>
      <c r="BJ56" s="63"/>
      <c r="BK56" s="63"/>
      <c r="BL56" s="63"/>
      <c r="BM56" s="63"/>
      <c r="BN56" s="63"/>
      <c r="BO56" s="63"/>
      <c r="BP56" s="63"/>
      <c r="BQ56" s="63"/>
      <c r="BR56" s="63"/>
      <c r="BS56" s="63"/>
      <c r="BT56" s="63"/>
      <c r="BU56" s="63"/>
      <c r="BV56" s="63"/>
      <c r="BW56" s="63"/>
      <c r="BX56" s="63"/>
      <c r="BY56" s="63"/>
      <c r="BZ56" s="63"/>
      <c r="CA56" s="63"/>
      <c r="CB56" s="63"/>
      <c r="CC56" s="63"/>
      <c r="CD56" s="63"/>
      <c r="CE56" s="63"/>
      <c r="CF56" s="63"/>
      <c r="CG56" s="63"/>
      <c r="CH56" s="63"/>
      <c r="CI56" s="63"/>
      <c r="CJ56" s="63"/>
      <c r="CK56" s="63"/>
      <c r="CL56" s="63"/>
      <c r="CM56" s="63"/>
      <c r="CN56" s="63"/>
      <c r="CO56" s="63"/>
      <c r="CP56" s="63"/>
      <c r="CQ56" s="63"/>
      <c r="CR56" s="63"/>
      <c r="CS56" s="63"/>
      <c r="CT56" s="63"/>
      <c r="CU56" s="63"/>
      <c r="CV56" s="63"/>
      <c r="CW56" s="63"/>
      <c r="CX56" s="63"/>
      <c r="CY56" s="63"/>
      <c r="CZ56" s="63"/>
      <c r="DA56" s="63"/>
      <c r="DB56" s="63"/>
      <c r="DC56" s="63"/>
      <c r="DD56" s="63"/>
      <c r="DE56" s="63"/>
      <c r="DF56" s="63"/>
      <c r="DG56" s="63"/>
      <c r="DH56" s="63"/>
      <c r="DI56" s="63"/>
      <c r="DJ56" s="63"/>
      <c r="DK56" s="63"/>
      <c r="DL56" s="63"/>
      <c r="DM56" s="63"/>
      <c r="DN56" s="63"/>
      <c r="DO56" s="63"/>
      <c r="DP56" s="63"/>
      <c r="DQ56" s="63"/>
      <c r="DR56" s="63"/>
      <c r="DS56" s="63"/>
      <c r="DT56" s="63"/>
      <c r="DU56" s="63"/>
      <c r="DV56" s="63"/>
      <c r="DW56" s="63"/>
      <c r="DX56" s="63"/>
      <c r="DY56" s="63"/>
      <c r="DZ56" s="63"/>
      <c r="EA56" s="63"/>
      <c r="EB56" s="63"/>
      <c r="EC56" s="63"/>
      <c r="ED56" s="63"/>
      <c r="EE56" s="63"/>
      <c r="EF56" s="63"/>
      <c r="EG56" s="63"/>
      <c r="EH56" s="63"/>
      <c r="EI56" s="63"/>
      <c r="EJ56" s="63"/>
      <c r="EK56" s="63"/>
      <c r="EL56" s="63"/>
      <c r="EM56" s="63"/>
      <c r="EN56" s="63"/>
      <c r="EO56" s="63"/>
      <c r="EP56" s="63"/>
      <c r="EQ56" s="63"/>
      <c r="ER56" s="63"/>
      <c r="ES56" s="63"/>
      <c r="ET56" s="63"/>
      <c r="EU56" s="63"/>
      <c r="EV56" s="63"/>
      <c r="EW56" s="63"/>
      <c r="EX56" s="63"/>
      <c r="EY56" s="63"/>
      <c r="EZ56" s="63"/>
      <c r="FA56" s="63"/>
      <c r="FB56" s="63"/>
      <c r="FC56" s="63"/>
      <c r="FD56" s="63"/>
      <c r="FE56" s="63"/>
      <c r="FF56" s="63"/>
    </row>
    <row r="57" spans="1:162" s="23" customFormat="1" ht="30" hidden="1" customHeight="1" x14ac:dyDescent="0.25">
      <c r="A57" s="20" t="s">
        <v>97</v>
      </c>
      <c r="B57" s="20" t="s">
        <v>116</v>
      </c>
      <c r="C57" s="20" t="s">
        <v>1082</v>
      </c>
      <c r="D57" s="20" t="s">
        <v>1187</v>
      </c>
      <c r="E57" s="20" t="s">
        <v>50</v>
      </c>
      <c r="F57" s="20">
        <v>1984</v>
      </c>
      <c r="G57" s="20" t="s">
        <v>1169</v>
      </c>
      <c r="H57" s="20" t="s">
        <v>703</v>
      </c>
      <c r="I57" s="28" t="s">
        <v>1170</v>
      </c>
      <c r="J57" s="28" t="s">
        <v>1188</v>
      </c>
      <c r="K57" s="28" t="s">
        <v>1172</v>
      </c>
      <c r="L57" s="28" t="s">
        <v>1173</v>
      </c>
      <c r="M57" s="28" t="s">
        <v>1189</v>
      </c>
      <c r="N57" s="20" t="s">
        <v>248</v>
      </c>
      <c r="O57" s="20" t="s">
        <v>215</v>
      </c>
      <c r="P57" s="20" t="s">
        <v>1175</v>
      </c>
      <c r="Q57" s="20"/>
      <c r="R57" s="20"/>
      <c r="S57" s="20"/>
      <c r="T57" s="20"/>
      <c r="U57" s="20"/>
      <c r="V57" s="111" t="s">
        <v>352</v>
      </c>
      <c r="W57" s="111" t="s">
        <v>247</v>
      </c>
      <c r="X57" s="111" t="s">
        <v>219</v>
      </c>
      <c r="Y57" s="20"/>
      <c r="Z57" s="20" t="s">
        <v>231</v>
      </c>
      <c r="AA57" s="20"/>
      <c r="AB57" s="20">
        <v>5</v>
      </c>
      <c r="AC57" s="20"/>
      <c r="AD57" s="20"/>
      <c r="AE57" s="20"/>
      <c r="AF57" s="20">
        <v>32</v>
      </c>
      <c r="AG57" s="20" t="s">
        <v>970</v>
      </c>
      <c r="AH57" s="28" t="s">
        <v>1190</v>
      </c>
      <c r="AI57" s="23" t="s">
        <v>1047</v>
      </c>
      <c r="AJ57" s="20"/>
      <c r="AK57" s="20" t="s">
        <v>971</v>
      </c>
      <c r="AL57" s="20" t="s">
        <v>1167</v>
      </c>
      <c r="AM57" s="116">
        <v>75</v>
      </c>
      <c r="AN57" s="23" t="s">
        <v>1425</v>
      </c>
      <c r="AO57" s="24" t="s">
        <v>1429</v>
      </c>
      <c r="AP57" s="23" t="s">
        <v>1451</v>
      </c>
      <c r="AQ57" s="63"/>
      <c r="AR57" s="63"/>
      <c r="AS57" s="63"/>
      <c r="AT57" s="63"/>
      <c r="AU57" s="63"/>
      <c r="AV57" s="63"/>
      <c r="AW57" s="63"/>
      <c r="AX57" s="63"/>
      <c r="AY57" s="63"/>
      <c r="AZ57" s="63"/>
      <c r="BA57" s="63"/>
      <c r="BB57" s="63"/>
      <c r="BC57" s="63"/>
      <c r="BD57" s="63"/>
      <c r="BE57" s="63"/>
      <c r="BF57" s="63"/>
      <c r="BG57" s="63"/>
      <c r="BH57" s="63"/>
      <c r="BI57" s="63"/>
      <c r="BJ57" s="63"/>
      <c r="BK57" s="63"/>
      <c r="BL57" s="63"/>
      <c r="BM57" s="63"/>
      <c r="BN57" s="63"/>
      <c r="BO57" s="63"/>
      <c r="BP57" s="63"/>
      <c r="BQ57" s="63"/>
      <c r="BR57" s="63"/>
      <c r="BS57" s="63"/>
      <c r="BT57" s="63"/>
      <c r="BU57" s="63"/>
      <c r="BV57" s="63"/>
      <c r="BW57" s="63"/>
      <c r="BX57" s="63"/>
      <c r="BY57" s="63"/>
      <c r="BZ57" s="63"/>
      <c r="CA57" s="63"/>
      <c r="CB57" s="63"/>
      <c r="CC57" s="63"/>
      <c r="CD57" s="63"/>
      <c r="CE57" s="63"/>
      <c r="CF57" s="63"/>
      <c r="CG57" s="63"/>
      <c r="CH57" s="63"/>
      <c r="CI57" s="63"/>
      <c r="CJ57" s="63"/>
      <c r="CK57" s="63"/>
      <c r="CL57" s="63"/>
      <c r="CM57" s="63"/>
      <c r="CN57" s="63"/>
      <c r="CO57" s="63"/>
      <c r="CP57" s="63"/>
      <c r="CQ57" s="63"/>
      <c r="CR57" s="63"/>
      <c r="CS57" s="63"/>
      <c r="CT57" s="63"/>
      <c r="CU57" s="63"/>
      <c r="CV57" s="63"/>
      <c r="CW57" s="63"/>
      <c r="CX57" s="63"/>
      <c r="CY57" s="63"/>
      <c r="CZ57" s="63"/>
      <c r="DA57" s="63"/>
      <c r="DB57" s="63"/>
      <c r="DC57" s="63"/>
      <c r="DD57" s="63"/>
      <c r="DE57" s="63"/>
      <c r="DF57" s="63"/>
      <c r="DG57" s="63"/>
      <c r="DH57" s="63"/>
      <c r="DI57" s="63"/>
      <c r="DJ57" s="63"/>
      <c r="DK57" s="63"/>
      <c r="DL57" s="63"/>
      <c r="DM57" s="63"/>
      <c r="DN57" s="63"/>
      <c r="DO57" s="63"/>
      <c r="DP57" s="63"/>
      <c r="DQ57" s="63"/>
      <c r="DR57" s="63"/>
      <c r="DS57" s="63"/>
      <c r="DT57" s="63"/>
      <c r="DU57" s="63"/>
      <c r="DV57" s="63"/>
      <c r="DW57" s="63"/>
      <c r="DX57" s="63"/>
      <c r="DY57" s="63"/>
      <c r="DZ57" s="63"/>
      <c r="EA57" s="63"/>
      <c r="EB57" s="63"/>
      <c r="EC57" s="63"/>
      <c r="ED57" s="63"/>
      <c r="EE57" s="63"/>
      <c r="EF57" s="63"/>
      <c r="EG57" s="63"/>
      <c r="EH57" s="63"/>
      <c r="EI57" s="63"/>
      <c r="EJ57" s="63"/>
      <c r="EK57" s="63"/>
      <c r="EL57" s="63"/>
      <c r="EM57" s="63"/>
      <c r="EN57" s="63"/>
      <c r="EO57" s="63"/>
      <c r="EP57" s="63"/>
      <c r="EQ57" s="63"/>
      <c r="ER57" s="63"/>
      <c r="ES57" s="63"/>
      <c r="ET57" s="63"/>
      <c r="EU57" s="63"/>
      <c r="EV57" s="63"/>
      <c r="EW57" s="63"/>
      <c r="EX57" s="63"/>
      <c r="EY57" s="63"/>
      <c r="EZ57" s="63"/>
      <c r="FA57" s="63"/>
      <c r="FB57" s="63"/>
      <c r="FC57" s="63"/>
      <c r="FD57" s="63"/>
      <c r="FE57" s="63"/>
      <c r="FF57" s="63"/>
    </row>
    <row r="58" spans="1:162" s="23" customFormat="1" ht="30" customHeight="1" x14ac:dyDescent="0.25">
      <c r="A58" s="116" t="s">
        <v>81</v>
      </c>
      <c r="B58" s="118" t="s">
        <v>70</v>
      </c>
      <c r="C58" s="116" t="s">
        <v>207</v>
      </c>
      <c r="D58" s="118" t="s">
        <v>70</v>
      </c>
      <c r="E58" s="116" t="s">
        <v>50</v>
      </c>
      <c r="F58" s="116">
        <v>1985</v>
      </c>
      <c r="G58" s="116" t="s">
        <v>329</v>
      </c>
      <c r="H58" s="117" t="s">
        <v>330</v>
      </c>
      <c r="I58" s="117" t="s">
        <v>331</v>
      </c>
      <c r="J58" s="116" t="s">
        <v>332</v>
      </c>
      <c r="K58" s="136" t="s">
        <v>333</v>
      </c>
      <c r="L58" s="116" t="s">
        <v>334</v>
      </c>
      <c r="M58" s="117" t="s">
        <v>335</v>
      </c>
      <c r="N58" s="20" t="s">
        <v>301</v>
      </c>
      <c r="O58" s="116" t="s">
        <v>215</v>
      </c>
      <c r="P58" s="121" t="s">
        <v>240</v>
      </c>
      <c r="Q58" s="116"/>
      <c r="R58" s="116"/>
      <c r="S58" s="116"/>
      <c r="T58" s="116"/>
      <c r="U58" s="116"/>
      <c r="V58" s="115" t="s">
        <v>218</v>
      </c>
      <c r="W58" s="111" t="s">
        <v>247</v>
      </c>
      <c r="X58" s="111" t="s">
        <v>1378</v>
      </c>
      <c r="Y58" s="116"/>
      <c r="Z58" s="56" t="s">
        <v>231</v>
      </c>
      <c r="AA58" s="56"/>
      <c r="AB58" s="116"/>
      <c r="AC58" s="116">
        <v>700</v>
      </c>
      <c r="AD58" s="116"/>
      <c r="AE58" s="116"/>
      <c r="AF58" s="116">
        <v>195</v>
      </c>
      <c r="AG58" s="23" t="s">
        <v>970</v>
      </c>
      <c r="AH58" s="24" t="s">
        <v>1029</v>
      </c>
      <c r="AI58" s="23" t="s">
        <v>1033</v>
      </c>
      <c r="AJ58" s="23" t="s">
        <v>1106</v>
      </c>
      <c r="AK58" s="23" t="s">
        <v>971</v>
      </c>
      <c r="AL58" s="23" t="s">
        <v>1384</v>
      </c>
      <c r="AM58" s="116">
        <v>17</v>
      </c>
      <c r="AN58" s="24" t="s">
        <v>1430</v>
      </c>
      <c r="AO58" s="24" t="s">
        <v>1431</v>
      </c>
      <c r="AP58" s="23" t="s">
        <v>1451</v>
      </c>
      <c r="AQ58" s="63"/>
      <c r="AR58" s="63"/>
      <c r="AS58" s="63"/>
      <c r="AT58" s="63"/>
      <c r="AU58" s="63"/>
      <c r="AV58" s="63"/>
      <c r="AW58" s="63"/>
      <c r="AX58" s="63"/>
      <c r="AY58" s="63"/>
      <c r="AZ58" s="63"/>
      <c r="BA58" s="63"/>
      <c r="BB58" s="63"/>
      <c r="BC58" s="63"/>
      <c r="BD58" s="63"/>
      <c r="BE58" s="63"/>
      <c r="BF58" s="63"/>
      <c r="BG58" s="63"/>
      <c r="BH58" s="63"/>
      <c r="BI58" s="63"/>
      <c r="BJ58" s="63"/>
      <c r="BK58" s="63"/>
      <c r="BL58" s="63"/>
      <c r="BM58" s="63"/>
      <c r="BN58" s="63"/>
      <c r="BO58" s="63"/>
      <c r="BP58" s="63"/>
      <c r="BQ58" s="63"/>
      <c r="BR58" s="63"/>
      <c r="BS58" s="63"/>
      <c r="BT58" s="63"/>
      <c r="BU58" s="63"/>
      <c r="BV58" s="63"/>
      <c r="BW58" s="63"/>
      <c r="BX58" s="63"/>
      <c r="BY58" s="63"/>
      <c r="BZ58" s="63"/>
      <c r="CA58" s="63"/>
      <c r="CB58" s="63"/>
      <c r="CC58" s="63"/>
      <c r="CD58" s="63"/>
      <c r="CE58" s="63"/>
      <c r="CF58" s="63"/>
      <c r="CG58" s="63"/>
      <c r="CH58" s="63"/>
      <c r="CI58" s="63"/>
      <c r="CJ58" s="63"/>
      <c r="CK58" s="63"/>
      <c r="CL58" s="63"/>
      <c r="CM58" s="63"/>
      <c r="CN58" s="63"/>
      <c r="CO58" s="63"/>
      <c r="CP58" s="63"/>
      <c r="CQ58" s="63"/>
      <c r="CR58" s="63"/>
      <c r="CS58" s="63"/>
      <c r="CT58" s="63"/>
      <c r="CU58" s="63"/>
      <c r="CV58" s="63"/>
      <c r="CW58" s="63"/>
      <c r="CX58" s="63"/>
      <c r="CY58" s="63"/>
      <c r="CZ58" s="63"/>
      <c r="DA58" s="63"/>
      <c r="DB58" s="63"/>
      <c r="DC58" s="63"/>
      <c r="DD58" s="63"/>
      <c r="DE58" s="63"/>
      <c r="DF58" s="63"/>
      <c r="DG58" s="63"/>
      <c r="DH58" s="63"/>
      <c r="DI58" s="63"/>
      <c r="DJ58" s="63"/>
      <c r="DK58" s="63"/>
      <c r="DL58" s="63"/>
      <c r="DM58" s="63"/>
      <c r="DN58" s="63"/>
      <c r="DO58" s="63"/>
      <c r="DP58" s="63"/>
      <c r="DQ58" s="63"/>
      <c r="DR58" s="63"/>
      <c r="DS58" s="63"/>
      <c r="DT58" s="63"/>
      <c r="DU58" s="63"/>
      <c r="DV58" s="63"/>
      <c r="DW58" s="63"/>
      <c r="DX58" s="63"/>
      <c r="DY58" s="63"/>
      <c r="DZ58" s="63"/>
      <c r="EA58" s="63"/>
      <c r="EB58" s="63"/>
      <c r="EC58" s="63"/>
      <c r="ED58" s="63"/>
      <c r="EE58" s="63"/>
      <c r="EF58" s="63"/>
      <c r="EG58" s="63"/>
      <c r="EH58" s="63"/>
      <c r="EI58" s="63"/>
      <c r="EJ58" s="63"/>
      <c r="EK58" s="63"/>
      <c r="EL58" s="63"/>
      <c r="EM58" s="63"/>
      <c r="EN58" s="63"/>
      <c r="EO58" s="63"/>
      <c r="EP58" s="63"/>
      <c r="EQ58" s="63"/>
      <c r="ER58" s="63"/>
      <c r="ES58" s="63"/>
      <c r="ET58" s="63"/>
      <c r="EU58" s="63"/>
      <c r="EV58" s="63"/>
      <c r="EW58" s="63"/>
      <c r="EX58" s="63"/>
      <c r="EY58" s="63"/>
      <c r="EZ58" s="63"/>
      <c r="FA58" s="63"/>
      <c r="FB58" s="63"/>
      <c r="FC58" s="63"/>
      <c r="FD58" s="63"/>
      <c r="FE58" s="63"/>
      <c r="FF58" s="63"/>
    </row>
    <row r="59" spans="1:162" s="23" customFormat="1" ht="30" customHeight="1" x14ac:dyDescent="0.25">
      <c r="A59" s="116" t="s">
        <v>81</v>
      </c>
      <c r="B59" s="58" t="s">
        <v>131</v>
      </c>
      <c r="C59" s="116" t="s">
        <v>344</v>
      </c>
      <c r="D59" s="58" t="s">
        <v>131</v>
      </c>
      <c r="E59" s="116" t="s">
        <v>50</v>
      </c>
      <c r="F59" s="116">
        <v>1986</v>
      </c>
      <c r="G59" s="116" t="s">
        <v>345</v>
      </c>
      <c r="H59" s="117" t="s">
        <v>346</v>
      </c>
      <c r="I59" s="117" t="s">
        <v>347</v>
      </c>
      <c r="J59" s="19" t="s">
        <v>95</v>
      </c>
      <c r="K59" s="117" t="s">
        <v>348</v>
      </c>
      <c r="L59" s="117" t="s">
        <v>349</v>
      </c>
      <c r="M59" s="117" t="s">
        <v>350</v>
      </c>
      <c r="N59" s="20" t="s">
        <v>301</v>
      </c>
      <c r="O59" s="116" t="s">
        <v>215</v>
      </c>
      <c r="P59" s="116" t="s">
        <v>240</v>
      </c>
      <c r="Q59" s="117" t="s">
        <v>130</v>
      </c>
      <c r="R59" s="117" t="s">
        <v>94</v>
      </c>
      <c r="S59" s="117" t="s">
        <v>351</v>
      </c>
      <c r="T59" s="116"/>
      <c r="U59" s="116"/>
      <c r="V59" s="111" t="s">
        <v>352</v>
      </c>
      <c r="W59" s="111" t="s">
        <v>247</v>
      </c>
      <c r="X59" s="20" t="s">
        <v>1379</v>
      </c>
      <c r="Y59" s="116"/>
      <c r="Z59" s="56" t="s">
        <v>231</v>
      </c>
      <c r="AA59" s="56"/>
      <c r="AB59" s="116">
        <v>4</v>
      </c>
      <c r="AC59" s="116"/>
      <c r="AD59" s="116"/>
      <c r="AE59" s="116"/>
      <c r="AF59" s="116">
        <v>23</v>
      </c>
      <c r="AG59" s="116" t="s">
        <v>970</v>
      </c>
      <c r="AH59" s="117" t="s">
        <v>1386</v>
      </c>
      <c r="AI59" s="116" t="s">
        <v>1047</v>
      </c>
      <c r="AJ59" s="116"/>
      <c r="AK59" s="116" t="s">
        <v>970</v>
      </c>
      <c r="AL59" s="116"/>
      <c r="AM59" s="116">
        <v>19</v>
      </c>
      <c r="AN59" s="23" t="s">
        <v>1432</v>
      </c>
      <c r="AO59" s="117" t="s">
        <v>1433</v>
      </c>
      <c r="AP59" s="23" t="s">
        <v>1450</v>
      </c>
      <c r="AQ59" s="63"/>
      <c r="AR59" s="63"/>
      <c r="AS59" s="63"/>
      <c r="AT59" s="63"/>
      <c r="AU59" s="63"/>
      <c r="AV59" s="63"/>
      <c r="AW59" s="63"/>
      <c r="AX59" s="63"/>
      <c r="AY59" s="63"/>
      <c r="AZ59" s="63"/>
      <c r="BA59" s="63"/>
      <c r="BB59" s="63"/>
      <c r="BC59" s="63"/>
      <c r="BD59" s="63"/>
      <c r="BE59" s="63"/>
      <c r="BF59" s="63"/>
      <c r="BG59" s="63"/>
      <c r="BH59" s="63"/>
      <c r="BI59" s="63"/>
      <c r="BJ59" s="63"/>
      <c r="BK59" s="63"/>
      <c r="BL59" s="63"/>
      <c r="BM59" s="63"/>
      <c r="BN59" s="63"/>
      <c r="BO59" s="63"/>
      <c r="BP59" s="63"/>
      <c r="BQ59" s="63"/>
      <c r="BR59" s="63"/>
      <c r="BS59" s="63"/>
      <c r="BT59" s="63"/>
      <c r="BU59" s="63"/>
      <c r="BV59" s="63"/>
      <c r="BW59" s="63"/>
      <c r="BX59" s="63"/>
      <c r="BY59" s="63"/>
      <c r="BZ59" s="63"/>
      <c r="CA59" s="63"/>
      <c r="CB59" s="63"/>
      <c r="CC59" s="63"/>
      <c r="CD59" s="63"/>
      <c r="CE59" s="63"/>
      <c r="CF59" s="63"/>
      <c r="CG59" s="63"/>
      <c r="CH59" s="63"/>
      <c r="CI59" s="63"/>
      <c r="CJ59" s="63"/>
      <c r="CK59" s="63"/>
      <c r="CL59" s="63"/>
      <c r="CM59" s="63"/>
      <c r="CN59" s="63"/>
      <c r="CO59" s="63"/>
      <c r="CP59" s="63"/>
      <c r="CQ59" s="63"/>
      <c r="CR59" s="63"/>
      <c r="CS59" s="63"/>
      <c r="CT59" s="63"/>
      <c r="CU59" s="63"/>
      <c r="CV59" s="63"/>
      <c r="CW59" s="63"/>
      <c r="CX59" s="63"/>
      <c r="CY59" s="63"/>
      <c r="CZ59" s="63"/>
      <c r="DA59" s="63"/>
      <c r="DB59" s="63"/>
      <c r="DC59" s="63"/>
      <c r="DD59" s="63"/>
      <c r="DE59" s="63"/>
      <c r="DF59" s="63"/>
      <c r="DG59" s="63"/>
      <c r="DH59" s="63"/>
      <c r="DI59" s="63"/>
      <c r="DJ59" s="63"/>
      <c r="DK59" s="63"/>
      <c r="DL59" s="63"/>
      <c r="DM59" s="63"/>
      <c r="DN59" s="63"/>
      <c r="DO59" s="63"/>
      <c r="DP59" s="63"/>
      <c r="DQ59" s="63"/>
      <c r="DR59" s="63"/>
      <c r="DS59" s="63"/>
      <c r="DT59" s="63"/>
      <c r="DU59" s="63"/>
      <c r="DV59" s="63"/>
      <c r="DW59" s="63"/>
      <c r="DX59" s="63"/>
      <c r="DY59" s="63"/>
      <c r="DZ59" s="63"/>
      <c r="EA59" s="63"/>
      <c r="EB59" s="63"/>
      <c r="EC59" s="63"/>
      <c r="ED59" s="63"/>
      <c r="EE59" s="63"/>
      <c r="EF59" s="63"/>
      <c r="EG59" s="63"/>
      <c r="EH59" s="63"/>
      <c r="EI59" s="63"/>
      <c r="EJ59" s="63"/>
      <c r="EK59" s="63"/>
      <c r="EL59" s="63"/>
      <c r="EM59" s="63"/>
      <c r="EN59" s="63"/>
      <c r="EO59" s="63"/>
      <c r="EP59" s="63"/>
      <c r="EQ59" s="63"/>
      <c r="ER59" s="63"/>
      <c r="ES59" s="63"/>
      <c r="ET59" s="63"/>
      <c r="EU59" s="63"/>
      <c r="EV59" s="63"/>
      <c r="EW59" s="63"/>
      <c r="EX59" s="63"/>
      <c r="EY59" s="63"/>
      <c r="EZ59" s="63"/>
      <c r="FA59" s="63"/>
      <c r="FB59" s="63"/>
      <c r="FC59" s="63"/>
      <c r="FD59" s="63"/>
      <c r="FE59" s="63"/>
      <c r="FF59" s="63"/>
    </row>
    <row r="60" spans="1:162" s="23" customFormat="1" ht="30" customHeight="1" x14ac:dyDescent="0.25">
      <c r="A60" s="20" t="s">
        <v>53</v>
      </c>
      <c r="B60" s="20" t="s">
        <v>138</v>
      </c>
      <c r="C60" s="20" t="s">
        <v>1082</v>
      </c>
      <c r="D60" s="20" t="s">
        <v>138</v>
      </c>
      <c r="E60" s="20" t="s">
        <v>50</v>
      </c>
      <c r="F60" s="20">
        <v>1997</v>
      </c>
      <c r="G60" s="20" t="s">
        <v>1009</v>
      </c>
      <c r="H60" s="20" t="s">
        <v>240</v>
      </c>
      <c r="I60" s="28" t="s">
        <v>1127</v>
      </c>
      <c r="J60" s="28" t="s">
        <v>139</v>
      </c>
      <c r="K60" s="28" t="s">
        <v>1128</v>
      </c>
      <c r="L60" s="30" t="s">
        <v>240</v>
      </c>
      <c r="M60" s="28" t="s">
        <v>1129</v>
      </c>
      <c r="N60" s="20" t="s">
        <v>301</v>
      </c>
      <c r="O60" s="20" t="s">
        <v>1111</v>
      </c>
      <c r="P60" s="20" t="s">
        <v>580</v>
      </c>
      <c r="Q60" s="20"/>
      <c r="R60" s="20"/>
      <c r="S60" s="20"/>
      <c r="T60" s="20"/>
      <c r="U60" s="20"/>
      <c r="V60" s="20" t="s">
        <v>218</v>
      </c>
      <c r="W60" s="20" t="s">
        <v>219</v>
      </c>
      <c r="X60" s="111" t="s">
        <v>219</v>
      </c>
      <c r="Y60" s="20"/>
      <c r="Z60" s="20" t="s">
        <v>231</v>
      </c>
      <c r="AA60" s="20"/>
      <c r="AB60" s="20">
        <f>9.4/4</f>
        <v>2.35</v>
      </c>
      <c r="AC60" s="20">
        <f>9.4*25</f>
        <v>235</v>
      </c>
      <c r="AD60" s="20">
        <f>6.4/4</f>
        <v>1.6</v>
      </c>
      <c r="AE60" s="20">
        <f>6.4*20</f>
        <v>128</v>
      </c>
      <c r="AF60" s="20">
        <v>96</v>
      </c>
      <c r="AG60" s="20" t="s">
        <v>970</v>
      </c>
      <c r="AH60" s="28" t="s">
        <v>1130</v>
      </c>
      <c r="AI60" s="20" t="s">
        <v>1047</v>
      </c>
      <c r="AJ60" s="20" t="s">
        <v>1131</v>
      </c>
      <c r="AK60" s="20" t="s">
        <v>971</v>
      </c>
      <c r="AL60" s="28" t="s">
        <v>1167</v>
      </c>
      <c r="AM60" s="116">
        <v>65</v>
      </c>
      <c r="AN60" s="24" t="s">
        <v>1434</v>
      </c>
      <c r="AO60" s="24" t="s">
        <v>1435</v>
      </c>
      <c r="AP60" s="23" t="s">
        <v>1450</v>
      </c>
      <c r="AQ60" s="63"/>
      <c r="AR60" s="63"/>
      <c r="AS60" s="63"/>
      <c r="AT60" s="63"/>
      <c r="AU60" s="63"/>
      <c r="AV60" s="63"/>
      <c r="AW60" s="63"/>
      <c r="AX60" s="63"/>
      <c r="AY60" s="63"/>
      <c r="AZ60" s="63"/>
      <c r="BA60" s="63"/>
      <c r="BB60" s="63"/>
      <c r="BC60" s="63"/>
      <c r="BD60" s="63"/>
      <c r="BE60" s="63"/>
      <c r="BF60" s="63"/>
      <c r="BG60" s="63"/>
      <c r="BH60" s="63"/>
      <c r="BI60" s="63"/>
      <c r="BJ60" s="63"/>
      <c r="BK60" s="63"/>
      <c r="BL60" s="63"/>
      <c r="BM60" s="63"/>
      <c r="BN60" s="63"/>
      <c r="BO60" s="63"/>
      <c r="BP60" s="63"/>
      <c r="BQ60" s="63"/>
      <c r="BR60" s="63"/>
      <c r="BS60" s="63"/>
      <c r="BT60" s="63"/>
      <c r="BU60" s="63"/>
      <c r="BV60" s="63"/>
      <c r="BW60" s="63"/>
      <c r="BX60" s="63"/>
      <c r="BY60" s="63"/>
      <c r="BZ60" s="63"/>
      <c r="CA60" s="63"/>
      <c r="CB60" s="63"/>
      <c r="CC60" s="63"/>
      <c r="CD60" s="63"/>
      <c r="CE60" s="63"/>
      <c r="CF60" s="63"/>
      <c r="CG60" s="63"/>
      <c r="CH60" s="63"/>
      <c r="CI60" s="63"/>
      <c r="CJ60" s="63"/>
      <c r="CK60" s="63"/>
      <c r="CL60" s="63"/>
      <c r="CM60" s="63"/>
      <c r="CN60" s="63"/>
      <c r="CO60" s="63"/>
      <c r="CP60" s="63"/>
      <c r="CQ60" s="63"/>
      <c r="CR60" s="63"/>
      <c r="CS60" s="63"/>
      <c r="CT60" s="63"/>
      <c r="CU60" s="63"/>
      <c r="CV60" s="63"/>
      <c r="CW60" s="63"/>
      <c r="CX60" s="63"/>
      <c r="CY60" s="63"/>
      <c r="CZ60" s="63"/>
      <c r="DA60" s="63"/>
      <c r="DB60" s="63"/>
      <c r="DC60" s="63"/>
      <c r="DD60" s="63"/>
      <c r="DE60" s="63"/>
      <c r="DF60" s="63"/>
      <c r="DG60" s="63"/>
      <c r="DH60" s="63"/>
      <c r="DI60" s="63"/>
      <c r="DJ60" s="63"/>
      <c r="DK60" s="63"/>
      <c r="DL60" s="63"/>
      <c r="DM60" s="63"/>
      <c r="DN60" s="63"/>
      <c r="DO60" s="63"/>
      <c r="DP60" s="63"/>
      <c r="DQ60" s="63"/>
      <c r="DR60" s="63"/>
      <c r="DS60" s="63"/>
      <c r="DT60" s="63"/>
      <c r="DU60" s="63"/>
      <c r="DV60" s="63"/>
      <c r="DW60" s="63"/>
      <c r="DX60" s="63"/>
      <c r="DY60" s="63"/>
      <c r="DZ60" s="63"/>
      <c r="EA60" s="63"/>
      <c r="EB60" s="63"/>
      <c r="EC60" s="63"/>
      <c r="ED60" s="63"/>
      <c r="EE60" s="63"/>
      <c r="EF60" s="63"/>
      <c r="EG60" s="63"/>
      <c r="EH60" s="63"/>
      <c r="EI60" s="63"/>
      <c r="EJ60" s="63"/>
      <c r="EK60" s="63"/>
      <c r="EL60" s="63"/>
      <c r="EM60" s="63"/>
      <c r="EN60" s="63"/>
      <c r="EO60" s="63"/>
      <c r="EP60" s="63"/>
      <c r="EQ60" s="63"/>
      <c r="ER60" s="63"/>
      <c r="ES60" s="63"/>
      <c r="ET60" s="63"/>
      <c r="EU60" s="63"/>
      <c r="EV60" s="63"/>
      <c r="EW60" s="63"/>
      <c r="EX60" s="63"/>
      <c r="EY60" s="63"/>
      <c r="EZ60" s="63"/>
      <c r="FA60" s="63"/>
      <c r="FB60" s="63"/>
      <c r="FC60" s="63"/>
      <c r="FD60" s="63"/>
      <c r="FE60" s="63"/>
      <c r="FF60" s="63"/>
    </row>
    <row r="61" spans="1:162" s="23" customFormat="1" ht="30" hidden="1" customHeight="1" x14ac:dyDescent="0.25">
      <c r="A61" s="20" t="s">
        <v>121</v>
      </c>
      <c r="B61" s="20" t="s">
        <v>145</v>
      </c>
      <c r="C61" s="20" t="s">
        <v>1082</v>
      </c>
      <c r="D61" s="20" t="s">
        <v>1195</v>
      </c>
      <c r="E61" s="20" t="s">
        <v>50</v>
      </c>
      <c r="F61" s="20">
        <v>2006</v>
      </c>
      <c r="G61" s="20" t="s">
        <v>1196</v>
      </c>
      <c r="H61" s="20" t="s">
        <v>703</v>
      </c>
      <c r="I61" s="28" t="s">
        <v>1197</v>
      </c>
      <c r="J61" s="28" t="s">
        <v>1198</v>
      </c>
      <c r="K61" s="28" t="s">
        <v>1199</v>
      </c>
      <c r="L61" s="20" t="s">
        <v>1200</v>
      </c>
      <c r="M61" s="28" t="s">
        <v>1201</v>
      </c>
      <c r="N61" s="20" t="s">
        <v>1158</v>
      </c>
      <c r="O61" s="20" t="s">
        <v>215</v>
      </c>
      <c r="P61" s="20" t="s">
        <v>1202</v>
      </c>
      <c r="Q61" s="28" t="s">
        <v>1203</v>
      </c>
      <c r="R61" s="20" t="s">
        <v>160</v>
      </c>
      <c r="S61" s="20"/>
      <c r="T61" s="20"/>
      <c r="U61" s="20"/>
      <c r="V61" s="127" t="s">
        <v>236</v>
      </c>
      <c r="W61" s="20" t="s">
        <v>1204</v>
      </c>
      <c r="X61" s="111" t="s">
        <v>1378</v>
      </c>
      <c r="Y61" s="116" t="s">
        <v>230</v>
      </c>
      <c r="Z61" s="20" t="s">
        <v>231</v>
      </c>
      <c r="AA61" s="20"/>
      <c r="AB61" s="20">
        <v>11</v>
      </c>
      <c r="AC61" s="20"/>
      <c r="AD61" s="20">
        <f>7/4</f>
        <v>1.75</v>
      </c>
      <c r="AE61" s="20"/>
      <c r="AF61" s="20">
        <v>19</v>
      </c>
      <c r="AG61" s="20" t="s">
        <v>970</v>
      </c>
      <c r="AH61" s="28" t="s">
        <v>1205</v>
      </c>
      <c r="AI61" s="20" t="s">
        <v>1044</v>
      </c>
      <c r="AJ61" s="20" t="s">
        <v>1206</v>
      </c>
      <c r="AK61" s="20" t="s">
        <v>971</v>
      </c>
      <c r="AL61" s="20" t="s">
        <v>1207</v>
      </c>
      <c r="AM61" s="116">
        <v>78</v>
      </c>
      <c r="AN61" s="23" t="s">
        <v>1438</v>
      </c>
      <c r="AO61" s="24" t="s">
        <v>1439</v>
      </c>
      <c r="AP61" s="23" t="s">
        <v>1452</v>
      </c>
      <c r="AQ61" s="63"/>
      <c r="AR61" s="63"/>
      <c r="AS61" s="63"/>
      <c r="AT61" s="63"/>
      <c r="AU61" s="63"/>
      <c r="AV61" s="63"/>
      <c r="AW61" s="63"/>
      <c r="AX61" s="63"/>
      <c r="AY61" s="63"/>
      <c r="AZ61" s="63"/>
      <c r="BA61" s="63"/>
      <c r="BB61" s="63"/>
      <c r="BC61" s="63"/>
      <c r="BD61" s="63"/>
      <c r="BE61" s="63"/>
      <c r="BF61" s="63"/>
      <c r="BG61" s="63"/>
      <c r="BH61" s="63"/>
      <c r="BI61" s="63"/>
      <c r="BJ61" s="63"/>
      <c r="BK61" s="63"/>
      <c r="BL61" s="63"/>
      <c r="BM61" s="63"/>
      <c r="BN61" s="63"/>
      <c r="BO61" s="63"/>
      <c r="BP61" s="63"/>
      <c r="BQ61" s="63"/>
      <c r="BR61" s="63"/>
      <c r="BS61" s="63"/>
      <c r="BT61" s="63"/>
      <c r="BU61" s="63"/>
      <c r="BV61" s="63"/>
      <c r="BW61" s="63"/>
      <c r="BX61" s="63"/>
      <c r="BY61" s="63"/>
      <c r="BZ61" s="63"/>
      <c r="CA61" s="63"/>
      <c r="CB61" s="63"/>
      <c r="CC61" s="63"/>
      <c r="CD61" s="63"/>
      <c r="CE61" s="63"/>
      <c r="CF61" s="63"/>
      <c r="CG61" s="63"/>
      <c r="CH61" s="63"/>
      <c r="CI61" s="63"/>
      <c r="CJ61" s="63"/>
      <c r="CK61" s="63"/>
      <c r="CL61" s="63"/>
      <c r="CM61" s="63"/>
      <c r="CN61" s="63"/>
      <c r="CO61" s="63"/>
      <c r="CP61" s="63"/>
      <c r="CQ61" s="63"/>
      <c r="CR61" s="63"/>
      <c r="CS61" s="63"/>
      <c r="CT61" s="63"/>
      <c r="CU61" s="63"/>
      <c r="CV61" s="63"/>
      <c r="CW61" s="63"/>
      <c r="CX61" s="63"/>
      <c r="CY61" s="63"/>
      <c r="CZ61" s="63"/>
      <c r="DA61" s="63"/>
      <c r="DB61" s="63"/>
      <c r="DC61" s="63"/>
      <c r="DD61" s="63"/>
      <c r="DE61" s="63"/>
      <c r="DF61" s="63"/>
      <c r="DG61" s="63"/>
      <c r="DH61" s="63"/>
      <c r="DI61" s="63"/>
      <c r="DJ61" s="63"/>
      <c r="DK61" s="63"/>
      <c r="DL61" s="63"/>
      <c r="DM61" s="63"/>
      <c r="DN61" s="63"/>
      <c r="DO61" s="63"/>
      <c r="DP61" s="63"/>
      <c r="DQ61" s="63"/>
      <c r="DR61" s="63"/>
      <c r="DS61" s="63"/>
      <c r="DT61" s="63"/>
      <c r="DU61" s="63"/>
      <c r="DV61" s="63"/>
      <c r="DW61" s="63"/>
      <c r="DX61" s="63"/>
      <c r="DY61" s="63"/>
      <c r="DZ61" s="63"/>
      <c r="EA61" s="63"/>
      <c r="EB61" s="63"/>
      <c r="EC61" s="63"/>
      <c r="ED61" s="63"/>
      <c r="EE61" s="63"/>
      <c r="EF61" s="63"/>
      <c r="EG61" s="63"/>
      <c r="EH61" s="63"/>
      <c r="EI61" s="63"/>
      <c r="EJ61" s="63"/>
      <c r="EK61" s="63"/>
      <c r="EL61" s="63"/>
      <c r="EM61" s="63"/>
      <c r="EN61" s="63"/>
      <c r="EO61" s="63"/>
      <c r="EP61" s="63"/>
      <c r="EQ61" s="63"/>
      <c r="ER61" s="63"/>
      <c r="ES61" s="63"/>
      <c r="ET61" s="63"/>
      <c r="EU61" s="63"/>
      <c r="EV61" s="63"/>
      <c r="EW61" s="63"/>
      <c r="EX61" s="63"/>
      <c r="EY61" s="63"/>
      <c r="EZ61" s="63"/>
      <c r="FA61" s="63"/>
      <c r="FB61" s="63"/>
      <c r="FC61" s="63"/>
      <c r="FD61" s="63"/>
      <c r="FE61" s="63"/>
      <c r="FF61" s="63"/>
    </row>
    <row r="62" spans="1:162" s="23" customFormat="1" ht="30" hidden="1" customHeight="1" x14ac:dyDescent="0.25">
      <c r="A62" s="20" t="s">
        <v>121</v>
      </c>
      <c r="B62" s="20" t="s">
        <v>145</v>
      </c>
      <c r="C62" s="20" t="s">
        <v>1082</v>
      </c>
      <c r="D62" s="20" t="s">
        <v>1208</v>
      </c>
      <c r="E62" s="20" t="s">
        <v>50</v>
      </c>
      <c r="F62" s="20">
        <v>2006</v>
      </c>
      <c r="G62" s="20" t="s">
        <v>1209</v>
      </c>
      <c r="H62" s="20" t="s">
        <v>1175</v>
      </c>
      <c r="I62" s="28" t="s">
        <v>1210</v>
      </c>
      <c r="J62" s="28" t="s">
        <v>1211</v>
      </c>
      <c r="K62" s="28" t="s">
        <v>1212</v>
      </c>
      <c r="L62" s="20" t="s">
        <v>1213</v>
      </c>
      <c r="M62" s="20" t="s">
        <v>1214</v>
      </c>
      <c r="N62" s="20" t="s">
        <v>1158</v>
      </c>
      <c r="O62" s="20" t="s">
        <v>215</v>
      </c>
      <c r="P62" s="20" t="s">
        <v>1215</v>
      </c>
      <c r="Q62" s="28" t="s">
        <v>1203</v>
      </c>
      <c r="R62" s="20" t="s">
        <v>160</v>
      </c>
      <c r="S62" s="20"/>
      <c r="T62" s="20"/>
      <c r="U62" s="20"/>
      <c r="V62" s="127" t="s">
        <v>236</v>
      </c>
      <c r="W62" s="111" t="s">
        <v>247</v>
      </c>
      <c r="X62" s="111" t="s">
        <v>1378</v>
      </c>
      <c r="Y62" s="116" t="s">
        <v>230</v>
      </c>
      <c r="Z62" s="20" t="s">
        <v>231</v>
      </c>
      <c r="AA62" s="20"/>
      <c r="AB62" s="20">
        <v>18</v>
      </c>
      <c r="AC62" s="20"/>
      <c r="AD62" s="20"/>
      <c r="AE62" s="20"/>
      <c r="AF62" s="20">
        <v>19</v>
      </c>
      <c r="AG62" s="20" t="s">
        <v>970</v>
      </c>
      <c r="AH62" s="28" t="s">
        <v>1216</v>
      </c>
      <c r="AI62" s="20" t="s">
        <v>1044</v>
      </c>
      <c r="AJ62" s="20" t="s">
        <v>1206</v>
      </c>
      <c r="AK62" s="20" t="s">
        <v>971</v>
      </c>
      <c r="AL62" s="20" t="s">
        <v>1207</v>
      </c>
      <c r="AM62" s="116">
        <v>79</v>
      </c>
      <c r="AN62" s="63" t="s">
        <v>1440</v>
      </c>
      <c r="AO62" s="23" t="s">
        <v>1441</v>
      </c>
      <c r="AP62" s="23" t="s">
        <v>1452</v>
      </c>
      <c r="AQ62" s="63"/>
      <c r="AR62" s="63"/>
      <c r="AS62" s="63"/>
      <c r="AT62" s="63"/>
      <c r="AU62" s="63"/>
      <c r="AV62" s="63"/>
      <c r="AW62" s="63"/>
      <c r="AX62" s="63"/>
      <c r="AY62" s="63"/>
      <c r="AZ62" s="63"/>
      <c r="BA62" s="63"/>
      <c r="BB62" s="63"/>
      <c r="BC62" s="63"/>
      <c r="BD62" s="63"/>
      <c r="BE62" s="63"/>
      <c r="BF62" s="63"/>
      <c r="BG62" s="63"/>
      <c r="BH62" s="63"/>
      <c r="BI62" s="63"/>
      <c r="BJ62" s="63"/>
      <c r="BK62" s="63"/>
      <c r="BL62" s="63"/>
      <c r="BM62" s="63"/>
      <c r="BN62" s="63"/>
      <c r="BO62" s="63"/>
      <c r="BP62" s="63"/>
      <c r="BQ62" s="63"/>
      <c r="BR62" s="63"/>
      <c r="BS62" s="63"/>
      <c r="BT62" s="63"/>
      <c r="BU62" s="63"/>
      <c r="BV62" s="63"/>
      <c r="BW62" s="63"/>
      <c r="BX62" s="63"/>
      <c r="BY62" s="63"/>
      <c r="BZ62" s="63"/>
      <c r="CA62" s="63"/>
      <c r="CB62" s="63"/>
      <c r="CC62" s="63"/>
      <c r="CD62" s="63"/>
      <c r="CE62" s="63"/>
      <c r="CF62" s="63"/>
      <c r="CG62" s="63"/>
      <c r="CH62" s="63"/>
      <c r="CI62" s="63"/>
      <c r="CJ62" s="63"/>
      <c r="CK62" s="63"/>
      <c r="CL62" s="63"/>
      <c r="CM62" s="63"/>
      <c r="CN62" s="63"/>
      <c r="CO62" s="63"/>
      <c r="CP62" s="63"/>
      <c r="CQ62" s="63"/>
      <c r="CR62" s="63"/>
      <c r="CS62" s="63"/>
      <c r="CT62" s="63"/>
      <c r="CU62" s="63"/>
      <c r="CV62" s="63"/>
      <c r="CW62" s="63"/>
      <c r="CX62" s="63"/>
      <c r="CY62" s="63"/>
      <c r="CZ62" s="63"/>
      <c r="DA62" s="63"/>
      <c r="DB62" s="63"/>
      <c r="DC62" s="63"/>
      <c r="DD62" s="63"/>
      <c r="DE62" s="63"/>
      <c r="DF62" s="63"/>
      <c r="DG62" s="63"/>
      <c r="DH62" s="63"/>
      <c r="DI62" s="63"/>
      <c r="DJ62" s="63"/>
      <c r="DK62" s="63"/>
      <c r="DL62" s="63"/>
      <c r="DM62" s="63"/>
      <c r="DN62" s="63"/>
      <c r="DO62" s="63"/>
      <c r="DP62" s="63"/>
      <c r="DQ62" s="63"/>
      <c r="DR62" s="63"/>
      <c r="DS62" s="63"/>
      <c r="DT62" s="63"/>
      <c r="DU62" s="63"/>
      <c r="DV62" s="63"/>
      <c r="DW62" s="63"/>
      <c r="DX62" s="63"/>
      <c r="DY62" s="63"/>
      <c r="DZ62" s="63"/>
      <c r="EA62" s="63"/>
      <c r="EB62" s="63"/>
      <c r="EC62" s="63"/>
      <c r="ED62" s="63"/>
      <c r="EE62" s="63"/>
      <c r="EF62" s="63"/>
      <c r="EG62" s="63"/>
      <c r="EH62" s="63"/>
      <c r="EI62" s="63"/>
      <c r="EJ62" s="63"/>
      <c r="EK62" s="63"/>
      <c r="EL62" s="63"/>
      <c r="EM62" s="63"/>
      <c r="EN62" s="63"/>
      <c r="EO62" s="63"/>
      <c r="EP62" s="63"/>
      <c r="EQ62" s="63"/>
      <c r="ER62" s="63"/>
      <c r="ES62" s="63"/>
      <c r="ET62" s="63"/>
      <c r="EU62" s="63"/>
      <c r="EV62" s="63"/>
      <c r="EW62" s="63"/>
      <c r="EX62" s="63"/>
      <c r="EY62" s="63"/>
      <c r="EZ62" s="63"/>
      <c r="FA62" s="63"/>
      <c r="FB62" s="63"/>
      <c r="FC62" s="63"/>
      <c r="FD62" s="63"/>
      <c r="FE62" s="63"/>
      <c r="FF62" s="63"/>
    </row>
    <row r="63" spans="1:162" s="23" customFormat="1" ht="30" hidden="1" customHeight="1" x14ac:dyDescent="0.25">
      <c r="A63" s="20" t="s">
        <v>121</v>
      </c>
      <c r="B63" s="20" t="s">
        <v>145</v>
      </c>
      <c r="C63" s="20" t="s">
        <v>1082</v>
      </c>
      <c r="D63" s="20" t="s">
        <v>1217</v>
      </c>
      <c r="E63" s="20" t="s">
        <v>50</v>
      </c>
      <c r="F63" s="20">
        <v>2007</v>
      </c>
      <c r="G63" s="20" t="s">
        <v>1008</v>
      </c>
      <c r="H63" s="20" t="s">
        <v>1218</v>
      </c>
      <c r="I63" s="28" t="s">
        <v>1219</v>
      </c>
      <c r="J63" s="28" t="s">
        <v>144</v>
      </c>
      <c r="K63" s="28" t="s">
        <v>1220</v>
      </c>
      <c r="L63" s="20" t="s">
        <v>1221</v>
      </c>
      <c r="M63" s="20" t="s">
        <v>1214</v>
      </c>
      <c r="N63" s="20" t="s">
        <v>248</v>
      </c>
      <c r="O63" s="20" t="s">
        <v>215</v>
      </c>
      <c r="P63" s="20" t="s">
        <v>1222</v>
      </c>
      <c r="Q63" s="28" t="s">
        <v>1203</v>
      </c>
      <c r="R63" s="20" t="s">
        <v>160</v>
      </c>
      <c r="S63" s="20"/>
      <c r="T63" s="20"/>
      <c r="U63" s="20"/>
      <c r="V63" s="127" t="s">
        <v>236</v>
      </c>
      <c r="W63" s="111" t="s">
        <v>247</v>
      </c>
      <c r="X63" s="111" t="s">
        <v>1378</v>
      </c>
      <c r="Y63" s="116" t="s">
        <v>230</v>
      </c>
      <c r="Z63" s="20" t="s">
        <v>231</v>
      </c>
      <c r="AA63" s="20"/>
      <c r="AB63" s="20">
        <v>18</v>
      </c>
      <c r="AC63" s="20"/>
      <c r="AD63" s="20"/>
      <c r="AE63" s="20"/>
      <c r="AF63" s="20">
        <v>19</v>
      </c>
      <c r="AG63" s="20" t="s">
        <v>970</v>
      </c>
      <c r="AH63" s="28" t="s">
        <v>1223</v>
      </c>
      <c r="AI63" s="20" t="s">
        <v>1044</v>
      </c>
      <c r="AJ63" s="20" t="s">
        <v>1206</v>
      </c>
      <c r="AK63" s="20" t="s">
        <v>971</v>
      </c>
      <c r="AL63" s="20" t="s">
        <v>1207</v>
      </c>
      <c r="AM63" s="116">
        <v>80</v>
      </c>
      <c r="AN63" s="63" t="s">
        <v>1442</v>
      </c>
      <c r="AO63" s="24" t="s">
        <v>1443</v>
      </c>
      <c r="AP63" s="23" t="s">
        <v>1452</v>
      </c>
      <c r="AQ63" s="63"/>
      <c r="AR63" s="63"/>
      <c r="AS63" s="63"/>
      <c r="AT63" s="63"/>
      <c r="AU63" s="63"/>
      <c r="AV63" s="63"/>
      <c r="AW63" s="63"/>
      <c r="AX63" s="63"/>
      <c r="AY63" s="63"/>
      <c r="AZ63" s="63"/>
      <c r="BA63" s="63"/>
      <c r="BB63" s="63"/>
      <c r="BC63" s="63"/>
      <c r="BD63" s="63"/>
      <c r="BE63" s="63"/>
      <c r="BF63" s="63"/>
      <c r="BG63" s="63"/>
      <c r="BH63" s="63"/>
      <c r="BI63" s="63"/>
      <c r="BJ63" s="63"/>
      <c r="BK63" s="63"/>
      <c r="BL63" s="63"/>
      <c r="BM63" s="63"/>
      <c r="BN63" s="63"/>
      <c r="BO63" s="63"/>
      <c r="BP63" s="63"/>
      <c r="BQ63" s="63"/>
      <c r="BR63" s="63"/>
      <c r="BS63" s="63"/>
      <c r="BT63" s="63"/>
      <c r="BU63" s="63"/>
      <c r="BV63" s="63"/>
      <c r="BW63" s="63"/>
      <c r="BX63" s="63"/>
      <c r="BY63" s="63"/>
      <c r="BZ63" s="63"/>
      <c r="CA63" s="63"/>
      <c r="CB63" s="63"/>
      <c r="CC63" s="63"/>
      <c r="CD63" s="63"/>
      <c r="CE63" s="63"/>
      <c r="CF63" s="63"/>
      <c r="CG63" s="63"/>
      <c r="CH63" s="63"/>
      <c r="CI63" s="63"/>
      <c r="CJ63" s="63"/>
      <c r="CK63" s="63"/>
      <c r="CL63" s="63"/>
      <c r="CM63" s="63"/>
      <c r="CN63" s="63"/>
      <c r="CO63" s="63"/>
      <c r="CP63" s="63"/>
      <c r="CQ63" s="63"/>
      <c r="CR63" s="63"/>
      <c r="CS63" s="63"/>
      <c r="CT63" s="63"/>
      <c r="CU63" s="63"/>
      <c r="CV63" s="63"/>
      <c r="CW63" s="63"/>
      <c r="CX63" s="63"/>
      <c r="CY63" s="63"/>
      <c r="CZ63" s="63"/>
      <c r="DA63" s="63"/>
      <c r="DB63" s="63"/>
      <c r="DC63" s="63"/>
      <c r="DD63" s="63"/>
      <c r="DE63" s="63"/>
      <c r="DF63" s="63"/>
      <c r="DG63" s="63"/>
      <c r="DH63" s="63"/>
      <c r="DI63" s="63"/>
      <c r="DJ63" s="63"/>
      <c r="DK63" s="63"/>
      <c r="DL63" s="63"/>
      <c r="DM63" s="63"/>
      <c r="DN63" s="63"/>
      <c r="DO63" s="63"/>
      <c r="DP63" s="63"/>
      <c r="DQ63" s="63"/>
      <c r="DR63" s="63"/>
      <c r="DS63" s="63"/>
      <c r="DT63" s="63"/>
      <c r="DU63" s="63"/>
      <c r="DV63" s="63"/>
      <c r="DW63" s="63"/>
      <c r="DX63" s="63"/>
      <c r="DY63" s="63"/>
      <c r="DZ63" s="63"/>
      <c r="EA63" s="63"/>
      <c r="EB63" s="63"/>
      <c r="EC63" s="63"/>
      <c r="ED63" s="63"/>
      <c r="EE63" s="63"/>
      <c r="EF63" s="63"/>
      <c r="EG63" s="63"/>
      <c r="EH63" s="63"/>
      <c r="EI63" s="63"/>
      <c r="EJ63" s="63"/>
      <c r="EK63" s="63"/>
      <c r="EL63" s="63"/>
      <c r="EM63" s="63"/>
      <c r="EN63" s="63"/>
      <c r="EO63" s="63"/>
      <c r="EP63" s="63"/>
      <c r="EQ63" s="63"/>
      <c r="ER63" s="63"/>
      <c r="ES63" s="63"/>
      <c r="ET63" s="63"/>
      <c r="EU63" s="63"/>
      <c r="EV63" s="63"/>
      <c r="EW63" s="63"/>
      <c r="EX63" s="63"/>
      <c r="EY63" s="63"/>
      <c r="EZ63" s="63"/>
      <c r="FA63" s="63"/>
      <c r="FB63" s="63"/>
      <c r="FC63" s="63"/>
      <c r="FD63" s="63"/>
      <c r="FE63" s="63"/>
      <c r="FF63" s="63"/>
    </row>
    <row r="64" spans="1:162" s="23" customFormat="1" ht="30" hidden="1" customHeight="1" x14ac:dyDescent="0.25">
      <c r="A64" s="20" t="s">
        <v>121</v>
      </c>
      <c r="B64" s="20" t="s">
        <v>145</v>
      </c>
      <c r="C64" s="20" t="s">
        <v>1082</v>
      </c>
      <c r="D64" s="20" t="s">
        <v>1224</v>
      </c>
      <c r="E64" s="20" t="s">
        <v>50</v>
      </c>
      <c r="F64" s="20">
        <v>2008</v>
      </c>
      <c r="G64" s="20" t="s">
        <v>1010</v>
      </c>
      <c r="H64" s="20" t="s">
        <v>1225</v>
      </c>
      <c r="I64" s="28" t="s">
        <v>1226</v>
      </c>
      <c r="J64" s="28" t="s">
        <v>1227</v>
      </c>
      <c r="K64" s="28" t="s">
        <v>1228</v>
      </c>
      <c r="L64" s="20" t="s">
        <v>1229</v>
      </c>
      <c r="M64" s="20" t="s">
        <v>1214</v>
      </c>
      <c r="N64" s="20" t="s">
        <v>248</v>
      </c>
      <c r="O64" s="20" t="s">
        <v>215</v>
      </c>
      <c r="P64" s="20" t="s">
        <v>1230</v>
      </c>
      <c r="Q64" s="28" t="s">
        <v>1203</v>
      </c>
      <c r="R64" s="20" t="s">
        <v>160</v>
      </c>
      <c r="S64" s="20"/>
      <c r="T64" s="20"/>
      <c r="U64" s="20"/>
      <c r="V64" s="127" t="s">
        <v>236</v>
      </c>
      <c r="W64" s="111" t="s">
        <v>247</v>
      </c>
      <c r="X64" s="111" t="s">
        <v>1378</v>
      </c>
      <c r="Y64" s="116" t="s">
        <v>230</v>
      </c>
      <c r="Z64" s="20" t="s">
        <v>231</v>
      </c>
      <c r="AA64" s="20"/>
      <c r="AB64" s="20">
        <v>18</v>
      </c>
      <c r="AC64" s="20"/>
      <c r="AD64" s="20"/>
      <c r="AE64" s="20"/>
      <c r="AF64" s="20">
        <v>19</v>
      </c>
      <c r="AG64" s="20" t="s">
        <v>970</v>
      </c>
      <c r="AH64" s="28" t="s">
        <v>1231</v>
      </c>
      <c r="AI64" s="20" t="s">
        <v>1044</v>
      </c>
      <c r="AJ64" s="20" t="s">
        <v>1206</v>
      </c>
      <c r="AK64" s="20" t="s">
        <v>971</v>
      </c>
      <c r="AL64" s="20" t="s">
        <v>1207</v>
      </c>
      <c r="AM64" s="116">
        <v>81</v>
      </c>
      <c r="AN64" s="63" t="s">
        <v>1444</v>
      </c>
      <c r="AO64" s="23" t="s">
        <v>1445</v>
      </c>
      <c r="AP64" s="23" t="s">
        <v>1452</v>
      </c>
      <c r="AQ64" s="63"/>
      <c r="AR64" s="63"/>
      <c r="AS64" s="63"/>
      <c r="AT64" s="63"/>
      <c r="AU64" s="63"/>
      <c r="AV64" s="63"/>
      <c r="AW64" s="63"/>
      <c r="AX64" s="63"/>
      <c r="AY64" s="63"/>
      <c r="AZ64" s="63"/>
      <c r="BA64" s="63"/>
      <c r="BB64" s="63"/>
      <c r="BC64" s="63"/>
      <c r="BD64" s="63"/>
      <c r="BE64" s="63"/>
      <c r="BF64" s="63"/>
      <c r="BG64" s="63"/>
      <c r="BH64" s="63"/>
      <c r="BI64" s="63"/>
      <c r="BJ64" s="63"/>
      <c r="BK64" s="63"/>
      <c r="BL64" s="63"/>
      <c r="BM64" s="63"/>
      <c r="BN64" s="63"/>
      <c r="BO64" s="63"/>
      <c r="BP64" s="63"/>
      <c r="BQ64" s="63"/>
      <c r="BR64" s="63"/>
      <c r="BS64" s="63"/>
      <c r="BT64" s="63"/>
      <c r="BU64" s="63"/>
      <c r="BV64" s="63"/>
      <c r="BW64" s="63"/>
      <c r="BX64" s="63"/>
      <c r="BY64" s="63"/>
      <c r="BZ64" s="63"/>
      <c r="CA64" s="63"/>
      <c r="CB64" s="63"/>
      <c r="CC64" s="63"/>
      <c r="CD64" s="63"/>
      <c r="CE64" s="63"/>
      <c r="CF64" s="63"/>
      <c r="CG64" s="63"/>
      <c r="CH64" s="63"/>
      <c r="CI64" s="63"/>
      <c r="CJ64" s="63"/>
      <c r="CK64" s="63"/>
      <c r="CL64" s="63"/>
      <c r="CM64" s="63"/>
      <c r="CN64" s="63"/>
      <c r="CO64" s="63"/>
      <c r="CP64" s="63"/>
      <c r="CQ64" s="63"/>
      <c r="CR64" s="63"/>
      <c r="CS64" s="63"/>
      <c r="CT64" s="63"/>
      <c r="CU64" s="63"/>
      <c r="CV64" s="63"/>
      <c r="CW64" s="63"/>
      <c r="CX64" s="63"/>
      <c r="CY64" s="63"/>
      <c r="CZ64" s="63"/>
      <c r="DA64" s="63"/>
      <c r="DB64" s="63"/>
      <c r="DC64" s="63"/>
      <c r="DD64" s="63"/>
      <c r="DE64" s="63"/>
      <c r="DF64" s="63"/>
      <c r="DG64" s="63"/>
      <c r="DH64" s="63"/>
      <c r="DI64" s="63"/>
      <c r="DJ64" s="63"/>
      <c r="DK64" s="63"/>
      <c r="DL64" s="63"/>
      <c r="DM64" s="63"/>
      <c r="DN64" s="63"/>
      <c r="DO64" s="63"/>
      <c r="DP64" s="63"/>
      <c r="DQ64" s="63"/>
      <c r="DR64" s="63"/>
      <c r="DS64" s="63"/>
      <c r="DT64" s="63"/>
      <c r="DU64" s="63"/>
      <c r="DV64" s="63"/>
      <c r="DW64" s="63"/>
      <c r="DX64" s="63"/>
      <c r="DY64" s="63"/>
      <c r="DZ64" s="63"/>
      <c r="EA64" s="63"/>
      <c r="EB64" s="63"/>
      <c r="EC64" s="63"/>
      <c r="ED64" s="63"/>
      <c r="EE64" s="63"/>
      <c r="EF64" s="63"/>
      <c r="EG64" s="63"/>
      <c r="EH64" s="63"/>
      <c r="EI64" s="63"/>
      <c r="EJ64" s="63"/>
      <c r="EK64" s="63"/>
      <c r="EL64" s="63"/>
      <c r="EM64" s="63"/>
      <c r="EN64" s="63"/>
      <c r="EO64" s="63"/>
      <c r="EP64" s="63"/>
      <c r="EQ64" s="63"/>
      <c r="ER64" s="63"/>
      <c r="ES64" s="63"/>
      <c r="ET64" s="63"/>
      <c r="EU64" s="63"/>
      <c r="EV64" s="63"/>
      <c r="EW64" s="63"/>
      <c r="EX64" s="63"/>
      <c r="EY64" s="63"/>
      <c r="EZ64" s="63"/>
      <c r="FA64" s="63"/>
      <c r="FB64" s="63"/>
      <c r="FC64" s="63"/>
      <c r="FD64" s="63"/>
      <c r="FE64" s="63"/>
      <c r="FF64" s="63"/>
    </row>
    <row r="65" spans="1:162" s="23" customFormat="1" ht="30" hidden="1" customHeight="1" x14ac:dyDescent="0.25">
      <c r="A65" s="20" t="s">
        <v>121</v>
      </c>
      <c r="B65" s="20" t="s">
        <v>145</v>
      </c>
      <c r="C65" s="20" t="s">
        <v>1082</v>
      </c>
      <c r="D65" s="20" t="s">
        <v>1232</v>
      </c>
      <c r="E65" s="20" t="s">
        <v>50</v>
      </c>
      <c r="F65" s="20">
        <v>2008</v>
      </c>
      <c r="G65" s="20" t="s">
        <v>640</v>
      </c>
      <c r="H65" s="20" t="s">
        <v>1233</v>
      </c>
      <c r="I65" s="28" t="s">
        <v>1234</v>
      </c>
      <c r="J65" s="28" t="s">
        <v>1235</v>
      </c>
      <c r="K65" s="28" t="s">
        <v>1236</v>
      </c>
      <c r="L65" s="20" t="s">
        <v>1237</v>
      </c>
      <c r="M65" s="28" t="s">
        <v>1238</v>
      </c>
      <c r="N65" s="20" t="s">
        <v>248</v>
      </c>
      <c r="O65" s="20" t="s">
        <v>215</v>
      </c>
      <c r="P65" s="20" t="s">
        <v>1239</v>
      </c>
      <c r="Q65" s="28" t="s">
        <v>1203</v>
      </c>
      <c r="R65" s="20" t="s">
        <v>160</v>
      </c>
      <c r="S65" s="20"/>
      <c r="T65" s="20"/>
      <c r="U65" s="20"/>
      <c r="V65" s="127" t="s">
        <v>236</v>
      </c>
      <c r="W65" s="111" t="s">
        <v>247</v>
      </c>
      <c r="X65" s="111" t="s">
        <v>1378</v>
      </c>
      <c r="Y65" s="116" t="s">
        <v>230</v>
      </c>
      <c r="Z65" s="20" t="s">
        <v>231</v>
      </c>
      <c r="AA65" s="20"/>
      <c r="AB65" s="20">
        <v>18</v>
      </c>
      <c r="AC65" s="20"/>
      <c r="AD65" s="20"/>
      <c r="AE65" s="20"/>
      <c r="AF65" s="20">
        <v>19</v>
      </c>
      <c r="AG65" s="20" t="s">
        <v>970</v>
      </c>
      <c r="AH65" s="28" t="s">
        <v>1240</v>
      </c>
      <c r="AI65" s="20" t="s">
        <v>1044</v>
      </c>
      <c r="AJ65" s="20"/>
      <c r="AK65" s="20" t="s">
        <v>971</v>
      </c>
      <c r="AL65" s="20" t="s">
        <v>1207</v>
      </c>
      <c r="AM65" s="116">
        <v>82</v>
      </c>
      <c r="AN65" s="24" t="s">
        <v>1446</v>
      </c>
      <c r="AO65" s="24" t="s">
        <v>1447</v>
      </c>
      <c r="AP65" s="23" t="s">
        <v>1452</v>
      </c>
      <c r="AQ65" s="63"/>
      <c r="AR65" s="63"/>
      <c r="AS65" s="63"/>
      <c r="AT65" s="63"/>
      <c r="AU65" s="63"/>
      <c r="AV65" s="63"/>
      <c r="AW65" s="63"/>
      <c r="AX65" s="63"/>
      <c r="AY65" s="63"/>
      <c r="AZ65" s="63"/>
      <c r="BA65" s="63"/>
      <c r="BB65" s="63"/>
      <c r="BC65" s="63"/>
      <c r="BD65" s="63"/>
      <c r="BE65" s="63"/>
      <c r="BF65" s="63"/>
      <c r="BG65" s="63"/>
      <c r="BH65" s="63"/>
      <c r="BI65" s="63"/>
      <c r="BJ65" s="63"/>
      <c r="BK65" s="63"/>
      <c r="BL65" s="63"/>
      <c r="BM65" s="63"/>
      <c r="BN65" s="63"/>
      <c r="BO65" s="63"/>
      <c r="BP65" s="63"/>
      <c r="BQ65" s="63"/>
      <c r="BR65" s="63"/>
      <c r="BS65" s="63"/>
      <c r="BT65" s="63"/>
      <c r="BU65" s="63"/>
      <c r="BV65" s="63"/>
      <c r="BW65" s="63"/>
      <c r="BX65" s="63"/>
      <c r="BY65" s="63"/>
      <c r="BZ65" s="63"/>
      <c r="CA65" s="63"/>
      <c r="CB65" s="63"/>
      <c r="CC65" s="63"/>
      <c r="CD65" s="63"/>
      <c r="CE65" s="63"/>
      <c r="CF65" s="63"/>
      <c r="CG65" s="63"/>
      <c r="CH65" s="63"/>
      <c r="CI65" s="63"/>
      <c r="CJ65" s="63"/>
      <c r="CK65" s="63"/>
      <c r="CL65" s="63"/>
      <c r="CM65" s="63"/>
      <c r="CN65" s="63"/>
      <c r="CO65" s="63"/>
      <c r="CP65" s="63"/>
      <c r="CQ65" s="63"/>
      <c r="CR65" s="63"/>
      <c r="CS65" s="63"/>
      <c r="CT65" s="63"/>
      <c r="CU65" s="63"/>
      <c r="CV65" s="63"/>
      <c r="CW65" s="63"/>
      <c r="CX65" s="63"/>
      <c r="CY65" s="63"/>
      <c r="CZ65" s="63"/>
      <c r="DA65" s="63"/>
      <c r="DB65" s="63"/>
      <c r="DC65" s="63"/>
      <c r="DD65" s="63"/>
      <c r="DE65" s="63"/>
      <c r="DF65" s="63"/>
      <c r="DG65" s="63"/>
      <c r="DH65" s="63"/>
      <c r="DI65" s="63"/>
      <c r="DJ65" s="63"/>
      <c r="DK65" s="63"/>
      <c r="DL65" s="63"/>
      <c r="DM65" s="63"/>
      <c r="DN65" s="63"/>
      <c r="DO65" s="63"/>
      <c r="DP65" s="63"/>
      <c r="DQ65" s="63"/>
      <c r="DR65" s="63"/>
      <c r="DS65" s="63"/>
      <c r="DT65" s="63"/>
      <c r="DU65" s="63"/>
      <c r="DV65" s="63"/>
      <c r="DW65" s="63"/>
      <c r="DX65" s="63"/>
      <c r="DY65" s="63"/>
      <c r="DZ65" s="63"/>
      <c r="EA65" s="63"/>
      <c r="EB65" s="63"/>
      <c r="EC65" s="63"/>
      <c r="ED65" s="63"/>
      <c r="EE65" s="63"/>
      <c r="EF65" s="63"/>
      <c r="EG65" s="63"/>
      <c r="EH65" s="63"/>
      <c r="EI65" s="63"/>
      <c r="EJ65" s="63"/>
      <c r="EK65" s="63"/>
      <c r="EL65" s="63"/>
      <c r="EM65" s="63"/>
      <c r="EN65" s="63"/>
      <c r="EO65" s="63"/>
      <c r="EP65" s="63"/>
      <c r="EQ65" s="63"/>
      <c r="ER65" s="63"/>
      <c r="ES65" s="63"/>
      <c r="ET65" s="63"/>
      <c r="EU65" s="63"/>
      <c r="EV65" s="63"/>
      <c r="EW65" s="63"/>
      <c r="EX65" s="63"/>
      <c r="EY65" s="63"/>
      <c r="EZ65" s="63"/>
      <c r="FA65" s="63"/>
      <c r="FB65" s="63"/>
      <c r="FC65" s="63"/>
      <c r="FD65" s="63"/>
      <c r="FE65" s="63"/>
      <c r="FF65" s="63"/>
    </row>
    <row r="66" spans="1:162" s="23" customFormat="1" ht="30" hidden="1" customHeight="1" x14ac:dyDescent="0.25">
      <c r="A66" s="20" t="s">
        <v>121</v>
      </c>
      <c r="B66" s="20" t="s">
        <v>145</v>
      </c>
      <c r="C66" s="20" t="s">
        <v>1082</v>
      </c>
      <c r="D66" s="20" t="s">
        <v>1241</v>
      </c>
      <c r="E66" s="20" t="s">
        <v>50</v>
      </c>
      <c r="F66" s="20">
        <v>2008</v>
      </c>
      <c r="G66" s="20" t="s">
        <v>302</v>
      </c>
      <c r="H66" s="20" t="s">
        <v>1242</v>
      </c>
      <c r="I66" s="28" t="s">
        <v>1243</v>
      </c>
      <c r="J66" s="28" t="s">
        <v>1244</v>
      </c>
      <c r="K66" s="28" t="s">
        <v>1245</v>
      </c>
      <c r="L66" s="20" t="s">
        <v>1246</v>
      </c>
      <c r="M66" s="20" t="s">
        <v>1214</v>
      </c>
      <c r="N66" s="20" t="s">
        <v>248</v>
      </c>
      <c r="O66" s="20" t="s">
        <v>215</v>
      </c>
      <c r="P66" s="20" t="s">
        <v>1247</v>
      </c>
      <c r="Q66" s="28" t="s">
        <v>1203</v>
      </c>
      <c r="R66" s="20" t="s">
        <v>160</v>
      </c>
      <c r="S66" s="20"/>
      <c r="T66" s="20"/>
      <c r="U66" s="20"/>
      <c r="V66" s="127" t="s">
        <v>236</v>
      </c>
      <c r="W66" s="111" t="s">
        <v>247</v>
      </c>
      <c r="X66" s="111" t="s">
        <v>1378</v>
      </c>
      <c r="Y66" s="116" t="s">
        <v>230</v>
      </c>
      <c r="Z66" s="20" t="s">
        <v>231</v>
      </c>
      <c r="AA66" s="20"/>
      <c r="AB66" s="20">
        <v>18</v>
      </c>
      <c r="AC66" s="20"/>
      <c r="AD66" s="20"/>
      <c r="AE66" s="20"/>
      <c r="AF66" s="20">
        <v>19</v>
      </c>
      <c r="AG66" s="20" t="s">
        <v>970</v>
      </c>
      <c r="AH66" s="28" t="s">
        <v>1248</v>
      </c>
      <c r="AI66" s="20" t="s">
        <v>1044</v>
      </c>
      <c r="AJ66" s="20"/>
      <c r="AK66" s="20" t="s">
        <v>971</v>
      </c>
      <c r="AL66" s="20" t="s">
        <v>1207</v>
      </c>
      <c r="AM66" s="116">
        <v>83</v>
      </c>
      <c r="AN66" s="63" t="s">
        <v>1448</v>
      </c>
      <c r="AO66" s="24" t="s">
        <v>1449</v>
      </c>
      <c r="AP66" s="23" t="s">
        <v>1452</v>
      </c>
      <c r="AQ66" s="63"/>
      <c r="AR66" s="63"/>
      <c r="AS66" s="63"/>
      <c r="AT66" s="63"/>
      <c r="AU66" s="63"/>
      <c r="AV66" s="63"/>
      <c r="AW66" s="63"/>
      <c r="AX66" s="63"/>
      <c r="AY66" s="63"/>
      <c r="AZ66" s="63"/>
      <c r="BA66" s="63"/>
      <c r="BB66" s="63"/>
      <c r="BC66" s="63"/>
      <c r="BD66" s="63"/>
      <c r="BE66" s="63"/>
      <c r="BF66" s="63"/>
      <c r="BG66" s="63"/>
      <c r="BH66" s="63"/>
      <c r="BI66" s="63"/>
      <c r="BJ66" s="63"/>
      <c r="BK66" s="63"/>
      <c r="BL66" s="63"/>
      <c r="BM66" s="63"/>
      <c r="BN66" s="63"/>
      <c r="BO66" s="63"/>
      <c r="BP66" s="63"/>
      <c r="BQ66" s="63"/>
      <c r="BR66" s="63"/>
      <c r="BS66" s="63"/>
      <c r="BT66" s="63"/>
      <c r="BU66" s="63"/>
      <c r="BV66" s="63"/>
      <c r="BW66" s="63"/>
      <c r="BX66" s="63"/>
      <c r="BY66" s="63"/>
      <c r="BZ66" s="63"/>
      <c r="CA66" s="63"/>
      <c r="CB66" s="63"/>
      <c r="CC66" s="63"/>
      <c r="CD66" s="63"/>
      <c r="CE66" s="63"/>
      <c r="CF66" s="63"/>
      <c r="CG66" s="63"/>
      <c r="CH66" s="63"/>
      <c r="CI66" s="63"/>
      <c r="CJ66" s="63"/>
      <c r="CK66" s="63"/>
      <c r="CL66" s="63"/>
      <c r="CM66" s="63"/>
      <c r="CN66" s="63"/>
      <c r="CO66" s="63"/>
      <c r="CP66" s="63"/>
      <c r="CQ66" s="63"/>
      <c r="CR66" s="63"/>
      <c r="CS66" s="63"/>
      <c r="CT66" s="63"/>
      <c r="CU66" s="63"/>
      <c r="CV66" s="63"/>
      <c r="CW66" s="63"/>
      <c r="CX66" s="63"/>
      <c r="CY66" s="63"/>
      <c r="CZ66" s="63"/>
      <c r="DA66" s="63"/>
      <c r="DB66" s="63"/>
      <c r="DC66" s="63"/>
      <c r="DD66" s="63"/>
      <c r="DE66" s="63"/>
      <c r="DF66" s="63"/>
      <c r="DG66" s="63"/>
      <c r="DH66" s="63"/>
      <c r="DI66" s="63"/>
      <c r="DJ66" s="63"/>
      <c r="DK66" s="63"/>
      <c r="DL66" s="63"/>
      <c r="DM66" s="63"/>
      <c r="DN66" s="63"/>
      <c r="DO66" s="63"/>
      <c r="DP66" s="63"/>
      <c r="DQ66" s="63"/>
      <c r="DR66" s="63"/>
      <c r="DS66" s="63"/>
      <c r="DT66" s="63"/>
      <c r="DU66" s="63"/>
      <c r="DV66" s="63"/>
      <c r="DW66" s="63"/>
      <c r="DX66" s="63"/>
      <c r="DY66" s="63"/>
      <c r="DZ66" s="63"/>
      <c r="EA66" s="63"/>
      <c r="EB66" s="63"/>
      <c r="EC66" s="63"/>
      <c r="ED66" s="63"/>
      <c r="EE66" s="63"/>
      <c r="EF66" s="63"/>
      <c r="EG66" s="63"/>
      <c r="EH66" s="63"/>
      <c r="EI66" s="63"/>
      <c r="EJ66" s="63"/>
      <c r="EK66" s="63"/>
      <c r="EL66" s="63"/>
      <c r="EM66" s="63"/>
      <c r="EN66" s="63"/>
      <c r="EO66" s="63"/>
      <c r="EP66" s="63"/>
      <c r="EQ66" s="63"/>
      <c r="ER66" s="63"/>
      <c r="ES66" s="63"/>
      <c r="ET66" s="63"/>
      <c r="EU66" s="63"/>
      <c r="EV66" s="63"/>
      <c r="EW66" s="63"/>
      <c r="EX66" s="63"/>
      <c r="EY66" s="63"/>
      <c r="EZ66" s="63"/>
      <c r="FA66" s="63"/>
      <c r="FB66" s="63"/>
      <c r="FC66" s="63"/>
      <c r="FD66" s="63"/>
      <c r="FE66" s="63"/>
      <c r="FF66" s="63"/>
    </row>
    <row r="67" spans="1:162" s="23" customFormat="1" ht="30" customHeight="1" x14ac:dyDescent="0.25">
      <c r="A67" s="118"/>
      <c r="B67" s="116" t="s">
        <v>146</v>
      </c>
      <c r="C67" s="116" t="s">
        <v>207</v>
      </c>
      <c r="D67" s="118" t="s">
        <v>408</v>
      </c>
      <c r="E67" s="116" t="s">
        <v>50</v>
      </c>
      <c r="F67" s="116" t="s">
        <v>409</v>
      </c>
      <c r="G67" s="117" t="s">
        <v>410</v>
      </c>
      <c r="H67" s="117"/>
      <c r="I67" s="117" t="s">
        <v>411</v>
      </c>
      <c r="J67" s="116" t="s">
        <v>240</v>
      </c>
      <c r="K67" s="117" t="s">
        <v>412</v>
      </c>
      <c r="L67" s="116" t="s">
        <v>240</v>
      </c>
      <c r="M67" s="121" t="s">
        <v>240</v>
      </c>
      <c r="N67" s="20" t="s">
        <v>301</v>
      </c>
      <c r="O67" s="116" t="s">
        <v>215</v>
      </c>
      <c r="P67" s="117" t="s">
        <v>413</v>
      </c>
      <c r="Q67" s="118"/>
      <c r="R67" s="116"/>
      <c r="S67" s="116"/>
      <c r="T67" s="116"/>
      <c r="U67" s="116"/>
      <c r="V67" s="115" t="s">
        <v>218</v>
      </c>
      <c r="W67" s="111" t="s">
        <v>247</v>
      </c>
      <c r="X67" s="111" t="s">
        <v>219</v>
      </c>
      <c r="Y67" s="116"/>
      <c r="Z67" s="116" t="s">
        <v>220</v>
      </c>
      <c r="AA67" s="116"/>
      <c r="AB67" s="116"/>
      <c r="AC67" s="116">
        <v>400</v>
      </c>
      <c r="AD67" s="116"/>
      <c r="AE67" s="116"/>
      <c r="AF67" s="116">
        <v>29</v>
      </c>
      <c r="AG67" s="116" t="s">
        <v>970</v>
      </c>
      <c r="AH67" s="116" t="s">
        <v>1046</v>
      </c>
      <c r="AI67" s="116" t="s">
        <v>1047</v>
      </c>
      <c r="AJ67" s="116" t="s">
        <v>1051</v>
      </c>
      <c r="AK67" s="116" t="s">
        <v>970</v>
      </c>
      <c r="AL67" s="116" t="s">
        <v>1079</v>
      </c>
      <c r="AM67" s="116">
        <v>28</v>
      </c>
      <c r="AN67" s="23" t="s">
        <v>1436</v>
      </c>
      <c r="AO67" s="117" t="s">
        <v>1437</v>
      </c>
      <c r="AP67" s="23" t="s">
        <v>1451</v>
      </c>
      <c r="AQ67" s="63"/>
      <c r="AR67" s="63"/>
      <c r="AS67" s="63"/>
      <c r="AT67" s="63"/>
      <c r="AU67" s="63"/>
      <c r="AV67" s="63"/>
      <c r="AW67" s="63"/>
      <c r="AX67" s="63"/>
      <c r="AY67" s="63"/>
      <c r="AZ67" s="63"/>
      <c r="BA67" s="63"/>
      <c r="BB67" s="63"/>
      <c r="BC67" s="63"/>
      <c r="BD67" s="63"/>
      <c r="BE67" s="63"/>
      <c r="BF67" s="63"/>
      <c r="BG67" s="63"/>
      <c r="BH67" s="63"/>
      <c r="BI67" s="63"/>
      <c r="BJ67" s="63"/>
      <c r="BK67" s="63"/>
      <c r="BL67" s="63"/>
      <c r="BM67" s="63"/>
      <c r="BN67" s="63"/>
      <c r="BO67" s="63"/>
      <c r="BP67" s="63"/>
      <c r="BQ67" s="63"/>
      <c r="BR67" s="63"/>
      <c r="BS67" s="63"/>
      <c r="BT67" s="63"/>
      <c r="BU67" s="63"/>
      <c r="BV67" s="63"/>
      <c r="BW67" s="63"/>
      <c r="BX67" s="63"/>
      <c r="BY67" s="63"/>
      <c r="BZ67" s="63"/>
      <c r="CA67" s="63"/>
      <c r="CB67" s="63"/>
      <c r="CC67" s="63"/>
      <c r="CD67" s="63"/>
      <c r="CE67" s="63"/>
      <c r="CF67" s="63"/>
      <c r="CG67" s="63"/>
      <c r="CH67" s="63"/>
      <c r="CI67" s="63"/>
      <c r="CJ67" s="63"/>
      <c r="CK67" s="63"/>
      <c r="CL67" s="63"/>
      <c r="CM67" s="63"/>
      <c r="CN67" s="63"/>
      <c r="CO67" s="63"/>
      <c r="CP67" s="63"/>
      <c r="CQ67" s="63"/>
      <c r="CR67" s="63"/>
      <c r="CS67" s="63"/>
      <c r="CT67" s="63"/>
      <c r="CU67" s="63"/>
      <c r="CV67" s="63"/>
      <c r="CW67" s="63"/>
      <c r="CX67" s="63"/>
      <c r="CY67" s="63"/>
      <c r="CZ67" s="63"/>
      <c r="DA67" s="63"/>
      <c r="DB67" s="63"/>
      <c r="DC67" s="63"/>
      <c r="DD67" s="63"/>
      <c r="DE67" s="63"/>
      <c r="DF67" s="63"/>
      <c r="DG67" s="63"/>
      <c r="DH67" s="63"/>
      <c r="DI67" s="63"/>
      <c r="DJ67" s="63"/>
      <c r="DK67" s="63"/>
      <c r="DL67" s="63"/>
      <c r="DM67" s="63"/>
      <c r="DN67" s="63"/>
      <c r="DO67" s="63"/>
      <c r="DP67" s="63"/>
      <c r="DQ67" s="63"/>
      <c r="DR67" s="63"/>
      <c r="DS67" s="63"/>
      <c r="DT67" s="63"/>
      <c r="DU67" s="63"/>
      <c r="DV67" s="63"/>
      <c r="DW67" s="63"/>
      <c r="DX67" s="63"/>
      <c r="DY67" s="63"/>
      <c r="DZ67" s="63"/>
      <c r="EA67" s="63"/>
      <c r="EB67" s="63"/>
      <c r="EC67" s="63"/>
      <c r="ED67" s="63"/>
      <c r="EE67" s="63"/>
      <c r="EF67" s="63"/>
      <c r="EG67" s="63"/>
      <c r="EH67" s="63"/>
      <c r="EI67" s="63"/>
      <c r="EJ67" s="63"/>
      <c r="EK67" s="63"/>
      <c r="EL67" s="63"/>
      <c r="EM67" s="63"/>
      <c r="EN67" s="63"/>
      <c r="EO67" s="63"/>
      <c r="EP67" s="63"/>
      <c r="EQ67" s="63"/>
      <c r="ER67" s="63"/>
      <c r="ES67" s="63"/>
      <c r="ET67" s="63"/>
      <c r="EU67" s="63"/>
      <c r="EV67" s="63"/>
      <c r="EW67" s="63"/>
      <c r="EX67" s="63"/>
      <c r="EY67" s="63"/>
      <c r="EZ67" s="63"/>
      <c r="FA67" s="63"/>
      <c r="FB67" s="63"/>
      <c r="FC67" s="63"/>
      <c r="FD67" s="63"/>
      <c r="FE67" s="63"/>
      <c r="FF67" s="63"/>
    </row>
    <row r="68" spans="1:162" s="23" customFormat="1" ht="30" customHeight="1" x14ac:dyDescent="0.25">
      <c r="A68" s="23" t="s">
        <v>44</v>
      </c>
      <c r="B68" s="19" t="s">
        <v>147</v>
      </c>
      <c r="C68" s="23" t="s">
        <v>207</v>
      </c>
      <c r="D68" s="19" t="s">
        <v>408</v>
      </c>
      <c r="E68" s="23" t="s">
        <v>50</v>
      </c>
      <c r="F68" s="23" t="s">
        <v>409</v>
      </c>
      <c r="G68" s="24" t="s">
        <v>410</v>
      </c>
      <c r="H68" s="24" t="s">
        <v>414</v>
      </c>
      <c r="I68" s="24" t="s">
        <v>411</v>
      </c>
      <c r="J68" s="23" t="s">
        <v>240</v>
      </c>
      <c r="K68" s="24" t="s">
        <v>412</v>
      </c>
      <c r="L68" s="23" t="s">
        <v>240</v>
      </c>
      <c r="M68" s="25" t="s">
        <v>240</v>
      </c>
      <c r="N68" s="20" t="s">
        <v>301</v>
      </c>
      <c r="O68" s="23" t="s">
        <v>215</v>
      </c>
      <c r="P68" s="24" t="s">
        <v>415</v>
      </c>
      <c r="Q68" s="19" t="s">
        <v>146</v>
      </c>
      <c r="T68" s="23" t="s">
        <v>308</v>
      </c>
      <c r="U68" s="24" t="s">
        <v>416</v>
      </c>
      <c r="V68" s="127" t="s">
        <v>218</v>
      </c>
      <c r="W68" s="111" t="s">
        <v>247</v>
      </c>
      <c r="X68" s="111" t="s">
        <v>219</v>
      </c>
      <c r="Z68" s="23" t="s">
        <v>220</v>
      </c>
      <c r="AC68" s="23">
        <v>400</v>
      </c>
      <c r="AF68" s="23">
        <v>63</v>
      </c>
      <c r="AG68" s="23" t="s">
        <v>970</v>
      </c>
      <c r="AH68" s="23" t="s">
        <v>1046</v>
      </c>
      <c r="AI68" s="116" t="s">
        <v>1047</v>
      </c>
      <c r="AJ68" s="23" t="s">
        <v>1051</v>
      </c>
      <c r="AK68" s="23" t="s">
        <v>970</v>
      </c>
      <c r="AL68" s="23" t="s">
        <v>1079</v>
      </c>
      <c r="AM68" s="116">
        <v>29</v>
      </c>
      <c r="AN68" s="23" t="s">
        <v>1436</v>
      </c>
      <c r="AO68" s="117" t="s">
        <v>1437</v>
      </c>
      <c r="AP68" s="23" t="s">
        <v>1451</v>
      </c>
      <c r="AQ68" s="63"/>
      <c r="AR68" s="63"/>
      <c r="AS68" s="63"/>
      <c r="AT68" s="63"/>
      <c r="AU68" s="63"/>
      <c r="AV68" s="63"/>
      <c r="AW68" s="63"/>
      <c r="AX68" s="63"/>
      <c r="AY68" s="63"/>
      <c r="AZ68" s="63"/>
      <c r="BA68" s="63"/>
      <c r="BB68" s="63"/>
      <c r="BC68" s="63"/>
      <c r="BD68" s="63"/>
      <c r="BE68" s="63"/>
      <c r="BF68" s="63"/>
      <c r="BG68" s="63"/>
      <c r="BH68" s="63"/>
      <c r="BI68" s="63"/>
      <c r="BJ68" s="63"/>
      <c r="BK68" s="63"/>
      <c r="BL68" s="63"/>
      <c r="BM68" s="63"/>
      <c r="BN68" s="63"/>
      <c r="BO68" s="63"/>
      <c r="BP68" s="63"/>
      <c r="BQ68" s="63"/>
      <c r="BR68" s="63"/>
      <c r="BS68" s="63"/>
      <c r="BT68" s="63"/>
      <c r="BU68" s="63"/>
      <c r="BV68" s="63"/>
      <c r="BW68" s="63"/>
      <c r="BX68" s="63"/>
      <c r="BY68" s="63"/>
      <c r="BZ68" s="63"/>
      <c r="CA68" s="63"/>
      <c r="CB68" s="63"/>
      <c r="CC68" s="63"/>
      <c r="CD68" s="63"/>
      <c r="CE68" s="63"/>
      <c r="CF68" s="63"/>
      <c r="CG68" s="63"/>
      <c r="CH68" s="63"/>
      <c r="CI68" s="63"/>
      <c r="CJ68" s="63"/>
      <c r="CK68" s="63"/>
      <c r="CL68" s="63"/>
      <c r="CM68" s="63"/>
      <c r="CN68" s="63"/>
      <c r="CO68" s="63"/>
      <c r="CP68" s="63"/>
      <c r="CQ68" s="63"/>
      <c r="CR68" s="63"/>
      <c r="CS68" s="63"/>
      <c r="CT68" s="63"/>
      <c r="CU68" s="63"/>
      <c r="CV68" s="63"/>
      <c r="CW68" s="63"/>
      <c r="CX68" s="63"/>
      <c r="CY68" s="63"/>
      <c r="CZ68" s="63"/>
      <c r="DA68" s="63"/>
      <c r="DB68" s="63"/>
      <c r="DC68" s="63"/>
      <c r="DD68" s="63"/>
      <c r="DE68" s="63"/>
      <c r="DF68" s="63"/>
      <c r="DG68" s="63"/>
      <c r="DH68" s="63"/>
      <c r="DI68" s="63"/>
      <c r="DJ68" s="63"/>
      <c r="DK68" s="63"/>
      <c r="DL68" s="63"/>
      <c r="DM68" s="63"/>
      <c r="DN68" s="63"/>
      <c r="DO68" s="63"/>
      <c r="DP68" s="63"/>
      <c r="DQ68" s="63"/>
      <c r="DR68" s="63"/>
      <c r="DS68" s="63"/>
      <c r="DT68" s="63"/>
      <c r="DU68" s="63"/>
      <c r="DV68" s="63"/>
      <c r="DW68" s="63"/>
      <c r="DX68" s="63"/>
      <c r="DY68" s="63"/>
      <c r="DZ68" s="63"/>
      <c r="EA68" s="63"/>
      <c r="EB68" s="63"/>
      <c r="EC68" s="63"/>
      <c r="ED68" s="63"/>
      <c r="EE68" s="63"/>
      <c r="EF68" s="63"/>
      <c r="EG68" s="63"/>
      <c r="EH68" s="63"/>
      <c r="EI68" s="63"/>
      <c r="EJ68" s="63"/>
      <c r="EK68" s="63"/>
      <c r="EL68" s="63"/>
      <c r="EM68" s="63"/>
      <c r="EN68" s="63"/>
      <c r="EO68" s="63"/>
      <c r="EP68" s="63"/>
      <c r="EQ68" s="63"/>
      <c r="ER68" s="63"/>
      <c r="ES68" s="63"/>
      <c r="ET68" s="63"/>
      <c r="EU68" s="63"/>
      <c r="EV68" s="63"/>
      <c r="EW68" s="63"/>
      <c r="EX68" s="63"/>
      <c r="EY68" s="63"/>
      <c r="EZ68" s="63"/>
      <c r="FA68" s="63"/>
      <c r="FB68" s="63"/>
      <c r="FC68" s="63"/>
      <c r="FD68" s="63"/>
      <c r="FE68" s="63"/>
      <c r="FF68" s="63"/>
    </row>
    <row r="69" spans="1:162" s="23" customFormat="1" ht="30" customHeight="1" x14ac:dyDescent="0.25">
      <c r="A69" s="23" t="s">
        <v>44</v>
      </c>
      <c r="B69" s="23" t="s">
        <v>148</v>
      </c>
      <c r="C69" s="23" t="s">
        <v>273</v>
      </c>
      <c r="D69" s="23" t="s">
        <v>148</v>
      </c>
      <c r="E69" s="23" t="s">
        <v>50</v>
      </c>
      <c r="F69" s="23">
        <v>1988</v>
      </c>
      <c r="G69" s="23" t="s">
        <v>417</v>
      </c>
      <c r="H69" s="23" t="s">
        <v>240</v>
      </c>
      <c r="I69" s="24" t="s">
        <v>418</v>
      </c>
      <c r="J69" s="24" t="s">
        <v>419</v>
      </c>
      <c r="K69" s="24" t="s">
        <v>420</v>
      </c>
      <c r="L69" s="24" t="s">
        <v>421</v>
      </c>
      <c r="M69" s="23" t="s">
        <v>422</v>
      </c>
      <c r="N69" s="20" t="s">
        <v>301</v>
      </c>
      <c r="O69" s="23" t="s">
        <v>215</v>
      </c>
      <c r="P69" s="23" t="s">
        <v>423</v>
      </c>
      <c r="S69" s="24" t="s">
        <v>424</v>
      </c>
      <c r="V69" s="127" t="s">
        <v>218</v>
      </c>
      <c r="W69" s="126" t="s">
        <v>219</v>
      </c>
      <c r="X69" s="111" t="s">
        <v>219</v>
      </c>
      <c r="Z69" s="23" t="s">
        <v>1380</v>
      </c>
      <c r="AA69" s="23" t="s">
        <v>1473</v>
      </c>
      <c r="AB69" s="23">
        <v>4</v>
      </c>
      <c r="AF69" s="23">
        <v>0</v>
      </c>
      <c r="AG69" s="23" t="s">
        <v>970</v>
      </c>
      <c r="AH69" s="24" t="s">
        <v>1048</v>
      </c>
      <c r="AI69" s="23" t="s">
        <v>1385</v>
      </c>
      <c r="AK69" s="20" t="s">
        <v>970</v>
      </c>
      <c r="AM69" s="116">
        <v>30</v>
      </c>
      <c r="AN69" s="23" t="s">
        <v>1474</v>
      </c>
      <c r="AO69" s="23" t="s">
        <v>1475</v>
      </c>
      <c r="AP69" s="23" t="s">
        <v>1450</v>
      </c>
      <c r="AQ69" s="63"/>
      <c r="AR69" s="63"/>
      <c r="AS69" s="63"/>
      <c r="AT69" s="63"/>
      <c r="AU69" s="63"/>
      <c r="AV69" s="63"/>
      <c r="AW69" s="63"/>
      <c r="AX69" s="63"/>
      <c r="AY69" s="63"/>
      <c r="AZ69" s="63"/>
      <c r="BA69" s="63"/>
      <c r="BB69" s="63"/>
      <c r="BC69" s="63"/>
      <c r="BD69" s="63"/>
      <c r="BE69" s="63"/>
      <c r="BF69" s="63"/>
      <c r="BG69" s="63"/>
      <c r="BH69" s="63"/>
      <c r="BI69" s="63"/>
      <c r="BJ69" s="63"/>
      <c r="BK69" s="63"/>
      <c r="BL69" s="63"/>
      <c r="BM69" s="63"/>
      <c r="BN69" s="63"/>
      <c r="BO69" s="63"/>
      <c r="BP69" s="63"/>
      <c r="BQ69" s="63"/>
      <c r="BR69" s="63"/>
      <c r="BS69" s="63"/>
      <c r="BT69" s="63"/>
      <c r="BU69" s="63"/>
      <c r="BV69" s="63"/>
      <c r="BW69" s="63"/>
      <c r="BX69" s="63"/>
      <c r="BY69" s="63"/>
      <c r="BZ69" s="63"/>
      <c r="CA69" s="63"/>
      <c r="CB69" s="63"/>
      <c r="CC69" s="63"/>
      <c r="CD69" s="63"/>
      <c r="CE69" s="63"/>
      <c r="CF69" s="63"/>
      <c r="CG69" s="63"/>
      <c r="CH69" s="63"/>
      <c r="CI69" s="63"/>
      <c r="CJ69" s="63"/>
      <c r="CK69" s="63"/>
      <c r="CL69" s="63"/>
      <c r="CM69" s="63"/>
      <c r="CN69" s="63"/>
      <c r="CO69" s="63"/>
      <c r="CP69" s="63"/>
      <c r="CQ69" s="63"/>
      <c r="CR69" s="63"/>
      <c r="CS69" s="63"/>
      <c r="CT69" s="63"/>
      <c r="CU69" s="63"/>
      <c r="CV69" s="63"/>
      <c r="CW69" s="63"/>
      <c r="CX69" s="63"/>
      <c r="CY69" s="63"/>
      <c r="CZ69" s="63"/>
      <c r="DA69" s="63"/>
      <c r="DB69" s="63"/>
      <c r="DC69" s="63"/>
      <c r="DD69" s="63"/>
      <c r="DE69" s="63"/>
      <c r="DF69" s="63"/>
      <c r="DG69" s="63"/>
      <c r="DH69" s="63"/>
      <c r="DI69" s="63"/>
      <c r="DJ69" s="63"/>
      <c r="DK69" s="63"/>
      <c r="DL69" s="63"/>
      <c r="DM69" s="63"/>
      <c r="DN69" s="63"/>
      <c r="DO69" s="63"/>
      <c r="DP69" s="63"/>
      <c r="DQ69" s="63"/>
      <c r="DR69" s="63"/>
      <c r="DS69" s="63"/>
      <c r="DT69" s="63"/>
      <c r="DU69" s="63"/>
      <c r="DV69" s="63"/>
      <c r="DW69" s="63"/>
      <c r="DX69" s="63"/>
      <c r="DY69" s="63"/>
      <c r="DZ69" s="63"/>
      <c r="EA69" s="63"/>
      <c r="EB69" s="63"/>
      <c r="EC69" s="63"/>
      <c r="ED69" s="63"/>
      <c r="EE69" s="63"/>
      <c r="EF69" s="63"/>
      <c r="EG69" s="63"/>
      <c r="EH69" s="63"/>
      <c r="EI69" s="63"/>
      <c r="EJ69" s="63"/>
      <c r="EK69" s="63"/>
      <c r="EL69" s="63"/>
      <c r="EM69" s="63"/>
      <c r="EN69" s="63"/>
      <c r="EO69" s="63"/>
      <c r="EP69" s="63"/>
      <c r="EQ69" s="63"/>
      <c r="ER69" s="63"/>
      <c r="ES69" s="63"/>
      <c r="ET69" s="63"/>
      <c r="EU69" s="63"/>
      <c r="EV69" s="63"/>
      <c r="EW69" s="63"/>
      <c r="EX69" s="63"/>
      <c r="EY69" s="63"/>
      <c r="EZ69" s="63"/>
      <c r="FA69" s="63"/>
      <c r="FB69" s="63"/>
      <c r="FC69" s="63"/>
      <c r="FD69" s="63"/>
      <c r="FE69" s="63"/>
      <c r="FF69" s="63"/>
    </row>
    <row r="70" spans="1:162" s="23" customFormat="1" ht="30" customHeight="1" x14ac:dyDescent="0.25">
      <c r="A70" s="20" t="s">
        <v>49</v>
      </c>
      <c r="B70" s="20" t="s">
        <v>151</v>
      </c>
      <c r="C70" s="20" t="s">
        <v>1082</v>
      </c>
      <c r="D70" s="20" t="s">
        <v>1118</v>
      </c>
      <c r="E70" s="20" t="s">
        <v>50</v>
      </c>
      <c r="F70" s="20">
        <v>1988</v>
      </c>
      <c r="G70" s="20" t="s">
        <v>1119</v>
      </c>
      <c r="H70" s="20" t="s">
        <v>1120</v>
      </c>
      <c r="I70" s="28" t="s">
        <v>1121</v>
      </c>
      <c r="J70" s="28" t="s">
        <v>51</v>
      </c>
      <c r="K70" s="28" t="s">
        <v>1122</v>
      </c>
      <c r="L70" s="24" t="s">
        <v>421</v>
      </c>
      <c r="M70" s="23" t="s">
        <v>422</v>
      </c>
      <c r="N70" s="20" t="s">
        <v>301</v>
      </c>
      <c r="O70" s="20" t="s">
        <v>1123</v>
      </c>
      <c r="P70" s="20" t="s">
        <v>922</v>
      </c>
      <c r="Q70" s="20" t="s">
        <v>1118</v>
      </c>
      <c r="R70" s="20"/>
      <c r="S70" s="20" t="s">
        <v>1124</v>
      </c>
      <c r="T70" s="20"/>
      <c r="U70" s="20"/>
      <c r="V70" s="127" t="s">
        <v>218</v>
      </c>
      <c r="W70" s="126" t="s">
        <v>219</v>
      </c>
      <c r="X70" s="111" t="s">
        <v>219</v>
      </c>
      <c r="Y70" s="20"/>
      <c r="Z70" s="23" t="s">
        <v>1380</v>
      </c>
      <c r="AA70" s="23" t="s">
        <v>1473</v>
      </c>
      <c r="AB70" s="23">
        <v>4</v>
      </c>
      <c r="AF70" s="20">
        <v>208</v>
      </c>
      <c r="AG70" s="20" t="s">
        <v>970</v>
      </c>
      <c r="AH70" s="28" t="s">
        <v>1125</v>
      </c>
      <c r="AI70" s="20" t="s">
        <v>1047</v>
      </c>
      <c r="AJ70" s="20" t="s">
        <v>1126</v>
      </c>
      <c r="AK70" s="20" t="s">
        <v>970</v>
      </c>
      <c r="AL70" s="20"/>
      <c r="AM70" s="116">
        <v>64</v>
      </c>
      <c r="AN70" s="23" t="s">
        <v>1474</v>
      </c>
      <c r="AO70" s="23" t="s">
        <v>1475</v>
      </c>
      <c r="AP70" s="23" t="s">
        <v>1450</v>
      </c>
      <c r="AQ70" s="63"/>
      <c r="AR70" s="63"/>
      <c r="AS70" s="63"/>
      <c r="AT70" s="63"/>
      <c r="AU70" s="63"/>
      <c r="AV70" s="63"/>
      <c r="AW70" s="63"/>
      <c r="AX70" s="63"/>
      <c r="AY70" s="63"/>
      <c r="AZ70" s="63"/>
      <c r="BA70" s="63"/>
      <c r="BB70" s="63"/>
      <c r="BC70" s="63"/>
      <c r="BD70" s="63"/>
      <c r="BE70" s="63"/>
      <c r="BF70" s="63"/>
      <c r="BG70" s="63"/>
      <c r="BH70" s="63"/>
      <c r="BI70" s="63"/>
      <c r="BJ70" s="63"/>
      <c r="BK70" s="63"/>
      <c r="BL70" s="63"/>
      <c r="BM70" s="63"/>
      <c r="BN70" s="63"/>
      <c r="BO70" s="63"/>
      <c r="BP70" s="63"/>
      <c r="BQ70" s="63"/>
      <c r="BR70" s="63"/>
      <c r="BS70" s="63"/>
      <c r="BT70" s="63"/>
      <c r="BU70" s="63"/>
      <c r="BV70" s="63"/>
      <c r="BW70" s="63"/>
      <c r="BX70" s="63"/>
      <c r="BY70" s="63"/>
      <c r="BZ70" s="63"/>
      <c r="CA70" s="63"/>
      <c r="CB70" s="63"/>
      <c r="CC70" s="63"/>
      <c r="CD70" s="63"/>
      <c r="CE70" s="63"/>
      <c r="CF70" s="63"/>
      <c r="CG70" s="63"/>
      <c r="CH70" s="63"/>
      <c r="CI70" s="63"/>
      <c r="CJ70" s="63"/>
      <c r="CK70" s="63"/>
      <c r="CL70" s="63"/>
      <c r="CM70" s="63"/>
      <c r="CN70" s="63"/>
      <c r="CO70" s="63"/>
      <c r="CP70" s="63"/>
      <c r="CQ70" s="63"/>
      <c r="CR70" s="63"/>
      <c r="CS70" s="63"/>
      <c r="CT70" s="63"/>
      <c r="CU70" s="63"/>
      <c r="CV70" s="63"/>
      <c r="CW70" s="63"/>
      <c r="CX70" s="63"/>
      <c r="CY70" s="63"/>
      <c r="CZ70" s="63"/>
      <c r="DA70" s="63"/>
      <c r="DB70" s="63"/>
      <c r="DC70" s="63"/>
      <c r="DD70" s="63"/>
      <c r="DE70" s="63"/>
      <c r="DF70" s="63"/>
      <c r="DG70" s="63"/>
      <c r="DH70" s="63"/>
      <c r="DI70" s="63"/>
      <c r="DJ70" s="63"/>
      <c r="DK70" s="63"/>
      <c r="DL70" s="63"/>
      <c r="DM70" s="63"/>
      <c r="DN70" s="63"/>
      <c r="DO70" s="63"/>
      <c r="DP70" s="63"/>
      <c r="DQ70" s="63"/>
      <c r="DR70" s="63"/>
      <c r="DS70" s="63"/>
      <c r="DT70" s="63"/>
      <c r="DU70" s="63"/>
      <c r="DV70" s="63"/>
      <c r="DW70" s="63"/>
      <c r="DX70" s="63"/>
      <c r="DY70" s="63"/>
      <c r="DZ70" s="63"/>
      <c r="EA70" s="63"/>
      <c r="EB70" s="63"/>
      <c r="EC70" s="63"/>
      <c r="ED70" s="63"/>
      <c r="EE70" s="63"/>
      <c r="EF70" s="63"/>
      <c r="EG70" s="63"/>
      <c r="EH70" s="63"/>
      <c r="EI70" s="63"/>
      <c r="EJ70" s="63"/>
      <c r="EK70" s="63"/>
      <c r="EL70" s="63"/>
      <c r="EM70" s="63"/>
      <c r="EN70" s="63"/>
      <c r="EO70" s="63"/>
      <c r="EP70" s="63"/>
      <c r="EQ70" s="63"/>
      <c r="ER70" s="63"/>
      <c r="ES70" s="63"/>
      <c r="ET70" s="63"/>
      <c r="EU70" s="63"/>
      <c r="EV70" s="63"/>
      <c r="EW70" s="63"/>
      <c r="EX70" s="63"/>
      <c r="EY70" s="63"/>
      <c r="EZ70" s="63"/>
      <c r="FA70" s="63"/>
      <c r="FB70" s="63"/>
      <c r="FC70" s="63"/>
      <c r="FD70" s="63"/>
      <c r="FE70" s="63"/>
      <c r="FF70" s="63"/>
    </row>
    <row r="71" spans="1:162" s="23" customFormat="1" ht="30" customHeight="1" x14ac:dyDescent="0.25">
      <c r="A71" s="20" t="s">
        <v>81</v>
      </c>
      <c r="B71" s="20" t="s">
        <v>152</v>
      </c>
      <c r="C71" s="20" t="s">
        <v>1082</v>
      </c>
      <c r="D71" s="23" t="s">
        <v>148</v>
      </c>
      <c r="E71" s="23" t="s">
        <v>50</v>
      </c>
      <c r="F71" s="23">
        <v>1987</v>
      </c>
      <c r="G71" s="23" t="s">
        <v>1119</v>
      </c>
      <c r="H71" s="23" t="s">
        <v>240</v>
      </c>
      <c r="I71" s="24" t="s">
        <v>418</v>
      </c>
      <c r="J71" s="24" t="s">
        <v>419</v>
      </c>
      <c r="K71" s="24" t="s">
        <v>420</v>
      </c>
      <c r="L71" s="24" t="s">
        <v>421</v>
      </c>
      <c r="M71" s="23" t="s">
        <v>422</v>
      </c>
      <c r="N71" s="20" t="s">
        <v>301</v>
      </c>
      <c r="O71" s="23" t="s">
        <v>215</v>
      </c>
      <c r="P71" s="20" t="s">
        <v>1193</v>
      </c>
      <c r="Q71" s="20" t="s">
        <v>1118</v>
      </c>
      <c r="R71" s="20"/>
      <c r="S71" s="20"/>
      <c r="T71" s="20"/>
      <c r="U71" s="20"/>
      <c r="V71" s="127" t="s">
        <v>218</v>
      </c>
      <c r="W71" s="126" t="s">
        <v>219</v>
      </c>
      <c r="X71" s="111" t="s">
        <v>219</v>
      </c>
      <c r="Z71" s="23" t="s">
        <v>1380</v>
      </c>
      <c r="AA71" s="23" t="s">
        <v>1473</v>
      </c>
      <c r="AB71" s="20">
        <v>4</v>
      </c>
      <c r="AC71" s="20"/>
      <c r="AD71" s="20"/>
      <c r="AE71" s="20"/>
      <c r="AF71" s="20">
        <v>175</v>
      </c>
      <c r="AG71" s="20" t="s">
        <v>970</v>
      </c>
      <c r="AH71" s="28" t="s">
        <v>1194</v>
      </c>
      <c r="AI71" s="20" t="s">
        <v>1047</v>
      </c>
      <c r="AJ71" s="20" t="s">
        <v>1126</v>
      </c>
      <c r="AK71" s="20" t="s">
        <v>970</v>
      </c>
      <c r="AL71" s="20"/>
      <c r="AM71" s="116">
        <v>77</v>
      </c>
      <c r="AN71" s="23" t="s">
        <v>1474</v>
      </c>
      <c r="AO71" s="23" t="s">
        <v>1475</v>
      </c>
      <c r="AP71" s="23" t="s">
        <v>1450</v>
      </c>
      <c r="AQ71" s="63"/>
      <c r="AR71" s="63"/>
      <c r="AS71" s="63"/>
      <c r="AT71" s="63"/>
      <c r="AU71" s="63"/>
      <c r="AV71" s="63"/>
      <c r="AW71" s="63"/>
      <c r="AX71" s="63"/>
      <c r="AY71" s="63"/>
      <c r="AZ71" s="63"/>
      <c r="BA71" s="63"/>
      <c r="BB71" s="63"/>
      <c r="BC71" s="63"/>
      <c r="BD71" s="63"/>
      <c r="BE71" s="63"/>
      <c r="BF71" s="63"/>
      <c r="BG71" s="63"/>
      <c r="BH71" s="63"/>
      <c r="BI71" s="63"/>
      <c r="BJ71" s="63"/>
      <c r="BK71" s="63"/>
      <c r="BL71" s="63"/>
      <c r="BM71" s="63"/>
      <c r="BN71" s="63"/>
      <c r="BO71" s="63"/>
      <c r="BP71" s="63"/>
      <c r="BQ71" s="63"/>
      <c r="BR71" s="63"/>
      <c r="BS71" s="63"/>
      <c r="BT71" s="63"/>
      <c r="BU71" s="63"/>
      <c r="BV71" s="63"/>
      <c r="BW71" s="63"/>
      <c r="BX71" s="63"/>
      <c r="BY71" s="63"/>
      <c r="BZ71" s="63"/>
      <c r="CA71" s="63"/>
      <c r="CB71" s="63"/>
      <c r="CC71" s="63"/>
      <c r="CD71" s="63"/>
      <c r="CE71" s="63"/>
      <c r="CF71" s="63"/>
      <c r="CG71" s="63"/>
      <c r="CH71" s="63"/>
      <c r="CI71" s="63"/>
      <c r="CJ71" s="63"/>
      <c r="CK71" s="63"/>
      <c r="CL71" s="63"/>
      <c r="CM71" s="63"/>
      <c r="CN71" s="63"/>
      <c r="CO71" s="63"/>
      <c r="CP71" s="63"/>
      <c r="CQ71" s="63"/>
      <c r="CR71" s="63"/>
      <c r="CS71" s="63"/>
      <c r="CT71" s="63"/>
      <c r="CU71" s="63"/>
      <c r="CV71" s="63"/>
      <c r="CW71" s="63"/>
      <c r="CX71" s="63"/>
      <c r="CY71" s="63"/>
      <c r="CZ71" s="63"/>
      <c r="DA71" s="63"/>
      <c r="DB71" s="63"/>
      <c r="DC71" s="63"/>
      <c r="DD71" s="63"/>
      <c r="DE71" s="63"/>
      <c r="DF71" s="63"/>
      <c r="DG71" s="63"/>
      <c r="DH71" s="63"/>
      <c r="DI71" s="63"/>
      <c r="DJ71" s="63"/>
      <c r="DK71" s="63"/>
      <c r="DL71" s="63"/>
      <c r="DM71" s="63"/>
      <c r="DN71" s="63"/>
      <c r="DO71" s="63"/>
      <c r="DP71" s="63"/>
      <c r="DQ71" s="63"/>
      <c r="DR71" s="63"/>
      <c r="DS71" s="63"/>
      <c r="DT71" s="63"/>
      <c r="DU71" s="63"/>
      <c r="DV71" s="63"/>
      <c r="DW71" s="63"/>
      <c r="DX71" s="63"/>
      <c r="DY71" s="63"/>
      <c r="DZ71" s="63"/>
      <c r="EA71" s="63"/>
      <c r="EB71" s="63"/>
      <c r="EC71" s="63"/>
      <c r="ED71" s="63"/>
      <c r="EE71" s="63"/>
      <c r="EF71" s="63"/>
      <c r="EG71" s="63"/>
      <c r="EH71" s="63"/>
      <c r="EI71" s="63"/>
      <c r="EJ71" s="63"/>
      <c r="EK71" s="63"/>
      <c r="EL71" s="63"/>
      <c r="EM71" s="63"/>
      <c r="EN71" s="63"/>
      <c r="EO71" s="63"/>
      <c r="EP71" s="63"/>
      <c r="EQ71" s="63"/>
      <c r="ER71" s="63"/>
      <c r="ES71" s="63"/>
      <c r="ET71" s="63"/>
      <c r="EU71" s="63"/>
      <c r="EV71" s="63"/>
      <c r="EW71" s="63"/>
      <c r="EX71" s="63"/>
      <c r="EY71" s="63"/>
      <c r="EZ71" s="63"/>
      <c r="FA71" s="63"/>
      <c r="FB71" s="63"/>
      <c r="FC71" s="63"/>
      <c r="FD71" s="63"/>
      <c r="FE71" s="63"/>
      <c r="FF71" s="63"/>
    </row>
    <row r="72" spans="1:162" s="38" customFormat="1" ht="30" hidden="1" customHeight="1" x14ac:dyDescent="0.25">
      <c r="A72" s="19" t="s">
        <v>76</v>
      </c>
      <c r="B72" s="37" t="s">
        <v>105</v>
      </c>
      <c r="C72" s="23" t="s">
        <v>207</v>
      </c>
      <c r="D72" s="37" t="s">
        <v>105</v>
      </c>
      <c r="E72" s="38" t="s">
        <v>50</v>
      </c>
      <c r="F72" s="38">
        <v>2011</v>
      </c>
      <c r="G72" s="38" t="s">
        <v>429</v>
      </c>
      <c r="H72" s="38" t="s">
        <v>430</v>
      </c>
      <c r="I72" s="39" t="s">
        <v>431</v>
      </c>
      <c r="J72" s="39" t="s">
        <v>153</v>
      </c>
      <c r="K72" s="39" t="s">
        <v>432</v>
      </c>
      <c r="L72" s="39" t="s">
        <v>433</v>
      </c>
      <c r="M72" s="45" t="s">
        <v>434</v>
      </c>
      <c r="N72" s="38" t="s">
        <v>248</v>
      </c>
      <c r="O72" s="38" t="s">
        <v>215</v>
      </c>
      <c r="P72" s="38" t="s">
        <v>435</v>
      </c>
      <c r="Q72" s="38" t="s">
        <v>172</v>
      </c>
      <c r="S72" s="39" t="s">
        <v>436</v>
      </c>
      <c r="V72" s="131" t="s">
        <v>352</v>
      </c>
      <c r="W72" s="131" t="s">
        <v>247</v>
      </c>
      <c r="X72" s="131" t="s">
        <v>219</v>
      </c>
      <c r="Z72" s="132" t="s">
        <v>231</v>
      </c>
      <c r="AA72" s="132"/>
      <c r="AB72" s="38">
        <v>5</v>
      </c>
      <c r="AC72" s="38">
        <f>AB72*30</f>
        <v>150</v>
      </c>
      <c r="AF72" s="38">
        <v>21</v>
      </c>
      <c r="AG72" s="38" t="s">
        <v>970</v>
      </c>
      <c r="AH72" s="38" t="s">
        <v>1050</v>
      </c>
      <c r="AI72" s="38" t="s">
        <v>1044</v>
      </c>
      <c r="AK72" s="38" t="s">
        <v>970</v>
      </c>
      <c r="AM72" s="141">
        <v>32</v>
      </c>
      <c r="AP72" s="38" t="s">
        <v>1451</v>
      </c>
      <c r="AQ72" s="131"/>
      <c r="AR72" s="131"/>
      <c r="AS72" s="131"/>
      <c r="AT72" s="131"/>
      <c r="AU72" s="131"/>
      <c r="AV72" s="131"/>
      <c r="AW72" s="131"/>
      <c r="AX72" s="131"/>
      <c r="AY72" s="131"/>
      <c r="AZ72" s="131"/>
      <c r="BA72" s="131"/>
      <c r="BB72" s="131"/>
      <c r="BC72" s="131"/>
      <c r="BD72" s="131"/>
      <c r="BE72" s="131"/>
      <c r="BF72" s="131"/>
      <c r="BG72" s="131"/>
      <c r="BH72" s="131"/>
      <c r="BI72" s="131"/>
      <c r="BJ72" s="131"/>
      <c r="BK72" s="131"/>
      <c r="BL72" s="131"/>
      <c r="BM72" s="131"/>
      <c r="BN72" s="131"/>
      <c r="BO72" s="131"/>
      <c r="BP72" s="131"/>
      <c r="BQ72" s="131"/>
      <c r="BR72" s="131"/>
      <c r="BS72" s="131"/>
      <c r="BT72" s="131"/>
      <c r="BU72" s="131"/>
      <c r="BV72" s="131"/>
      <c r="BW72" s="131"/>
      <c r="BX72" s="131"/>
      <c r="BY72" s="131"/>
      <c r="BZ72" s="131"/>
      <c r="CA72" s="131"/>
      <c r="CB72" s="131"/>
      <c r="CC72" s="131"/>
      <c r="CD72" s="131"/>
      <c r="CE72" s="131"/>
      <c r="CF72" s="131"/>
      <c r="CG72" s="131"/>
      <c r="CH72" s="131"/>
      <c r="CI72" s="131"/>
      <c r="CJ72" s="131"/>
      <c r="CK72" s="131"/>
      <c r="CL72" s="131"/>
      <c r="CM72" s="131"/>
      <c r="CN72" s="131"/>
      <c r="CO72" s="131"/>
      <c r="CP72" s="131"/>
      <c r="CQ72" s="131"/>
      <c r="CR72" s="131"/>
      <c r="CS72" s="131"/>
      <c r="CT72" s="131"/>
      <c r="CU72" s="131"/>
      <c r="CV72" s="131"/>
      <c r="CW72" s="131"/>
      <c r="CX72" s="131"/>
      <c r="CY72" s="131"/>
      <c r="CZ72" s="131"/>
      <c r="DA72" s="131"/>
      <c r="DB72" s="131"/>
      <c r="DC72" s="131"/>
      <c r="DD72" s="131"/>
      <c r="DE72" s="131"/>
      <c r="DF72" s="131"/>
      <c r="DG72" s="131"/>
      <c r="DH72" s="131"/>
      <c r="DI72" s="131"/>
      <c r="DJ72" s="131"/>
      <c r="DK72" s="131"/>
      <c r="DL72" s="131"/>
      <c r="DM72" s="131"/>
      <c r="DN72" s="131"/>
      <c r="DO72" s="131"/>
      <c r="DP72" s="131"/>
      <c r="DQ72" s="131"/>
      <c r="DR72" s="131"/>
      <c r="DS72" s="131"/>
      <c r="DT72" s="131"/>
      <c r="DU72" s="131"/>
      <c r="DV72" s="131"/>
      <c r="DW72" s="131"/>
      <c r="DX72" s="131"/>
      <c r="DY72" s="131"/>
      <c r="DZ72" s="131"/>
      <c r="EA72" s="131"/>
      <c r="EB72" s="131"/>
      <c r="EC72" s="131"/>
      <c r="ED72" s="131"/>
      <c r="EE72" s="131"/>
      <c r="EF72" s="131"/>
      <c r="EG72" s="131"/>
      <c r="EH72" s="131"/>
      <c r="EI72" s="131"/>
      <c r="EJ72" s="131"/>
      <c r="EK72" s="131"/>
      <c r="EL72" s="131"/>
      <c r="EM72" s="131"/>
      <c r="EN72" s="131"/>
      <c r="EO72" s="131"/>
      <c r="EP72" s="131"/>
      <c r="EQ72" s="131"/>
      <c r="ER72" s="131"/>
      <c r="ES72" s="131"/>
      <c r="ET72" s="131"/>
      <c r="EU72" s="131"/>
      <c r="EV72" s="131"/>
      <c r="EW72" s="131"/>
      <c r="EX72" s="131"/>
      <c r="EY72" s="131"/>
      <c r="EZ72" s="131"/>
      <c r="FA72" s="131"/>
      <c r="FB72" s="131"/>
      <c r="FC72" s="131"/>
      <c r="FD72" s="131"/>
      <c r="FE72" s="131"/>
      <c r="FF72" s="131"/>
    </row>
    <row r="73" spans="1:162" s="38" customFormat="1" ht="30" hidden="1" customHeight="1" x14ac:dyDescent="0.25">
      <c r="A73" s="19"/>
      <c r="B73" s="37" t="s">
        <v>105</v>
      </c>
      <c r="C73" s="23" t="s">
        <v>207</v>
      </c>
      <c r="D73" s="37" t="s">
        <v>105</v>
      </c>
      <c r="E73" s="38" t="s">
        <v>50</v>
      </c>
      <c r="F73" s="38">
        <v>2011</v>
      </c>
      <c r="G73" s="38" t="s">
        <v>429</v>
      </c>
      <c r="H73" s="38" t="s">
        <v>430</v>
      </c>
      <c r="I73" s="39" t="s">
        <v>431</v>
      </c>
      <c r="J73" s="39" t="s">
        <v>153</v>
      </c>
      <c r="K73" s="39" t="s">
        <v>432</v>
      </c>
      <c r="L73" s="39" t="s">
        <v>433</v>
      </c>
      <c r="M73" s="45" t="s">
        <v>434</v>
      </c>
      <c r="N73" s="38" t="s">
        <v>248</v>
      </c>
      <c r="O73" s="38" t="s">
        <v>215</v>
      </c>
      <c r="P73" s="38" t="s">
        <v>435</v>
      </c>
      <c r="Q73" s="38" t="s">
        <v>172</v>
      </c>
      <c r="S73" s="39" t="s">
        <v>436</v>
      </c>
      <c r="V73" s="131" t="s">
        <v>352</v>
      </c>
      <c r="W73" s="131" t="s">
        <v>247</v>
      </c>
      <c r="X73" s="131" t="s">
        <v>219</v>
      </c>
      <c r="Z73" s="132" t="s">
        <v>231</v>
      </c>
      <c r="AA73" s="132"/>
      <c r="AB73" s="38">
        <v>5</v>
      </c>
      <c r="AC73" s="38">
        <f>AB73*30</f>
        <v>150</v>
      </c>
      <c r="AF73" s="38">
        <v>21</v>
      </c>
      <c r="AG73" s="38" t="s">
        <v>970</v>
      </c>
      <c r="AH73" s="38" t="s">
        <v>1050</v>
      </c>
      <c r="AI73" s="38" t="s">
        <v>1044</v>
      </c>
      <c r="AK73" s="38" t="s">
        <v>970</v>
      </c>
      <c r="AM73" s="141">
        <v>32</v>
      </c>
      <c r="AP73" s="38" t="s">
        <v>1451</v>
      </c>
      <c r="AQ73" s="131"/>
      <c r="AR73" s="131"/>
      <c r="AS73" s="131"/>
      <c r="AT73" s="131"/>
      <c r="AU73" s="131"/>
      <c r="AV73" s="131"/>
      <c r="AW73" s="131"/>
      <c r="AX73" s="131"/>
      <c r="AY73" s="131"/>
      <c r="AZ73" s="131"/>
      <c r="BA73" s="131"/>
      <c r="BB73" s="131"/>
      <c r="BC73" s="131"/>
      <c r="BD73" s="131"/>
      <c r="BE73" s="131"/>
      <c r="BF73" s="131"/>
      <c r="BG73" s="131"/>
      <c r="BH73" s="131"/>
      <c r="BI73" s="131"/>
      <c r="BJ73" s="131"/>
      <c r="BK73" s="131"/>
      <c r="BL73" s="131"/>
      <c r="BM73" s="131"/>
      <c r="BN73" s="131"/>
      <c r="BO73" s="131"/>
      <c r="BP73" s="131"/>
      <c r="BQ73" s="131"/>
      <c r="BR73" s="131"/>
      <c r="BS73" s="131"/>
      <c r="BT73" s="131"/>
      <c r="BU73" s="131"/>
      <c r="BV73" s="131"/>
      <c r="BW73" s="131"/>
      <c r="BX73" s="131"/>
      <c r="BY73" s="131"/>
      <c r="BZ73" s="131"/>
      <c r="CA73" s="131"/>
      <c r="CB73" s="131"/>
      <c r="CC73" s="131"/>
      <c r="CD73" s="131"/>
      <c r="CE73" s="131"/>
      <c r="CF73" s="131"/>
      <c r="CG73" s="131"/>
      <c r="CH73" s="131"/>
      <c r="CI73" s="131"/>
      <c r="CJ73" s="131"/>
      <c r="CK73" s="131"/>
      <c r="CL73" s="131"/>
      <c r="CM73" s="131"/>
      <c r="CN73" s="131"/>
      <c r="CO73" s="131"/>
      <c r="CP73" s="131"/>
      <c r="CQ73" s="131"/>
      <c r="CR73" s="131"/>
      <c r="CS73" s="131"/>
      <c r="CT73" s="131"/>
      <c r="CU73" s="131"/>
      <c r="CV73" s="131"/>
      <c r="CW73" s="131"/>
      <c r="CX73" s="131"/>
      <c r="CY73" s="131"/>
      <c r="CZ73" s="131"/>
      <c r="DA73" s="131"/>
      <c r="DB73" s="131"/>
      <c r="DC73" s="131"/>
      <c r="DD73" s="131"/>
      <c r="DE73" s="131"/>
      <c r="DF73" s="131"/>
      <c r="DG73" s="131"/>
      <c r="DH73" s="131"/>
      <c r="DI73" s="131"/>
      <c r="DJ73" s="131"/>
      <c r="DK73" s="131"/>
      <c r="DL73" s="131"/>
      <c r="DM73" s="131"/>
      <c r="DN73" s="131"/>
      <c r="DO73" s="131"/>
      <c r="DP73" s="131"/>
      <c r="DQ73" s="131"/>
      <c r="DR73" s="131"/>
      <c r="DS73" s="131"/>
      <c r="DT73" s="131"/>
      <c r="DU73" s="131"/>
      <c r="DV73" s="131"/>
      <c r="DW73" s="131"/>
      <c r="DX73" s="131"/>
      <c r="DY73" s="131"/>
      <c r="DZ73" s="131"/>
      <c r="EA73" s="131"/>
      <c r="EB73" s="131"/>
      <c r="EC73" s="131"/>
      <c r="ED73" s="131"/>
      <c r="EE73" s="131"/>
      <c r="EF73" s="131"/>
      <c r="EG73" s="131"/>
      <c r="EH73" s="131"/>
      <c r="EI73" s="131"/>
      <c r="EJ73" s="131"/>
      <c r="EK73" s="131"/>
      <c r="EL73" s="131"/>
      <c r="EM73" s="131"/>
      <c r="EN73" s="131"/>
      <c r="EO73" s="131"/>
      <c r="EP73" s="131"/>
      <c r="EQ73" s="131"/>
      <c r="ER73" s="131"/>
      <c r="ES73" s="131"/>
      <c r="ET73" s="131"/>
      <c r="EU73" s="131"/>
      <c r="EV73" s="131"/>
      <c r="EW73" s="131"/>
      <c r="EX73" s="131"/>
      <c r="EY73" s="131"/>
      <c r="EZ73" s="131"/>
      <c r="FA73" s="131"/>
      <c r="FB73" s="131"/>
      <c r="FC73" s="131"/>
      <c r="FD73" s="131"/>
      <c r="FE73" s="131"/>
      <c r="FF73" s="131"/>
    </row>
    <row r="74" spans="1:162" s="38" customFormat="1" ht="30" hidden="1" customHeight="1" x14ac:dyDescent="0.25">
      <c r="A74" s="19"/>
      <c r="B74" s="37" t="s">
        <v>105</v>
      </c>
      <c r="C74" s="23" t="s">
        <v>207</v>
      </c>
      <c r="D74" s="37" t="s">
        <v>105</v>
      </c>
      <c r="E74" s="38" t="s">
        <v>50</v>
      </c>
      <c r="F74" s="38">
        <v>2011</v>
      </c>
      <c r="G74" s="38" t="s">
        <v>429</v>
      </c>
      <c r="H74" s="38" t="s">
        <v>430</v>
      </c>
      <c r="I74" s="39" t="s">
        <v>431</v>
      </c>
      <c r="J74" s="39" t="s">
        <v>153</v>
      </c>
      <c r="K74" s="39" t="s">
        <v>432</v>
      </c>
      <c r="L74" s="39" t="s">
        <v>433</v>
      </c>
      <c r="M74" s="45" t="s">
        <v>434</v>
      </c>
      <c r="N74" s="38" t="s">
        <v>248</v>
      </c>
      <c r="O74" s="38" t="s">
        <v>215</v>
      </c>
      <c r="P74" s="38" t="s">
        <v>435</v>
      </c>
      <c r="Q74" s="38" t="s">
        <v>172</v>
      </c>
      <c r="S74" s="39" t="s">
        <v>436</v>
      </c>
      <c r="V74" s="131" t="s">
        <v>352</v>
      </c>
      <c r="W74" s="131" t="s">
        <v>247</v>
      </c>
      <c r="X74" s="131" t="s">
        <v>219</v>
      </c>
      <c r="Z74" s="132" t="s">
        <v>231</v>
      </c>
      <c r="AA74" s="132"/>
      <c r="AB74" s="38">
        <v>5</v>
      </c>
      <c r="AC74" s="38">
        <f>AB74*30</f>
        <v>150</v>
      </c>
      <c r="AF74" s="38">
        <v>21</v>
      </c>
      <c r="AG74" s="38" t="s">
        <v>970</v>
      </c>
      <c r="AH74" s="38" t="s">
        <v>1050</v>
      </c>
      <c r="AI74" s="38" t="s">
        <v>1044</v>
      </c>
      <c r="AK74" s="38" t="s">
        <v>970</v>
      </c>
      <c r="AM74" s="141">
        <v>32</v>
      </c>
      <c r="AP74" s="38" t="s">
        <v>1451</v>
      </c>
      <c r="AQ74" s="131"/>
      <c r="AR74" s="131"/>
      <c r="AS74" s="131"/>
      <c r="AT74" s="131"/>
      <c r="AU74" s="131"/>
      <c r="AV74" s="131"/>
      <c r="AW74" s="131"/>
      <c r="AX74" s="131"/>
      <c r="AY74" s="131"/>
      <c r="AZ74" s="131"/>
      <c r="BA74" s="131"/>
      <c r="BB74" s="131"/>
      <c r="BC74" s="131"/>
      <c r="BD74" s="131"/>
      <c r="BE74" s="131"/>
      <c r="BF74" s="131"/>
      <c r="BG74" s="131"/>
      <c r="BH74" s="131"/>
      <c r="BI74" s="131"/>
      <c r="BJ74" s="131"/>
      <c r="BK74" s="131"/>
      <c r="BL74" s="131"/>
      <c r="BM74" s="131"/>
      <c r="BN74" s="131"/>
      <c r="BO74" s="131"/>
      <c r="BP74" s="131"/>
      <c r="BQ74" s="131"/>
      <c r="BR74" s="131"/>
      <c r="BS74" s="131"/>
      <c r="BT74" s="131"/>
      <c r="BU74" s="131"/>
      <c r="BV74" s="131"/>
      <c r="BW74" s="131"/>
      <c r="BX74" s="131"/>
      <c r="BY74" s="131"/>
      <c r="BZ74" s="131"/>
      <c r="CA74" s="131"/>
      <c r="CB74" s="131"/>
      <c r="CC74" s="131"/>
      <c r="CD74" s="131"/>
      <c r="CE74" s="131"/>
      <c r="CF74" s="131"/>
      <c r="CG74" s="131"/>
      <c r="CH74" s="131"/>
      <c r="CI74" s="131"/>
      <c r="CJ74" s="131"/>
      <c r="CK74" s="131"/>
      <c r="CL74" s="131"/>
      <c r="CM74" s="131"/>
      <c r="CN74" s="131"/>
      <c r="CO74" s="131"/>
      <c r="CP74" s="131"/>
      <c r="CQ74" s="131"/>
      <c r="CR74" s="131"/>
      <c r="CS74" s="131"/>
      <c r="CT74" s="131"/>
      <c r="CU74" s="131"/>
      <c r="CV74" s="131"/>
      <c r="CW74" s="131"/>
      <c r="CX74" s="131"/>
      <c r="CY74" s="131"/>
      <c r="CZ74" s="131"/>
      <c r="DA74" s="131"/>
      <c r="DB74" s="131"/>
      <c r="DC74" s="131"/>
      <c r="DD74" s="131"/>
      <c r="DE74" s="131"/>
      <c r="DF74" s="131"/>
      <c r="DG74" s="131"/>
      <c r="DH74" s="131"/>
      <c r="DI74" s="131"/>
      <c r="DJ74" s="131"/>
      <c r="DK74" s="131"/>
      <c r="DL74" s="131"/>
      <c r="DM74" s="131"/>
      <c r="DN74" s="131"/>
      <c r="DO74" s="131"/>
      <c r="DP74" s="131"/>
      <c r="DQ74" s="131"/>
      <c r="DR74" s="131"/>
      <c r="DS74" s="131"/>
      <c r="DT74" s="131"/>
      <c r="DU74" s="131"/>
      <c r="DV74" s="131"/>
      <c r="DW74" s="131"/>
      <c r="DX74" s="131"/>
      <c r="DY74" s="131"/>
      <c r="DZ74" s="131"/>
      <c r="EA74" s="131"/>
      <c r="EB74" s="131"/>
      <c r="EC74" s="131"/>
      <c r="ED74" s="131"/>
      <c r="EE74" s="131"/>
      <c r="EF74" s="131"/>
      <c r="EG74" s="131"/>
      <c r="EH74" s="131"/>
      <c r="EI74" s="131"/>
      <c r="EJ74" s="131"/>
      <c r="EK74" s="131"/>
      <c r="EL74" s="131"/>
      <c r="EM74" s="131"/>
      <c r="EN74" s="131"/>
      <c r="EO74" s="131"/>
      <c r="EP74" s="131"/>
      <c r="EQ74" s="131"/>
      <c r="ER74" s="131"/>
      <c r="ES74" s="131"/>
      <c r="ET74" s="131"/>
      <c r="EU74" s="131"/>
      <c r="EV74" s="131"/>
      <c r="EW74" s="131"/>
      <c r="EX74" s="131"/>
      <c r="EY74" s="131"/>
      <c r="EZ74" s="131"/>
      <c r="FA74" s="131"/>
      <c r="FB74" s="131"/>
      <c r="FC74" s="131"/>
      <c r="FD74" s="131"/>
      <c r="FE74" s="131"/>
      <c r="FF74" s="131"/>
    </row>
    <row r="75" spans="1:162" s="38" customFormat="1" ht="30" hidden="1" customHeight="1" x14ac:dyDescent="0.25">
      <c r="A75" s="19"/>
      <c r="B75" s="37" t="s">
        <v>105</v>
      </c>
      <c r="C75" s="23" t="s">
        <v>207</v>
      </c>
      <c r="D75" s="37" t="s">
        <v>105</v>
      </c>
      <c r="E75" s="38" t="s">
        <v>50</v>
      </c>
      <c r="F75" s="38">
        <v>2011</v>
      </c>
      <c r="G75" s="38" t="s">
        <v>429</v>
      </c>
      <c r="H75" s="38" t="s">
        <v>430</v>
      </c>
      <c r="I75" s="39" t="s">
        <v>431</v>
      </c>
      <c r="J75" s="39" t="s">
        <v>153</v>
      </c>
      <c r="K75" s="39" t="s">
        <v>432</v>
      </c>
      <c r="L75" s="39" t="s">
        <v>433</v>
      </c>
      <c r="M75" s="45" t="s">
        <v>434</v>
      </c>
      <c r="N75" s="38" t="s">
        <v>248</v>
      </c>
      <c r="O75" s="38" t="s">
        <v>215</v>
      </c>
      <c r="P75" s="38" t="s">
        <v>435</v>
      </c>
      <c r="Q75" s="38" t="s">
        <v>172</v>
      </c>
      <c r="S75" s="39" t="s">
        <v>436</v>
      </c>
      <c r="V75" s="131" t="s">
        <v>352</v>
      </c>
      <c r="W75" s="131" t="s">
        <v>247</v>
      </c>
      <c r="X75" s="131" t="s">
        <v>219</v>
      </c>
      <c r="Z75" s="132" t="s">
        <v>231</v>
      </c>
      <c r="AA75" s="132"/>
      <c r="AB75" s="38">
        <v>5</v>
      </c>
      <c r="AC75" s="38">
        <f>AB75*30</f>
        <v>150</v>
      </c>
      <c r="AF75" s="38">
        <v>21</v>
      </c>
      <c r="AG75" s="38" t="s">
        <v>970</v>
      </c>
      <c r="AH75" s="38" t="s">
        <v>1050</v>
      </c>
      <c r="AI75" s="38" t="s">
        <v>1044</v>
      </c>
      <c r="AK75" s="38" t="s">
        <v>970</v>
      </c>
      <c r="AM75" s="141">
        <v>32</v>
      </c>
      <c r="AP75" s="38" t="s">
        <v>1451</v>
      </c>
      <c r="AQ75" s="131"/>
      <c r="AR75" s="131"/>
      <c r="AS75" s="131"/>
      <c r="AT75" s="131"/>
      <c r="AU75" s="131"/>
      <c r="AV75" s="131"/>
      <c r="AW75" s="131"/>
      <c r="AX75" s="131"/>
      <c r="AY75" s="131"/>
      <c r="AZ75" s="131"/>
      <c r="BA75" s="131"/>
      <c r="BB75" s="131"/>
      <c r="BC75" s="131"/>
      <c r="BD75" s="131"/>
      <c r="BE75" s="131"/>
      <c r="BF75" s="131"/>
      <c r="BG75" s="131"/>
      <c r="BH75" s="131"/>
      <c r="BI75" s="131"/>
      <c r="BJ75" s="131"/>
      <c r="BK75" s="131"/>
      <c r="BL75" s="131"/>
      <c r="BM75" s="131"/>
      <c r="BN75" s="131"/>
      <c r="BO75" s="131"/>
      <c r="BP75" s="131"/>
      <c r="BQ75" s="131"/>
      <c r="BR75" s="131"/>
      <c r="BS75" s="131"/>
      <c r="BT75" s="131"/>
      <c r="BU75" s="131"/>
      <c r="BV75" s="131"/>
      <c r="BW75" s="131"/>
      <c r="BX75" s="131"/>
      <c r="BY75" s="131"/>
      <c r="BZ75" s="131"/>
      <c r="CA75" s="131"/>
      <c r="CB75" s="131"/>
      <c r="CC75" s="131"/>
      <c r="CD75" s="131"/>
      <c r="CE75" s="131"/>
      <c r="CF75" s="131"/>
      <c r="CG75" s="131"/>
      <c r="CH75" s="131"/>
      <c r="CI75" s="131"/>
      <c r="CJ75" s="131"/>
      <c r="CK75" s="131"/>
      <c r="CL75" s="131"/>
      <c r="CM75" s="131"/>
      <c r="CN75" s="131"/>
      <c r="CO75" s="131"/>
      <c r="CP75" s="131"/>
      <c r="CQ75" s="131"/>
      <c r="CR75" s="131"/>
      <c r="CS75" s="131"/>
      <c r="CT75" s="131"/>
      <c r="CU75" s="131"/>
      <c r="CV75" s="131"/>
      <c r="CW75" s="131"/>
      <c r="CX75" s="131"/>
      <c r="CY75" s="131"/>
      <c r="CZ75" s="131"/>
      <c r="DA75" s="131"/>
      <c r="DB75" s="131"/>
      <c r="DC75" s="131"/>
      <c r="DD75" s="131"/>
      <c r="DE75" s="131"/>
      <c r="DF75" s="131"/>
      <c r="DG75" s="131"/>
      <c r="DH75" s="131"/>
      <c r="DI75" s="131"/>
      <c r="DJ75" s="131"/>
      <c r="DK75" s="131"/>
      <c r="DL75" s="131"/>
      <c r="DM75" s="131"/>
      <c r="DN75" s="131"/>
      <c r="DO75" s="131"/>
      <c r="DP75" s="131"/>
      <c r="DQ75" s="131"/>
      <c r="DR75" s="131"/>
      <c r="DS75" s="131"/>
      <c r="DT75" s="131"/>
      <c r="DU75" s="131"/>
      <c r="DV75" s="131"/>
      <c r="DW75" s="131"/>
      <c r="DX75" s="131"/>
      <c r="DY75" s="131"/>
      <c r="DZ75" s="131"/>
      <c r="EA75" s="131"/>
      <c r="EB75" s="131"/>
      <c r="EC75" s="131"/>
      <c r="ED75" s="131"/>
      <c r="EE75" s="131"/>
      <c r="EF75" s="131"/>
      <c r="EG75" s="131"/>
      <c r="EH75" s="131"/>
      <c r="EI75" s="131"/>
      <c r="EJ75" s="131"/>
      <c r="EK75" s="131"/>
      <c r="EL75" s="131"/>
      <c r="EM75" s="131"/>
      <c r="EN75" s="131"/>
      <c r="EO75" s="131"/>
      <c r="EP75" s="131"/>
      <c r="EQ75" s="131"/>
      <c r="ER75" s="131"/>
      <c r="ES75" s="131"/>
      <c r="ET75" s="131"/>
      <c r="EU75" s="131"/>
      <c r="EV75" s="131"/>
      <c r="EW75" s="131"/>
      <c r="EX75" s="131"/>
      <c r="EY75" s="131"/>
      <c r="EZ75" s="131"/>
      <c r="FA75" s="131"/>
      <c r="FB75" s="131"/>
      <c r="FC75" s="131"/>
      <c r="FD75" s="131"/>
      <c r="FE75" s="131"/>
      <c r="FF75" s="131"/>
    </row>
    <row r="76" spans="1:162" s="38" customFormat="1" ht="30" hidden="1" customHeight="1" x14ac:dyDescent="0.25">
      <c r="A76" s="27"/>
      <c r="B76" s="38" t="s">
        <v>172</v>
      </c>
      <c r="C76" s="20" t="s">
        <v>293</v>
      </c>
      <c r="D76" s="38" t="s">
        <v>105</v>
      </c>
      <c r="E76" s="38" t="s">
        <v>50</v>
      </c>
      <c r="F76" s="38">
        <v>2011</v>
      </c>
      <c r="G76" s="39" t="s">
        <v>524</v>
      </c>
      <c r="H76" s="38" t="s">
        <v>238</v>
      </c>
      <c r="I76" s="39" t="s">
        <v>525</v>
      </c>
      <c r="J76" s="39" t="s">
        <v>153</v>
      </c>
      <c r="K76" s="39" t="s">
        <v>526</v>
      </c>
      <c r="M76" s="39" t="s">
        <v>527</v>
      </c>
      <c r="N76" s="38" t="s">
        <v>248</v>
      </c>
      <c r="O76" s="38" t="s">
        <v>215</v>
      </c>
      <c r="V76" s="131" t="s">
        <v>352</v>
      </c>
      <c r="W76" s="131" t="s">
        <v>247</v>
      </c>
      <c r="X76" s="131" t="s">
        <v>219</v>
      </c>
      <c r="Z76" s="132" t="s">
        <v>231</v>
      </c>
      <c r="AA76" s="132"/>
      <c r="AB76" s="38">
        <v>5</v>
      </c>
      <c r="AC76" s="38">
        <f>AB76*30</f>
        <v>150</v>
      </c>
      <c r="AF76" s="38">
        <v>4</v>
      </c>
      <c r="AG76" s="38" t="s">
        <v>970</v>
      </c>
      <c r="AH76" s="38" t="s">
        <v>1050</v>
      </c>
      <c r="AI76" s="38" t="s">
        <v>1044</v>
      </c>
      <c r="AK76" s="38" t="s">
        <v>970</v>
      </c>
      <c r="AM76" s="141">
        <v>33</v>
      </c>
      <c r="AP76" s="38" t="s">
        <v>1451</v>
      </c>
      <c r="AQ76" s="131"/>
      <c r="AR76" s="131"/>
      <c r="AS76" s="131"/>
      <c r="AT76" s="131"/>
      <c r="AU76" s="131"/>
      <c r="AV76" s="131"/>
      <c r="AW76" s="131"/>
      <c r="AX76" s="131"/>
      <c r="AY76" s="131"/>
      <c r="AZ76" s="131"/>
      <c r="BA76" s="131"/>
      <c r="BB76" s="131"/>
      <c r="BC76" s="131"/>
      <c r="BD76" s="131"/>
      <c r="BE76" s="131"/>
      <c r="BF76" s="131"/>
      <c r="BG76" s="131"/>
      <c r="BH76" s="131"/>
      <c r="BI76" s="131"/>
      <c r="BJ76" s="131"/>
      <c r="BK76" s="131"/>
      <c r="BL76" s="131"/>
      <c r="BM76" s="131"/>
      <c r="BN76" s="131"/>
      <c r="BO76" s="131"/>
      <c r="BP76" s="131"/>
      <c r="BQ76" s="131"/>
      <c r="BR76" s="131"/>
      <c r="BS76" s="131"/>
      <c r="BT76" s="131"/>
      <c r="BU76" s="131"/>
      <c r="BV76" s="131"/>
      <c r="BW76" s="131"/>
      <c r="BX76" s="131"/>
      <c r="BY76" s="131"/>
      <c r="BZ76" s="131"/>
      <c r="CA76" s="131"/>
      <c r="CB76" s="131"/>
      <c r="CC76" s="131"/>
      <c r="CD76" s="131"/>
      <c r="CE76" s="131"/>
      <c r="CF76" s="131"/>
      <c r="CG76" s="131"/>
      <c r="CH76" s="131"/>
      <c r="CI76" s="131"/>
      <c r="CJ76" s="131"/>
      <c r="CK76" s="131"/>
      <c r="CL76" s="131"/>
      <c r="CM76" s="131"/>
      <c r="CN76" s="131"/>
      <c r="CO76" s="131"/>
      <c r="CP76" s="131"/>
      <c r="CQ76" s="131"/>
      <c r="CR76" s="131"/>
      <c r="CS76" s="131"/>
      <c r="CT76" s="131"/>
      <c r="CU76" s="131"/>
      <c r="CV76" s="131"/>
      <c r="CW76" s="131"/>
      <c r="CX76" s="131"/>
      <c r="CY76" s="131"/>
      <c r="CZ76" s="131"/>
      <c r="DA76" s="131"/>
      <c r="DB76" s="131"/>
      <c r="DC76" s="131"/>
      <c r="DD76" s="131"/>
      <c r="DE76" s="131"/>
      <c r="DF76" s="131"/>
      <c r="DG76" s="131"/>
      <c r="DH76" s="131"/>
      <c r="DI76" s="131"/>
      <c r="DJ76" s="131"/>
      <c r="DK76" s="131"/>
      <c r="DL76" s="131"/>
      <c r="DM76" s="131"/>
      <c r="DN76" s="131"/>
      <c r="DO76" s="131"/>
      <c r="DP76" s="131"/>
      <c r="DQ76" s="131"/>
      <c r="DR76" s="131"/>
      <c r="DS76" s="131"/>
      <c r="DT76" s="131"/>
      <c r="DU76" s="131"/>
      <c r="DV76" s="131"/>
      <c r="DW76" s="131"/>
      <c r="DX76" s="131"/>
      <c r="DY76" s="131"/>
      <c r="DZ76" s="131"/>
      <c r="EA76" s="131"/>
      <c r="EB76" s="131"/>
      <c r="EC76" s="131"/>
      <c r="ED76" s="131"/>
      <c r="EE76" s="131"/>
      <c r="EF76" s="131"/>
      <c r="EG76" s="131"/>
      <c r="EH76" s="131"/>
      <c r="EI76" s="131"/>
      <c r="EJ76" s="131"/>
      <c r="EK76" s="131"/>
      <c r="EL76" s="131"/>
      <c r="EM76" s="131"/>
      <c r="EN76" s="131"/>
      <c r="EO76" s="131"/>
      <c r="EP76" s="131"/>
      <c r="EQ76" s="131"/>
      <c r="ER76" s="131"/>
      <c r="ES76" s="131"/>
      <c r="ET76" s="131"/>
      <c r="EU76" s="131"/>
      <c r="EV76" s="131"/>
      <c r="EW76" s="131"/>
      <c r="EX76" s="131"/>
      <c r="EY76" s="131"/>
      <c r="EZ76" s="131"/>
      <c r="FA76" s="131"/>
      <c r="FB76" s="131"/>
      <c r="FC76" s="131"/>
      <c r="FD76" s="131"/>
      <c r="FE76" s="131"/>
      <c r="FF76" s="131"/>
    </row>
    <row r="77" spans="1:162" s="23" customFormat="1" ht="30" customHeight="1" x14ac:dyDescent="0.25">
      <c r="A77" s="27" t="s">
        <v>135</v>
      </c>
      <c r="B77" s="19" t="s">
        <v>106</v>
      </c>
      <c r="C77" s="23" t="s">
        <v>207</v>
      </c>
      <c r="D77" s="23" t="s">
        <v>485</v>
      </c>
      <c r="E77" s="23" t="s">
        <v>50</v>
      </c>
      <c r="F77" s="23" t="s">
        <v>486</v>
      </c>
      <c r="G77" s="24" t="s">
        <v>487</v>
      </c>
      <c r="H77" s="24" t="s">
        <v>488</v>
      </c>
      <c r="I77" s="24" t="s">
        <v>489</v>
      </c>
      <c r="J77" s="24" t="s">
        <v>161</v>
      </c>
      <c r="K77" s="24" t="s">
        <v>490</v>
      </c>
      <c r="L77" s="23" t="s">
        <v>240</v>
      </c>
      <c r="M77" s="24" t="s">
        <v>491</v>
      </c>
      <c r="N77" s="20" t="s">
        <v>301</v>
      </c>
      <c r="O77" s="23" t="s">
        <v>215</v>
      </c>
      <c r="P77" s="23" t="s">
        <v>492</v>
      </c>
      <c r="Q77" s="19" t="s">
        <v>162</v>
      </c>
      <c r="V77" s="127" t="s">
        <v>218</v>
      </c>
      <c r="W77" s="111" t="s">
        <v>247</v>
      </c>
      <c r="X77" s="111" t="s">
        <v>1378</v>
      </c>
      <c r="Z77" s="20" t="s">
        <v>231</v>
      </c>
      <c r="AA77" s="20" t="s">
        <v>1476</v>
      </c>
      <c r="AB77" s="23">
        <v>8</v>
      </c>
      <c r="AC77" s="23">
        <v>500</v>
      </c>
      <c r="AF77" s="23">
        <v>10</v>
      </c>
      <c r="AG77" s="23" t="s">
        <v>970</v>
      </c>
      <c r="AH77" s="24" t="s">
        <v>1062</v>
      </c>
      <c r="AI77" s="23" t="s">
        <v>1044</v>
      </c>
      <c r="AK77" s="23" t="s">
        <v>970</v>
      </c>
      <c r="AM77" s="116">
        <v>43</v>
      </c>
      <c r="AN77" s="23" t="s">
        <v>1477</v>
      </c>
      <c r="AO77" s="23" t="s">
        <v>1478</v>
      </c>
      <c r="AP77" s="23" t="s">
        <v>1451</v>
      </c>
      <c r="AQ77" s="63"/>
      <c r="AR77" s="63"/>
      <c r="AS77" s="63"/>
      <c r="AT77" s="63"/>
      <c r="AU77" s="63"/>
      <c r="AV77" s="63"/>
      <c r="AW77" s="63"/>
      <c r="AX77" s="63"/>
      <c r="AY77" s="63"/>
      <c r="AZ77" s="63"/>
      <c r="BA77" s="63"/>
      <c r="BB77" s="63"/>
      <c r="BC77" s="63"/>
      <c r="BD77" s="63"/>
      <c r="BE77" s="63"/>
      <c r="BF77" s="63"/>
      <c r="BG77" s="63"/>
      <c r="BH77" s="63"/>
      <c r="BI77" s="63"/>
      <c r="BJ77" s="63"/>
      <c r="BK77" s="63"/>
      <c r="BL77" s="63"/>
      <c r="BM77" s="63"/>
      <c r="BN77" s="63"/>
      <c r="BO77" s="63"/>
      <c r="BP77" s="63"/>
      <c r="BQ77" s="63"/>
      <c r="BR77" s="63"/>
      <c r="BS77" s="63"/>
      <c r="BT77" s="63"/>
      <c r="BU77" s="63"/>
      <c r="BV77" s="63"/>
      <c r="BW77" s="63"/>
      <c r="BX77" s="63"/>
      <c r="BY77" s="63"/>
      <c r="BZ77" s="63"/>
      <c r="CA77" s="63"/>
      <c r="CB77" s="63"/>
      <c r="CC77" s="63"/>
      <c r="CD77" s="63"/>
      <c r="CE77" s="63"/>
      <c r="CF77" s="63"/>
      <c r="CG77" s="63"/>
      <c r="CH77" s="63"/>
      <c r="CI77" s="63"/>
      <c r="CJ77" s="63"/>
      <c r="CK77" s="63"/>
      <c r="CL77" s="63"/>
      <c r="CM77" s="63"/>
      <c r="CN77" s="63"/>
      <c r="CO77" s="63"/>
      <c r="CP77" s="63"/>
      <c r="CQ77" s="63"/>
      <c r="CR77" s="63"/>
      <c r="CS77" s="63"/>
      <c r="CT77" s="63"/>
      <c r="CU77" s="63"/>
      <c r="CV77" s="63"/>
      <c r="CW77" s="63"/>
      <c r="CX77" s="63"/>
      <c r="CY77" s="63"/>
      <c r="CZ77" s="63"/>
      <c r="DA77" s="63"/>
      <c r="DB77" s="63"/>
      <c r="DC77" s="63"/>
      <c r="DD77" s="63"/>
      <c r="DE77" s="63"/>
      <c r="DF77" s="63"/>
      <c r="DG77" s="63"/>
      <c r="DH77" s="63"/>
      <c r="DI77" s="63"/>
      <c r="DJ77" s="63"/>
      <c r="DK77" s="63"/>
      <c r="DL77" s="63"/>
      <c r="DM77" s="63"/>
      <c r="DN77" s="63"/>
      <c r="DO77" s="63"/>
      <c r="DP77" s="63"/>
      <c r="DQ77" s="63"/>
      <c r="DR77" s="63"/>
      <c r="DS77" s="63"/>
      <c r="DT77" s="63"/>
      <c r="DU77" s="63"/>
      <c r="DV77" s="63"/>
      <c r="DW77" s="63"/>
      <c r="DX77" s="63"/>
      <c r="DY77" s="63"/>
      <c r="DZ77" s="63"/>
      <c r="EA77" s="63"/>
      <c r="EB77" s="63"/>
      <c r="EC77" s="63"/>
      <c r="ED77" s="63"/>
      <c r="EE77" s="63"/>
      <c r="EF77" s="63"/>
      <c r="EG77" s="63"/>
      <c r="EH77" s="63"/>
      <c r="EI77" s="63"/>
      <c r="EJ77" s="63"/>
      <c r="EK77" s="63"/>
      <c r="EL77" s="63"/>
      <c r="EM77" s="63"/>
      <c r="EN77" s="63"/>
      <c r="EO77" s="63"/>
      <c r="EP77" s="63"/>
      <c r="EQ77" s="63"/>
      <c r="ER77" s="63"/>
      <c r="ES77" s="63"/>
      <c r="ET77" s="63"/>
      <c r="EU77" s="63"/>
      <c r="EV77" s="63"/>
      <c r="EW77" s="63"/>
      <c r="EX77" s="63"/>
      <c r="EY77" s="63"/>
      <c r="EZ77" s="63"/>
      <c r="FA77" s="63"/>
      <c r="FB77" s="63"/>
      <c r="FC77" s="63"/>
      <c r="FD77" s="63"/>
      <c r="FE77" s="63"/>
      <c r="FF77" s="63"/>
    </row>
    <row r="78" spans="1:162" s="23" customFormat="1" ht="30" customHeight="1" x14ac:dyDescent="0.25">
      <c r="A78" s="27"/>
      <c r="B78" s="21" t="s">
        <v>162</v>
      </c>
      <c r="C78" s="21" t="s">
        <v>293</v>
      </c>
      <c r="D78" s="21" t="s">
        <v>485</v>
      </c>
      <c r="E78" s="23" t="s">
        <v>50</v>
      </c>
      <c r="F78" s="23" t="s">
        <v>486</v>
      </c>
      <c r="G78" s="24" t="s">
        <v>487</v>
      </c>
      <c r="H78" s="21" t="s">
        <v>493</v>
      </c>
      <c r="I78" s="24" t="s">
        <v>489</v>
      </c>
      <c r="J78" s="24" t="s">
        <v>161</v>
      </c>
      <c r="K78" s="24" t="s">
        <v>490</v>
      </c>
      <c r="L78" s="23" t="s">
        <v>240</v>
      </c>
      <c r="M78" s="24" t="s">
        <v>491</v>
      </c>
      <c r="N78" s="20" t="s">
        <v>301</v>
      </c>
      <c r="O78" s="23" t="s">
        <v>215</v>
      </c>
      <c r="P78" s="21" t="s">
        <v>493</v>
      </c>
      <c r="Q78" s="19" t="s">
        <v>162</v>
      </c>
      <c r="V78" s="126" t="s">
        <v>218</v>
      </c>
      <c r="W78" s="111" t="s">
        <v>247</v>
      </c>
      <c r="X78" s="111" t="s">
        <v>1378</v>
      </c>
      <c r="Z78" s="20" t="s">
        <v>231</v>
      </c>
      <c r="AA78" s="20" t="s">
        <v>1476</v>
      </c>
      <c r="AB78" s="23">
        <v>8</v>
      </c>
      <c r="AC78" s="23">
        <v>500</v>
      </c>
      <c r="AF78" s="23">
        <v>43</v>
      </c>
      <c r="AG78" s="23" t="s">
        <v>970</v>
      </c>
      <c r="AH78" s="24" t="s">
        <v>1062</v>
      </c>
      <c r="AI78" s="23" t="s">
        <v>1044</v>
      </c>
      <c r="AK78" s="23" t="s">
        <v>970</v>
      </c>
      <c r="AM78" s="116">
        <v>44</v>
      </c>
      <c r="AN78" s="23" t="s">
        <v>1477</v>
      </c>
      <c r="AO78" s="23" t="s">
        <v>1478</v>
      </c>
      <c r="AP78" s="23" t="s">
        <v>1451</v>
      </c>
      <c r="AQ78" s="63"/>
      <c r="AR78" s="63"/>
      <c r="AS78" s="63"/>
      <c r="AT78" s="63"/>
      <c r="AU78" s="63"/>
      <c r="AV78" s="63"/>
      <c r="AW78" s="63"/>
      <c r="AX78" s="63"/>
      <c r="AY78" s="63"/>
      <c r="AZ78" s="63"/>
      <c r="BA78" s="63"/>
      <c r="BB78" s="63"/>
      <c r="BC78" s="63"/>
      <c r="BD78" s="63"/>
      <c r="BE78" s="63"/>
      <c r="BF78" s="63"/>
      <c r="BG78" s="63"/>
      <c r="BH78" s="63"/>
      <c r="BI78" s="63"/>
      <c r="BJ78" s="63"/>
      <c r="BK78" s="63"/>
      <c r="BL78" s="63"/>
      <c r="BM78" s="63"/>
      <c r="BN78" s="63"/>
      <c r="BO78" s="63"/>
      <c r="BP78" s="63"/>
      <c r="BQ78" s="63"/>
      <c r="BR78" s="63"/>
      <c r="BS78" s="63"/>
      <c r="BT78" s="63"/>
      <c r="BU78" s="63"/>
      <c r="BV78" s="63"/>
      <c r="BW78" s="63"/>
      <c r="BX78" s="63"/>
      <c r="BY78" s="63"/>
      <c r="BZ78" s="63"/>
      <c r="CA78" s="63"/>
      <c r="CB78" s="63"/>
      <c r="CC78" s="63"/>
      <c r="CD78" s="63"/>
      <c r="CE78" s="63"/>
      <c r="CF78" s="63"/>
      <c r="CG78" s="63"/>
      <c r="CH78" s="63"/>
      <c r="CI78" s="63"/>
      <c r="CJ78" s="63"/>
      <c r="CK78" s="63"/>
      <c r="CL78" s="63"/>
      <c r="CM78" s="63"/>
      <c r="CN78" s="63"/>
      <c r="CO78" s="63"/>
      <c r="CP78" s="63"/>
      <c r="CQ78" s="63"/>
      <c r="CR78" s="63"/>
      <c r="CS78" s="63"/>
      <c r="CT78" s="63"/>
      <c r="CU78" s="63"/>
      <c r="CV78" s="63"/>
      <c r="CW78" s="63"/>
      <c r="CX78" s="63"/>
      <c r="CY78" s="63"/>
      <c r="CZ78" s="63"/>
      <c r="DA78" s="63"/>
      <c r="DB78" s="63"/>
      <c r="DC78" s="63"/>
      <c r="DD78" s="63"/>
      <c r="DE78" s="63"/>
      <c r="DF78" s="63"/>
      <c r="DG78" s="63"/>
      <c r="DH78" s="63"/>
      <c r="DI78" s="63"/>
      <c r="DJ78" s="63"/>
      <c r="DK78" s="63"/>
      <c r="DL78" s="63"/>
      <c r="DM78" s="63"/>
      <c r="DN78" s="63"/>
      <c r="DO78" s="63"/>
      <c r="DP78" s="63"/>
      <c r="DQ78" s="63"/>
      <c r="DR78" s="63"/>
      <c r="DS78" s="63"/>
      <c r="DT78" s="63"/>
      <c r="DU78" s="63"/>
      <c r="DV78" s="63"/>
      <c r="DW78" s="63"/>
      <c r="DX78" s="63"/>
      <c r="DY78" s="63"/>
      <c r="DZ78" s="63"/>
      <c r="EA78" s="63"/>
      <c r="EB78" s="63"/>
      <c r="EC78" s="63"/>
      <c r="ED78" s="63"/>
      <c r="EE78" s="63"/>
      <c r="EF78" s="63"/>
      <c r="EG78" s="63"/>
      <c r="EH78" s="63"/>
      <c r="EI78" s="63"/>
      <c r="EJ78" s="63"/>
      <c r="EK78" s="63"/>
      <c r="EL78" s="63"/>
      <c r="EM78" s="63"/>
      <c r="EN78" s="63"/>
      <c r="EO78" s="63"/>
      <c r="EP78" s="63"/>
      <c r="EQ78" s="63"/>
      <c r="ER78" s="63"/>
      <c r="ES78" s="63"/>
      <c r="ET78" s="63"/>
      <c r="EU78" s="63"/>
      <c r="EV78" s="63"/>
      <c r="EW78" s="63"/>
      <c r="EX78" s="63"/>
      <c r="EY78" s="63"/>
      <c r="EZ78" s="63"/>
      <c r="FA78" s="63"/>
      <c r="FB78" s="63"/>
      <c r="FC78" s="63"/>
      <c r="FD78" s="63"/>
      <c r="FE78" s="63"/>
      <c r="FF78" s="63"/>
    </row>
    <row r="79" spans="1:162" s="23" customFormat="1" ht="30" customHeight="1" x14ac:dyDescent="0.25">
      <c r="A79" s="27" t="s">
        <v>93</v>
      </c>
      <c r="B79" s="19" t="s">
        <v>109</v>
      </c>
      <c r="C79" s="23" t="s">
        <v>207</v>
      </c>
      <c r="D79" s="23" t="s">
        <v>109</v>
      </c>
      <c r="E79" s="23" t="s">
        <v>50</v>
      </c>
      <c r="F79" s="23">
        <v>1994</v>
      </c>
      <c r="G79" s="24" t="s">
        <v>498</v>
      </c>
      <c r="H79" s="23" t="s">
        <v>238</v>
      </c>
      <c r="I79" s="24" t="s">
        <v>499</v>
      </c>
      <c r="J79" s="24" t="s">
        <v>419</v>
      </c>
      <c r="K79" s="24" t="s">
        <v>420</v>
      </c>
      <c r="L79" s="24" t="s">
        <v>1355</v>
      </c>
      <c r="M79" s="24" t="s">
        <v>1356</v>
      </c>
      <c r="N79" s="20" t="s">
        <v>301</v>
      </c>
      <c r="O79" s="116" t="s">
        <v>315</v>
      </c>
      <c r="P79" s="23" t="s">
        <v>500</v>
      </c>
      <c r="Q79" s="23" t="s">
        <v>148</v>
      </c>
      <c r="S79" s="24" t="s">
        <v>501</v>
      </c>
      <c r="V79" s="127" t="s">
        <v>218</v>
      </c>
      <c r="W79" s="111" t="s">
        <v>247</v>
      </c>
      <c r="X79" s="111" t="s">
        <v>219</v>
      </c>
      <c r="Z79" s="23" t="s">
        <v>1380</v>
      </c>
      <c r="AA79" s="23" t="s">
        <v>1479</v>
      </c>
      <c r="AF79" s="23">
        <v>127</v>
      </c>
      <c r="AG79" s="23" t="s">
        <v>970</v>
      </c>
      <c r="AH79" s="24" t="s">
        <v>1063</v>
      </c>
      <c r="AI79" s="23" t="s">
        <v>1385</v>
      </c>
      <c r="AK79" s="23" t="s">
        <v>970</v>
      </c>
      <c r="AM79" s="116">
        <v>46</v>
      </c>
      <c r="AN79" s="23" t="s">
        <v>1480</v>
      </c>
      <c r="AO79" s="23" t="s">
        <v>1481</v>
      </c>
      <c r="AP79" s="23" t="s">
        <v>1450</v>
      </c>
      <c r="AQ79" s="63"/>
      <c r="AR79" s="63"/>
      <c r="AS79" s="63"/>
      <c r="AT79" s="63"/>
      <c r="AU79" s="63"/>
      <c r="AV79" s="63"/>
      <c r="AW79" s="63"/>
      <c r="AX79" s="63"/>
      <c r="AY79" s="63"/>
      <c r="AZ79" s="63"/>
      <c r="BA79" s="63"/>
      <c r="BB79" s="63"/>
      <c r="BC79" s="63"/>
      <c r="BD79" s="63"/>
      <c r="BE79" s="63"/>
      <c r="BF79" s="63"/>
      <c r="BG79" s="63"/>
      <c r="BH79" s="63"/>
      <c r="BI79" s="63"/>
      <c r="BJ79" s="63"/>
      <c r="BK79" s="63"/>
      <c r="BL79" s="63"/>
      <c r="BM79" s="63"/>
      <c r="BN79" s="63"/>
      <c r="BO79" s="63"/>
      <c r="BP79" s="63"/>
      <c r="BQ79" s="63"/>
      <c r="BR79" s="63"/>
      <c r="BS79" s="63"/>
      <c r="BT79" s="63"/>
      <c r="BU79" s="63"/>
      <c r="BV79" s="63"/>
      <c r="BW79" s="63"/>
      <c r="BX79" s="63"/>
      <c r="BY79" s="63"/>
      <c r="BZ79" s="63"/>
      <c r="CA79" s="63"/>
      <c r="CB79" s="63"/>
      <c r="CC79" s="63"/>
      <c r="CD79" s="63"/>
      <c r="CE79" s="63"/>
      <c r="CF79" s="63"/>
      <c r="CG79" s="63"/>
      <c r="CH79" s="63"/>
      <c r="CI79" s="63"/>
      <c r="CJ79" s="63"/>
      <c r="CK79" s="63"/>
      <c r="CL79" s="63"/>
      <c r="CM79" s="63"/>
      <c r="CN79" s="63"/>
      <c r="CO79" s="63"/>
      <c r="CP79" s="63"/>
      <c r="CQ79" s="63"/>
      <c r="CR79" s="63"/>
      <c r="CS79" s="63"/>
      <c r="CT79" s="63"/>
      <c r="CU79" s="63"/>
      <c r="CV79" s="63"/>
      <c r="CW79" s="63"/>
      <c r="CX79" s="63"/>
      <c r="CY79" s="63"/>
      <c r="CZ79" s="63"/>
      <c r="DA79" s="63"/>
      <c r="DB79" s="63"/>
      <c r="DC79" s="63"/>
      <c r="DD79" s="63"/>
      <c r="DE79" s="63"/>
      <c r="DF79" s="63"/>
      <c r="DG79" s="63"/>
      <c r="DH79" s="63"/>
      <c r="DI79" s="63"/>
      <c r="DJ79" s="63"/>
      <c r="DK79" s="63"/>
      <c r="DL79" s="63"/>
      <c r="DM79" s="63"/>
      <c r="DN79" s="63"/>
      <c r="DO79" s="63"/>
      <c r="DP79" s="63"/>
      <c r="DQ79" s="63"/>
      <c r="DR79" s="63"/>
      <c r="DS79" s="63"/>
      <c r="DT79" s="63"/>
      <c r="DU79" s="63"/>
      <c r="DV79" s="63"/>
      <c r="DW79" s="63"/>
      <c r="DX79" s="63"/>
      <c r="DY79" s="63"/>
      <c r="DZ79" s="63"/>
      <c r="EA79" s="63"/>
      <c r="EB79" s="63"/>
      <c r="EC79" s="63"/>
      <c r="ED79" s="63"/>
      <c r="EE79" s="63"/>
      <c r="EF79" s="63"/>
      <c r="EG79" s="63"/>
      <c r="EH79" s="63"/>
      <c r="EI79" s="63"/>
      <c r="EJ79" s="63"/>
      <c r="EK79" s="63"/>
      <c r="EL79" s="63"/>
      <c r="EM79" s="63"/>
      <c r="EN79" s="63"/>
      <c r="EO79" s="63"/>
      <c r="EP79" s="63"/>
      <c r="EQ79" s="63"/>
      <c r="ER79" s="63"/>
      <c r="ES79" s="63"/>
      <c r="ET79" s="63"/>
      <c r="EU79" s="63"/>
      <c r="EV79" s="63"/>
      <c r="EW79" s="63"/>
      <c r="EX79" s="63"/>
      <c r="EY79" s="63"/>
      <c r="EZ79" s="63"/>
      <c r="FA79" s="63"/>
      <c r="FB79" s="63"/>
      <c r="FC79" s="63"/>
      <c r="FD79" s="63"/>
      <c r="FE79" s="63"/>
      <c r="FF79" s="63"/>
    </row>
    <row r="80" spans="1:162" s="23" customFormat="1" ht="30" customHeight="1" x14ac:dyDescent="0.25">
      <c r="A80" s="27"/>
      <c r="B80" s="21" t="s">
        <v>104</v>
      </c>
      <c r="C80" s="20" t="s">
        <v>293</v>
      </c>
      <c r="D80" s="21" t="s">
        <v>294</v>
      </c>
      <c r="E80" s="23" t="s">
        <v>50</v>
      </c>
      <c r="F80" s="23">
        <v>1996</v>
      </c>
      <c r="G80" s="24" t="s">
        <v>528</v>
      </c>
      <c r="H80" s="23" t="s">
        <v>238</v>
      </c>
      <c r="I80" s="24" t="s">
        <v>529</v>
      </c>
      <c r="J80" s="24" t="s">
        <v>298</v>
      </c>
      <c r="K80" s="24" t="s">
        <v>530</v>
      </c>
      <c r="L80" s="24" t="s">
        <v>531</v>
      </c>
      <c r="M80" s="24" t="s">
        <v>300</v>
      </c>
      <c r="N80" s="20" t="s">
        <v>301</v>
      </c>
      <c r="O80" s="23" t="s">
        <v>215</v>
      </c>
      <c r="V80" s="126" t="s">
        <v>219</v>
      </c>
      <c r="W80" s="111" t="s">
        <v>247</v>
      </c>
      <c r="X80" s="111" t="s">
        <v>1378</v>
      </c>
      <c r="Z80" s="20" t="s">
        <v>231</v>
      </c>
      <c r="AA80" s="28" t="s">
        <v>1482</v>
      </c>
      <c r="AB80" s="23">
        <v>8</v>
      </c>
      <c r="AC80" s="23">
        <v>1000</v>
      </c>
      <c r="AF80" s="23">
        <v>51</v>
      </c>
      <c r="AG80" s="23" t="s">
        <v>970</v>
      </c>
      <c r="AH80" s="24" t="s">
        <v>1068</v>
      </c>
      <c r="AI80" s="23" t="s">
        <v>1044</v>
      </c>
      <c r="AK80" s="23" t="s">
        <v>971</v>
      </c>
      <c r="AL80" s="23" t="s">
        <v>1074</v>
      </c>
      <c r="AM80" s="116">
        <v>51</v>
      </c>
      <c r="AN80" s="23" t="s">
        <v>1483</v>
      </c>
      <c r="AO80" s="24" t="s">
        <v>1484</v>
      </c>
      <c r="AP80" s="23" t="s">
        <v>1450</v>
      </c>
      <c r="AQ80" s="63"/>
      <c r="AR80" s="63"/>
      <c r="AS80" s="63"/>
      <c r="AT80" s="63"/>
      <c r="AU80" s="63"/>
      <c r="AV80" s="63"/>
      <c r="AW80" s="63"/>
      <c r="AX80" s="63"/>
      <c r="AY80" s="63"/>
      <c r="AZ80" s="63"/>
      <c r="BA80" s="63"/>
      <c r="BB80" s="63"/>
      <c r="BC80" s="63"/>
      <c r="BD80" s="63"/>
      <c r="BE80" s="63"/>
      <c r="BF80" s="63"/>
      <c r="BG80" s="63"/>
      <c r="BH80" s="63"/>
      <c r="BI80" s="63"/>
      <c r="BJ80" s="63"/>
      <c r="BK80" s="63"/>
      <c r="BL80" s="63"/>
      <c r="BM80" s="63"/>
      <c r="BN80" s="63"/>
      <c r="BO80" s="63"/>
      <c r="BP80" s="63"/>
      <c r="BQ80" s="63"/>
      <c r="BR80" s="63"/>
      <c r="BS80" s="63"/>
      <c r="BT80" s="63"/>
      <c r="BU80" s="63"/>
      <c r="BV80" s="63"/>
      <c r="BW80" s="63"/>
      <c r="BX80" s="63"/>
      <c r="BY80" s="63"/>
      <c r="BZ80" s="63"/>
      <c r="CA80" s="63"/>
      <c r="CB80" s="63"/>
      <c r="CC80" s="63"/>
      <c r="CD80" s="63"/>
      <c r="CE80" s="63"/>
      <c r="CF80" s="63"/>
      <c r="CG80" s="63"/>
      <c r="CH80" s="63"/>
      <c r="CI80" s="63"/>
      <c r="CJ80" s="63"/>
      <c r="CK80" s="63"/>
      <c r="CL80" s="63"/>
      <c r="CM80" s="63"/>
      <c r="CN80" s="63"/>
      <c r="CO80" s="63"/>
      <c r="CP80" s="63"/>
      <c r="CQ80" s="63"/>
      <c r="CR80" s="63"/>
      <c r="CS80" s="63"/>
      <c r="CT80" s="63"/>
      <c r="CU80" s="63"/>
      <c r="CV80" s="63"/>
      <c r="CW80" s="63"/>
      <c r="CX80" s="63"/>
      <c r="CY80" s="63"/>
      <c r="CZ80" s="63"/>
      <c r="DA80" s="63"/>
      <c r="DB80" s="63"/>
      <c r="DC80" s="63"/>
      <c r="DD80" s="63"/>
      <c r="DE80" s="63"/>
      <c r="DF80" s="63"/>
      <c r="DG80" s="63"/>
      <c r="DH80" s="63"/>
      <c r="DI80" s="63"/>
      <c r="DJ80" s="63"/>
      <c r="DK80" s="63"/>
      <c r="DL80" s="63"/>
      <c r="DM80" s="63"/>
      <c r="DN80" s="63"/>
      <c r="DO80" s="63"/>
      <c r="DP80" s="63"/>
      <c r="DQ80" s="63"/>
      <c r="DR80" s="63"/>
      <c r="DS80" s="63"/>
      <c r="DT80" s="63"/>
      <c r="DU80" s="63"/>
      <c r="DV80" s="63"/>
      <c r="DW80" s="63"/>
      <c r="DX80" s="63"/>
      <c r="DY80" s="63"/>
      <c r="DZ80" s="63"/>
      <c r="EA80" s="63"/>
      <c r="EB80" s="63"/>
      <c r="EC80" s="63"/>
      <c r="ED80" s="63"/>
      <c r="EE80" s="63"/>
      <c r="EF80" s="63"/>
      <c r="EG80" s="63"/>
      <c r="EH80" s="63"/>
      <c r="EI80" s="63"/>
      <c r="EJ80" s="63"/>
      <c r="EK80" s="63"/>
      <c r="EL80" s="63"/>
      <c r="EM80" s="63"/>
      <c r="EN80" s="63"/>
      <c r="EO80" s="63"/>
      <c r="EP80" s="63"/>
      <c r="EQ80" s="63"/>
      <c r="ER80" s="63"/>
      <c r="ES80" s="63"/>
      <c r="ET80" s="63"/>
      <c r="EU80" s="63"/>
      <c r="EV80" s="63"/>
      <c r="EW80" s="63"/>
      <c r="EX80" s="63"/>
      <c r="EY80" s="63"/>
      <c r="EZ80" s="63"/>
      <c r="FA80" s="63"/>
      <c r="FB80" s="63"/>
      <c r="FC80" s="63"/>
      <c r="FD80" s="63"/>
      <c r="FE80" s="63"/>
      <c r="FF80" s="63"/>
    </row>
    <row r="81" spans="1:162" s="23" customFormat="1" ht="30" customHeight="1" x14ac:dyDescent="0.25">
      <c r="A81" s="19"/>
      <c r="B81" s="21" t="s">
        <v>103</v>
      </c>
      <c r="C81" s="21" t="s">
        <v>293</v>
      </c>
      <c r="D81" s="21" t="s">
        <v>294</v>
      </c>
      <c r="E81" s="23" t="s">
        <v>50</v>
      </c>
      <c r="F81" s="23">
        <v>1996</v>
      </c>
      <c r="G81" s="23" t="s">
        <v>295</v>
      </c>
      <c r="H81" s="21" t="s">
        <v>296</v>
      </c>
      <c r="I81" s="126" t="s">
        <v>297</v>
      </c>
      <c r="J81" s="24" t="s">
        <v>298</v>
      </c>
      <c r="K81" s="24" t="s">
        <v>299</v>
      </c>
      <c r="L81" s="126"/>
      <c r="M81" s="24" t="s">
        <v>300</v>
      </c>
      <c r="N81" s="20" t="s">
        <v>301</v>
      </c>
      <c r="O81" s="23" t="s">
        <v>215</v>
      </c>
      <c r="P81" s="21" t="s">
        <v>296</v>
      </c>
      <c r="Q81" s="24"/>
      <c r="S81" s="24"/>
      <c r="V81" s="127" t="s">
        <v>219</v>
      </c>
      <c r="W81" s="111" t="s">
        <v>247</v>
      </c>
      <c r="X81" s="111" t="s">
        <v>1378</v>
      </c>
      <c r="Z81" s="20" t="s">
        <v>231</v>
      </c>
      <c r="AA81" s="28" t="s">
        <v>1482</v>
      </c>
      <c r="AB81" s="23">
        <v>8</v>
      </c>
      <c r="AC81" s="23">
        <v>1200</v>
      </c>
      <c r="AF81" s="23">
        <v>1</v>
      </c>
      <c r="AG81" s="23" t="s">
        <v>970</v>
      </c>
      <c r="AH81" s="24" t="s">
        <v>1068</v>
      </c>
      <c r="AI81" s="23" t="s">
        <v>1044</v>
      </c>
      <c r="AK81" s="23" t="s">
        <v>971</v>
      </c>
      <c r="AL81" s="23" t="s">
        <v>1074</v>
      </c>
      <c r="AM81" s="116">
        <v>52</v>
      </c>
      <c r="AN81" s="23" t="s">
        <v>1483</v>
      </c>
      <c r="AO81" s="24" t="s">
        <v>1484</v>
      </c>
      <c r="AP81" s="23" t="s">
        <v>1450</v>
      </c>
      <c r="AQ81" s="63"/>
      <c r="AR81" s="63"/>
      <c r="AS81" s="63"/>
      <c r="AT81" s="63"/>
      <c r="AU81" s="63"/>
      <c r="AV81" s="63"/>
      <c r="AW81" s="63"/>
      <c r="AX81" s="63"/>
      <c r="AY81" s="63"/>
      <c r="AZ81" s="63"/>
      <c r="BA81" s="63"/>
      <c r="BB81" s="63"/>
      <c r="BC81" s="63"/>
      <c r="BD81" s="63"/>
      <c r="BE81" s="63"/>
      <c r="BF81" s="63"/>
      <c r="BG81" s="63"/>
      <c r="BH81" s="63"/>
      <c r="BI81" s="63"/>
      <c r="BJ81" s="63"/>
      <c r="BK81" s="63"/>
      <c r="BL81" s="63"/>
      <c r="BM81" s="63"/>
      <c r="BN81" s="63"/>
      <c r="BO81" s="63"/>
      <c r="BP81" s="63"/>
      <c r="BQ81" s="63"/>
      <c r="BR81" s="63"/>
      <c r="BS81" s="63"/>
      <c r="BT81" s="63"/>
      <c r="BU81" s="63"/>
      <c r="BV81" s="63"/>
      <c r="BW81" s="63"/>
      <c r="BX81" s="63"/>
      <c r="BY81" s="63"/>
      <c r="BZ81" s="63"/>
      <c r="CA81" s="63"/>
      <c r="CB81" s="63"/>
      <c r="CC81" s="63"/>
      <c r="CD81" s="63"/>
      <c r="CE81" s="63"/>
      <c r="CF81" s="63"/>
      <c r="CG81" s="63"/>
      <c r="CH81" s="63"/>
      <c r="CI81" s="63"/>
      <c r="CJ81" s="63"/>
      <c r="CK81" s="63"/>
      <c r="CL81" s="63"/>
      <c r="CM81" s="63"/>
      <c r="CN81" s="63"/>
      <c r="CO81" s="63"/>
      <c r="CP81" s="63"/>
      <c r="CQ81" s="63"/>
      <c r="CR81" s="63"/>
      <c r="CS81" s="63"/>
      <c r="CT81" s="63"/>
      <c r="CU81" s="63"/>
      <c r="CV81" s="63"/>
      <c r="CW81" s="63"/>
      <c r="CX81" s="63"/>
      <c r="CY81" s="63"/>
      <c r="CZ81" s="63"/>
      <c r="DA81" s="63"/>
      <c r="DB81" s="63"/>
      <c r="DC81" s="63"/>
      <c r="DD81" s="63"/>
      <c r="DE81" s="63"/>
      <c r="DF81" s="63"/>
      <c r="DG81" s="63"/>
      <c r="DH81" s="63"/>
      <c r="DI81" s="63"/>
      <c r="DJ81" s="63"/>
      <c r="DK81" s="63"/>
      <c r="DL81" s="63"/>
      <c r="DM81" s="63"/>
      <c r="DN81" s="63"/>
      <c r="DO81" s="63"/>
      <c r="DP81" s="63"/>
      <c r="DQ81" s="63"/>
      <c r="DR81" s="63"/>
      <c r="DS81" s="63"/>
      <c r="DT81" s="63"/>
      <c r="DU81" s="63"/>
      <c r="DV81" s="63"/>
      <c r="DW81" s="63"/>
      <c r="DX81" s="63"/>
      <c r="DY81" s="63"/>
      <c r="DZ81" s="63"/>
      <c r="EA81" s="63"/>
      <c r="EB81" s="63"/>
      <c r="EC81" s="63"/>
      <c r="ED81" s="63"/>
      <c r="EE81" s="63"/>
      <c r="EF81" s="63"/>
      <c r="EG81" s="63"/>
      <c r="EH81" s="63"/>
      <c r="EI81" s="63"/>
      <c r="EJ81" s="63"/>
      <c r="EK81" s="63"/>
      <c r="EL81" s="63"/>
      <c r="EM81" s="63"/>
      <c r="EN81" s="63"/>
      <c r="EO81" s="63"/>
      <c r="EP81" s="63"/>
      <c r="EQ81" s="63"/>
      <c r="ER81" s="63"/>
      <c r="ES81" s="63"/>
      <c r="ET81" s="63"/>
      <c r="EU81" s="63"/>
      <c r="EV81" s="63"/>
      <c r="EW81" s="63"/>
      <c r="EX81" s="63"/>
      <c r="EY81" s="63"/>
      <c r="EZ81" s="63"/>
      <c r="FA81" s="63"/>
      <c r="FB81" s="63"/>
      <c r="FC81" s="63"/>
      <c r="FD81" s="63"/>
      <c r="FE81" s="63"/>
      <c r="FF81" s="63"/>
    </row>
    <row r="82" spans="1:162" s="23" customFormat="1" ht="30" customHeight="1" x14ac:dyDescent="0.25">
      <c r="A82" s="23" t="s">
        <v>92</v>
      </c>
      <c r="B82" s="23" t="s">
        <v>92</v>
      </c>
      <c r="C82" s="23" t="s">
        <v>207</v>
      </c>
      <c r="D82" s="23" t="s">
        <v>294</v>
      </c>
      <c r="E82" s="23" t="s">
        <v>50</v>
      </c>
      <c r="F82" s="23">
        <v>1996</v>
      </c>
      <c r="G82" s="23" t="s">
        <v>295</v>
      </c>
      <c r="H82" s="126"/>
      <c r="I82" s="126" t="s">
        <v>297</v>
      </c>
      <c r="J82" s="24" t="s">
        <v>298</v>
      </c>
      <c r="K82" s="24" t="s">
        <v>299</v>
      </c>
      <c r="L82" s="126"/>
      <c r="M82" s="24" t="s">
        <v>300</v>
      </c>
      <c r="N82" s="20" t="s">
        <v>301</v>
      </c>
      <c r="O82" s="23" t="s">
        <v>215</v>
      </c>
      <c r="P82" s="23" t="s">
        <v>391</v>
      </c>
      <c r="Q82" s="126"/>
      <c r="R82" s="126"/>
      <c r="S82" s="126"/>
      <c r="T82" s="126"/>
      <c r="U82" s="126"/>
      <c r="V82" s="127" t="s">
        <v>219</v>
      </c>
      <c r="W82" s="111" t="s">
        <v>247</v>
      </c>
      <c r="X82" s="111" t="s">
        <v>1378</v>
      </c>
      <c r="Z82" s="20" t="s">
        <v>231</v>
      </c>
      <c r="AA82" s="28" t="s">
        <v>1482</v>
      </c>
      <c r="AB82" s="23">
        <v>8</v>
      </c>
      <c r="AC82" s="23">
        <v>1200</v>
      </c>
      <c r="AF82" s="23">
        <v>12</v>
      </c>
      <c r="AG82" s="23" t="s">
        <v>970</v>
      </c>
      <c r="AH82" s="24" t="s">
        <v>1068</v>
      </c>
      <c r="AI82" s="23" t="s">
        <v>1044</v>
      </c>
      <c r="AK82" s="23" t="s">
        <v>971</v>
      </c>
      <c r="AL82" s="23" t="s">
        <v>1074</v>
      </c>
      <c r="AM82" s="116">
        <v>53</v>
      </c>
      <c r="AN82" s="23" t="s">
        <v>1483</v>
      </c>
      <c r="AO82" s="24" t="s">
        <v>1484</v>
      </c>
      <c r="AP82" s="23" t="s">
        <v>1450</v>
      </c>
      <c r="AQ82" s="63"/>
      <c r="AR82" s="63"/>
      <c r="AS82" s="63"/>
      <c r="AT82" s="63"/>
      <c r="AU82" s="63"/>
      <c r="AV82" s="63"/>
      <c r="AW82" s="63"/>
      <c r="AX82" s="63"/>
      <c r="AY82" s="63"/>
      <c r="AZ82" s="63"/>
      <c r="BA82" s="63"/>
      <c r="BB82" s="63"/>
      <c r="BC82" s="63"/>
      <c r="BD82" s="63"/>
      <c r="BE82" s="63"/>
      <c r="BF82" s="63"/>
      <c r="BG82" s="63"/>
      <c r="BH82" s="63"/>
      <c r="BI82" s="63"/>
      <c r="BJ82" s="63"/>
      <c r="BK82" s="63"/>
      <c r="BL82" s="63"/>
      <c r="BM82" s="63"/>
      <c r="BN82" s="63"/>
      <c r="BO82" s="63"/>
      <c r="BP82" s="63"/>
      <c r="BQ82" s="63"/>
      <c r="BR82" s="63"/>
      <c r="BS82" s="63"/>
      <c r="BT82" s="63"/>
      <c r="BU82" s="63"/>
      <c r="BV82" s="63"/>
      <c r="BW82" s="63"/>
      <c r="BX82" s="63"/>
      <c r="BY82" s="63"/>
      <c r="BZ82" s="63"/>
      <c r="CA82" s="63"/>
      <c r="CB82" s="63"/>
      <c r="CC82" s="63"/>
      <c r="CD82" s="63"/>
      <c r="CE82" s="63"/>
      <c r="CF82" s="63"/>
      <c r="CG82" s="63"/>
      <c r="CH82" s="63"/>
      <c r="CI82" s="63"/>
      <c r="CJ82" s="63"/>
      <c r="CK82" s="63"/>
      <c r="CL82" s="63"/>
      <c r="CM82" s="63"/>
      <c r="CN82" s="63"/>
      <c r="CO82" s="63"/>
      <c r="CP82" s="63"/>
      <c r="CQ82" s="63"/>
      <c r="CR82" s="63"/>
      <c r="CS82" s="63"/>
      <c r="CT82" s="63"/>
      <c r="CU82" s="63"/>
      <c r="CV82" s="63"/>
      <c r="CW82" s="63"/>
      <c r="CX82" s="63"/>
      <c r="CY82" s="63"/>
      <c r="CZ82" s="63"/>
      <c r="DA82" s="63"/>
      <c r="DB82" s="63"/>
      <c r="DC82" s="63"/>
      <c r="DD82" s="63"/>
      <c r="DE82" s="63"/>
      <c r="DF82" s="63"/>
      <c r="DG82" s="63"/>
      <c r="DH82" s="63"/>
      <c r="DI82" s="63"/>
      <c r="DJ82" s="63"/>
      <c r="DK82" s="63"/>
      <c r="DL82" s="63"/>
      <c r="DM82" s="63"/>
      <c r="DN82" s="63"/>
      <c r="DO82" s="63"/>
      <c r="DP82" s="63"/>
      <c r="DQ82" s="63"/>
      <c r="DR82" s="63"/>
      <c r="DS82" s="63"/>
      <c r="DT82" s="63"/>
      <c r="DU82" s="63"/>
      <c r="DV82" s="63"/>
      <c r="DW82" s="63"/>
      <c r="DX82" s="63"/>
      <c r="DY82" s="63"/>
      <c r="DZ82" s="63"/>
      <c r="EA82" s="63"/>
      <c r="EB82" s="63"/>
      <c r="EC82" s="63"/>
      <c r="ED82" s="63"/>
      <c r="EE82" s="63"/>
      <c r="EF82" s="63"/>
      <c r="EG82" s="63"/>
      <c r="EH82" s="63"/>
      <c r="EI82" s="63"/>
      <c r="EJ82" s="63"/>
      <c r="EK82" s="63"/>
      <c r="EL82" s="63"/>
      <c r="EM82" s="63"/>
      <c r="EN82" s="63"/>
      <c r="EO82" s="63"/>
      <c r="EP82" s="63"/>
      <c r="EQ82" s="63"/>
      <c r="ER82" s="63"/>
      <c r="ES82" s="63"/>
      <c r="ET82" s="63"/>
      <c r="EU82" s="63"/>
      <c r="EV82" s="63"/>
      <c r="EW82" s="63"/>
      <c r="EX82" s="63"/>
      <c r="EY82" s="63"/>
      <c r="EZ82" s="63"/>
      <c r="FA82" s="63"/>
      <c r="FB82" s="63"/>
      <c r="FC82" s="63"/>
      <c r="FD82" s="63"/>
      <c r="FE82" s="63"/>
      <c r="FF82" s="63"/>
    </row>
    <row r="83" spans="1:162" s="23" customFormat="1" ht="30" customHeight="1" x14ac:dyDescent="0.25">
      <c r="A83" s="27" t="s">
        <v>135</v>
      </c>
      <c r="B83" s="23" t="s">
        <v>73</v>
      </c>
      <c r="C83" s="23" t="s">
        <v>273</v>
      </c>
      <c r="D83" s="23" t="s">
        <v>294</v>
      </c>
      <c r="E83" s="23" t="s">
        <v>50</v>
      </c>
      <c r="F83" s="23">
        <v>1996</v>
      </c>
      <c r="G83" s="24" t="s">
        <v>532</v>
      </c>
      <c r="H83" s="24" t="s">
        <v>533</v>
      </c>
      <c r="I83" s="24" t="s">
        <v>529</v>
      </c>
      <c r="J83" s="24" t="s">
        <v>298</v>
      </c>
      <c r="K83" s="24" t="s">
        <v>299</v>
      </c>
      <c r="L83" s="24" t="s">
        <v>534</v>
      </c>
      <c r="M83" s="24" t="s">
        <v>300</v>
      </c>
      <c r="N83" s="20" t="s">
        <v>301</v>
      </c>
      <c r="O83" s="23" t="s">
        <v>215</v>
      </c>
      <c r="P83" s="24" t="s">
        <v>535</v>
      </c>
      <c r="Q83" s="23" t="s">
        <v>103</v>
      </c>
      <c r="R83" s="23" t="s">
        <v>92</v>
      </c>
      <c r="S83" s="24"/>
      <c r="V83" s="126" t="s">
        <v>219</v>
      </c>
      <c r="W83" s="111" t="s">
        <v>247</v>
      </c>
      <c r="X83" s="111" t="s">
        <v>1378</v>
      </c>
      <c r="Z83" s="20" t="s">
        <v>231</v>
      </c>
      <c r="AA83" s="28" t="s">
        <v>1482</v>
      </c>
      <c r="AB83" s="23">
        <v>8</v>
      </c>
      <c r="AC83" s="23">
        <v>1200</v>
      </c>
      <c r="AF83" s="23">
        <v>267</v>
      </c>
      <c r="AG83" s="23" t="s">
        <v>970</v>
      </c>
      <c r="AH83" s="24" t="s">
        <v>1068</v>
      </c>
      <c r="AI83" s="23" t="s">
        <v>1044</v>
      </c>
      <c r="AK83" s="23" t="s">
        <v>971</v>
      </c>
      <c r="AL83" s="23" t="s">
        <v>1074</v>
      </c>
      <c r="AM83" s="116">
        <v>54</v>
      </c>
      <c r="AN83" s="23" t="s">
        <v>1483</v>
      </c>
      <c r="AO83" s="24" t="s">
        <v>1484</v>
      </c>
      <c r="AP83" s="23" t="s">
        <v>1450</v>
      </c>
      <c r="AQ83" s="63"/>
      <c r="AR83" s="63"/>
      <c r="AS83" s="63"/>
      <c r="AT83" s="63"/>
      <c r="AU83" s="63"/>
      <c r="AV83" s="63"/>
      <c r="AW83" s="63"/>
      <c r="AX83" s="63"/>
      <c r="AY83" s="63"/>
      <c r="AZ83" s="63"/>
      <c r="BA83" s="63"/>
      <c r="BB83" s="63"/>
      <c r="BC83" s="63"/>
      <c r="BD83" s="63"/>
      <c r="BE83" s="63"/>
      <c r="BF83" s="63"/>
      <c r="BG83" s="63"/>
      <c r="BH83" s="63"/>
      <c r="BI83" s="63"/>
      <c r="BJ83" s="63"/>
      <c r="BK83" s="63"/>
      <c r="BL83" s="63"/>
      <c r="BM83" s="63"/>
      <c r="BN83" s="63"/>
      <c r="BO83" s="63"/>
      <c r="BP83" s="63"/>
      <c r="BQ83" s="63"/>
      <c r="BR83" s="63"/>
      <c r="BS83" s="63"/>
      <c r="BT83" s="63"/>
      <c r="BU83" s="63"/>
      <c r="BV83" s="63"/>
      <c r="BW83" s="63"/>
      <c r="BX83" s="63"/>
      <c r="BY83" s="63"/>
      <c r="BZ83" s="63"/>
      <c r="CA83" s="63"/>
      <c r="CB83" s="63"/>
      <c r="CC83" s="63"/>
      <c r="CD83" s="63"/>
      <c r="CE83" s="63"/>
      <c r="CF83" s="63"/>
      <c r="CG83" s="63"/>
      <c r="CH83" s="63"/>
      <c r="CI83" s="63"/>
      <c r="CJ83" s="63"/>
      <c r="CK83" s="63"/>
      <c r="CL83" s="63"/>
      <c r="CM83" s="63"/>
      <c r="CN83" s="63"/>
      <c r="CO83" s="63"/>
      <c r="CP83" s="63"/>
      <c r="CQ83" s="63"/>
      <c r="CR83" s="63"/>
      <c r="CS83" s="63"/>
      <c r="CT83" s="63"/>
      <c r="CU83" s="63"/>
      <c r="CV83" s="63"/>
      <c r="CW83" s="63"/>
      <c r="CX83" s="63"/>
      <c r="CY83" s="63"/>
      <c r="CZ83" s="63"/>
      <c r="DA83" s="63"/>
      <c r="DB83" s="63"/>
      <c r="DC83" s="63"/>
      <c r="DD83" s="63"/>
      <c r="DE83" s="63"/>
      <c r="DF83" s="63"/>
      <c r="DG83" s="63"/>
      <c r="DH83" s="63"/>
      <c r="DI83" s="63"/>
      <c r="DJ83" s="63"/>
      <c r="DK83" s="63"/>
      <c r="DL83" s="63"/>
      <c r="DM83" s="63"/>
      <c r="DN83" s="63"/>
      <c r="DO83" s="63"/>
      <c r="DP83" s="63"/>
      <c r="DQ83" s="63"/>
      <c r="DR83" s="63"/>
      <c r="DS83" s="63"/>
      <c r="DT83" s="63"/>
      <c r="DU83" s="63"/>
      <c r="DV83" s="63"/>
      <c r="DW83" s="63"/>
      <c r="DX83" s="63"/>
      <c r="DY83" s="63"/>
      <c r="DZ83" s="63"/>
      <c r="EA83" s="63"/>
      <c r="EB83" s="63"/>
      <c r="EC83" s="63"/>
      <c r="ED83" s="63"/>
      <c r="EE83" s="63"/>
      <c r="EF83" s="63"/>
      <c r="EG83" s="63"/>
      <c r="EH83" s="63"/>
      <c r="EI83" s="63"/>
      <c r="EJ83" s="63"/>
      <c r="EK83" s="63"/>
      <c r="EL83" s="63"/>
      <c r="EM83" s="63"/>
      <c r="EN83" s="63"/>
      <c r="EO83" s="63"/>
      <c r="EP83" s="63"/>
      <c r="EQ83" s="63"/>
      <c r="ER83" s="63"/>
      <c r="ES83" s="63"/>
      <c r="ET83" s="63"/>
      <c r="EU83" s="63"/>
      <c r="EV83" s="63"/>
      <c r="EW83" s="63"/>
      <c r="EX83" s="63"/>
      <c r="EY83" s="63"/>
      <c r="EZ83" s="63"/>
      <c r="FA83" s="63"/>
      <c r="FB83" s="63"/>
      <c r="FC83" s="63"/>
      <c r="FD83" s="63"/>
      <c r="FE83" s="63"/>
      <c r="FF83" s="63"/>
    </row>
    <row r="84" spans="1:162" s="23" customFormat="1" ht="30" customHeight="1" x14ac:dyDescent="0.25">
      <c r="A84" s="27" t="s">
        <v>104</v>
      </c>
      <c r="B84" s="22" t="s">
        <v>174</v>
      </c>
      <c r="C84" s="23" t="s">
        <v>293</v>
      </c>
      <c r="D84" s="23" t="s">
        <v>536</v>
      </c>
      <c r="E84" s="23" t="s">
        <v>50</v>
      </c>
      <c r="F84" s="23">
        <v>2013</v>
      </c>
      <c r="G84" s="23" t="s">
        <v>295</v>
      </c>
      <c r="H84" s="23" t="s">
        <v>537</v>
      </c>
      <c r="I84" s="24" t="s">
        <v>538</v>
      </c>
      <c r="J84" s="24" t="s">
        <v>173</v>
      </c>
      <c r="K84" s="24" t="s">
        <v>539</v>
      </c>
      <c r="M84" s="24" t="s">
        <v>540</v>
      </c>
      <c r="N84" s="20" t="s">
        <v>301</v>
      </c>
      <c r="O84" s="23" t="s">
        <v>215</v>
      </c>
      <c r="V84" s="133" t="s">
        <v>236</v>
      </c>
      <c r="W84" s="126" t="s">
        <v>219</v>
      </c>
      <c r="X84" s="111" t="s">
        <v>1378</v>
      </c>
      <c r="Y84" s="116" t="s">
        <v>230</v>
      </c>
      <c r="Z84" s="20" t="s">
        <v>231</v>
      </c>
      <c r="AA84" s="20"/>
      <c r="AB84" s="23">
        <v>4.5</v>
      </c>
      <c r="AC84" s="23">
        <f>25*4+12*20+12*5</f>
        <v>400</v>
      </c>
      <c r="AD84" s="23">
        <f>12/4</f>
        <v>3</v>
      </c>
      <c r="AE84" s="23">
        <f>12*20</f>
        <v>240</v>
      </c>
      <c r="AF84" s="23">
        <v>2</v>
      </c>
      <c r="AG84" s="23" t="s">
        <v>970</v>
      </c>
      <c r="AH84" s="23" t="s">
        <v>1069</v>
      </c>
      <c r="AI84" s="23" t="s">
        <v>1044</v>
      </c>
      <c r="AK84" s="23" t="s">
        <v>970</v>
      </c>
      <c r="AM84" s="116">
        <v>55</v>
      </c>
      <c r="AN84" s="23" t="s">
        <v>1485</v>
      </c>
      <c r="AO84" s="24" t="s">
        <v>1486</v>
      </c>
      <c r="AP84" s="23" t="s">
        <v>1451</v>
      </c>
      <c r="AQ84" s="63"/>
      <c r="AR84" s="63"/>
      <c r="AS84" s="63"/>
      <c r="AT84" s="63"/>
      <c r="AU84" s="63"/>
      <c r="AV84" s="63"/>
      <c r="AW84" s="63"/>
      <c r="AX84" s="63"/>
      <c r="AY84" s="63"/>
      <c r="AZ84" s="63"/>
      <c r="BA84" s="63"/>
      <c r="BB84" s="63"/>
      <c r="BC84" s="63"/>
      <c r="BD84" s="63"/>
      <c r="BE84" s="63"/>
      <c r="BF84" s="63"/>
      <c r="BG84" s="63"/>
      <c r="BH84" s="63"/>
      <c r="BI84" s="63"/>
      <c r="BJ84" s="63"/>
      <c r="BK84" s="63"/>
      <c r="BL84" s="63"/>
      <c r="BM84" s="63"/>
      <c r="BN84" s="63"/>
      <c r="BO84" s="63"/>
      <c r="BP84" s="63"/>
      <c r="BQ84" s="63"/>
      <c r="BR84" s="63"/>
      <c r="BS84" s="63"/>
      <c r="BT84" s="63"/>
      <c r="BU84" s="63"/>
      <c r="BV84" s="63"/>
      <c r="BW84" s="63"/>
      <c r="BX84" s="63"/>
      <c r="BY84" s="63"/>
      <c r="BZ84" s="63"/>
      <c r="CA84" s="63"/>
      <c r="CB84" s="63"/>
      <c r="CC84" s="63"/>
      <c r="CD84" s="63"/>
      <c r="CE84" s="63"/>
      <c r="CF84" s="63"/>
      <c r="CG84" s="63"/>
      <c r="CH84" s="63"/>
      <c r="CI84" s="63"/>
      <c r="CJ84" s="63"/>
      <c r="CK84" s="63"/>
      <c r="CL84" s="63"/>
      <c r="CM84" s="63"/>
      <c r="CN84" s="63"/>
      <c r="CO84" s="63"/>
      <c r="CP84" s="63"/>
      <c r="CQ84" s="63"/>
      <c r="CR84" s="63"/>
      <c r="CS84" s="63"/>
      <c r="CT84" s="63"/>
      <c r="CU84" s="63"/>
      <c r="CV84" s="63"/>
      <c r="CW84" s="63"/>
      <c r="CX84" s="63"/>
      <c r="CY84" s="63"/>
      <c r="CZ84" s="63"/>
      <c r="DA84" s="63"/>
      <c r="DB84" s="63"/>
      <c r="DC84" s="63"/>
      <c r="DD84" s="63"/>
      <c r="DE84" s="63"/>
      <c r="DF84" s="63"/>
      <c r="DG84" s="63"/>
      <c r="DH84" s="63"/>
      <c r="DI84" s="63"/>
      <c r="DJ84" s="63"/>
      <c r="DK84" s="63"/>
      <c r="DL84" s="63"/>
      <c r="DM84" s="63"/>
      <c r="DN84" s="63"/>
      <c r="DO84" s="63"/>
      <c r="DP84" s="63"/>
      <c r="DQ84" s="63"/>
      <c r="DR84" s="63"/>
      <c r="DS84" s="63"/>
      <c r="DT84" s="63"/>
      <c r="DU84" s="63"/>
      <c r="DV84" s="63"/>
      <c r="DW84" s="63"/>
      <c r="DX84" s="63"/>
      <c r="DY84" s="63"/>
      <c r="DZ84" s="63"/>
      <c r="EA84" s="63"/>
      <c r="EB84" s="63"/>
      <c r="EC84" s="63"/>
      <c r="ED84" s="63"/>
      <c r="EE84" s="63"/>
      <c r="EF84" s="63"/>
      <c r="EG84" s="63"/>
      <c r="EH84" s="63"/>
      <c r="EI84" s="63"/>
      <c r="EJ84" s="63"/>
      <c r="EK84" s="63"/>
      <c r="EL84" s="63"/>
      <c r="EM84" s="63"/>
      <c r="EN84" s="63"/>
      <c r="EO84" s="63"/>
      <c r="EP84" s="63"/>
      <c r="EQ84" s="63"/>
      <c r="ER84" s="63"/>
      <c r="ES84" s="63"/>
      <c r="ET84" s="63"/>
      <c r="EU84" s="63"/>
      <c r="EV84" s="63"/>
      <c r="EW84" s="63"/>
      <c r="EX84" s="63"/>
      <c r="EY84" s="63"/>
      <c r="EZ84" s="63"/>
      <c r="FA84" s="63"/>
      <c r="FB84" s="63"/>
      <c r="FC84" s="63"/>
      <c r="FD84" s="63"/>
      <c r="FE84" s="63"/>
      <c r="FF84" s="63"/>
    </row>
    <row r="85" spans="1:162" s="23" customFormat="1" ht="30" hidden="1" customHeight="1" x14ac:dyDescent="0.25">
      <c r="A85" s="28" t="s">
        <v>76</v>
      </c>
      <c r="B85" s="22" t="s">
        <v>177</v>
      </c>
      <c r="C85" s="23" t="s">
        <v>293</v>
      </c>
      <c r="D85" s="23" t="s">
        <v>177</v>
      </c>
      <c r="E85" s="23" t="s">
        <v>50</v>
      </c>
      <c r="F85" s="23">
        <v>2011</v>
      </c>
      <c r="H85" s="23" t="s">
        <v>238</v>
      </c>
      <c r="I85" s="24" t="s">
        <v>553</v>
      </c>
      <c r="J85" s="24" t="s">
        <v>178</v>
      </c>
      <c r="K85" s="24" t="s">
        <v>554</v>
      </c>
      <c r="L85" s="24"/>
      <c r="M85" s="24" t="s">
        <v>555</v>
      </c>
      <c r="N85" s="23" t="s">
        <v>248</v>
      </c>
      <c r="O85" s="23" t="s">
        <v>215</v>
      </c>
      <c r="V85" s="133" t="s">
        <v>236</v>
      </c>
      <c r="W85" s="126" t="s">
        <v>219</v>
      </c>
      <c r="X85" s="111" t="s">
        <v>1378</v>
      </c>
      <c r="Y85" s="116" t="s">
        <v>230</v>
      </c>
      <c r="Z85" s="20" t="s">
        <v>231</v>
      </c>
      <c r="AA85" s="20"/>
      <c r="AB85" s="23">
        <v>1</v>
      </c>
      <c r="AC85" s="23">
        <f>AB85*5*5*1.5</f>
        <v>37.5</v>
      </c>
      <c r="AD85" s="23">
        <v>5</v>
      </c>
      <c r="AE85" s="23">
        <f>2*4*3+3*5*6</f>
        <v>114</v>
      </c>
      <c r="AF85" s="23">
        <v>0</v>
      </c>
      <c r="AG85" s="23" t="s">
        <v>970</v>
      </c>
      <c r="AH85" s="23" t="s">
        <v>1070</v>
      </c>
      <c r="AI85" s="23" t="s">
        <v>1044</v>
      </c>
      <c r="AK85" s="23" t="s">
        <v>970</v>
      </c>
      <c r="AM85" s="116">
        <v>58</v>
      </c>
      <c r="AN85" s="23" t="s">
        <v>1487</v>
      </c>
      <c r="AO85" s="24" t="s">
        <v>1488</v>
      </c>
      <c r="AP85" s="23" t="s">
        <v>1451</v>
      </c>
      <c r="AQ85" s="63"/>
      <c r="AR85" s="63"/>
      <c r="AS85" s="63"/>
      <c r="AT85" s="63"/>
      <c r="AU85" s="63"/>
      <c r="AV85" s="63"/>
      <c r="AW85" s="63"/>
      <c r="AX85" s="63"/>
      <c r="AY85" s="63"/>
      <c r="AZ85" s="63"/>
      <c r="BA85" s="63"/>
      <c r="BB85" s="63"/>
      <c r="BC85" s="63"/>
      <c r="BD85" s="63"/>
      <c r="BE85" s="63"/>
      <c r="BF85" s="63"/>
      <c r="BG85" s="63"/>
      <c r="BH85" s="63"/>
      <c r="BI85" s="63"/>
      <c r="BJ85" s="63"/>
      <c r="BK85" s="63"/>
      <c r="BL85" s="63"/>
      <c r="BM85" s="63"/>
      <c r="BN85" s="63"/>
      <c r="BO85" s="63"/>
      <c r="BP85" s="63"/>
      <c r="BQ85" s="63"/>
      <c r="BR85" s="63"/>
      <c r="BS85" s="63"/>
      <c r="BT85" s="63"/>
      <c r="BU85" s="63"/>
      <c r="BV85" s="63"/>
      <c r="BW85" s="63"/>
      <c r="BX85" s="63"/>
      <c r="BY85" s="63"/>
      <c r="BZ85" s="63"/>
      <c r="CA85" s="63"/>
      <c r="CB85" s="63"/>
      <c r="CC85" s="63"/>
      <c r="CD85" s="63"/>
      <c r="CE85" s="63"/>
      <c r="CF85" s="63"/>
      <c r="CG85" s="63"/>
      <c r="CH85" s="63"/>
      <c r="CI85" s="63"/>
      <c r="CJ85" s="63"/>
      <c r="CK85" s="63"/>
      <c r="CL85" s="63"/>
      <c r="CM85" s="63"/>
      <c r="CN85" s="63"/>
      <c r="CO85" s="63"/>
      <c r="CP85" s="63"/>
      <c r="CQ85" s="63"/>
      <c r="CR85" s="63"/>
      <c r="CS85" s="63"/>
      <c r="CT85" s="63"/>
      <c r="CU85" s="63"/>
      <c r="CV85" s="63"/>
      <c r="CW85" s="63"/>
      <c r="CX85" s="63"/>
      <c r="CY85" s="63"/>
      <c r="CZ85" s="63"/>
      <c r="DA85" s="63"/>
      <c r="DB85" s="63"/>
      <c r="DC85" s="63"/>
      <c r="DD85" s="63"/>
      <c r="DE85" s="63"/>
      <c r="DF85" s="63"/>
      <c r="DG85" s="63"/>
      <c r="DH85" s="63"/>
      <c r="DI85" s="63"/>
      <c r="DJ85" s="63"/>
      <c r="DK85" s="63"/>
      <c r="DL85" s="63"/>
      <c r="DM85" s="63"/>
      <c r="DN85" s="63"/>
      <c r="DO85" s="63"/>
      <c r="DP85" s="63"/>
      <c r="DQ85" s="63"/>
      <c r="DR85" s="63"/>
      <c r="DS85" s="63"/>
      <c r="DT85" s="63"/>
      <c r="DU85" s="63"/>
      <c r="DV85" s="63"/>
      <c r="DW85" s="63"/>
      <c r="DX85" s="63"/>
      <c r="DY85" s="63"/>
      <c r="DZ85" s="63"/>
      <c r="EA85" s="63"/>
      <c r="EB85" s="63"/>
      <c r="EC85" s="63"/>
      <c r="ED85" s="63"/>
      <c r="EE85" s="63"/>
      <c r="EF85" s="63"/>
      <c r="EG85" s="63"/>
      <c r="EH85" s="63"/>
      <c r="EI85" s="63"/>
      <c r="EJ85" s="63"/>
      <c r="EK85" s="63"/>
      <c r="EL85" s="63"/>
      <c r="EM85" s="63"/>
      <c r="EN85" s="63"/>
      <c r="EO85" s="63"/>
      <c r="EP85" s="63"/>
      <c r="EQ85" s="63"/>
      <c r="ER85" s="63"/>
      <c r="ES85" s="63"/>
      <c r="ET85" s="63"/>
      <c r="EU85" s="63"/>
      <c r="EV85" s="63"/>
      <c r="EW85" s="63"/>
      <c r="EX85" s="63"/>
      <c r="EY85" s="63"/>
      <c r="EZ85" s="63"/>
      <c r="FA85" s="63"/>
      <c r="FB85" s="63"/>
      <c r="FC85" s="63"/>
      <c r="FD85" s="63"/>
      <c r="FE85" s="63"/>
      <c r="FF85" s="63"/>
    </row>
    <row r="86" spans="1:162" s="23" customFormat="1" ht="30" hidden="1" customHeight="1" x14ac:dyDescent="0.25">
      <c r="A86" s="20" t="s">
        <v>76</v>
      </c>
      <c r="B86" s="20" t="s">
        <v>181</v>
      </c>
      <c r="C86" s="20" t="s">
        <v>1082</v>
      </c>
      <c r="D86" s="29" t="s">
        <v>179</v>
      </c>
      <c r="E86" s="20" t="s">
        <v>50</v>
      </c>
      <c r="F86" s="20">
        <v>1991</v>
      </c>
      <c r="G86" s="20" t="s">
        <v>1154</v>
      </c>
      <c r="H86" s="20" t="s">
        <v>240</v>
      </c>
      <c r="I86" s="28" t="s">
        <v>1155</v>
      </c>
      <c r="J86" s="28" t="s">
        <v>180</v>
      </c>
      <c r="K86" s="28" t="s">
        <v>1156</v>
      </c>
      <c r="L86" s="20" t="s">
        <v>240</v>
      </c>
      <c r="M86" s="28" t="s">
        <v>1157</v>
      </c>
      <c r="N86" s="20" t="s">
        <v>1158</v>
      </c>
      <c r="O86" s="20" t="s">
        <v>215</v>
      </c>
      <c r="P86" s="20" t="s">
        <v>238</v>
      </c>
      <c r="Q86" s="20"/>
      <c r="R86" s="20"/>
      <c r="S86" s="20"/>
      <c r="T86" s="20"/>
      <c r="U86" s="20"/>
      <c r="V86" s="127" t="s">
        <v>236</v>
      </c>
      <c r="W86" s="111" t="s">
        <v>247</v>
      </c>
      <c r="X86" s="20" t="s">
        <v>1379</v>
      </c>
      <c r="Y86" s="20"/>
      <c r="Z86" s="20" t="s">
        <v>231</v>
      </c>
      <c r="AA86" s="20"/>
      <c r="AB86" s="20">
        <v>0.25</v>
      </c>
      <c r="AC86" s="20">
        <v>20</v>
      </c>
      <c r="AD86" s="20"/>
      <c r="AE86" s="20"/>
      <c r="AF86" s="20">
        <v>284</v>
      </c>
      <c r="AG86" s="20" t="s">
        <v>970</v>
      </c>
      <c r="AH86" s="28" t="s">
        <v>1159</v>
      </c>
      <c r="AI86" s="20" t="s">
        <v>1044</v>
      </c>
      <c r="AJ86" s="20" t="s">
        <v>1126</v>
      </c>
      <c r="AK86" s="20" t="s">
        <v>970</v>
      </c>
      <c r="AL86" s="20"/>
      <c r="AM86" s="116">
        <v>69</v>
      </c>
      <c r="AN86" s="24" t="s">
        <v>1489</v>
      </c>
      <c r="AO86" s="24" t="s">
        <v>1490</v>
      </c>
      <c r="AP86" s="23" t="s">
        <v>1451</v>
      </c>
      <c r="AQ86" s="63"/>
      <c r="AR86" s="63"/>
      <c r="AS86" s="63"/>
      <c r="AT86" s="63"/>
      <c r="AU86" s="63"/>
      <c r="AV86" s="63"/>
      <c r="AW86" s="63"/>
      <c r="AX86" s="63"/>
      <c r="AY86" s="63"/>
      <c r="AZ86" s="63"/>
      <c r="BA86" s="63"/>
      <c r="BB86" s="63"/>
      <c r="BC86" s="63"/>
      <c r="BD86" s="63"/>
      <c r="BE86" s="63"/>
      <c r="BF86" s="63"/>
      <c r="BG86" s="63"/>
      <c r="BH86" s="63"/>
      <c r="BI86" s="63"/>
      <c r="BJ86" s="63"/>
      <c r="BK86" s="63"/>
      <c r="BL86" s="63"/>
      <c r="BM86" s="63"/>
      <c r="BN86" s="63"/>
      <c r="BO86" s="63"/>
      <c r="BP86" s="63"/>
      <c r="BQ86" s="63"/>
      <c r="BR86" s="63"/>
      <c r="BS86" s="63"/>
      <c r="BT86" s="63"/>
      <c r="BU86" s="63"/>
      <c r="BV86" s="63"/>
      <c r="BW86" s="63"/>
      <c r="BX86" s="63"/>
      <c r="BY86" s="63"/>
      <c r="BZ86" s="63"/>
      <c r="CA86" s="63"/>
      <c r="CB86" s="63"/>
      <c r="CC86" s="63"/>
      <c r="CD86" s="63"/>
      <c r="CE86" s="63"/>
      <c r="CF86" s="63"/>
      <c r="CG86" s="63"/>
      <c r="CH86" s="63"/>
      <c r="CI86" s="63"/>
      <c r="CJ86" s="63"/>
      <c r="CK86" s="63"/>
      <c r="CL86" s="63"/>
      <c r="CM86" s="63"/>
      <c r="CN86" s="63"/>
      <c r="CO86" s="63"/>
      <c r="CP86" s="63"/>
      <c r="CQ86" s="63"/>
      <c r="CR86" s="63"/>
      <c r="CS86" s="63"/>
      <c r="CT86" s="63"/>
      <c r="CU86" s="63"/>
      <c r="CV86" s="63"/>
      <c r="CW86" s="63"/>
      <c r="CX86" s="63"/>
      <c r="CY86" s="63"/>
      <c r="CZ86" s="63"/>
      <c r="DA86" s="63"/>
      <c r="DB86" s="63"/>
      <c r="DC86" s="63"/>
      <c r="DD86" s="63"/>
      <c r="DE86" s="63"/>
      <c r="DF86" s="63"/>
      <c r="DG86" s="63"/>
      <c r="DH86" s="63"/>
      <c r="DI86" s="63"/>
      <c r="DJ86" s="63"/>
      <c r="DK86" s="63"/>
      <c r="DL86" s="63"/>
      <c r="DM86" s="63"/>
      <c r="DN86" s="63"/>
      <c r="DO86" s="63"/>
      <c r="DP86" s="63"/>
      <c r="DQ86" s="63"/>
      <c r="DR86" s="63"/>
      <c r="DS86" s="63"/>
      <c r="DT86" s="63"/>
      <c r="DU86" s="63"/>
      <c r="DV86" s="63"/>
      <c r="DW86" s="63"/>
      <c r="DX86" s="63"/>
      <c r="DY86" s="63"/>
      <c r="DZ86" s="63"/>
      <c r="EA86" s="63"/>
      <c r="EB86" s="63"/>
      <c r="EC86" s="63"/>
      <c r="ED86" s="63"/>
      <c r="EE86" s="63"/>
      <c r="EF86" s="63"/>
      <c r="EG86" s="63"/>
      <c r="EH86" s="63"/>
      <c r="EI86" s="63"/>
      <c r="EJ86" s="63"/>
      <c r="EK86" s="63"/>
      <c r="EL86" s="63"/>
      <c r="EM86" s="63"/>
      <c r="EN86" s="63"/>
      <c r="EO86" s="63"/>
      <c r="EP86" s="63"/>
      <c r="EQ86" s="63"/>
      <c r="ER86" s="63"/>
      <c r="ES86" s="63"/>
      <c r="ET86" s="63"/>
      <c r="EU86" s="63"/>
      <c r="EV86" s="63"/>
      <c r="EW86" s="63"/>
      <c r="EX86" s="63"/>
      <c r="EY86" s="63"/>
      <c r="EZ86" s="63"/>
      <c r="FA86" s="63"/>
      <c r="FB86" s="63"/>
      <c r="FC86" s="63"/>
      <c r="FD86" s="63"/>
      <c r="FE86" s="63"/>
      <c r="FF86" s="63"/>
    </row>
    <row r="87" spans="1:162" s="23" customFormat="1" ht="30" hidden="1" customHeight="1" x14ac:dyDescent="0.25">
      <c r="A87" s="20" t="s">
        <v>76</v>
      </c>
      <c r="B87" s="20" t="s">
        <v>179</v>
      </c>
      <c r="C87" s="20" t="s">
        <v>1082</v>
      </c>
      <c r="D87" s="29" t="s">
        <v>179</v>
      </c>
      <c r="E87" s="20" t="s">
        <v>50</v>
      </c>
      <c r="F87" s="20">
        <v>1991</v>
      </c>
      <c r="G87" s="20" t="s">
        <v>1154</v>
      </c>
      <c r="H87" s="20" t="s">
        <v>240</v>
      </c>
      <c r="I87" s="28" t="s">
        <v>1155</v>
      </c>
      <c r="J87" s="28" t="s">
        <v>180</v>
      </c>
      <c r="K87" s="28" t="s">
        <v>1156</v>
      </c>
      <c r="L87" s="20" t="s">
        <v>240</v>
      </c>
      <c r="M87" s="28" t="s">
        <v>1157</v>
      </c>
      <c r="N87" s="20" t="s">
        <v>1158</v>
      </c>
      <c r="O87" s="20" t="s">
        <v>215</v>
      </c>
      <c r="P87" s="20" t="s">
        <v>238</v>
      </c>
      <c r="Q87" s="20"/>
      <c r="R87" s="20"/>
      <c r="S87" s="20"/>
      <c r="T87" s="20"/>
      <c r="U87" s="20"/>
      <c r="V87" s="127" t="s">
        <v>236</v>
      </c>
      <c r="W87" s="111" t="s">
        <v>247</v>
      </c>
      <c r="X87" s="20" t="s">
        <v>1379</v>
      </c>
      <c r="Y87" s="20"/>
      <c r="Z87" s="20" t="s">
        <v>231</v>
      </c>
      <c r="AA87" s="20"/>
      <c r="AB87" s="20">
        <v>0.25</v>
      </c>
      <c r="AC87" s="20">
        <v>20</v>
      </c>
      <c r="AD87" s="20"/>
      <c r="AE87" s="20"/>
      <c r="AF87" s="20">
        <v>284</v>
      </c>
      <c r="AG87" s="20" t="s">
        <v>970</v>
      </c>
      <c r="AH87" s="28" t="s">
        <v>1159</v>
      </c>
      <c r="AI87" s="20" t="s">
        <v>1044</v>
      </c>
      <c r="AJ87" s="20" t="s">
        <v>1126</v>
      </c>
      <c r="AK87" s="20" t="s">
        <v>970</v>
      </c>
      <c r="AL87" s="20"/>
      <c r="AM87" s="116">
        <v>70</v>
      </c>
      <c r="AN87" s="24" t="s">
        <v>1489</v>
      </c>
      <c r="AO87" s="24" t="s">
        <v>1490</v>
      </c>
      <c r="AP87" s="23" t="s">
        <v>1451</v>
      </c>
      <c r="AQ87" s="63"/>
      <c r="AR87" s="63"/>
      <c r="AS87" s="63"/>
      <c r="AT87" s="63"/>
      <c r="AU87" s="63"/>
      <c r="AV87" s="63"/>
      <c r="AW87" s="63"/>
      <c r="AX87" s="63"/>
      <c r="AY87" s="63"/>
      <c r="AZ87" s="63"/>
      <c r="BA87" s="63"/>
      <c r="BB87" s="63"/>
      <c r="BC87" s="63"/>
      <c r="BD87" s="63"/>
      <c r="BE87" s="63"/>
      <c r="BF87" s="63"/>
      <c r="BG87" s="63"/>
      <c r="BH87" s="63"/>
      <c r="BI87" s="63"/>
      <c r="BJ87" s="63"/>
      <c r="BK87" s="63"/>
      <c r="BL87" s="63"/>
      <c r="BM87" s="63"/>
      <c r="BN87" s="63"/>
      <c r="BO87" s="63"/>
      <c r="BP87" s="63"/>
      <c r="BQ87" s="63"/>
      <c r="BR87" s="63"/>
      <c r="BS87" s="63"/>
      <c r="BT87" s="63"/>
      <c r="BU87" s="63"/>
      <c r="BV87" s="63"/>
      <c r="BW87" s="63"/>
      <c r="BX87" s="63"/>
      <c r="BY87" s="63"/>
      <c r="BZ87" s="63"/>
      <c r="CA87" s="63"/>
      <c r="CB87" s="63"/>
      <c r="CC87" s="63"/>
      <c r="CD87" s="63"/>
      <c r="CE87" s="63"/>
      <c r="CF87" s="63"/>
      <c r="CG87" s="63"/>
      <c r="CH87" s="63"/>
      <c r="CI87" s="63"/>
      <c r="CJ87" s="63"/>
      <c r="CK87" s="63"/>
      <c r="CL87" s="63"/>
      <c r="CM87" s="63"/>
      <c r="CN87" s="63"/>
      <c r="CO87" s="63"/>
      <c r="CP87" s="63"/>
      <c r="CQ87" s="63"/>
      <c r="CR87" s="63"/>
      <c r="CS87" s="63"/>
      <c r="CT87" s="63"/>
      <c r="CU87" s="63"/>
      <c r="CV87" s="63"/>
      <c r="CW87" s="63"/>
      <c r="CX87" s="63"/>
      <c r="CY87" s="63"/>
      <c r="CZ87" s="63"/>
      <c r="DA87" s="63"/>
      <c r="DB87" s="63"/>
      <c r="DC87" s="63"/>
      <c r="DD87" s="63"/>
      <c r="DE87" s="63"/>
      <c r="DF87" s="63"/>
      <c r="DG87" s="63"/>
      <c r="DH87" s="63"/>
      <c r="DI87" s="63"/>
      <c r="DJ87" s="63"/>
      <c r="DK87" s="63"/>
      <c r="DL87" s="63"/>
      <c r="DM87" s="63"/>
      <c r="DN87" s="63"/>
      <c r="DO87" s="63"/>
      <c r="DP87" s="63"/>
      <c r="DQ87" s="63"/>
      <c r="DR87" s="63"/>
      <c r="DS87" s="63"/>
      <c r="DT87" s="63"/>
      <c r="DU87" s="63"/>
      <c r="DV87" s="63"/>
      <c r="DW87" s="63"/>
      <c r="DX87" s="63"/>
      <c r="DY87" s="63"/>
      <c r="DZ87" s="63"/>
      <c r="EA87" s="63"/>
      <c r="EB87" s="63"/>
      <c r="EC87" s="63"/>
      <c r="ED87" s="63"/>
      <c r="EE87" s="63"/>
      <c r="EF87" s="63"/>
      <c r="EG87" s="63"/>
      <c r="EH87" s="63"/>
      <c r="EI87" s="63"/>
      <c r="EJ87" s="63"/>
      <c r="EK87" s="63"/>
      <c r="EL87" s="63"/>
      <c r="EM87" s="63"/>
      <c r="EN87" s="63"/>
      <c r="EO87" s="63"/>
      <c r="EP87" s="63"/>
      <c r="EQ87" s="63"/>
      <c r="ER87" s="63"/>
      <c r="ES87" s="63"/>
      <c r="ET87" s="63"/>
      <c r="EU87" s="63"/>
      <c r="EV87" s="63"/>
      <c r="EW87" s="63"/>
      <c r="EX87" s="63"/>
      <c r="EY87" s="63"/>
      <c r="EZ87" s="63"/>
      <c r="FA87" s="63"/>
      <c r="FB87" s="63"/>
      <c r="FC87" s="63"/>
      <c r="FD87" s="63"/>
      <c r="FE87" s="63"/>
      <c r="FF87" s="63"/>
    </row>
    <row r="88" spans="1:162" s="52" customFormat="1" ht="30" customHeight="1" x14ac:dyDescent="0.25">
      <c r="A88" s="61" t="s">
        <v>73</v>
      </c>
      <c r="B88" s="46" t="s">
        <v>1535</v>
      </c>
      <c r="C88" s="122" t="s">
        <v>1082</v>
      </c>
      <c r="D88" s="110" t="s">
        <v>294</v>
      </c>
      <c r="E88" s="51" t="s">
        <v>50</v>
      </c>
      <c r="F88" s="52">
        <v>1995</v>
      </c>
      <c r="G88" s="52">
        <v>18</v>
      </c>
      <c r="H88" s="52" t="s">
        <v>311</v>
      </c>
      <c r="I88" s="114" t="s">
        <v>1536</v>
      </c>
      <c r="J88" s="49" t="s">
        <v>1537</v>
      </c>
      <c r="K88" s="47" t="s">
        <v>299</v>
      </c>
      <c r="L88" s="47" t="s">
        <v>531</v>
      </c>
      <c r="M88" s="47" t="s">
        <v>300</v>
      </c>
      <c r="N88" s="52" t="s">
        <v>301</v>
      </c>
      <c r="O88" s="52" t="s">
        <v>215</v>
      </c>
      <c r="P88" s="52" t="s">
        <v>376</v>
      </c>
      <c r="Q88" s="142" t="s">
        <v>103</v>
      </c>
      <c r="R88" s="142" t="s">
        <v>92</v>
      </c>
      <c r="S88" s="52" t="s">
        <v>240</v>
      </c>
      <c r="T88" s="52" t="s">
        <v>30</v>
      </c>
      <c r="U88" s="52" t="s">
        <v>240</v>
      </c>
      <c r="V88" s="115" t="s">
        <v>219</v>
      </c>
      <c r="W88" s="115" t="s">
        <v>247</v>
      </c>
      <c r="X88" s="111" t="s">
        <v>1378</v>
      </c>
      <c r="Y88" s="123"/>
      <c r="Z88" s="52" t="s">
        <v>231</v>
      </c>
      <c r="AA88" s="123">
        <v>8</v>
      </c>
      <c r="AB88" s="123">
        <v>1200</v>
      </c>
      <c r="AC88" s="123"/>
      <c r="AD88" s="123"/>
      <c r="AE88" s="143" t="s">
        <v>1538</v>
      </c>
      <c r="AF88" s="123">
        <v>34</v>
      </c>
      <c r="AG88" s="123" t="s">
        <v>970</v>
      </c>
      <c r="AH88" s="143" t="s">
        <v>1068</v>
      </c>
      <c r="AI88" s="123" t="s">
        <v>1044</v>
      </c>
      <c r="AJ88" s="123" t="s">
        <v>971</v>
      </c>
      <c r="AK88" s="123" t="s">
        <v>1074</v>
      </c>
      <c r="AN88" s="23" t="s">
        <v>1483</v>
      </c>
      <c r="AO88" s="24" t="s">
        <v>1484</v>
      </c>
      <c r="AP88" s="23" t="s">
        <v>1450</v>
      </c>
    </row>
    <row r="89" spans="1:162" s="52" customFormat="1" ht="39.950000000000003" customHeight="1" x14ac:dyDescent="0.25">
      <c r="A89" s="61" t="s">
        <v>73</v>
      </c>
      <c r="B89" s="52" t="s">
        <v>1539</v>
      </c>
      <c r="C89" s="122" t="s">
        <v>1082</v>
      </c>
      <c r="D89" s="110" t="s">
        <v>294</v>
      </c>
      <c r="E89" s="51" t="s">
        <v>50</v>
      </c>
      <c r="F89" s="52">
        <v>1995</v>
      </c>
      <c r="G89" s="52">
        <v>18</v>
      </c>
      <c r="H89" s="52" t="s">
        <v>311</v>
      </c>
      <c r="I89" s="114" t="s">
        <v>1536</v>
      </c>
      <c r="J89" s="49" t="s">
        <v>1537</v>
      </c>
      <c r="K89" s="47" t="s">
        <v>299</v>
      </c>
      <c r="L89" s="47" t="s">
        <v>531</v>
      </c>
      <c r="M89" s="47" t="s">
        <v>300</v>
      </c>
      <c r="N89" s="52" t="s">
        <v>301</v>
      </c>
      <c r="O89" s="52" t="s">
        <v>215</v>
      </c>
      <c r="P89" s="52" t="s">
        <v>311</v>
      </c>
      <c r="Q89" s="142" t="s">
        <v>103</v>
      </c>
      <c r="R89" s="142" t="s">
        <v>92</v>
      </c>
      <c r="S89" s="52" t="s">
        <v>240</v>
      </c>
      <c r="T89" s="52" t="s">
        <v>30</v>
      </c>
      <c r="U89" s="52" t="s">
        <v>240</v>
      </c>
      <c r="V89" s="115" t="s">
        <v>219</v>
      </c>
      <c r="W89" s="115" t="s">
        <v>247</v>
      </c>
      <c r="X89" s="111" t="s">
        <v>1378</v>
      </c>
      <c r="Y89" s="123"/>
      <c r="Z89" s="52" t="s">
        <v>231</v>
      </c>
      <c r="AA89" s="123">
        <v>8</v>
      </c>
      <c r="AB89" s="123">
        <v>1200</v>
      </c>
      <c r="AC89" s="123"/>
      <c r="AD89" s="123"/>
      <c r="AE89" s="143" t="s">
        <v>1538</v>
      </c>
      <c r="AF89" s="123">
        <v>34</v>
      </c>
      <c r="AG89" s="123" t="s">
        <v>970</v>
      </c>
      <c r="AH89" s="143" t="s">
        <v>1068</v>
      </c>
      <c r="AI89" s="123" t="s">
        <v>1044</v>
      </c>
      <c r="AJ89" s="123" t="s">
        <v>971</v>
      </c>
      <c r="AK89" s="123" t="s">
        <v>1074</v>
      </c>
      <c r="AN89" s="23" t="s">
        <v>1483</v>
      </c>
      <c r="AO89" s="24" t="s">
        <v>1484</v>
      </c>
      <c r="AP89" s="23" t="s">
        <v>1450</v>
      </c>
    </row>
    <row r="90" spans="1:162" s="52" customFormat="1" ht="30" customHeight="1" x14ac:dyDescent="0.25">
      <c r="A90" s="61" t="s">
        <v>73</v>
      </c>
      <c r="B90" s="46" t="s">
        <v>1540</v>
      </c>
      <c r="C90" s="122" t="s">
        <v>1082</v>
      </c>
      <c r="D90" s="46" t="s">
        <v>1540</v>
      </c>
      <c r="E90" s="49" t="s">
        <v>50</v>
      </c>
      <c r="F90" s="52">
        <v>2012</v>
      </c>
      <c r="G90" s="52" t="s">
        <v>1541</v>
      </c>
      <c r="H90" s="52" t="s">
        <v>238</v>
      </c>
      <c r="I90" s="53" t="s">
        <v>1542</v>
      </c>
      <c r="J90" s="49" t="s">
        <v>1543</v>
      </c>
      <c r="K90" s="53" t="s">
        <v>1544</v>
      </c>
      <c r="L90" s="53" t="s">
        <v>1545</v>
      </c>
      <c r="M90" s="53" t="s">
        <v>1546</v>
      </c>
      <c r="N90" s="123" t="s">
        <v>1547</v>
      </c>
      <c r="O90" s="52" t="s">
        <v>215</v>
      </c>
      <c r="P90" s="63" t="s">
        <v>1548</v>
      </c>
      <c r="V90" s="52" t="s">
        <v>236</v>
      </c>
      <c r="W90" s="52" t="s">
        <v>219</v>
      </c>
      <c r="X90" s="111" t="s">
        <v>1378</v>
      </c>
      <c r="Y90" s="52" t="s">
        <v>1549</v>
      </c>
      <c r="Z90" s="52" t="s">
        <v>231</v>
      </c>
      <c r="AA90" s="52">
        <f>6/4*(2/5)</f>
        <v>0.60000000000000009</v>
      </c>
      <c r="AB90" s="52">
        <f>AA90*4*5*2</f>
        <v>24.000000000000004</v>
      </c>
      <c r="AC90" s="52">
        <f>6/4*(3/5)</f>
        <v>0.89999999999999991</v>
      </c>
      <c r="AD90" s="52">
        <f>AC90*4*5*2</f>
        <v>36</v>
      </c>
      <c r="AE90" s="52" t="s">
        <v>1550</v>
      </c>
      <c r="AF90" s="52">
        <v>10</v>
      </c>
      <c r="AG90" s="123" t="s">
        <v>970</v>
      </c>
      <c r="AH90" s="53" t="s">
        <v>1551</v>
      </c>
      <c r="AI90" s="123" t="s">
        <v>1044</v>
      </c>
      <c r="AJ90" s="52" t="s">
        <v>971</v>
      </c>
      <c r="AK90" s="52" t="s">
        <v>1552</v>
      </c>
      <c r="AN90" s="53" t="s">
        <v>1553</v>
      </c>
      <c r="AO90" s="53" t="s">
        <v>1554</v>
      </c>
      <c r="AP90" s="23" t="s">
        <v>1451</v>
      </c>
    </row>
    <row r="91" spans="1:162" s="52" customFormat="1" ht="30" hidden="1" customHeight="1" x14ac:dyDescent="0.25">
      <c r="A91" s="49" t="s">
        <v>52</v>
      </c>
      <c r="B91" s="50" t="s">
        <v>1559</v>
      </c>
      <c r="C91" s="20" t="s">
        <v>1082</v>
      </c>
      <c r="D91" s="50" t="s">
        <v>1561</v>
      </c>
      <c r="E91" s="49" t="s">
        <v>50</v>
      </c>
      <c r="F91" s="52">
        <v>2004</v>
      </c>
      <c r="G91" s="52">
        <v>29</v>
      </c>
      <c r="H91" s="52" t="s">
        <v>240</v>
      </c>
      <c r="I91" s="53" t="s">
        <v>1562</v>
      </c>
      <c r="J91" s="49" t="s">
        <v>1563</v>
      </c>
      <c r="K91" s="53" t="s">
        <v>1564</v>
      </c>
      <c r="L91" s="53" t="s">
        <v>1565</v>
      </c>
      <c r="M91" s="53" t="s">
        <v>1566</v>
      </c>
      <c r="N91" s="52" t="s">
        <v>244</v>
      </c>
      <c r="O91" s="52" t="s">
        <v>215</v>
      </c>
      <c r="P91" s="52" t="s">
        <v>1567</v>
      </c>
      <c r="V91" s="52" t="s">
        <v>218</v>
      </c>
      <c r="W91" s="52" t="s">
        <v>219</v>
      </c>
      <c r="X91" s="52" t="s">
        <v>1568</v>
      </c>
      <c r="Y91" s="52" t="s">
        <v>1549</v>
      </c>
      <c r="Z91" s="52" t="s">
        <v>231</v>
      </c>
      <c r="AA91" s="52">
        <f>2/4</f>
        <v>0.5</v>
      </c>
      <c r="AC91" s="52" t="s">
        <v>1569</v>
      </c>
      <c r="AF91" s="52">
        <v>17</v>
      </c>
      <c r="AG91" s="52" t="s">
        <v>970</v>
      </c>
      <c r="AH91" s="53"/>
      <c r="AI91" s="123" t="s">
        <v>1044</v>
      </c>
      <c r="AK91" s="52" t="s">
        <v>971</v>
      </c>
      <c r="AL91" s="53" t="s">
        <v>1570</v>
      </c>
      <c r="AN91" s="53" t="s">
        <v>1571</v>
      </c>
      <c r="AO91" s="53" t="s">
        <v>1572</v>
      </c>
      <c r="AP91" s="53" t="s">
        <v>1451</v>
      </c>
    </row>
    <row r="92" spans="1:162" s="52" customFormat="1" ht="30" hidden="1" customHeight="1" x14ac:dyDescent="0.25">
      <c r="A92" s="49" t="s">
        <v>52</v>
      </c>
      <c r="B92" s="50" t="s">
        <v>1559</v>
      </c>
      <c r="C92" s="20" t="s">
        <v>1082</v>
      </c>
      <c r="D92" s="50" t="s">
        <v>1573</v>
      </c>
      <c r="E92" s="49" t="s">
        <v>50</v>
      </c>
      <c r="F92" s="52">
        <v>2004</v>
      </c>
      <c r="G92" s="52">
        <v>29</v>
      </c>
      <c r="H92" s="52" t="s">
        <v>240</v>
      </c>
      <c r="I92" s="53" t="s">
        <v>1562</v>
      </c>
      <c r="J92" s="49" t="s">
        <v>1574</v>
      </c>
      <c r="K92" s="53" t="s">
        <v>1575</v>
      </c>
      <c r="L92" s="53" t="s">
        <v>1576</v>
      </c>
      <c r="M92" s="53" t="s">
        <v>1577</v>
      </c>
      <c r="N92" s="52" t="s">
        <v>248</v>
      </c>
      <c r="O92" s="52" t="s">
        <v>215</v>
      </c>
      <c r="P92" s="52" t="s">
        <v>955</v>
      </c>
      <c r="V92" s="52" t="s">
        <v>236</v>
      </c>
      <c r="W92" s="52" t="s">
        <v>247</v>
      </c>
      <c r="X92" s="52" t="s">
        <v>1568</v>
      </c>
      <c r="Z92" s="52" t="s">
        <v>231</v>
      </c>
      <c r="AA92" s="52">
        <f>3/4</f>
        <v>0.75</v>
      </c>
      <c r="AB92" s="52">
        <v>68</v>
      </c>
      <c r="AF92" s="52">
        <v>17</v>
      </c>
      <c r="AG92" s="52" t="s">
        <v>970</v>
      </c>
      <c r="AH92" s="53" t="s">
        <v>1578</v>
      </c>
      <c r="AI92" s="123" t="s">
        <v>1047</v>
      </c>
      <c r="AJ92" s="52" t="s">
        <v>1579</v>
      </c>
      <c r="AK92" s="52" t="s">
        <v>971</v>
      </c>
      <c r="AL92" s="53" t="s">
        <v>1570</v>
      </c>
      <c r="AN92" s="53" t="s">
        <v>1571</v>
      </c>
      <c r="AO92" s="53" t="s">
        <v>1580</v>
      </c>
      <c r="AP92" s="53" t="s">
        <v>1451</v>
      </c>
    </row>
    <row r="93" spans="1:162" s="52" customFormat="1" ht="30" customHeight="1" x14ac:dyDescent="0.25">
      <c r="A93" s="49" t="s">
        <v>52</v>
      </c>
      <c r="B93" s="50" t="s">
        <v>1581</v>
      </c>
      <c r="C93" s="20" t="s">
        <v>1082</v>
      </c>
      <c r="D93" s="50" t="s">
        <v>1583</v>
      </c>
      <c r="E93" s="51" t="s">
        <v>50</v>
      </c>
      <c r="F93" s="52">
        <v>1982</v>
      </c>
      <c r="G93" s="52" t="s">
        <v>240</v>
      </c>
      <c r="H93" s="52" t="s">
        <v>1584</v>
      </c>
      <c r="I93" s="53" t="s">
        <v>1585</v>
      </c>
      <c r="J93" s="49" t="s">
        <v>1586</v>
      </c>
      <c r="K93" s="53" t="s">
        <v>1587</v>
      </c>
      <c r="L93" s="53" t="s">
        <v>1588</v>
      </c>
      <c r="M93" s="53" t="s">
        <v>1589</v>
      </c>
      <c r="N93" s="52" t="s">
        <v>301</v>
      </c>
      <c r="O93" s="52" t="s">
        <v>215</v>
      </c>
      <c r="P93" s="52" t="s">
        <v>1567</v>
      </c>
      <c r="V93" s="52" t="s">
        <v>218</v>
      </c>
      <c r="W93" s="52" t="s">
        <v>219</v>
      </c>
      <c r="X93" s="52" t="s">
        <v>219</v>
      </c>
      <c r="Y93" s="52" t="s">
        <v>1549</v>
      </c>
      <c r="Z93" s="52" t="s">
        <v>231</v>
      </c>
      <c r="AA93" s="52">
        <f>3/4</f>
        <v>0.75</v>
      </c>
      <c r="AC93" s="52">
        <f>13/4</f>
        <v>3.25</v>
      </c>
      <c r="AF93" s="52">
        <v>82</v>
      </c>
      <c r="AG93" s="52" t="s">
        <v>970</v>
      </c>
      <c r="AH93" s="53" t="s">
        <v>1590</v>
      </c>
      <c r="AI93" s="123" t="s">
        <v>1047</v>
      </c>
      <c r="AJ93" s="52" t="s">
        <v>1579</v>
      </c>
      <c r="AK93" s="52" t="s">
        <v>971</v>
      </c>
      <c r="AL93" s="53" t="s">
        <v>1570</v>
      </c>
      <c r="AN93" s="53" t="s">
        <v>1591</v>
      </c>
      <c r="AO93" s="53" t="s">
        <v>1592</v>
      </c>
      <c r="AP93" s="53" t="s">
        <v>1450</v>
      </c>
    </row>
    <row r="94" spans="1:162" s="52" customFormat="1" ht="30" customHeight="1" x14ac:dyDescent="0.25">
      <c r="A94" s="49" t="s">
        <v>52</v>
      </c>
      <c r="B94" s="50" t="s">
        <v>1581</v>
      </c>
      <c r="C94" s="20" t="s">
        <v>1082</v>
      </c>
      <c r="D94" s="50" t="s">
        <v>1593</v>
      </c>
      <c r="E94" s="51" t="s">
        <v>50</v>
      </c>
      <c r="F94" s="52">
        <v>1983</v>
      </c>
      <c r="G94" s="52" t="s">
        <v>240</v>
      </c>
      <c r="H94" s="52" t="s">
        <v>1584</v>
      </c>
      <c r="I94" s="53" t="s">
        <v>1585</v>
      </c>
      <c r="J94" s="49" t="s">
        <v>1594</v>
      </c>
      <c r="K94" s="53" t="s">
        <v>1595</v>
      </c>
      <c r="L94" s="53" t="s">
        <v>1588</v>
      </c>
      <c r="M94" s="53" t="s">
        <v>1589</v>
      </c>
      <c r="N94" s="52" t="s">
        <v>301</v>
      </c>
      <c r="O94" s="52" t="s">
        <v>215</v>
      </c>
      <c r="P94" s="52" t="s">
        <v>1567</v>
      </c>
      <c r="V94" s="52" t="s">
        <v>218</v>
      </c>
      <c r="W94" s="52" t="s">
        <v>219</v>
      </c>
      <c r="X94" s="52" t="s">
        <v>219</v>
      </c>
      <c r="Y94" s="52" t="s">
        <v>1549</v>
      </c>
      <c r="Z94" s="52" t="s">
        <v>231</v>
      </c>
      <c r="AA94" s="52">
        <f>3/4</f>
        <v>0.75</v>
      </c>
      <c r="AC94" s="52">
        <f>13/4</f>
        <v>3.25</v>
      </c>
      <c r="AF94" s="52">
        <v>82</v>
      </c>
      <c r="AG94" s="52" t="s">
        <v>970</v>
      </c>
      <c r="AH94" s="53" t="s">
        <v>1590</v>
      </c>
      <c r="AI94" s="123" t="s">
        <v>1047</v>
      </c>
      <c r="AJ94" s="52" t="s">
        <v>1579</v>
      </c>
      <c r="AK94" s="52" t="s">
        <v>971</v>
      </c>
      <c r="AL94" s="53" t="s">
        <v>1570</v>
      </c>
      <c r="AN94" s="53" t="s">
        <v>1591</v>
      </c>
      <c r="AO94" s="53" t="s">
        <v>1596</v>
      </c>
      <c r="AP94" s="53" t="s">
        <v>1450</v>
      </c>
    </row>
    <row r="95" spans="1:162" s="63" customFormat="1" ht="30" customHeight="1" x14ac:dyDescent="0.25">
      <c r="A95" s="54" t="s">
        <v>53</v>
      </c>
      <c r="B95" s="55" t="s">
        <v>1597</v>
      </c>
      <c r="C95" s="20" t="s">
        <v>1082</v>
      </c>
      <c r="D95" s="55" t="s">
        <v>1597</v>
      </c>
      <c r="E95" s="56" t="s">
        <v>77</v>
      </c>
      <c r="F95" s="63">
        <v>1984</v>
      </c>
      <c r="G95" s="58" t="s">
        <v>1598</v>
      </c>
      <c r="H95" s="125" t="s">
        <v>1599</v>
      </c>
      <c r="I95" s="114" t="s">
        <v>1600</v>
      </c>
      <c r="J95" s="56" t="s">
        <v>78</v>
      </c>
      <c r="K95" s="114" t="s">
        <v>1601</v>
      </c>
      <c r="L95" s="63" t="s">
        <v>1569</v>
      </c>
      <c r="M95" s="63" t="s">
        <v>1569</v>
      </c>
      <c r="N95" s="63" t="s">
        <v>301</v>
      </c>
      <c r="O95" s="63" t="s">
        <v>1602</v>
      </c>
      <c r="P95" s="63" t="s">
        <v>1603</v>
      </c>
      <c r="V95" s="63" t="s">
        <v>1569</v>
      </c>
      <c r="W95" s="63" t="s">
        <v>1569</v>
      </c>
      <c r="X95" s="63" t="s">
        <v>219</v>
      </c>
      <c r="Y95" s="63" t="s">
        <v>1569</v>
      </c>
      <c r="Z95" s="63" t="s">
        <v>1569</v>
      </c>
      <c r="AA95" s="63" t="s">
        <v>1569</v>
      </c>
      <c r="AB95" s="63" t="s">
        <v>1569</v>
      </c>
      <c r="AC95" s="63" t="s">
        <v>1569</v>
      </c>
      <c r="AD95" s="63" t="s">
        <v>1569</v>
      </c>
      <c r="AF95" s="63">
        <v>41</v>
      </c>
      <c r="AG95" s="63" t="s">
        <v>970</v>
      </c>
      <c r="AH95" s="63" t="s">
        <v>1569</v>
      </c>
      <c r="AI95" s="63" t="s">
        <v>1569</v>
      </c>
      <c r="AJ95" s="63" t="s">
        <v>1569</v>
      </c>
      <c r="AK95" s="63" t="s">
        <v>970</v>
      </c>
      <c r="AL95" s="114" t="s">
        <v>1604</v>
      </c>
      <c r="AN95" s="114" t="s">
        <v>1605</v>
      </c>
      <c r="AO95" s="114" t="s">
        <v>1606</v>
      </c>
      <c r="AP95" s="49" t="s">
        <v>1451</v>
      </c>
    </row>
    <row r="96" spans="1:162" s="63" customFormat="1" ht="30" customHeight="1" x14ac:dyDescent="0.25">
      <c r="A96" s="54" t="s">
        <v>76</v>
      </c>
      <c r="B96" s="55" t="s">
        <v>1607</v>
      </c>
      <c r="C96" s="20" t="s">
        <v>1082</v>
      </c>
      <c r="D96" s="55" t="s">
        <v>1607</v>
      </c>
      <c r="E96" s="56" t="s">
        <v>50</v>
      </c>
      <c r="F96" s="63">
        <v>1994</v>
      </c>
      <c r="G96" s="56" t="s">
        <v>1608</v>
      </c>
      <c r="H96" s="56" t="s">
        <v>238</v>
      </c>
      <c r="I96" s="114" t="s">
        <v>1609</v>
      </c>
      <c r="J96" s="56" t="s">
        <v>1610</v>
      </c>
      <c r="K96" s="114" t="s">
        <v>1611</v>
      </c>
      <c r="L96" s="63" t="s">
        <v>1612</v>
      </c>
      <c r="M96" s="114" t="s">
        <v>1613</v>
      </c>
      <c r="N96" s="63" t="s">
        <v>301</v>
      </c>
      <c r="O96" s="63" t="s">
        <v>215</v>
      </c>
      <c r="P96" s="63" t="s">
        <v>311</v>
      </c>
      <c r="V96" s="63" t="s">
        <v>218</v>
      </c>
      <c r="W96" s="63" t="s">
        <v>247</v>
      </c>
      <c r="X96" s="63" t="s">
        <v>219</v>
      </c>
      <c r="Y96" s="63" t="s">
        <v>1569</v>
      </c>
      <c r="Z96" s="63" t="s">
        <v>1569</v>
      </c>
      <c r="AA96" s="63" t="s">
        <v>1569</v>
      </c>
      <c r="AG96" s="63" t="s">
        <v>970</v>
      </c>
      <c r="AH96" s="63" t="s">
        <v>1614</v>
      </c>
      <c r="AI96" s="115" t="s">
        <v>1047</v>
      </c>
      <c r="AK96" s="63" t="s">
        <v>970</v>
      </c>
      <c r="AL96" s="63" t="s">
        <v>1615</v>
      </c>
      <c r="AN96" s="114" t="s">
        <v>1616</v>
      </c>
      <c r="AO96" s="114" t="s">
        <v>1617</v>
      </c>
      <c r="AP96" s="114" t="s">
        <v>1450</v>
      </c>
    </row>
    <row r="97" spans="1:42" s="63" customFormat="1" ht="30" customHeight="1" x14ac:dyDescent="0.25">
      <c r="A97" s="57" t="s">
        <v>59</v>
      </c>
      <c r="B97" s="58" t="s">
        <v>1618</v>
      </c>
      <c r="C97" s="20" t="s">
        <v>1082</v>
      </c>
      <c r="D97" s="58" t="s">
        <v>1618</v>
      </c>
      <c r="E97" s="57" t="s">
        <v>63</v>
      </c>
      <c r="F97" s="63">
        <v>2005</v>
      </c>
      <c r="G97" s="63" t="s">
        <v>1619</v>
      </c>
      <c r="H97" s="63" t="s">
        <v>1620</v>
      </c>
      <c r="I97" s="114" t="s">
        <v>1621</v>
      </c>
      <c r="J97" s="56" t="s">
        <v>1622</v>
      </c>
      <c r="K97" s="114" t="s">
        <v>1623</v>
      </c>
      <c r="L97" s="114" t="s">
        <v>1624</v>
      </c>
      <c r="M97" s="114" t="s">
        <v>1625</v>
      </c>
      <c r="N97" s="63" t="s">
        <v>301</v>
      </c>
      <c r="O97" s="63" t="s">
        <v>1111</v>
      </c>
      <c r="P97" s="114" t="s">
        <v>1626</v>
      </c>
      <c r="V97" s="63" t="s">
        <v>218</v>
      </c>
      <c r="W97" s="63" t="s">
        <v>1627</v>
      </c>
      <c r="X97" s="63" t="s">
        <v>219</v>
      </c>
      <c r="Y97" s="63" t="s">
        <v>1569</v>
      </c>
      <c r="Z97" s="63" t="s">
        <v>1569</v>
      </c>
      <c r="AA97" s="63" t="s">
        <v>1569</v>
      </c>
      <c r="AB97" s="63" t="s">
        <v>1569</v>
      </c>
      <c r="AC97" s="63" t="s">
        <v>1569</v>
      </c>
      <c r="AD97" s="63" t="s">
        <v>1569</v>
      </c>
      <c r="AG97" s="63" t="s">
        <v>971</v>
      </c>
      <c r="AI97" s="63" t="s">
        <v>1044</v>
      </c>
      <c r="AK97" s="63" t="s">
        <v>971</v>
      </c>
      <c r="AL97" s="63" t="s">
        <v>1074</v>
      </c>
      <c r="AN97" s="63" t="s">
        <v>1628</v>
      </c>
      <c r="AO97" s="114" t="s">
        <v>1629</v>
      </c>
      <c r="AP97" s="63" t="s">
        <v>1450</v>
      </c>
    </row>
    <row r="98" spans="1:42" s="63" customFormat="1" ht="30" customHeight="1" x14ac:dyDescent="0.25">
      <c r="A98" s="57" t="s">
        <v>59</v>
      </c>
      <c r="B98" s="58" t="s">
        <v>1630</v>
      </c>
      <c r="C98" s="20" t="s">
        <v>1082</v>
      </c>
      <c r="D98" s="58" t="s">
        <v>1618</v>
      </c>
      <c r="E98" s="57" t="s">
        <v>63</v>
      </c>
      <c r="F98" s="63">
        <v>2003</v>
      </c>
      <c r="G98" s="63" t="s">
        <v>1631</v>
      </c>
      <c r="H98" s="63" t="s">
        <v>1632</v>
      </c>
      <c r="I98" s="114" t="s">
        <v>1621</v>
      </c>
      <c r="J98" s="56" t="s">
        <v>1622</v>
      </c>
      <c r="K98" s="114" t="s">
        <v>1623</v>
      </c>
      <c r="L98" s="114" t="s">
        <v>1624</v>
      </c>
      <c r="M98" s="114" t="s">
        <v>1625</v>
      </c>
      <c r="N98" s="63" t="s">
        <v>301</v>
      </c>
      <c r="O98" s="63" t="s">
        <v>1111</v>
      </c>
      <c r="P98" s="63" t="s">
        <v>1633</v>
      </c>
      <c r="V98" s="63" t="s">
        <v>218</v>
      </c>
      <c r="W98" s="63" t="s">
        <v>1627</v>
      </c>
      <c r="X98" s="63" t="s">
        <v>219</v>
      </c>
      <c r="Y98" s="63" t="s">
        <v>1569</v>
      </c>
      <c r="Z98" s="63" t="s">
        <v>1569</v>
      </c>
      <c r="AA98" s="63" t="s">
        <v>1569</v>
      </c>
      <c r="AB98" s="63" t="s">
        <v>1569</v>
      </c>
      <c r="AC98" s="63" t="s">
        <v>1569</v>
      </c>
      <c r="AD98" s="63" t="s">
        <v>1569</v>
      </c>
      <c r="AG98" s="63" t="s">
        <v>971</v>
      </c>
      <c r="AI98" s="63" t="s">
        <v>1044</v>
      </c>
      <c r="AK98" s="63" t="s">
        <v>971</v>
      </c>
      <c r="AL98" s="63" t="s">
        <v>1074</v>
      </c>
      <c r="AN98" s="63" t="s">
        <v>1628</v>
      </c>
      <c r="AO98" s="114" t="s">
        <v>1629</v>
      </c>
      <c r="AP98" s="63" t="s">
        <v>1450</v>
      </c>
    </row>
    <row r="99" spans="1:42" s="63" customFormat="1" ht="30" customHeight="1" x14ac:dyDescent="0.25">
      <c r="A99" s="59" t="s">
        <v>81</v>
      </c>
      <c r="B99" s="60" t="s">
        <v>1634</v>
      </c>
      <c r="C99" s="20" t="s">
        <v>1082</v>
      </c>
      <c r="D99" s="60" t="s">
        <v>1634</v>
      </c>
      <c r="E99" s="28" t="s">
        <v>1635</v>
      </c>
      <c r="F99" s="115">
        <v>1998</v>
      </c>
      <c r="G99" s="63" t="s">
        <v>657</v>
      </c>
      <c r="H99" s="63" t="s">
        <v>1636</v>
      </c>
      <c r="I99" s="114" t="s">
        <v>1637</v>
      </c>
      <c r="J99" s="57" t="s">
        <v>1638</v>
      </c>
      <c r="K99" s="114" t="s">
        <v>1639</v>
      </c>
      <c r="L99" s="114" t="s">
        <v>1640</v>
      </c>
      <c r="M99" s="114" t="s">
        <v>1641</v>
      </c>
      <c r="N99" s="63" t="s">
        <v>301</v>
      </c>
      <c r="O99" s="115" t="s">
        <v>1642</v>
      </c>
      <c r="P99" s="115" t="s">
        <v>238</v>
      </c>
      <c r="V99" s="63" t="s">
        <v>1569</v>
      </c>
      <c r="W99" s="63" t="s">
        <v>1569</v>
      </c>
      <c r="X99" s="111" t="s">
        <v>1378</v>
      </c>
      <c r="Y99" s="63" t="s">
        <v>1569</v>
      </c>
      <c r="Z99" s="63" t="s">
        <v>1569</v>
      </c>
      <c r="AA99" s="144" t="s">
        <v>1643</v>
      </c>
      <c r="AB99" s="63" t="s">
        <v>1569</v>
      </c>
      <c r="AC99" s="63">
        <v>6</v>
      </c>
      <c r="AD99" s="63" t="s">
        <v>1644</v>
      </c>
      <c r="AG99" s="115" t="s">
        <v>970</v>
      </c>
      <c r="AI99" s="115" t="s">
        <v>1047</v>
      </c>
      <c r="AJ99" s="63" t="s">
        <v>1645</v>
      </c>
      <c r="AK99" s="115" t="s">
        <v>970</v>
      </c>
      <c r="AN99" s="114" t="s">
        <v>1646</v>
      </c>
      <c r="AO99" s="114" t="s">
        <v>1647</v>
      </c>
      <c r="AP99" s="63" t="s">
        <v>1450</v>
      </c>
    </row>
    <row r="100" spans="1:42" s="63" customFormat="1" ht="30" customHeight="1" x14ac:dyDescent="0.25">
      <c r="A100" s="59" t="s">
        <v>53</v>
      </c>
      <c r="B100" s="60" t="s">
        <v>1648</v>
      </c>
      <c r="C100" s="20" t="s">
        <v>1082</v>
      </c>
      <c r="D100" s="60" t="s">
        <v>1634</v>
      </c>
      <c r="E100" s="28" t="s">
        <v>1635</v>
      </c>
      <c r="F100" s="115">
        <v>1998</v>
      </c>
      <c r="G100" s="63" t="s">
        <v>657</v>
      </c>
      <c r="H100" s="63" t="s">
        <v>311</v>
      </c>
      <c r="I100" s="114" t="s">
        <v>1637</v>
      </c>
      <c r="J100" s="57" t="s">
        <v>1638</v>
      </c>
      <c r="K100" s="114" t="s">
        <v>1639</v>
      </c>
      <c r="L100" s="114" t="s">
        <v>1640</v>
      </c>
      <c r="M100" s="114" t="s">
        <v>1641</v>
      </c>
      <c r="N100" s="63" t="s">
        <v>301</v>
      </c>
      <c r="O100" s="115" t="s">
        <v>1642</v>
      </c>
      <c r="P100" s="115" t="s">
        <v>462</v>
      </c>
      <c r="V100" s="63" t="s">
        <v>1569</v>
      </c>
      <c r="W100" s="63" t="s">
        <v>1569</v>
      </c>
      <c r="X100" s="111" t="s">
        <v>1378</v>
      </c>
      <c r="Y100" s="63" t="s">
        <v>1569</v>
      </c>
      <c r="Z100" s="63" t="s">
        <v>1569</v>
      </c>
      <c r="AA100" s="144" t="s">
        <v>1643</v>
      </c>
      <c r="AB100" s="63" t="s">
        <v>1569</v>
      </c>
      <c r="AC100" s="63">
        <v>6</v>
      </c>
      <c r="AD100" s="63" t="s">
        <v>1644</v>
      </c>
      <c r="AG100" s="115" t="s">
        <v>970</v>
      </c>
      <c r="AI100" s="115" t="s">
        <v>1047</v>
      </c>
      <c r="AJ100" s="63" t="s">
        <v>1645</v>
      </c>
      <c r="AK100" s="115" t="s">
        <v>970</v>
      </c>
      <c r="AN100" s="114" t="s">
        <v>1646</v>
      </c>
      <c r="AO100" s="114" t="s">
        <v>1647</v>
      </c>
      <c r="AP100" s="63" t="s">
        <v>1450</v>
      </c>
    </row>
    <row r="101" spans="1:42" s="63" customFormat="1" ht="30" customHeight="1" x14ac:dyDescent="0.25">
      <c r="A101" s="59" t="s">
        <v>49</v>
      </c>
      <c r="B101" s="60" t="s">
        <v>1649</v>
      </c>
      <c r="C101" s="20" t="s">
        <v>1082</v>
      </c>
      <c r="D101" s="60" t="s">
        <v>1634</v>
      </c>
      <c r="E101" s="28" t="s">
        <v>1635</v>
      </c>
      <c r="F101" s="115">
        <v>1998</v>
      </c>
      <c r="G101" s="63" t="s">
        <v>657</v>
      </c>
      <c r="H101" s="63" t="s">
        <v>1636</v>
      </c>
      <c r="I101" s="114" t="s">
        <v>1637</v>
      </c>
      <c r="J101" s="57" t="s">
        <v>1638</v>
      </c>
      <c r="K101" s="114" t="s">
        <v>1639</v>
      </c>
      <c r="L101" s="114" t="s">
        <v>1640</v>
      </c>
      <c r="M101" s="114" t="s">
        <v>1641</v>
      </c>
      <c r="N101" s="63" t="s">
        <v>301</v>
      </c>
      <c r="O101" s="115" t="s">
        <v>315</v>
      </c>
      <c r="P101" s="115" t="s">
        <v>1650</v>
      </c>
      <c r="V101" s="63" t="s">
        <v>1569</v>
      </c>
      <c r="W101" s="63" t="s">
        <v>1569</v>
      </c>
      <c r="X101" s="111" t="s">
        <v>1378</v>
      </c>
      <c r="Y101" s="63" t="s">
        <v>1569</v>
      </c>
      <c r="Z101" s="63" t="s">
        <v>1569</v>
      </c>
      <c r="AA101" s="144" t="s">
        <v>1643</v>
      </c>
      <c r="AB101" s="63" t="s">
        <v>1569</v>
      </c>
      <c r="AC101" s="63">
        <v>6</v>
      </c>
      <c r="AD101" s="63" t="s">
        <v>1644</v>
      </c>
      <c r="AG101" s="115" t="s">
        <v>970</v>
      </c>
      <c r="AI101" s="115" t="s">
        <v>1047</v>
      </c>
      <c r="AJ101" s="63" t="s">
        <v>1645</v>
      </c>
      <c r="AK101" s="115" t="s">
        <v>970</v>
      </c>
      <c r="AN101" s="114" t="s">
        <v>1646</v>
      </c>
      <c r="AO101" s="114" t="s">
        <v>1647</v>
      </c>
      <c r="AP101" s="63" t="s">
        <v>1450</v>
      </c>
    </row>
    <row r="102" spans="1:42" s="63" customFormat="1" ht="30" customHeight="1" x14ac:dyDescent="0.25">
      <c r="A102" s="59" t="s">
        <v>53</v>
      </c>
      <c r="B102" s="63" t="s">
        <v>1651</v>
      </c>
      <c r="C102" s="20" t="s">
        <v>1082</v>
      </c>
      <c r="D102" s="60" t="s">
        <v>1652</v>
      </c>
      <c r="E102" s="20" t="s">
        <v>102</v>
      </c>
      <c r="F102" s="63">
        <v>2005</v>
      </c>
      <c r="G102" s="58" t="s">
        <v>1653</v>
      </c>
      <c r="H102" s="63" t="s">
        <v>1636</v>
      </c>
      <c r="I102" s="114" t="s">
        <v>1654</v>
      </c>
      <c r="J102" s="28" t="s">
        <v>1655</v>
      </c>
      <c r="K102" s="63" t="s">
        <v>1656</v>
      </c>
      <c r="L102" s="63" t="s">
        <v>1569</v>
      </c>
      <c r="M102" s="114" t="s">
        <v>1657</v>
      </c>
      <c r="N102" s="63" t="s">
        <v>301</v>
      </c>
      <c r="O102" s="115" t="s">
        <v>215</v>
      </c>
      <c r="P102" s="115" t="s">
        <v>311</v>
      </c>
      <c r="V102" s="63" t="s">
        <v>1569</v>
      </c>
      <c r="W102" s="63" t="s">
        <v>1569</v>
      </c>
      <c r="X102" s="63" t="s">
        <v>219</v>
      </c>
      <c r="Y102" s="63" t="s">
        <v>1569</v>
      </c>
      <c r="Z102" s="63" t="s">
        <v>1569</v>
      </c>
      <c r="AA102" s="63">
        <v>3</v>
      </c>
      <c r="AB102" s="63" t="s">
        <v>1569</v>
      </c>
      <c r="AC102" s="63" t="s">
        <v>1569</v>
      </c>
      <c r="AD102" s="63" t="s">
        <v>1569</v>
      </c>
      <c r="AF102" s="52"/>
      <c r="AG102" s="63" t="s">
        <v>970</v>
      </c>
      <c r="AI102" s="115" t="s">
        <v>1047</v>
      </c>
      <c r="AJ102" s="63" t="s">
        <v>1645</v>
      </c>
      <c r="AK102" s="63" t="s">
        <v>970</v>
      </c>
      <c r="AL102" s="52"/>
      <c r="AN102" s="114" t="s">
        <v>1658</v>
      </c>
      <c r="AO102" s="114" t="s">
        <v>1659</v>
      </c>
      <c r="AP102" s="114" t="s">
        <v>1660</v>
      </c>
    </row>
    <row r="103" spans="1:42" s="63" customFormat="1" ht="30" customHeight="1" x14ac:dyDescent="0.25">
      <c r="A103" s="59" t="s">
        <v>53</v>
      </c>
      <c r="B103" s="60" t="s">
        <v>1661</v>
      </c>
      <c r="C103" s="20" t="s">
        <v>1082</v>
      </c>
      <c r="D103" s="60" t="s">
        <v>1661</v>
      </c>
      <c r="E103" s="28" t="s">
        <v>1662</v>
      </c>
      <c r="F103" s="115">
        <v>2012</v>
      </c>
      <c r="G103" s="63">
        <v>35</v>
      </c>
      <c r="H103" s="63" t="s">
        <v>291</v>
      </c>
      <c r="I103" s="114" t="s">
        <v>1663</v>
      </c>
      <c r="J103" s="28" t="s">
        <v>1664</v>
      </c>
      <c r="K103" s="114" t="s">
        <v>1665</v>
      </c>
      <c r="L103" s="63" t="s">
        <v>1569</v>
      </c>
      <c r="M103" s="114" t="s">
        <v>1666</v>
      </c>
      <c r="N103" s="63" t="s">
        <v>301</v>
      </c>
      <c r="O103" s="115" t="s">
        <v>1667</v>
      </c>
      <c r="P103" s="115" t="s">
        <v>376</v>
      </c>
      <c r="V103" s="63" t="s">
        <v>1569</v>
      </c>
      <c r="W103" s="63" t="s">
        <v>1569</v>
      </c>
      <c r="X103" s="63" t="s">
        <v>219</v>
      </c>
      <c r="Y103" s="63" t="s">
        <v>1569</v>
      </c>
      <c r="Z103" s="63" t="s">
        <v>1569</v>
      </c>
      <c r="AA103" s="63" t="s">
        <v>1569</v>
      </c>
      <c r="AB103" s="63" t="s">
        <v>1569</v>
      </c>
      <c r="AC103" s="63" t="s">
        <v>1569</v>
      </c>
      <c r="AD103" s="63" t="s">
        <v>1569</v>
      </c>
      <c r="AG103" s="115" t="s">
        <v>970</v>
      </c>
      <c r="AH103" s="115"/>
      <c r="AI103" s="115" t="s">
        <v>1047</v>
      </c>
      <c r="AJ103" s="63" t="s">
        <v>1645</v>
      </c>
      <c r="AK103" s="115" t="s">
        <v>970</v>
      </c>
      <c r="AN103" s="114" t="s">
        <v>1668</v>
      </c>
      <c r="AO103" s="114" t="s">
        <v>1669</v>
      </c>
      <c r="AP103" s="63" t="s">
        <v>1450</v>
      </c>
    </row>
    <row r="104" spans="1:42" s="63" customFormat="1" ht="30" customHeight="1" x14ac:dyDescent="0.25">
      <c r="A104" s="59" t="s">
        <v>53</v>
      </c>
      <c r="B104" s="60" t="s">
        <v>1670</v>
      </c>
      <c r="C104" s="20" t="s">
        <v>1082</v>
      </c>
      <c r="D104" s="60" t="s">
        <v>1670</v>
      </c>
      <c r="E104" s="28" t="s">
        <v>50</v>
      </c>
      <c r="F104" s="58" t="s">
        <v>1671</v>
      </c>
      <c r="G104" s="63">
        <v>34</v>
      </c>
      <c r="H104" s="114" t="s">
        <v>1672</v>
      </c>
      <c r="I104" s="114" t="s">
        <v>1673</v>
      </c>
      <c r="J104" s="28" t="s">
        <v>1674</v>
      </c>
      <c r="K104" s="114" t="s">
        <v>1675</v>
      </c>
      <c r="L104" s="114" t="s">
        <v>1676</v>
      </c>
      <c r="M104" s="114" t="s">
        <v>1677</v>
      </c>
      <c r="N104" s="114" t="s">
        <v>301</v>
      </c>
      <c r="O104" s="114" t="s">
        <v>215</v>
      </c>
      <c r="P104" s="63" t="s">
        <v>238</v>
      </c>
      <c r="Q104" s="114" t="s">
        <v>1678</v>
      </c>
      <c r="V104" s="115" t="s">
        <v>218</v>
      </c>
      <c r="W104" s="111" t="s">
        <v>247</v>
      </c>
      <c r="X104" s="111" t="s">
        <v>219</v>
      </c>
      <c r="Y104" s="63" t="s">
        <v>1569</v>
      </c>
      <c r="Z104" s="145" t="s">
        <v>1569</v>
      </c>
      <c r="AA104" s="145" t="s">
        <v>1569</v>
      </c>
      <c r="AB104" s="145" t="s">
        <v>1569</v>
      </c>
      <c r="AC104" s="63" t="s">
        <v>1569</v>
      </c>
      <c r="AD104" s="63" t="s">
        <v>1569</v>
      </c>
      <c r="AG104" s="115" t="s">
        <v>970</v>
      </c>
      <c r="AH104" s="114" t="s">
        <v>1679</v>
      </c>
      <c r="AI104" s="116" t="s">
        <v>1047</v>
      </c>
      <c r="AJ104" s="63" t="s">
        <v>1645</v>
      </c>
      <c r="AK104" s="63" t="s">
        <v>971</v>
      </c>
      <c r="AL104" s="114" t="s">
        <v>1680</v>
      </c>
      <c r="AN104" s="146" t="s">
        <v>1681</v>
      </c>
      <c r="AO104" s="117" t="s">
        <v>1682</v>
      </c>
      <c r="AP104" s="23" t="s">
        <v>1451</v>
      </c>
    </row>
    <row r="105" spans="1:42" s="63" customFormat="1" ht="30" customHeight="1" x14ac:dyDescent="0.25">
      <c r="A105" s="61" t="s">
        <v>70</v>
      </c>
      <c r="B105" s="62" t="s">
        <v>1683</v>
      </c>
      <c r="C105" s="20" t="s">
        <v>1082</v>
      </c>
      <c r="D105" s="62" t="s">
        <v>1683</v>
      </c>
      <c r="E105" s="57" t="s">
        <v>50</v>
      </c>
      <c r="F105" s="63">
        <v>2013</v>
      </c>
      <c r="G105" s="63" t="s">
        <v>295</v>
      </c>
      <c r="H105" s="63" t="s">
        <v>1684</v>
      </c>
      <c r="I105" s="114" t="s">
        <v>1685</v>
      </c>
      <c r="J105" s="57" t="s">
        <v>1686</v>
      </c>
      <c r="K105" s="114" t="s">
        <v>1687</v>
      </c>
      <c r="L105" s="114" t="s">
        <v>1688</v>
      </c>
      <c r="M105" s="114" t="s">
        <v>1689</v>
      </c>
      <c r="N105" s="63" t="s">
        <v>301</v>
      </c>
      <c r="O105" s="63" t="s">
        <v>215</v>
      </c>
      <c r="P105" s="63" t="s">
        <v>1690</v>
      </c>
      <c r="V105" s="63" t="s">
        <v>218</v>
      </c>
      <c r="W105" s="63" t="s">
        <v>1569</v>
      </c>
      <c r="X105" s="63" t="s">
        <v>1378</v>
      </c>
      <c r="Y105" s="63" t="s">
        <v>1569</v>
      </c>
      <c r="Z105" s="145" t="s">
        <v>1569</v>
      </c>
      <c r="AA105" s="145" t="s">
        <v>1569</v>
      </c>
      <c r="AB105" s="145" t="s">
        <v>1569</v>
      </c>
      <c r="AC105" s="63" t="s">
        <v>1569</v>
      </c>
      <c r="AD105" s="63" t="s">
        <v>1569</v>
      </c>
      <c r="AG105" s="115" t="s">
        <v>970</v>
      </c>
      <c r="AH105" s="116"/>
      <c r="AI105" s="116" t="s">
        <v>1047</v>
      </c>
      <c r="AJ105" s="63" t="s">
        <v>1691</v>
      </c>
      <c r="AK105" s="116" t="s">
        <v>971</v>
      </c>
      <c r="AL105" s="63" t="s">
        <v>1073</v>
      </c>
      <c r="AN105" s="114" t="s">
        <v>1692</v>
      </c>
      <c r="AO105" s="114" t="s">
        <v>1693</v>
      </c>
      <c r="AP105" s="63" t="s">
        <v>1450</v>
      </c>
    </row>
    <row r="106" spans="1:42" s="63" customFormat="1" ht="30" hidden="1" customHeight="1" x14ac:dyDescent="0.25">
      <c r="A106" s="59" t="s">
        <v>97</v>
      </c>
      <c r="B106" s="60" t="s">
        <v>1694</v>
      </c>
      <c r="C106" s="20" t="s">
        <v>1082</v>
      </c>
      <c r="D106" s="60" t="s">
        <v>1694</v>
      </c>
      <c r="E106" s="28" t="s">
        <v>50</v>
      </c>
      <c r="F106" s="63">
        <v>1989</v>
      </c>
      <c r="G106" s="63" t="s">
        <v>1695</v>
      </c>
      <c r="H106" s="63" t="s">
        <v>311</v>
      </c>
      <c r="I106" s="114" t="s">
        <v>1696</v>
      </c>
      <c r="J106" s="28" t="s">
        <v>1697</v>
      </c>
      <c r="K106" s="114" t="s">
        <v>1698</v>
      </c>
      <c r="L106" s="114" t="s">
        <v>1699</v>
      </c>
      <c r="M106" s="114" t="s">
        <v>1700</v>
      </c>
      <c r="N106" s="63" t="s">
        <v>248</v>
      </c>
      <c r="O106" s="63" t="s">
        <v>215</v>
      </c>
      <c r="P106" s="111" t="s">
        <v>1701</v>
      </c>
      <c r="V106" s="63" t="s">
        <v>1569</v>
      </c>
      <c r="W106" s="63" t="s">
        <v>1569</v>
      </c>
      <c r="X106" s="63" t="s">
        <v>1378</v>
      </c>
      <c r="Y106" s="63" t="s">
        <v>1569</v>
      </c>
      <c r="Z106" s="145" t="s">
        <v>1569</v>
      </c>
      <c r="AA106" s="145" t="s">
        <v>1569</v>
      </c>
      <c r="AB106" s="145" t="s">
        <v>1569</v>
      </c>
      <c r="AC106" s="63" t="s">
        <v>1569</v>
      </c>
      <c r="AD106" s="63" t="s">
        <v>1569</v>
      </c>
      <c r="AG106" s="115" t="s">
        <v>970</v>
      </c>
      <c r="AH106" s="116"/>
      <c r="AI106" s="116" t="s">
        <v>1047</v>
      </c>
      <c r="AJ106" s="63" t="s">
        <v>1691</v>
      </c>
      <c r="AK106" s="116" t="s">
        <v>971</v>
      </c>
      <c r="AL106" s="114" t="s">
        <v>1680</v>
      </c>
      <c r="AN106" s="114" t="s">
        <v>1702</v>
      </c>
      <c r="AO106" s="114" t="s">
        <v>1703</v>
      </c>
      <c r="AP106" s="63" t="s">
        <v>1450</v>
      </c>
    </row>
    <row r="107" spans="1:42" s="63" customFormat="1" ht="30" customHeight="1" x14ac:dyDescent="0.25">
      <c r="A107" s="28" t="s">
        <v>52</v>
      </c>
      <c r="B107" s="29" t="s">
        <v>1704</v>
      </c>
      <c r="C107" s="20" t="s">
        <v>1082</v>
      </c>
      <c r="D107" s="29" t="s">
        <v>1704</v>
      </c>
      <c r="E107" s="28" t="s">
        <v>50</v>
      </c>
      <c r="F107" s="63">
        <v>2005</v>
      </c>
      <c r="G107" s="28" t="s">
        <v>1705</v>
      </c>
      <c r="H107" s="63" t="s">
        <v>1706</v>
      </c>
      <c r="I107" s="114" t="s">
        <v>1707</v>
      </c>
      <c r="J107" s="28" t="s">
        <v>1708</v>
      </c>
      <c r="K107" s="114" t="s">
        <v>1709</v>
      </c>
      <c r="L107" s="63" t="s">
        <v>1569</v>
      </c>
      <c r="M107" s="114" t="s">
        <v>1710</v>
      </c>
      <c r="N107" s="114" t="s">
        <v>301</v>
      </c>
      <c r="O107" s="114" t="s">
        <v>215</v>
      </c>
      <c r="P107" s="114" t="s">
        <v>1711</v>
      </c>
      <c r="V107" s="63" t="s">
        <v>1569</v>
      </c>
      <c r="W107" s="63" t="s">
        <v>1569</v>
      </c>
      <c r="X107" s="63" t="s">
        <v>219</v>
      </c>
      <c r="Y107" s="63" t="s">
        <v>1569</v>
      </c>
      <c r="Z107" s="63" t="s">
        <v>1569</v>
      </c>
      <c r="AA107" s="63" t="s">
        <v>1569</v>
      </c>
      <c r="AB107" s="63" t="s">
        <v>1569</v>
      </c>
      <c r="AC107" s="63" t="s">
        <v>1569</v>
      </c>
      <c r="AD107" s="63" t="s">
        <v>1569</v>
      </c>
      <c r="AF107" s="52"/>
      <c r="AG107" s="63" t="s">
        <v>970</v>
      </c>
      <c r="AH107" s="114"/>
      <c r="AI107" s="116" t="s">
        <v>1047</v>
      </c>
      <c r="AJ107" s="63" t="s">
        <v>1691</v>
      </c>
      <c r="AK107" s="116" t="s">
        <v>971</v>
      </c>
      <c r="AL107" s="63" t="s">
        <v>1074</v>
      </c>
      <c r="AN107" s="63" t="s">
        <v>1712</v>
      </c>
      <c r="AO107" s="114" t="s">
        <v>1713</v>
      </c>
      <c r="AP107" s="63" t="s">
        <v>1660</v>
      </c>
    </row>
  </sheetData>
  <autoFilter ref="A1:AP107">
    <filterColumn colId="13">
      <filters>
        <filter val="Government"/>
      </filters>
    </filterColumn>
  </autoFilter>
  <sortState ref="A2:BD84">
    <sortCondition ref="E2:E84"/>
    <sortCondition ref="D2:D84"/>
  </sortState>
  <hyperlinks>
    <hyperlink ref="Q36" r:id="rId1"/>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1212"/>
  <sheetViews>
    <sheetView zoomScaleNormal="100" zoomScalePageLayoutView="150" workbookViewId="0">
      <pane xSplit="4" ySplit="1" topLeftCell="E2" activePane="bottomRight" state="frozen"/>
      <selection pane="topRight" activeCell="E1" sqref="E1"/>
      <selection pane="bottomLeft" activeCell="A2" sqref="A2"/>
      <selection pane="bottomRight" activeCell="J1" sqref="J1"/>
    </sheetView>
  </sheetViews>
  <sheetFormatPr baseColWidth="10" defaultColWidth="7.625" defaultRowHeight="30" customHeight="1" x14ac:dyDescent="0.25"/>
  <cols>
    <col min="1" max="1" width="18" style="67" bestFit="1" customWidth="1"/>
    <col min="2" max="2" width="7.625" style="67" customWidth="1"/>
    <col min="3" max="3" width="18" style="67" customWidth="1"/>
    <col min="4" max="4" width="7.625" style="67" customWidth="1"/>
    <col min="5" max="5" width="11.5" style="67" customWidth="1"/>
    <col min="6" max="6" width="10" style="67" customWidth="1"/>
    <col min="7" max="7" width="12.125" style="68" customWidth="1"/>
    <col min="8" max="9" width="9.625" style="67" customWidth="1"/>
    <col min="10" max="10" width="11.25" style="67" customWidth="1"/>
    <col min="11" max="11" width="24" style="68" customWidth="1"/>
    <col min="12" max="12" width="19" style="67" customWidth="1"/>
    <col min="13" max="13" width="12.75" style="68" customWidth="1"/>
    <col min="14" max="14" width="10" style="67" customWidth="1"/>
    <col min="15" max="17" width="10.125" style="67" customWidth="1"/>
    <col min="18" max="18" width="10.25" style="67" customWidth="1"/>
    <col min="19" max="19" width="8" style="67" customWidth="1"/>
    <col min="20" max="20" width="9" style="67" customWidth="1"/>
    <col min="21" max="21" width="10" style="67" customWidth="1"/>
    <col min="22" max="24" width="7.625" style="67" customWidth="1"/>
    <col min="25" max="25" width="11.75" style="67" customWidth="1"/>
    <col min="26" max="26" width="10.125" style="67" customWidth="1"/>
    <col min="27" max="29" width="7.625" style="67" customWidth="1"/>
    <col min="30" max="30" width="10.125" style="67" customWidth="1"/>
    <col min="31" max="32" width="7.625" style="67" customWidth="1"/>
    <col min="33" max="33" width="10.125" style="67" customWidth="1"/>
    <col min="34" max="36" width="10.125" style="70" customWidth="1"/>
    <col min="37" max="37" width="23" style="68" customWidth="1"/>
    <col min="38" max="38" width="36.625" style="68" customWidth="1"/>
    <col min="39" max="39" width="9.625" style="67" customWidth="1"/>
    <col min="40" max="40" width="25.625" style="67" customWidth="1"/>
    <col min="41" max="41" width="7.625" style="67"/>
    <col min="42" max="42" width="10.625" style="67" bestFit="1" customWidth="1"/>
    <col min="43" max="44" width="7.625" style="67"/>
    <col min="45" max="45" width="28.875" style="67" customWidth="1"/>
    <col min="46" max="46" width="7.625" style="67"/>
    <col min="47" max="47" width="15" style="67" customWidth="1"/>
    <col min="48" max="48" width="7.625" style="67"/>
    <col min="49" max="49" width="10.75" style="67" bestFit="1" customWidth="1"/>
    <col min="50" max="16384" width="7.625" style="67"/>
  </cols>
  <sheetData>
    <row r="1" spans="1:49" ht="30" customHeight="1" x14ac:dyDescent="0.25">
      <c r="A1" s="3" t="s">
        <v>184</v>
      </c>
      <c r="B1" s="3" t="s">
        <v>185</v>
      </c>
      <c r="C1" s="15" t="s">
        <v>186</v>
      </c>
      <c r="D1" s="3" t="s">
        <v>556</v>
      </c>
      <c r="E1" s="3" t="s">
        <v>22</v>
      </c>
      <c r="F1" s="3" t="s">
        <v>23</v>
      </c>
      <c r="G1" s="3" t="s">
        <v>21</v>
      </c>
      <c r="H1" s="3" t="s">
        <v>557</v>
      </c>
      <c r="I1" s="3" t="s">
        <v>24</v>
      </c>
      <c r="J1" s="3" t="s">
        <v>25</v>
      </c>
      <c r="K1" s="3" t="s">
        <v>25</v>
      </c>
      <c r="L1" s="3" t="s">
        <v>558</v>
      </c>
      <c r="M1" s="3" t="s">
        <v>559</v>
      </c>
      <c r="N1" s="3" t="s">
        <v>560</v>
      </c>
      <c r="O1" s="3" t="s">
        <v>26</v>
      </c>
      <c r="P1" s="3" t="s">
        <v>27</v>
      </c>
      <c r="Q1" s="3" t="s">
        <v>28</v>
      </c>
      <c r="R1" s="3" t="s">
        <v>29</v>
      </c>
      <c r="S1" s="3" t="s">
        <v>30</v>
      </c>
      <c r="T1" s="3" t="s">
        <v>31</v>
      </c>
      <c r="U1" s="3" t="s">
        <v>32</v>
      </c>
      <c r="V1" s="3" t="s">
        <v>33</v>
      </c>
      <c r="W1" s="3" t="s">
        <v>34</v>
      </c>
      <c r="X1" s="3" t="s">
        <v>561</v>
      </c>
      <c r="Y1" s="3" t="s">
        <v>562</v>
      </c>
      <c r="Z1" s="3" t="s">
        <v>563</v>
      </c>
      <c r="AA1" s="3" t="s">
        <v>564</v>
      </c>
      <c r="AB1" s="3" t="s">
        <v>39</v>
      </c>
      <c r="AC1" s="3" t="s">
        <v>35</v>
      </c>
      <c r="AD1" s="3" t="s">
        <v>37</v>
      </c>
      <c r="AE1" s="3" t="s">
        <v>38</v>
      </c>
      <c r="AF1" s="3" t="s">
        <v>40</v>
      </c>
      <c r="AG1" s="3" t="s">
        <v>41</v>
      </c>
      <c r="AH1" s="4" t="s">
        <v>42</v>
      </c>
      <c r="AI1" s="14" t="s">
        <v>565</v>
      </c>
      <c r="AJ1" s="4" t="s">
        <v>43</v>
      </c>
      <c r="AK1" s="5" t="s">
        <v>566</v>
      </c>
      <c r="AL1" s="5" t="s">
        <v>36</v>
      </c>
      <c r="AM1" s="5" t="s">
        <v>45</v>
      </c>
      <c r="AN1" s="5" t="s">
        <v>46</v>
      </c>
      <c r="AO1" s="5" t="s">
        <v>567</v>
      </c>
      <c r="AP1" s="5" t="s">
        <v>995</v>
      </c>
      <c r="AQ1" s="5" t="s">
        <v>996</v>
      </c>
      <c r="AR1" s="5" t="s">
        <v>997</v>
      </c>
      <c r="AS1" s="5" t="s">
        <v>998</v>
      </c>
      <c r="AT1" s="5" t="s">
        <v>999</v>
      </c>
      <c r="AU1" s="5" t="s">
        <v>1000</v>
      </c>
      <c r="AV1" s="5" t="s">
        <v>1001</v>
      </c>
      <c r="AW1" s="5" t="s">
        <v>1002</v>
      </c>
    </row>
    <row r="2" spans="1:49" ht="30" customHeight="1" x14ac:dyDescent="0.25">
      <c r="A2" s="7" t="s">
        <v>62</v>
      </c>
      <c r="B2" s="67" t="s">
        <v>207</v>
      </c>
      <c r="C2" s="67" t="s">
        <v>60</v>
      </c>
      <c r="D2" s="67">
        <v>1</v>
      </c>
      <c r="E2" s="67" t="s">
        <v>568</v>
      </c>
      <c r="F2" s="67" t="s">
        <v>240</v>
      </c>
      <c r="G2" s="67" t="s">
        <v>240</v>
      </c>
      <c r="H2" s="67">
        <v>1</v>
      </c>
      <c r="I2" s="67">
        <v>1</v>
      </c>
      <c r="J2" s="67">
        <v>1</v>
      </c>
      <c r="K2" s="68" t="s">
        <v>569</v>
      </c>
      <c r="L2" s="67" t="s">
        <v>240</v>
      </c>
      <c r="M2" s="68" t="s">
        <v>570</v>
      </c>
      <c r="N2" s="67" t="s">
        <v>240</v>
      </c>
      <c r="O2" s="69">
        <f t="shared" ref="O2:O13" si="0">1-(2664/(1991+992))</f>
        <v>0.10693932282936636</v>
      </c>
      <c r="P2" s="67" t="s">
        <v>240</v>
      </c>
      <c r="Q2" s="67" t="s">
        <v>240</v>
      </c>
      <c r="R2" s="67" t="s">
        <v>571</v>
      </c>
      <c r="S2" s="67">
        <f t="shared" ref="S2:S13" si="1">T2+U2</f>
        <v>2661</v>
      </c>
      <c r="T2" s="67">
        <v>1797</v>
      </c>
      <c r="U2" s="67">
        <v>864</v>
      </c>
      <c r="V2" s="67">
        <v>1.2999999999999999E-2</v>
      </c>
      <c r="AB2" s="67">
        <v>0.496</v>
      </c>
      <c r="AC2" s="67">
        <v>0.48299999999999998</v>
      </c>
      <c r="AF2" s="67">
        <v>0.63400000000000001</v>
      </c>
      <c r="AI2" s="96">
        <f>V2/AF2</f>
        <v>2.0504731861198736E-2</v>
      </c>
    </row>
    <row r="3" spans="1:49" ht="30" customHeight="1" x14ac:dyDescent="0.25">
      <c r="A3" s="7" t="s">
        <v>62</v>
      </c>
      <c r="B3" s="67" t="s">
        <v>207</v>
      </c>
      <c r="C3" s="67" t="s">
        <v>60</v>
      </c>
      <c r="D3" s="67">
        <f t="shared" ref="D3:D13" si="2">D2+1</f>
        <v>2</v>
      </c>
      <c r="E3" s="67" t="s">
        <v>568</v>
      </c>
      <c r="F3" s="67" t="s">
        <v>240</v>
      </c>
      <c r="G3" s="67" t="s">
        <v>240</v>
      </c>
      <c r="H3" s="67">
        <v>1</v>
      </c>
      <c r="I3" s="67">
        <v>2</v>
      </c>
      <c r="J3" s="67">
        <v>1</v>
      </c>
      <c r="K3" s="68" t="s">
        <v>569</v>
      </c>
      <c r="L3" s="67" t="s">
        <v>240</v>
      </c>
      <c r="M3" s="68" t="s">
        <v>570</v>
      </c>
      <c r="N3" s="67" t="s">
        <v>240</v>
      </c>
      <c r="O3" s="69">
        <f t="shared" si="0"/>
        <v>0.10693932282936636</v>
      </c>
      <c r="P3" s="67" t="s">
        <v>240</v>
      </c>
      <c r="Q3" s="67" t="s">
        <v>240</v>
      </c>
      <c r="R3" s="67" t="s">
        <v>571</v>
      </c>
      <c r="S3" s="67">
        <f t="shared" si="1"/>
        <v>2661</v>
      </c>
      <c r="T3" s="67">
        <v>1797</v>
      </c>
      <c r="U3" s="67">
        <v>864</v>
      </c>
      <c r="V3" s="67">
        <v>1.9E-2</v>
      </c>
      <c r="AB3" s="67">
        <v>0.51300000000000001</v>
      </c>
      <c r="AC3" s="67">
        <v>0.49399999999999999</v>
      </c>
      <c r="AF3" s="67">
        <v>0.93899999999999995</v>
      </c>
      <c r="AI3" s="96">
        <f>V3/AF3</f>
        <v>2.0234291799787009E-2</v>
      </c>
    </row>
    <row r="4" spans="1:49" ht="30" customHeight="1" x14ac:dyDescent="0.25">
      <c r="A4" s="7" t="s">
        <v>62</v>
      </c>
      <c r="B4" s="67" t="s">
        <v>207</v>
      </c>
      <c r="C4" s="67" t="s">
        <v>60</v>
      </c>
      <c r="D4" s="67">
        <f t="shared" si="2"/>
        <v>3</v>
      </c>
      <c r="E4" s="67" t="s">
        <v>568</v>
      </c>
      <c r="F4" s="67" t="s">
        <v>240</v>
      </c>
      <c r="G4" s="67" t="s">
        <v>240</v>
      </c>
      <c r="H4" s="67">
        <v>1</v>
      </c>
      <c r="I4" s="67">
        <v>3</v>
      </c>
      <c r="J4" s="67">
        <v>1</v>
      </c>
      <c r="K4" s="68" t="s">
        <v>569</v>
      </c>
      <c r="L4" s="67" t="s">
        <v>240</v>
      </c>
      <c r="M4" s="68" t="s">
        <v>570</v>
      </c>
      <c r="N4" s="67" t="s">
        <v>240</v>
      </c>
      <c r="O4" s="69">
        <f t="shared" si="0"/>
        <v>0.10693932282936636</v>
      </c>
      <c r="P4" s="67" t="s">
        <v>240</v>
      </c>
      <c r="Q4" s="67" t="s">
        <v>240</v>
      </c>
      <c r="R4" s="67" t="s">
        <v>571</v>
      </c>
      <c r="S4" s="67">
        <f t="shared" si="1"/>
        <v>2661</v>
      </c>
      <c r="T4" s="67">
        <v>1797</v>
      </c>
      <c r="U4" s="67">
        <v>864</v>
      </c>
      <c r="V4" s="67">
        <v>1.4999999999999999E-2</v>
      </c>
      <c r="AB4" s="67">
        <v>0.52600000000000002</v>
      </c>
      <c r="AC4" s="67">
        <v>0.51100000000000001</v>
      </c>
      <c r="AF4" s="67">
        <v>0.749</v>
      </c>
      <c r="AI4" s="96">
        <f>V4/AF4</f>
        <v>2.0026702269692925E-2</v>
      </c>
    </row>
    <row r="5" spans="1:49" ht="30" customHeight="1" x14ac:dyDescent="0.25">
      <c r="A5" s="7" t="s">
        <v>62</v>
      </c>
      <c r="B5" s="67" t="s">
        <v>207</v>
      </c>
      <c r="C5" s="67" t="s">
        <v>60</v>
      </c>
      <c r="D5" s="67">
        <f t="shared" si="2"/>
        <v>4</v>
      </c>
      <c r="E5" s="67" t="s">
        <v>568</v>
      </c>
      <c r="F5" s="67" t="s">
        <v>240</v>
      </c>
      <c r="G5" s="67" t="s">
        <v>240</v>
      </c>
      <c r="H5" s="67">
        <v>1</v>
      </c>
      <c r="I5" s="67">
        <v>4</v>
      </c>
      <c r="J5" s="67">
        <v>1</v>
      </c>
      <c r="K5" s="68" t="s">
        <v>569</v>
      </c>
      <c r="L5" s="67" t="s">
        <v>240</v>
      </c>
      <c r="M5" s="68" t="s">
        <v>570</v>
      </c>
      <c r="N5" s="67" t="s">
        <v>240</v>
      </c>
      <c r="O5" s="69">
        <f t="shared" si="0"/>
        <v>0.10693932282936636</v>
      </c>
      <c r="P5" s="67" t="s">
        <v>240</v>
      </c>
      <c r="Q5" s="67" t="s">
        <v>240</v>
      </c>
      <c r="R5" s="67" t="s">
        <v>571</v>
      </c>
      <c r="S5" s="67">
        <f t="shared" si="1"/>
        <v>2661</v>
      </c>
      <c r="T5" s="67">
        <v>1797</v>
      </c>
      <c r="U5" s="67">
        <v>864</v>
      </c>
      <c r="V5" s="67">
        <v>0.01</v>
      </c>
      <c r="AB5" s="67">
        <v>0.53400000000000003</v>
      </c>
      <c r="AC5" s="67">
        <v>0.53400000000000003</v>
      </c>
      <c r="AF5" s="67">
        <v>0.46800000000000003</v>
      </c>
      <c r="AI5" s="96">
        <f>V5/AF5</f>
        <v>2.1367521367521368E-2</v>
      </c>
    </row>
    <row r="6" spans="1:49" ht="30" customHeight="1" x14ac:dyDescent="0.25">
      <c r="A6" s="7" t="s">
        <v>62</v>
      </c>
      <c r="B6" s="67" t="s">
        <v>207</v>
      </c>
      <c r="C6" s="67" t="s">
        <v>60</v>
      </c>
      <c r="D6" s="67">
        <f t="shared" si="2"/>
        <v>5</v>
      </c>
      <c r="E6" s="67" t="s">
        <v>568</v>
      </c>
      <c r="F6" s="67" t="s">
        <v>240</v>
      </c>
      <c r="G6" s="67" t="s">
        <v>240</v>
      </c>
      <c r="H6" s="67">
        <v>1</v>
      </c>
      <c r="I6" s="67">
        <v>1</v>
      </c>
      <c r="J6" s="67">
        <v>4</v>
      </c>
      <c r="K6" s="68" t="s">
        <v>572</v>
      </c>
      <c r="L6" s="67" t="s">
        <v>573</v>
      </c>
      <c r="M6" s="68" t="s">
        <v>570</v>
      </c>
      <c r="N6" s="67">
        <v>1</v>
      </c>
      <c r="O6" s="69">
        <f t="shared" si="0"/>
        <v>0.10693932282936636</v>
      </c>
      <c r="P6" s="67" t="s">
        <v>240</v>
      </c>
      <c r="Q6" s="67" t="s">
        <v>240</v>
      </c>
      <c r="R6" s="67" t="s">
        <v>574</v>
      </c>
      <c r="S6" s="67">
        <f t="shared" si="1"/>
        <v>1311</v>
      </c>
      <c r="T6" s="67">
        <v>892</v>
      </c>
      <c r="U6" s="67">
        <v>419</v>
      </c>
      <c r="V6" s="67">
        <f>AB6-AC6</f>
        <v>2706</v>
      </c>
      <c r="AB6" s="67">
        <v>155969</v>
      </c>
      <c r="AC6" s="67">
        <v>153263</v>
      </c>
      <c r="AF6" s="67">
        <v>0.55700000000000005</v>
      </c>
      <c r="AI6" s="67">
        <f t="shared" ref="AI6:AI13" si="3">+ABS(V6/(AF6*SQRT(1/T6+1/U6)))</f>
        <v>82027.729371958529</v>
      </c>
      <c r="AP6" s="71">
        <f t="shared" ref="AP6:AP13" si="4">+(V6/AQ6)*AT6</f>
        <v>3.2969939609131103E-2</v>
      </c>
      <c r="AQ6" s="67">
        <f t="shared" ref="AQ6:AQ13" si="5">+AI6</f>
        <v>82027.729371958529</v>
      </c>
      <c r="AR6" s="67">
        <f t="shared" ref="AR6:AR13" si="6">+AT6^2*(S6/(T6*U6)+(AP6^2)/(2*S6))</f>
        <v>3.5041060312324718E-3</v>
      </c>
      <c r="AT6" s="67">
        <f t="shared" ref="AT6:AT13" si="7">+(1-3/(4*(S6-2)-1))</f>
        <v>0.99942693409742123</v>
      </c>
      <c r="AW6" s="67" t="s">
        <v>1003</v>
      </c>
    </row>
    <row r="7" spans="1:49" ht="30" customHeight="1" x14ac:dyDescent="0.25">
      <c r="A7" s="7" t="s">
        <v>62</v>
      </c>
      <c r="B7" s="67" t="s">
        <v>207</v>
      </c>
      <c r="C7" s="67" t="s">
        <v>60</v>
      </c>
      <c r="D7" s="67">
        <f t="shared" si="2"/>
        <v>6</v>
      </c>
      <c r="E7" s="67" t="s">
        <v>568</v>
      </c>
      <c r="F7" s="67" t="s">
        <v>240</v>
      </c>
      <c r="G7" s="67" t="s">
        <v>240</v>
      </c>
      <c r="H7" s="67">
        <v>1</v>
      </c>
      <c r="I7" s="67">
        <v>2</v>
      </c>
      <c r="J7" s="67">
        <v>4</v>
      </c>
      <c r="K7" s="68" t="s">
        <v>572</v>
      </c>
      <c r="L7" s="67" t="s">
        <v>573</v>
      </c>
      <c r="M7" s="68" t="s">
        <v>570</v>
      </c>
      <c r="N7" s="67">
        <v>1</v>
      </c>
      <c r="O7" s="69">
        <f t="shared" si="0"/>
        <v>0.10693932282936636</v>
      </c>
      <c r="P7" s="67" t="s">
        <v>240</v>
      </c>
      <c r="Q7" s="67" t="s">
        <v>240</v>
      </c>
      <c r="R7" s="67" t="s">
        <v>574</v>
      </c>
      <c r="S7" s="67">
        <f t="shared" si="1"/>
        <v>1350</v>
      </c>
      <c r="T7" s="67">
        <v>922</v>
      </c>
      <c r="U7" s="67">
        <v>428</v>
      </c>
      <c r="V7" s="67">
        <f>AB7-AC7</f>
        <v>469</v>
      </c>
      <c r="AB7" s="67">
        <v>154637</v>
      </c>
      <c r="AC7" s="67">
        <v>154168</v>
      </c>
      <c r="AF7" s="67">
        <v>9.8000000000000004E-2</v>
      </c>
      <c r="AI7" s="67">
        <f t="shared" si="3"/>
        <v>81821.460592281466</v>
      </c>
      <c r="AP7" s="71">
        <f t="shared" si="4"/>
        <v>5.7288027623455719E-3</v>
      </c>
      <c r="AQ7" s="67">
        <f t="shared" si="5"/>
        <v>81821.460592281466</v>
      </c>
      <c r="AR7" s="67">
        <f t="shared" si="6"/>
        <v>3.4172529882351603E-3</v>
      </c>
      <c r="AT7" s="67">
        <f t="shared" si="7"/>
        <v>0.99944351697273237</v>
      </c>
      <c r="AW7" s="67" t="s">
        <v>1003</v>
      </c>
    </row>
    <row r="8" spans="1:49" ht="30" customHeight="1" x14ac:dyDescent="0.25">
      <c r="A8" s="7" t="s">
        <v>62</v>
      </c>
      <c r="B8" s="67" t="s">
        <v>207</v>
      </c>
      <c r="C8" s="67" t="s">
        <v>60</v>
      </c>
      <c r="D8" s="67">
        <f t="shared" si="2"/>
        <v>7</v>
      </c>
      <c r="E8" s="67" t="s">
        <v>568</v>
      </c>
      <c r="F8" s="67" t="s">
        <v>240</v>
      </c>
      <c r="G8" s="67" t="s">
        <v>240</v>
      </c>
      <c r="H8" s="67">
        <v>1</v>
      </c>
      <c r="I8" s="67">
        <v>3</v>
      </c>
      <c r="J8" s="67">
        <v>4</v>
      </c>
      <c r="K8" s="68" t="s">
        <v>572</v>
      </c>
      <c r="L8" s="67" t="s">
        <v>573</v>
      </c>
      <c r="M8" s="68" t="s">
        <v>570</v>
      </c>
      <c r="N8" s="67">
        <v>1</v>
      </c>
      <c r="O8" s="69">
        <f t="shared" si="0"/>
        <v>0.10693932282936636</v>
      </c>
      <c r="P8" s="67" t="s">
        <v>240</v>
      </c>
      <c r="Q8" s="67" t="s">
        <v>240</v>
      </c>
      <c r="R8" s="67" t="s">
        <v>574</v>
      </c>
      <c r="S8" s="67">
        <f t="shared" si="1"/>
        <v>1389</v>
      </c>
      <c r="T8" s="67">
        <v>946</v>
      </c>
      <c r="U8" s="67">
        <v>443</v>
      </c>
      <c r="V8" s="67">
        <f>AB8-AC8</f>
        <v>1421</v>
      </c>
      <c r="AB8" s="67">
        <v>152269</v>
      </c>
      <c r="AC8" s="67">
        <v>150848</v>
      </c>
      <c r="AF8" s="67">
        <v>0.30299999999999999</v>
      </c>
      <c r="AI8" s="67">
        <f t="shared" si="3"/>
        <v>81460.628754597186</v>
      </c>
      <c r="AP8" s="71">
        <f t="shared" si="4"/>
        <v>1.7434575428484152E-2</v>
      </c>
      <c r="AQ8" s="67">
        <f t="shared" si="5"/>
        <v>81460.628754597186</v>
      </c>
      <c r="AR8" s="67">
        <f t="shared" si="6"/>
        <v>3.3109439717873444E-3</v>
      </c>
      <c r="AT8" s="67">
        <f t="shared" si="7"/>
        <v>0.99945916711736071</v>
      </c>
      <c r="AW8" s="67" t="s">
        <v>1003</v>
      </c>
    </row>
    <row r="9" spans="1:49" ht="30" customHeight="1" x14ac:dyDescent="0.25">
      <c r="A9" s="7" t="s">
        <v>62</v>
      </c>
      <c r="B9" s="67" t="s">
        <v>207</v>
      </c>
      <c r="C9" s="67" t="s">
        <v>60</v>
      </c>
      <c r="D9" s="67">
        <f t="shared" si="2"/>
        <v>8</v>
      </c>
      <c r="E9" s="67" t="s">
        <v>568</v>
      </c>
      <c r="F9" s="67" t="s">
        <v>240</v>
      </c>
      <c r="G9" s="67" t="s">
        <v>240</v>
      </c>
      <c r="H9" s="67">
        <v>1</v>
      </c>
      <c r="I9" s="67">
        <v>4</v>
      </c>
      <c r="J9" s="67">
        <v>4</v>
      </c>
      <c r="K9" s="68" t="s">
        <v>572</v>
      </c>
      <c r="L9" s="67" t="s">
        <v>573</v>
      </c>
      <c r="M9" s="68" t="s">
        <v>570</v>
      </c>
      <c r="N9" s="67">
        <v>1</v>
      </c>
      <c r="O9" s="69">
        <f t="shared" si="0"/>
        <v>0.10693932282936636</v>
      </c>
      <c r="P9" s="67" t="s">
        <v>240</v>
      </c>
      <c r="Q9" s="67" t="s">
        <v>240</v>
      </c>
      <c r="R9" s="67" t="s">
        <v>574</v>
      </c>
      <c r="S9" s="67">
        <f t="shared" si="1"/>
        <v>1440</v>
      </c>
      <c r="T9" s="67">
        <v>977</v>
      </c>
      <c r="U9" s="67">
        <v>463</v>
      </c>
      <c r="V9" s="67">
        <f>AB9-AC9</f>
        <v>1968</v>
      </c>
      <c r="AB9" s="67">
        <v>151676</v>
      </c>
      <c r="AC9" s="67">
        <v>149708</v>
      </c>
      <c r="AF9" s="67">
        <v>0.42799999999999999</v>
      </c>
      <c r="AI9" s="67">
        <f t="shared" si="3"/>
        <v>81496.293347182815</v>
      </c>
      <c r="AP9" s="71">
        <f t="shared" si="4"/>
        <v>2.4135740598061655E-2</v>
      </c>
      <c r="AQ9" s="67">
        <f t="shared" si="5"/>
        <v>81496.293347182815</v>
      </c>
      <c r="AR9" s="67">
        <f t="shared" si="6"/>
        <v>3.1802503928695541E-3</v>
      </c>
      <c r="AT9" s="67">
        <f t="shared" si="7"/>
        <v>0.9994783515910276</v>
      </c>
      <c r="AW9" s="67" t="s">
        <v>1003</v>
      </c>
    </row>
    <row r="10" spans="1:49" ht="30" customHeight="1" x14ac:dyDescent="0.25">
      <c r="A10" s="6" t="s">
        <v>62</v>
      </c>
      <c r="B10" s="67" t="s">
        <v>207</v>
      </c>
      <c r="C10" s="67" t="s">
        <v>60</v>
      </c>
      <c r="D10" s="67">
        <f t="shared" si="2"/>
        <v>9</v>
      </c>
      <c r="E10" s="67" t="s">
        <v>568</v>
      </c>
      <c r="F10" s="67" t="s">
        <v>240</v>
      </c>
      <c r="G10" s="67" t="s">
        <v>240</v>
      </c>
      <c r="H10" s="67">
        <v>1</v>
      </c>
      <c r="I10" s="67">
        <v>1</v>
      </c>
      <c r="J10" s="67">
        <v>6</v>
      </c>
      <c r="K10" s="68" t="s">
        <v>575</v>
      </c>
      <c r="L10" s="67" t="s">
        <v>573</v>
      </c>
      <c r="M10" s="68" t="s">
        <v>570</v>
      </c>
      <c r="N10" s="67">
        <v>1</v>
      </c>
      <c r="O10" s="69">
        <f t="shared" si="0"/>
        <v>0.10693932282936636</v>
      </c>
      <c r="P10" s="67" t="s">
        <v>240</v>
      </c>
      <c r="Q10" s="67" t="s">
        <v>240</v>
      </c>
      <c r="R10" s="67" t="s">
        <v>576</v>
      </c>
      <c r="S10" s="67">
        <f t="shared" si="1"/>
        <v>1311</v>
      </c>
      <c r="T10" s="67">
        <v>892</v>
      </c>
      <c r="U10" s="67">
        <v>419</v>
      </c>
      <c r="V10" s="67">
        <v>18.829999999999998</v>
      </c>
      <c r="AB10" s="67">
        <v>1059</v>
      </c>
      <c r="AC10" s="67">
        <v>1040</v>
      </c>
      <c r="AF10" s="67">
        <v>0.33100000000000002</v>
      </c>
      <c r="AI10" s="67">
        <f t="shared" si="3"/>
        <v>960.52886195520091</v>
      </c>
      <c r="AP10" s="71">
        <f t="shared" si="4"/>
        <v>1.959254939070448E-2</v>
      </c>
      <c r="AQ10" s="67">
        <f t="shared" si="5"/>
        <v>960.52886195520091</v>
      </c>
      <c r="AR10" s="67">
        <f t="shared" si="6"/>
        <v>3.5038381657649768E-3</v>
      </c>
      <c r="AT10" s="67">
        <f t="shared" si="7"/>
        <v>0.99942693409742123</v>
      </c>
      <c r="AW10" s="67" t="s">
        <v>1003</v>
      </c>
    </row>
    <row r="11" spans="1:49" ht="30" customHeight="1" x14ac:dyDescent="0.25">
      <c r="A11" s="6" t="s">
        <v>62</v>
      </c>
      <c r="B11" s="67" t="s">
        <v>207</v>
      </c>
      <c r="C11" s="67" t="s">
        <v>60</v>
      </c>
      <c r="D11" s="67">
        <f t="shared" si="2"/>
        <v>10</v>
      </c>
      <c r="E11" s="67" t="s">
        <v>568</v>
      </c>
      <c r="F11" s="67" t="s">
        <v>240</v>
      </c>
      <c r="G11" s="67" t="s">
        <v>240</v>
      </c>
      <c r="H11" s="67">
        <v>1</v>
      </c>
      <c r="I11" s="67">
        <v>2</v>
      </c>
      <c r="J11" s="67">
        <v>6</v>
      </c>
      <c r="K11" s="68" t="s">
        <v>575</v>
      </c>
      <c r="L11" s="67" t="s">
        <v>573</v>
      </c>
      <c r="M11" s="68" t="s">
        <v>570</v>
      </c>
      <c r="N11" s="67">
        <v>1</v>
      </c>
      <c r="O11" s="69">
        <f t="shared" si="0"/>
        <v>0.10693932282936636</v>
      </c>
      <c r="P11" s="67" t="s">
        <v>240</v>
      </c>
      <c r="Q11" s="67" t="s">
        <v>240</v>
      </c>
      <c r="R11" s="67" t="s">
        <v>576</v>
      </c>
      <c r="S11" s="67">
        <f t="shared" si="1"/>
        <v>1350</v>
      </c>
      <c r="T11" s="67">
        <v>922</v>
      </c>
      <c r="U11" s="67">
        <v>428</v>
      </c>
      <c r="V11" s="67">
        <v>21.43</v>
      </c>
      <c r="AB11" s="67">
        <v>1049</v>
      </c>
      <c r="AC11" s="67">
        <v>1028</v>
      </c>
      <c r="AF11" s="67">
        <v>0.40500000000000003</v>
      </c>
      <c r="AI11" s="67">
        <f t="shared" si="3"/>
        <v>904.66462527718022</v>
      </c>
      <c r="AP11" s="71">
        <f t="shared" si="4"/>
        <v>2.3675154272958743E-2</v>
      </c>
      <c r="AQ11" s="67">
        <f t="shared" si="5"/>
        <v>904.66462527718022</v>
      </c>
      <c r="AR11" s="67">
        <f t="shared" si="6"/>
        <v>3.4174482129043977E-3</v>
      </c>
      <c r="AT11" s="67">
        <f t="shared" si="7"/>
        <v>0.99944351697273237</v>
      </c>
      <c r="AW11" s="67" t="s">
        <v>1003</v>
      </c>
    </row>
    <row r="12" spans="1:49" ht="30" customHeight="1" x14ac:dyDescent="0.25">
      <c r="A12" s="6" t="s">
        <v>62</v>
      </c>
      <c r="B12" s="67" t="s">
        <v>207</v>
      </c>
      <c r="C12" s="67" t="s">
        <v>60</v>
      </c>
      <c r="D12" s="67">
        <f t="shared" si="2"/>
        <v>11</v>
      </c>
      <c r="E12" s="67" t="s">
        <v>568</v>
      </c>
      <c r="F12" s="67" t="s">
        <v>240</v>
      </c>
      <c r="G12" s="67" t="s">
        <v>240</v>
      </c>
      <c r="H12" s="67">
        <v>1</v>
      </c>
      <c r="I12" s="67">
        <v>3</v>
      </c>
      <c r="J12" s="67">
        <v>6</v>
      </c>
      <c r="K12" s="68" t="s">
        <v>575</v>
      </c>
      <c r="L12" s="67" t="s">
        <v>573</v>
      </c>
      <c r="M12" s="68" t="s">
        <v>570</v>
      </c>
      <c r="N12" s="67">
        <v>1</v>
      </c>
      <c r="O12" s="69">
        <f t="shared" si="0"/>
        <v>0.10693932282936636</v>
      </c>
      <c r="P12" s="67" t="s">
        <v>240</v>
      </c>
      <c r="Q12" s="67" t="s">
        <v>240</v>
      </c>
      <c r="R12" s="67" t="s">
        <v>576</v>
      </c>
      <c r="S12" s="67">
        <f t="shared" si="1"/>
        <v>1389</v>
      </c>
      <c r="T12" s="67">
        <v>946</v>
      </c>
      <c r="U12" s="67">
        <v>443</v>
      </c>
      <c r="V12" s="67">
        <v>6.39</v>
      </c>
      <c r="AB12" s="67">
        <v>1030</v>
      </c>
      <c r="AC12" s="67">
        <v>1024</v>
      </c>
      <c r="AF12" s="67">
        <v>0.124</v>
      </c>
      <c r="AI12" s="67">
        <f t="shared" si="3"/>
        <v>895.10808821473086</v>
      </c>
      <c r="AP12" s="71">
        <f t="shared" si="4"/>
        <v>7.134941759511665E-3</v>
      </c>
      <c r="AQ12" s="67">
        <f t="shared" si="5"/>
        <v>895.10808821473086</v>
      </c>
      <c r="AR12" s="67">
        <f t="shared" si="6"/>
        <v>3.310852977051075E-3</v>
      </c>
      <c r="AT12" s="67">
        <f t="shared" si="7"/>
        <v>0.99945916711736071</v>
      </c>
      <c r="AW12" s="67" t="s">
        <v>1003</v>
      </c>
    </row>
    <row r="13" spans="1:49" ht="30" customHeight="1" x14ac:dyDescent="0.25">
      <c r="A13" s="6" t="s">
        <v>62</v>
      </c>
      <c r="B13" s="67" t="s">
        <v>207</v>
      </c>
      <c r="C13" s="67" t="s">
        <v>60</v>
      </c>
      <c r="D13" s="67">
        <f t="shared" si="2"/>
        <v>12</v>
      </c>
      <c r="E13" s="67" t="s">
        <v>568</v>
      </c>
      <c r="F13" s="67" t="s">
        <v>240</v>
      </c>
      <c r="G13" s="67" t="s">
        <v>240</v>
      </c>
      <c r="H13" s="67">
        <v>1</v>
      </c>
      <c r="I13" s="67">
        <v>4</v>
      </c>
      <c r="J13" s="67">
        <v>6</v>
      </c>
      <c r="K13" s="68" t="s">
        <v>575</v>
      </c>
      <c r="L13" s="67" t="s">
        <v>573</v>
      </c>
      <c r="M13" s="68" t="s">
        <v>570</v>
      </c>
      <c r="N13" s="67">
        <v>1</v>
      </c>
      <c r="O13" s="69">
        <f t="shared" si="0"/>
        <v>0.10693932282936636</v>
      </c>
      <c r="P13" s="67" t="s">
        <v>240</v>
      </c>
      <c r="Q13" s="67" t="s">
        <v>240</v>
      </c>
      <c r="R13" s="67" t="s">
        <v>576</v>
      </c>
      <c r="S13" s="67">
        <f t="shared" si="1"/>
        <v>1440</v>
      </c>
      <c r="T13" s="67">
        <v>977</v>
      </c>
      <c r="U13" s="67">
        <v>463</v>
      </c>
      <c r="V13" s="67">
        <v>16.78</v>
      </c>
      <c r="AB13" s="67">
        <v>1026</v>
      </c>
      <c r="AC13" s="67">
        <v>1009</v>
      </c>
      <c r="AF13" s="67">
        <v>0.33800000000000002</v>
      </c>
      <c r="AI13" s="67">
        <f t="shared" si="3"/>
        <v>879.89689982400569</v>
      </c>
      <c r="AP13" s="71">
        <f t="shared" si="4"/>
        <v>1.9060468042394488E-2</v>
      </c>
      <c r="AQ13" s="67">
        <f t="shared" si="5"/>
        <v>879.89689982400569</v>
      </c>
      <c r="AR13" s="67">
        <f t="shared" si="6"/>
        <v>3.1801743498600836E-3</v>
      </c>
      <c r="AT13" s="67">
        <f t="shared" si="7"/>
        <v>0.9994783515910276</v>
      </c>
      <c r="AW13" s="67" t="s">
        <v>1003</v>
      </c>
    </row>
    <row r="14" spans="1:49" ht="30" customHeight="1" x14ac:dyDescent="0.25">
      <c r="A14" s="72" t="s">
        <v>74</v>
      </c>
      <c r="B14" s="67" t="s">
        <v>221</v>
      </c>
      <c r="C14" s="72" t="s">
        <v>74</v>
      </c>
      <c r="D14" s="67">
        <v>1</v>
      </c>
      <c r="E14" s="67" t="s">
        <v>577</v>
      </c>
      <c r="F14" s="73" t="s">
        <v>240</v>
      </c>
      <c r="G14" s="73" t="s">
        <v>578</v>
      </c>
      <c r="H14" s="67">
        <v>1</v>
      </c>
      <c r="I14" s="67">
        <v>12</v>
      </c>
      <c r="J14" s="73">
        <v>1</v>
      </c>
      <c r="K14" s="73" t="s">
        <v>579</v>
      </c>
      <c r="L14" s="67" t="s">
        <v>240</v>
      </c>
      <c r="M14" s="68" t="s">
        <v>570</v>
      </c>
      <c r="N14" s="67" t="s">
        <v>240</v>
      </c>
      <c r="O14" s="69">
        <v>0.1</v>
      </c>
      <c r="P14" s="74">
        <v>-1.6E-2</v>
      </c>
      <c r="Q14" s="74">
        <v>2.4E-2</v>
      </c>
      <c r="R14" s="67" t="s">
        <v>580</v>
      </c>
      <c r="S14" s="67">
        <f>ROUND(1728*(1470+1286)/4221,0)</f>
        <v>1128</v>
      </c>
      <c r="T14" s="67">
        <f t="shared" ref="T14:T29" si="8">+S14-U14</f>
        <v>602</v>
      </c>
      <c r="U14" s="67">
        <f t="shared" ref="U14:U21" si="9">ROUND(S14*1286/(1286+1470),0)</f>
        <v>526</v>
      </c>
      <c r="V14" s="67">
        <v>7.0000000000000007E-2</v>
      </c>
      <c r="W14" s="67">
        <v>2.7E-2</v>
      </c>
      <c r="AC14" s="67">
        <v>0.22</v>
      </c>
      <c r="AI14" s="70">
        <f t="shared" ref="AI14:AI60" si="10">+W14</f>
        <v>2.7E-2</v>
      </c>
      <c r="AL14" s="68" t="s">
        <v>581</v>
      </c>
    </row>
    <row r="15" spans="1:49" ht="30" customHeight="1" x14ac:dyDescent="0.25">
      <c r="A15" s="72" t="s">
        <v>74</v>
      </c>
      <c r="B15" s="67" t="s">
        <v>221</v>
      </c>
      <c r="C15" s="72" t="s">
        <v>75</v>
      </c>
      <c r="D15" s="67">
        <v>2</v>
      </c>
      <c r="E15" s="67" t="s">
        <v>577</v>
      </c>
      <c r="F15" s="73" t="s">
        <v>240</v>
      </c>
      <c r="G15" s="73" t="s">
        <v>578</v>
      </c>
      <c r="H15" s="67">
        <v>1</v>
      </c>
      <c r="I15" s="67">
        <v>12</v>
      </c>
      <c r="J15" s="73">
        <v>1</v>
      </c>
      <c r="K15" s="73" t="s">
        <v>579</v>
      </c>
      <c r="L15" s="67" t="s">
        <v>240</v>
      </c>
      <c r="M15" s="68" t="s">
        <v>570</v>
      </c>
      <c r="N15" s="67" t="s">
        <v>240</v>
      </c>
      <c r="O15" s="69">
        <v>0.1</v>
      </c>
      <c r="P15" s="74">
        <v>-1.4E-2</v>
      </c>
      <c r="Q15" s="74">
        <v>2.1999999999999999E-2</v>
      </c>
      <c r="R15" s="67" t="s">
        <v>580</v>
      </c>
      <c r="S15" s="67">
        <f>ROUND(1728*(1470+1286)/4221,0)</f>
        <v>1128</v>
      </c>
      <c r="T15" s="67">
        <f t="shared" si="8"/>
        <v>602</v>
      </c>
      <c r="U15" s="67">
        <f t="shared" si="9"/>
        <v>526</v>
      </c>
      <c r="V15" s="67">
        <v>5.1999999999999998E-2</v>
      </c>
      <c r="W15" s="67">
        <v>2.5000000000000001E-2</v>
      </c>
      <c r="AC15" s="67">
        <v>0.22</v>
      </c>
      <c r="AI15" s="70">
        <f t="shared" si="10"/>
        <v>2.5000000000000001E-2</v>
      </c>
      <c r="AL15" s="68" t="s">
        <v>581</v>
      </c>
    </row>
    <row r="16" spans="1:49" ht="30" customHeight="1" x14ac:dyDescent="0.25">
      <c r="A16" s="72" t="s">
        <v>74</v>
      </c>
      <c r="B16" s="67" t="s">
        <v>221</v>
      </c>
      <c r="C16" s="72" t="s">
        <v>74</v>
      </c>
      <c r="D16" s="67">
        <v>3</v>
      </c>
      <c r="E16" s="67" t="s">
        <v>583</v>
      </c>
      <c r="F16" s="73" t="s">
        <v>240</v>
      </c>
      <c r="G16" s="73" t="s">
        <v>578</v>
      </c>
      <c r="H16" s="67">
        <v>1</v>
      </c>
      <c r="I16" s="67">
        <v>12</v>
      </c>
      <c r="J16" s="73">
        <v>1</v>
      </c>
      <c r="K16" s="73" t="s">
        <v>579</v>
      </c>
      <c r="L16" s="67" t="s">
        <v>240</v>
      </c>
      <c r="M16" s="68" t="s">
        <v>570</v>
      </c>
      <c r="N16" s="67" t="s">
        <v>240</v>
      </c>
      <c r="O16" s="69">
        <v>0.1</v>
      </c>
      <c r="P16" s="74">
        <v>-1.7999999999999999E-2</v>
      </c>
      <c r="Q16" s="74">
        <v>2.9000000000000001E-2</v>
      </c>
      <c r="R16" s="67" t="s">
        <v>580</v>
      </c>
      <c r="S16" s="67">
        <f>ROUND(1051*(1470+1286)/4221,0)</f>
        <v>686</v>
      </c>
      <c r="T16" s="67">
        <f t="shared" si="8"/>
        <v>366</v>
      </c>
      <c r="U16" s="67">
        <f t="shared" si="9"/>
        <v>320</v>
      </c>
      <c r="V16" s="67">
        <v>-0.111</v>
      </c>
      <c r="W16" s="67">
        <v>0.04</v>
      </c>
      <c r="AC16" s="67">
        <v>0.54100000000000004</v>
      </c>
      <c r="AI16" s="70">
        <f t="shared" si="10"/>
        <v>0.04</v>
      </c>
      <c r="AL16" s="68" t="s">
        <v>581</v>
      </c>
    </row>
    <row r="17" spans="1:49" ht="30" customHeight="1" x14ac:dyDescent="0.25">
      <c r="A17" s="72" t="s">
        <v>74</v>
      </c>
      <c r="B17" s="67" t="s">
        <v>221</v>
      </c>
      <c r="C17" s="72" t="s">
        <v>75</v>
      </c>
      <c r="D17" s="67">
        <v>4</v>
      </c>
      <c r="E17" s="67" t="s">
        <v>583</v>
      </c>
      <c r="F17" s="73" t="s">
        <v>240</v>
      </c>
      <c r="G17" s="73" t="s">
        <v>578</v>
      </c>
      <c r="H17" s="67">
        <v>1</v>
      </c>
      <c r="I17" s="67">
        <v>12</v>
      </c>
      <c r="J17" s="73">
        <v>1</v>
      </c>
      <c r="K17" s="73" t="s">
        <v>579</v>
      </c>
      <c r="L17" s="67" t="s">
        <v>240</v>
      </c>
      <c r="M17" s="68" t="s">
        <v>570</v>
      </c>
      <c r="N17" s="67" t="s">
        <v>240</v>
      </c>
      <c r="O17" s="69">
        <v>0.1</v>
      </c>
      <c r="P17" s="74">
        <v>-2.3E-2</v>
      </c>
      <c r="Q17" s="74">
        <v>2.8000000000000001E-2</v>
      </c>
      <c r="R17" s="67" t="s">
        <v>580</v>
      </c>
      <c r="S17" s="67">
        <f>ROUND(1051*(1470+1286)/4221,0)</f>
        <v>686</v>
      </c>
      <c r="T17" s="67">
        <f t="shared" si="8"/>
        <v>366</v>
      </c>
      <c r="U17" s="67">
        <f t="shared" si="9"/>
        <v>320</v>
      </c>
      <c r="V17" s="67">
        <v>-3.1E-2</v>
      </c>
      <c r="W17" s="67">
        <v>3.7999999999999999E-2</v>
      </c>
      <c r="AC17" s="67">
        <v>0.54100000000000004</v>
      </c>
      <c r="AI17" s="70">
        <f t="shared" si="10"/>
        <v>3.7999999999999999E-2</v>
      </c>
      <c r="AL17" s="68" t="s">
        <v>581</v>
      </c>
    </row>
    <row r="18" spans="1:49" ht="30" customHeight="1" x14ac:dyDescent="0.25">
      <c r="A18" s="72" t="s">
        <v>74</v>
      </c>
      <c r="B18" s="67" t="s">
        <v>221</v>
      </c>
      <c r="C18" s="72" t="s">
        <v>74</v>
      </c>
      <c r="D18" s="67">
        <v>5</v>
      </c>
      <c r="E18" s="67" t="s">
        <v>577</v>
      </c>
      <c r="F18" s="73" t="s">
        <v>240</v>
      </c>
      <c r="G18" s="73" t="s">
        <v>578</v>
      </c>
      <c r="H18" s="67">
        <v>1</v>
      </c>
      <c r="I18" s="67">
        <v>12</v>
      </c>
      <c r="J18" s="73">
        <v>5</v>
      </c>
      <c r="K18" s="68" t="s">
        <v>582</v>
      </c>
      <c r="L18" s="67" t="s">
        <v>240</v>
      </c>
      <c r="M18" s="68" t="s">
        <v>570</v>
      </c>
      <c r="N18" s="67" t="s">
        <v>240</v>
      </c>
      <c r="O18" s="69">
        <v>0.1</v>
      </c>
      <c r="P18" s="74">
        <v>-1.6E-2</v>
      </c>
      <c r="Q18" s="74">
        <v>2.4E-2</v>
      </c>
      <c r="R18" s="67" t="s">
        <v>580</v>
      </c>
      <c r="S18" s="67">
        <f>ROUND(445*(1470+1286)/4221,0)</f>
        <v>291</v>
      </c>
      <c r="T18" s="67">
        <f t="shared" si="8"/>
        <v>155</v>
      </c>
      <c r="U18" s="67">
        <f t="shared" si="9"/>
        <v>136</v>
      </c>
      <c r="V18" s="67">
        <v>0.17399999999999999</v>
      </c>
      <c r="W18" s="67">
        <v>0.10299999999999999</v>
      </c>
      <c r="AC18" s="67">
        <v>8.4309999999999992</v>
      </c>
      <c r="AI18" s="70">
        <f t="shared" si="10"/>
        <v>0.10299999999999999</v>
      </c>
      <c r="AL18" s="68" t="s">
        <v>581</v>
      </c>
      <c r="AP18" s="67">
        <f>+V18/AQ18</f>
        <v>0.19848295396837881</v>
      </c>
      <c r="AQ18" s="67">
        <f>+W18*SQRT(T18*U18/S18)</f>
        <v>0.87664958889981404</v>
      </c>
      <c r="AS18" s="67">
        <f>+AP18^2/(AU18-2)*(AU18/(V18/AI18)^2+AU18*AV18^2-AU18+2)</f>
        <v>1.3969445989179777E-2</v>
      </c>
      <c r="AU18" s="67">
        <f>+S18-2</f>
        <v>289</v>
      </c>
      <c r="AV18" s="67">
        <f>1/(SQRT(AU18/2)*_xlfn.GAMMA(AU18/2-0.5)/_xlfn.GAMMA(AU18/2))</f>
        <v>0.99740222228004416</v>
      </c>
      <c r="AW18" s="67" t="s">
        <v>1350</v>
      </c>
    </row>
    <row r="19" spans="1:49" ht="30" customHeight="1" x14ac:dyDescent="0.25">
      <c r="A19" s="72" t="s">
        <v>74</v>
      </c>
      <c r="B19" s="67" t="s">
        <v>221</v>
      </c>
      <c r="C19" s="72" t="s">
        <v>75</v>
      </c>
      <c r="D19" s="67">
        <v>6</v>
      </c>
      <c r="E19" s="67" t="s">
        <v>577</v>
      </c>
      <c r="F19" s="73" t="s">
        <v>240</v>
      </c>
      <c r="G19" s="73" t="s">
        <v>578</v>
      </c>
      <c r="H19" s="67">
        <v>1</v>
      </c>
      <c r="I19" s="67">
        <v>12</v>
      </c>
      <c r="J19" s="73">
        <v>5</v>
      </c>
      <c r="K19" s="68" t="s">
        <v>582</v>
      </c>
      <c r="L19" s="67" t="s">
        <v>240</v>
      </c>
      <c r="M19" s="68" t="s">
        <v>570</v>
      </c>
      <c r="N19" s="48" t="s">
        <v>240</v>
      </c>
      <c r="O19" s="69">
        <v>0.1</v>
      </c>
      <c r="P19" s="74">
        <v>-1.4E-2</v>
      </c>
      <c r="Q19" s="74">
        <v>2.1999999999999999E-2</v>
      </c>
      <c r="R19" s="67" t="s">
        <v>580</v>
      </c>
      <c r="S19" s="67">
        <f>ROUND(445*(1470+1286)/4221,0)</f>
        <v>291</v>
      </c>
      <c r="T19" s="67">
        <f t="shared" si="8"/>
        <v>155</v>
      </c>
      <c r="U19" s="67">
        <f t="shared" si="9"/>
        <v>136</v>
      </c>
      <c r="V19" s="67">
        <v>0.17899999999999999</v>
      </c>
      <c r="W19" s="67">
        <v>9.8000000000000004E-2</v>
      </c>
      <c r="AC19" s="67">
        <v>8.4309999999999992</v>
      </c>
      <c r="AI19" s="70">
        <f t="shared" si="10"/>
        <v>9.8000000000000004E-2</v>
      </c>
      <c r="AL19" s="68" t="s">
        <v>581</v>
      </c>
      <c r="AP19" s="67">
        <f>+V19/AQ19</f>
        <v>0.21460416504310342</v>
      </c>
      <c r="AQ19" s="67">
        <f>+W19*SQRT(T19*U19/S19)</f>
        <v>0.83409378361341535</v>
      </c>
      <c r="AS19" s="67">
        <f>+AP19^2/(AU19-2)*(AU19/(V19/AI19)^2+AU19*AV19^2-AU19+2)</f>
        <v>1.3981057932450237E-2</v>
      </c>
      <c r="AU19" s="67">
        <f>+S19-2</f>
        <v>289</v>
      </c>
      <c r="AV19" s="67">
        <f>1/(SQRT(AU19/2)*_xlfn.GAMMA(AU19/2-0.5)/_xlfn.GAMMA(AU19/2))</f>
        <v>0.99740222228004416</v>
      </c>
      <c r="AW19" s="67" t="s">
        <v>1350</v>
      </c>
    </row>
    <row r="20" spans="1:49" ht="30" customHeight="1" x14ac:dyDescent="0.25">
      <c r="A20" s="72" t="s">
        <v>74</v>
      </c>
      <c r="B20" s="67" t="s">
        <v>221</v>
      </c>
      <c r="C20" s="72" t="s">
        <v>74</v>
      </c>
      <c r="D20" s="67">
        <v>7</v>
      </c>
      <c r="E20" s="67" t="s">
        <v>583</v>
      </c>
      <c r="F20" s="73" t="s">
        <v>240</v>
      </c>
      <c r="G20" s="73" t="s">
        <v>578</v>
      </c>
      <c r="H20" s="67">
        <v>1</v>
      </c>
      <c r="I20" s="67">
        <v>12</v>
      </c>
      <c r="J20" s="73">
        <v>5</v>
      </c>
      <c r="K20" s="68" t="s">
        <v>582</v>
      </c>
      <c r="L20" s="67" t="s">
        <v>240</v>
      </c>
      <c r="M20" s="68" t="s">
        <v>570</v>
      </c>
      <c r="N20" s="48" t="s">
        <v>240</v>
      </c>
      <c r="O20" s="69">
        <v>0.1</v>
      </c>
      <c r="P20" s="74">
        <v>-1.7999999999999999E-2</v>
      </c>
      <c r="Q20" s="74">
        <v>2.9000000000000001E-2</v>
      </c>
      <c r="R20" s="67" t="s">
        <v>580</v>
      </c>
      <c r="S20" s="67">
        <f>ROUND(512*(1470+1286)/4221,0)</f>
        <v>334</v>
      </c>
      <c r="T20" s="67">
        <f t="shared" si="8"/>
        <v>178</v>
      </c>
      <c r="U20" s="67">
        <f t="shared" si="9"/>
        <v>156</v>
      </c>
      <c r="V20" s="67">
        <v>6.7000000000000004E-2</v>
      </c>
      <c r="W20" s="67">
        <v>7.5999999999999998E-2</v>
      </c>
      <c r="AC20" s="67">
        <v>8.7750000000000004</v>
      </c>
      <c r="AI20" s="70">
        <f t="shared" si="10"/>
        <v>7.5999999999999998E-2</v>
      </c>
      <c r="AL20" s="68" t="s">
        <v>581</v>
      </c>
      <c r="AP20" s="67">
        <f>+V20/AQ20</f>
        <v>9.6685677213286997E-2</v>
      </c>
      <c r="AQ20" s="67">
        <f>+W20*SQRT(T20*U20/S20)</f>
        <v>0.6929671687792921</v>
      </c>
      <c r="AS20" s="67">
        <f>+AP20^2/(AU20-2)*(AU20/(V20/AI20)^2+AU20*AV20^2-AU20+2)</f>
        <v>1.211530685818034E-2</v>
      </c>
      <c r="AU20" s="67">
        <f>+S20-2</f>
        <v>332</v>
      </c>
      <c r="AV20" s="67">
        <f>1/(SQRT(AU20/2)*_xlfn.GAMMA(AU20/2-0.5)/_xlfn.GAMMA(AU20/2))</f>
        <v>0.99773897734139949</v>
      </c>
      <c r="AW20" s="67" t="s">
        <v>1350</v>
      </c>
    </row>
    <row r="21" spans="1:49" ht="30" customHeight="1" x14ac:dyDescent="0.25">
      <c r="A21" s="72" t="s">
        <v>74</v>
      </c>
      <c r="B21" s="67" t="s">
        <v>221</v>
      </c>
      <c r="C21" s="72" t="s">
        <v>75</v>
      </c>
      <c r="D21" s="67">
        <v>8</v>
      </c>
      <c r="E21" s="67" t="s">
        <v>583</v>
      </c>
      <c r="F21" s="73" t="s">
        <v>240</v>
      </c>
      <c r="G21" s="73" t="s">
        <v>578</v>
      </c>
      <c r="H21" s="67">
        <v>1</v>
      </c>
      <c r="I21" s="67">
        <v>12</v>
      </c>
      <c r="J21" s="73">
        <v>5</v>
      </c>
      <c r="K21" s="68" t="s">
        <v>582</v>
      </c>
      <c r="L21" s="67" t="s">
        <v>240</v>
      </c>
      <c r="M21" s="68" t="s">
        <v>570</v>
      </c>
      <c r="N21" s="48" t="s">
        <v>240</v>
      </c>
      <c r="O21" s="69">
        <v>0.1</v>
      </c>
      <c r="P21" s="74">
        <v>-2.3E-2</v>
      </c>
      <c r="Q21" s="74">
        <v>2.8000000000000001E-2</v>
      </c>
      <c r="R21" s="67" t="s">
        <v>580</v>
      </c>
      <c r="S21" s="67">
        <f>ROUND(512*(1470+1286)/4221,0)</f>
        <v>334</v>
      </c>
      <c r="T21" s="67">
        <f t="shared" si="8"/>
        <v>178</v>
      </c>
      <c r="U21" s="67">
        <f t="shared" si="9"/>
        <v>156</v>
      </c>
      <c r="V21" s="67">
        <v>-3.9E-2</v>
      </c>
      <c r="W21" s="67">
        <v>6.4000000000000001E-2</v>
      </c>
      <c r="AC21" s="67">
        <v>8.7750000000000004</v>
      </c>
      <c r="AI21" s="70">
        <f t="shared" si="10"/>
        <v>6.4000000000000001E-2</v>
      </c>
      <c r="AL21" s="68" t="s">
        <v>581</v>
      </c>
      <c r="AP21" s="67">
        <f>+V21/AQ21</f>
        <v>-6.683217053642318E-2</v>
      </c>
      <c r="AQ21" s="67">
        <f>+W21*SQRT(T21*U21/S21)</f>
        <v>0.58355130002466704</v>
      </c>
      <c r="AS21" s="67">
        <f>+AP21^2/(AU21-2)*(AU21/(V21/AI21)^2+AU21*AV21^2-AU21+2)</f>
        <v>1.2107904928311687E-2</v>
      </c>
      <c r="AU21" s="67">
        <f>+S21-2</f>
        <v>332</v>
      </c>
      <c r="AV21" s="67">
        <f>1/(SQRT(AU21/2)*_xlfn.GAMMA(AU21/2-0.5)/_xlfn.GAMMA(AU21/2))</f>
        <v>0.99773897734139949</v>
      </c>
      <c r="AW21" s="67" t="s">
        <v>1350</v>
      </c>
    </row>
    <row r="22" spans="1:49" ht="30" customHeight="1" x14ac:dyDescent="0.25">
      <c r="A22" s="72" t="s">
        <v>74</v>
      </c>
      <c r="B22" s="67" t="s">
        <v>221</v>
      </c>
      <c r="C22" s="72" t="s">
        <v>74</v>
      </c>
      <c r="D22" s="67">
        <v>9</v>
      </c>
      <c r="E22" s="67" t="s">
        <v>577</v>
      </c>
      <c r="F22" s="73" t="s">
        <v>240</v>
      </c>
      <c r="G22" s="73" t="s">
        <v>578</v>
      </c>
      <c r="H22" s="67">
        <v>1</v>
      </c>
      <c r="I22" s="67">
        <v>36</v>
      </c>
      <c r="J22" s="73">
        <v>1</v>
      </c>
      <c r="K22" s="73" t="s">
        <v>579</v>
      </c>
      <c r="L22" s="67" t="s">
        <v>240</v>
      </c>
      <c r="M22" s="68" t="s">
        <v>570</v>
      </c>
      <c r="N22" s="67" t="s">
        <v>240</v>
      </c>
      <c r="O22" s="69">
        <v>0.2</v>
      </c>
      <c r="P22" s="74">
        <v>-1.6E-2</v>
      </c>
      <c r="Q22" s="74">
        <v>2.4E-2</v>
      </c>
      <c r="R22" s="67" t="s">
        <v>584</v>
      </c>
      <c r="S22" s="67">
        <f>ROUND(1728*(1366+1176)/3873,0)</f>
        <v>1134</v>
      </c>
      <c r="T22" s="67">
        <f t="shared" si="8"/>
        <v>609</v>
      </c>
      <c r="U22" s="67">
        <f t="shared" ref="U22:U29" si="11">ROUND(S22*1176/(1176+1366),0)</f>
        <v>525</v>
      </c>
      <c r="V22" s="67">
        <v>1.6E-2</v>
      </c>
      <c r="W22" s="67">
        <v>3.3000000000000002E-2</v>
      </c>
      <c r="AC22" s="67">
        <v>0.49</v>
      </c>
      <c r="AI22" s="70">
        <f t="shared" si="10"/>
        <v>3.3000000000000002E-2</v>
      </c>
      <c r="AL22" s="68" t="s">
        <v>581</v>
      </c>
    </row>
    <row r="23" spans="1:49" ht="30" customHeight="1" x14ac:dyDescent="0.25">
      <c r="A23" s="72" t="s">
        <v>74</v>
      </c>
      <c r="B23" s="67" t="s">
        <v>221</v>
      </c>
      <c r="C23" s="72" t="s">
        <v>75</v>
      </c>
      <c r="D23" s="67">
        <v>10</v>
      </c>
      <c r="E23" s="67" t="s">
        <v>577</v>
      </c>
      <c r="F23" s="73" t="s">
        <v>240</v>
      </c>
      <c r="G23" s="73" t="s">
        <v>578</v>
      </c>
      <c r="H23" s="67">
        <v>1</v>
      </c>
      <c r="I23" s="67">
        <v>36</v>
      </c>
      <c r="J23" s="73">
        <v>1</v>
      </c>
      <c r="K23" s="73" t="s">
        <v>579</v>
      </c>
      <c r="L23" s="67" t="s">
        <v>240</v>
      </c>
      <c r="M23" s="68" t="s">
        <v>570</v>
      </c>
      <c r="N23" s="67" t="s">
        <v>240</v>
      </c>
      <c r="O23" s="69">
        <v>0.2</v>
      </c>
      <c r="P23" s="74">
        <v>-1.4E-2</v>
      </c>
      <c r="Q23" s="74">
        <v>2.1999999999999999E-2</v>
      </c>
      <c r="R23" s="67" t="s">
        <v>584</v>
      </c>
      <c r="S23" s="67">
        <f>ROUND(1728*(1366+1176)/3873,0)</f>
        <v>1134</v>
      </c>
      <c r="T23" s="67">
        <f t="shared" si="8"/>
        <v>609</v>
      </c>
      <c r="U23" s="67">
        <f t="shared" si="11"/>
        <v>525</v>
      </c>
      <c r="V23" s="67">
        <v>1.2999999999999999E-2</v>
      </c>
      <c r="W23" s="67">
        <v>2.9000000000000001E-2</v>
      </c>
      <c r="AC23" s="67">
        <v>0.49</v>
      </c>
      <c r="AI23" s="70">
        <f t="shared" si="10"/>
        <v>2.9000000000000001E-2</v>
      </c>
      <c r="AL23" s="68" t="s">
        <v>581</v>
      </c>
    </row>
    <row r="24" spans="1:49" ht="30" customHeight="1" x14ac:dyDescent="0.25">
      <c r="A24" s="72" t="s">
        <v>74</v>
      </c>
      <c r="B24" s="67" t="s">
        <v>221</v>
      </c>
      <c r="C24" s="72" t="s">
        <v>74</v>
      </c>
      <c r="D24" s="67">
        <v>11</v>
      </c>
      <c r="E24" s="67" t="s">
        <v>583</v>
      </c>
      <c r="F24" s="73" t="s">
        <v>240</v>
      </c>
      <c r="G24" s="73" t="s">
        <v>578</v>
      </c>
      <c r="H24" s="67">
        <v>1</v>
      </c>
      <c r="I24" s="67">
        <v>36</v>
      </c>
      <c r="J24" s="73">
        <v>1</v>
      </c>
      <c r="K24" s="73" t="s">
        <v>579</v>
      </c>
      <c r="L24" s="67" t="s">
        <v>240</v>
      </c>
      <c r="M24" s="68" t="s">
        <v>570</v>
      </c>
      <c r="N24" s="67" t="s">
        <v>240</v>
      </c>
      <c r="O24" s="69">
        <v>0.2</v>
      </c>
      <c r="P24" s="74">
        <v>-1.7999999999999999E-2</v>
      </c>
      <c r="Q24" s="74">
        <v>2.9000000000000001E-2</v>
      </c>
      <c r="R24" s="67" t="s">
        <v>584</v>
      </c>
      <c r="S24" s="67">
        <f>ROUND(1051*(1366+1176)/3873,0)</f>
        <v>690</v>
      </c>
      <c r="T24" s="67">
        <f t="shared" si="8"/>
        <v>371</v>
      </c>
      <c r="U24" s="67">
        <f t="shared" si="11"/>
        <v>319</v>
      </c>
      <c r="V24" s="67">
        <v>-8.9999999999999993E-3</v>
      </c>
      <c r="W24" s="67">
        <v>3.2000000000000001E-2</v>
      </c>
      <c r="AC24" s="67">
        <v>0.82199999999999995</v>
      </c>
      <c r="AI24" s="70">
        <f t="shared" si="10"/>
        <v>3.2000000000000001E-2</v>
      </c>
      <c r="AL24" s="68" t="s">
        <v>581</v>
      </c>
    </row>
    <row r="25" spans="1:49" ht="30" customHeight="1" x14ac:dyDescent="0.25">
      <c r="A25" s="72" t="s">
        <v>74</v>
      </c>
      <c r="B25" s="67" t="s">
        <v>221</v>
      </c>
      <c r="C25" s="72" t="s">
        <v>75</v>
      </c>
      <c r="D25" s="67">
        <v>12</v>
      </c>
      <c r="E25" s="67" t="s">
        <v>583</v>
      </c>
      <c r="F25" s="73" t="s">
        <v>240</v>
      </c>
      <c r="G25" s="73" t="s">
        <v>578</v>
      </c>
      <c r="H25" s="67">
        <v>1</v>
      </c>
      <c r="I25" s="67">
        <v>36</v>
      </c>
      <c r="J25" s="73">
        <v>1</v>
      </c>
      <c r="K25" s="73" t="s">
        <v>579</v>
      </c>
      <c r="L25" s="67" t="s">
        <v>240</v>
      </c>
      <c r="M25" s="68" t="s">
        <v>570</v>
      </c>
      <c r="N25" s="67" t="s">
        <v>240</v>
      </c>
      <c r="O25" s="69">
        <v>0.2</v>
      </c>
      <c r="P25" s="74">
        <v>-2.3E-2</v>
      </c>
      <c r="Q25" s="74">
        <v>2.8000000000000001E-2</v>
      </c>
      <c r="R25" s="67" t="s">
        <v>584</v>
      </c>
      <c r="S25" s="67">
        <f>ROUND(1051*(1366+1176)/3873,0)</f>
        <v>690</v>
      </c>
      <c r="T25" s="67">
        <f t="shared" si="8"/>
        <v>371</v>
      </c>
      <c r="U25" s="67">
        <f t="shared" si="11"/>
        <v>319</v>
      </c>
      <c r="V25" s="67">
        <v>-8.9999999999999993E-3</v>
      </c>
      <c r="W25" s="67">
        <v>0.03</v>
      </c>
      <c r="AC25" s="67">
        <v>0.82199999999999995</v>
      </c>
      <c r="AI25" s="70">
        <f t="shared" si="10"/>
        <v>0.03</v>
      </c>
      <c r="AL25" s="68" t="s">
        <v>581</v>
      </c>
    </row>
    <row r="26" spans="1:49" ht="30" customHeight="1" x14ac:dyDescent="0.25">
      <c r="A26" s="72" t="s">
        <v>74</v>
      </c>
      <c r="B26" s="67" t="s">
        <v>221</v>
      </c>
      <c r="C26" s="72" t="s">
        <v>74</v>
      </c>
      <c r="D26" s="67">
        <v>13</v>
      </c>
      <c r="E26" s="67" t="s">
        <v>577</v>
      </c>
      <c r="F26" s="73" t="s">
        <v>240</v>
      </c>
      <c r="G26" s="73" t="s">
        <v>578</v>
      </c>
      <c r="H26" s="67">
        <v>1</v>
      </c>
      <c r="I26" s="67">
        <v>36</v>
      </c>
      <c r="J26" s="73">
        <v>5</v>
      </c>
      <c r="K26" s="68" t="s">
        <v>582</v>
      </c>
      <c r="L26" s="67" t="s">
        <v>240</v>
      </c>
      <c r="M26" s="68" t="s">
        <v>570</v>
      </c>
      <c r="N26" s="48" t="s">
        <v>240</v>
      </c>
      <c r="O26" s="69">
        <v>0.2</v>
      </c>
      <c r="P26" s="74">
        <v>-1.6E-2</v>
      </c>
      <c r="Q26" s="74">
        <v>2.4E-2</v>
      </c>
      <c r="R26" s="67" t="s">
        <v>584</v>
      </c>
      <c r="S26" s="67">
        <f>ROUND(747*(1366+1176)/3873,0)</f>
        <v>490</v>
      </c>
      <c r="T26" s="67">
        <f t="shared" si="8"/>
        <v>263</v>
      </c>
      <c r="U26" s="67">
        <f t="shared" si="11"/>
        <v>227</v>
      </c>
      <c r="V26" s="67">
        <v>1.2E-2</v>
      </c>
      <c r="W26" s="67">
        <v>9.1999999999999998E-2</v>
      </c>
      <c r="AC26" s="67">
        <v>8.2590000000000003</v>
      </c>
      <c r="AI26" s="70">
        <f t="shared" si="10"/>
        <v>9.1999999999999998E-2</v>
      </c>
      <c r="AL26" s="68" t="s">
        <v>581</v>
      </c>
      <c r="AP26" s="67">
        <f>+V26/AQ26</f>
        <v>1.1816820971288803E-2</v>
      </c>
      <c r="AQ26" s="67">
        <f>+W26*SQRT(T26*U26/S26)</f>
        <v>1.0155015489492702</v>
      </c>
      <c r="AS26" s="67">
        <f>+AP26^2/(AU26-2)*(AU26/(V26/AI26)^2+AU26*AV26^2-AU26+2)</f>
        <v>8.2559108360855029E-3</v>
      </c>
      <c r="AU26" s="67">
        <v>343</v>
      </c>
      <c r="AV26" s="67">
        <f>1/(SQRT(AU26/2)*_xlfn.GAMMA(AU26/2-0.5)/_xlfn.GAMMA(AU26/2))</f>
        <v>0.99781154999408106</v>
      </c>
      <c r="AW26" s="67" t="s">
        <v>1350</v>
      </c>
    </row>
    <row r="27" spans="1:49" ht="30" customHeight="1" x14ac:dyDescent="0.25">
      <c r="A27" s="72" t="s">
        <v>74</v>
      </c>
      <c r="B27" s="67" t="s">
        <v>221</v>
      </c>
      <c r="C27" s="72" t="s">
        <v>75</v>
      </c>
      <c r="D27" s="67">
        <v>14</v>
      </c>
      <c r="E27" s="67" t="s">
        <v>577</v>
      </c>
      <c r="F27" s="73" t="s">
        <v>240</v>
      </c>
      <c r="G27" s="73" t="s">
        <v>578</v>
      </c>
      <c r="H27" s="67">
        <v>1</v>
      </c>
      <c r="I27" s="67">
        <v>36</v>
      </c>
      <c r="J27" s="73">
        <v>5</v>
      </c>
      <c r="K27" s="68" t="s">
        <v>582</v>
      </c>
      <c r="L27" s="67" t="s">
        <v>240</v>
      </c>
      <c r="M27" s="68" t="s">
        <v>570</v>
      </c>
      <c r="N27" s="48" t="s">
        <v>240</v>
      </c>
      <c r="O27" s="69">
        <v>0.2</v>
      </c>
      <c r="P27" s="74">
        <v>-1.4E-2</v>
      </c>
      <c r="Q27" s="74">
        <v>2.1999999999999999E-2</v>
      </c>
      <c r="R27" s="67" t="s">
        <v>584</v>
      </c>
      <c r="S27" s="67">
        <f>ROUND(747*(1366+1176)/3873,0)</f>
        <v>490</v>
      </c>
      <c r="T27" s="67">
        <f t="shared" si="8"/>
        <v>263</v>
      </c>
      <c r="U27" s="67">
        <f t="shared" si="11"/>
        <v>227</v>
      </c>
      <c r="V27" s="67">
        <v>-2.7E-2</v>
      </c>
      <c r="W27" s="67">
        <v>8.5000000000000006E-2</v>
      </c>
      <c r="AC27" s="67">
        <v>8.2590000000000003</v>
      </c>
      <c r="AI27" s="70">
        <f t="shared" si="10"/>
        <v>8.5000000000000006E-2</v>
      </c>
      <c r="AL27" s="68" t="s">
        <v>581</v>
      </c>
      <c r="AP27" s="67">
        <f>+V27/AQ27</f>
        <v>-2.877743460066802E-2</v>
      </c>
      <c r="AQ27" s="67">
        <f>+W27*SQRT(T27*U27/S27)</f>
        <v>0.93823512674660858</v>
      </c>
      <c r="AS27" s="67">
        <f>+AP27^2/(AU27-2)*(AU27/(V27/AI27)^2+AU27*AV27^2-AU27+2)</f>
        <v>8.244751697843623E-3</v>
      </c>
      <c r="AU27" s="67">
        <f>+S27-2</f>
        <v>488</v>
      </c>
      <c r="AV27" s="67">
        <f>IFERROR(1/(SQRT(AU27/2)*_xlfn.GAMMA(AU27/2-0.5)/_xlfn.GAMMA(AU27/2)),1)</f>
        <v>1</v>
      </c>
      <c r="AW27" s="67" t="s">
        <v>1350</v>
      </c>
    </row>
    <row r="28" spans="1:49" ht="30" customHeight="1" x14ac:dyDescent="0.25">
      <c r="A28" s="72" t="s">
        <v>74</v>
      </c>
      <c r="B28" s="67" t="s">
        <v>221</v>
      </c>
      <c r="C28" s="72" t="s">
        <v>74</v>
      </c>
      <c r="D28" s="67">
        <v>15</v>
      </c>
      <c r="E28" s="67" t="s">
        <v>583</v>
      </c>
      <c r="F28" s="73" t="s">
        <v>240</v>
      </c>
      <c r="G28" s="73" t="s">
        <v>578</v>
      </c>
      <c r="H28" s="67">
        <v>1</v>
      </c>
      <c r="I28" s="67">
        <v>36</v>
      </c>
      <c r="J28" s="73">
        <v>5</v>
      </c>
      <c r="K28" s="68" t="s">
        <v>582</v>
      </c>
      <c r="L28" s="67" t="s">
        <v>240</v>
      </c>
      <c r="M28" s="68" t="s">
        <v>570</v>
      </c>
      <c r="N28" s="48" t="s">
        <v>240</v>
      </c>
      <c r="O28" s="69">
        <v>0.2</v>
      </c>
      <c r="P28" s="74">
        <v>-1.7999999999999999E-2</v>
      </c>
      <c r="Q28" s="74">
        <v>2.9000000000000001E-2</v>
      </c>
      <c r="R28" s="67" t="s">
        <v>584</v>
      </c>
      <c r="S28" s="67">
        <f>ROUND(806*(1366+1176)/3873,0)</f>
        <v>529</v>
      </c>
      <c r="T28" s="67">
        <f t="shared" si="8"/>
        <v>284</v>
      </c>
      <c r="U28" s="67">
        <f t="shared" si="11"/>
        <v>245</v>
      </c>
      <c r="V28" s="67">
        <v>-9.9000000000000005E-2</v>
      </c>
      <c r="W28" s="67">
        <v>7.4999999999999997E-2</v>
      </c>
      <c r="AC28" s="67">
        <v>0.41399999999999998</v>
      </c>
      <c r="AI28" s="70">
        <f t="shared" si="10"/>
        <v>7.4999999999999997E-2</v>
      </c>
      <c r="AL28" s="68" t="s">
        <v>581</v>
      </c>
      <c r="AP28" s="67">
        <f>+V28/AQ28</f>
        <v>-0.11509582095931856</v>
      </c>
      <c r="AQ28" s="67">
        <f>+W28*SQRT(T28*U28/S28)</f>
        <v>0.86015286371685262</v>
      </c>
      <c r="AS28" s="67">
        <f>+AP28^2/(AU28-2)*(AU28/(V28/AI28)^2+AU28*AV28^2-AU28+2)</f>
        <v>7.6821872513995549E-3</v>
      </c>
      <c r="AU28" s="67">
        <f>+S28-2</f>
        <v>527</v>
      </c>
      <c r="AV28" s="67">
        <f>IFERROR(1/(SQRT(AU28/2)*_xlfn.GAMMA(AU28/2-0.5)/_xlfn.GAMMA(AU28/2)),1)</f>
        <v>1</v>
      </c>
      <c r="AW28" s="67" t="s">
        <v>1350</v>
      </c>
    </row>
    <row r="29" spans="1:49" ht="30" customHeight="1" x14ac:dyDescent="0.25">
      <c r="A29" s="72" t="s">
        <v>74</v>
      </c>
      <c r="B29" s="67" t="s">
        <v>221</v>
      </c>
      <c r="C29" s="72" t="s">
        <v>75</v>
      </c>
      <c r="D29" s="67">
        <v>16</v>
      </c>
      <c r="E29" s="67" t="s">
        <v>583</v>
      </c>
      <c r="F29" s="73" t="s">
        <v>240</v>
      </c>
      <c r="G29" s="73" t="s">
        <v>578</v>
      </c>
      <c r="H29" s="67">
        <v>1</v>
      </c>
      <c r="I29" s="67">
        <v>36</v>
      </c>
      <c r="J29" s="73">
        <v>5</v>
      </c>
      <c r="K29" s="68" t="s">
        <v>582</v>
      </c>
      <c r="L29" s="67" t="s">
        <v>240</v>
      </c>
      <c r="M29" s="68" t="s">
        <v>570</v>
      </c>
      <c r="N29" s="48" t="s">
        <v>240</v>
      </c>
      <c r="O29" s="69">
        <v>0.2</v>
      </c>
      <c r="P29" s="74">
        <v>-2.3E-2</v>
      </c>
      <c r="Q29" s="74">
        <v>2.8000000000000001E-2</v>
      </c>
      <c r="R29" s="67" t="s">
        <v>584</v>
      </c>
      <c r="S29" s="67">
        <f>ROUND(806*(1366+1176)/3873,0)</f>
        <v>529</v>
      </c>
      <c r="T29" s="67">
        <f t="shared" si="8"/>
        <v>284</v>
      </c>
      <c r="U29" s="67">
        <f t="shared" si="11"/>
        <v>245</v>
      </c>
      <c r="V29" s="67">
        <v>-3.9E-2</v>
      </c>
      <c r="W29" s="67">
        <v>5.8000000000000003E-2</v>
      </c>
      <c r="AC29" s="67">
        <v>0.41399999999999998</v>
      </c>
      <c r="AI29" s="70">
        <f t="shared" si="10"/>
        <v>5.8000000000000003E-2</v>
      </c>
      <c r="AL29" s="68" t="s">
        <v>581</v>
      </c>
      <c r="AP29" s="67">
        <f>+V29/AQ29</f>
        <v>-5.8630316319402083E-2</v>
      </c>
      <c r="AQ29" s="67">
        <f>+W29*SQRT(T29*U29/S29)</f>
        <v>0.66518488127436604</v>
      </c>
      <c r="AS29" s="67">
        <f>+AP29^2/(AU29-2)*(AU29/(V29/AI29)^2+AU29*AV29^2-AU29+2)</f>
        <v>7.6448175980258918E-3</v>
      </c>
      <c r="AU29" s="67">
        <f>+S29-2</f>
        <v>527</v>
      </c>
      <c r="AV29" s="67">
        <f>IFERROR(1/(SQRT(AU29/2)*_xlfn.GAMMA(AU29/2-0.5)/_xlfn.GAMMA(AU29/2)),1)</f>
        <v>1</v>
      </c>
      <c r="AW29" s="67" t="s">
        <v>1350</v>
      </c>
    </row>
    <row r="30" spans="1:49" ht="30" customHeight="1" x14ac:dyDescent="0.25">
      <c r="A30" s="75" t="s">
        <v>79</v>
      </c>
      <c r="B30" s="67" t="s">
        <v>207</v>
      </c>
      <c r="C30" s="75" t="s">
        <v>79</v>
      </c>
      <c r="D30" s="67">
        <v>1</v>
      </c>
      <c r="E30" s="67" t="s">
        <v>568</v>
      </c>
      <c r="F30" s="67" t="s">
        <v>240</v>
      </c>
      <c r="G30" s="67" t="s">
        <v>240</v>
      </c>
      <c r="H30" s="67">
        <v>1</v>
      </c>
      <c r="I30" s="67">
        <v>6</v>
      </c>
      <c r="J30" s="67">
        <v>7</v>
      </c>
      <c r="K30" s="68" t="s">
        <v>585</v>
      </c>
      <c r="L30" s="68" t="s">
        <v>586</v>
      </c>
      <c r="M30" s="68" t="s">
        <v>587</v>
      </c>
      <c r="N30" s="67">
        <v>0</v>
      </c>
      <c r="O30" s="76" t="s">
        <v>240</v>
      </c>
      <c r="P30" s="76" t="s">
        <v>240</v>
      </c>
      <c r="Q30" s="76" t="s">
        <v>240</v>
      </c>
      <c r="R30" s="67" t="s">
        <v>588</v>
      </c>
      <c r="S30" s="67">
        <f>T30+U30</f>
        <v>1866</v>
      </c>
      <c r="T30" s="67">
        <v>1087</v>
      </c>
      <c r="U30" s="67">
        <v>779</v>
      </c>
      <c r="V30" s="67">
        <v>5.5399999999999998E-3</v>
      </c>
      <c r="W30" s="67">
        <v>2.96E-3</v>
      </c>
      <c r="Y30" s="67">
        <v>8.7710000000000008</v>
      </c>
      <c r="AI30" s="70">
        <f t="shared" si="10"/>
        <v>2.96E-3</v>
      </c>
      <c r="AM30" s="67" t="s">
        <v>308</v>
      </c>
      <c r="AN30" s="67" t="s">
        <v>589</v>
      </c>
      <c r="AP30" s="67">
        <f>+V30/AQ30</f>
        <v>8.7859832808324489E-2</v>
      </c>
      <c r="AQ30" s="67">
        <f>+W30*SQRT(T30*U30/S30)</f>
        <v>6.305497999394212E-2</v>
      </c>
      <c r="AS30" s="67">
        <f>+AP30^2/(AU30-2)*(AU30/(V30/AI30)^2+AU30*AV30^2-AU30+2)</f>
        <v>2.2143186920085553E-3</v>
      </c>
      <c r="AU30" s="67">
        <f>+S30-2</f>
        <v>1864</v>
      </c>
      <c r="AV30" s="67">
        <f>IFERROR(1/(SQRT(AU30/2)*_xlfn.GAMMA(AU30/2-0.5)/_xlfn.GAMMA(AU30/2)),1)</f>
        <v>1</v>
      </c>
      <c r="AW30" s="67" t="s">
        <v>1350</v>
      </c>
    </row>
    <row r="31" spans="1:49" ht="30" customHeight="1" x14ac:dyDescent="0.25">
      <c r="A31" s="77" t="s">
        <v>68</v>
      </c>
      <c r="B31" s="67" t="s">
        <v>207</v>
      </c>
      <c r="C31" s="77" t="s">
        <v>68</v>
      </c>
      <c r="D31" s="67">
        <v>1</v>
      </c>
      <c r="E31" s="67" t="s">
        <v>577</v>
      </c>
      <c r="F31" s="67" t="s">
        <v>240</v>
      </c>
      <c r="G31" s="68" t="s">
        <v>578</v>
      </c>
      <c r="H31" s="67">
        <v>1</v>
      </c>
      <c r="I31" s="67">
        <v>3</v>
      </c>
      <c r="J31" s="67">
        <v>1</v>
      </c>
      <c r="K31" s="68" t="s">
        <v>590</v>
      </c>
      <c r="L31" s="76" t="s">
        <v>240</v>
      </c>
      <c r="M31" s="68" t="s">
        <v>570</v>
      </c>
      <c r="N31" s="76" t="s">
        <v>240</v>
      </c>
      <c r="O31" s="69">
        <f>1-(1622/2042)</f>
        <v>0.20568070519098924</v>
      </c>
      <c r="P31" s="74">
        <v>-4.7E-2</v>
      </c>
      <c r="Q31" s="74">
        <v>2.5000000000000001E-2</v>
      </c>
      <c r="R31" s="67" t="s">
        <v>591</v>
      </c>
      <c r="S31" s="67">
        <v>608</v>
      </c>
      <c r="T31" s="78">
        <f>1026*(608/1622)</f>
        <v>384.59186189889027</v>
      </c>
      <c r="U31" s="78">
        <f>S31-T31</f>
        <v>223.40813810110973</v>
      </c>
      <c r="V31" s="67">
        <v>0.14499999999999999</v>
      </c>
      <c r="W31" s="67">
        <v>3.9E-2</v>
      </c>
      <c r="Y31" s="67">
        <v>5.0999999999999997E-2</v>
      </c>
      <c r="Z31" s="67">
        <v>0.22</v>
      </c>
      <c r="AI31" s="70">
        <f t="shared" si="10"/>
        <v>3.9E-2</v>
      </c>
      <c r="AL31" s="68" t="s">
        <v>592</v>
      </c>
    </row>
    <row r="32" spans="1:49" ht="30" customHeight="1" x14ac:dyDescent="0.25">
      <c r="A32" s="67" t="s">
        <v>68</v>
      </c>
      <c r="B32" s="67" t="s">
        <v>293</v>
      </c>
      <c r="C32" s="67" t="s">
        <v>68</v>
      </c>
      <c r="D32" s="67">
        <v>2</v>
      </c>
      <c r="E32" s="67" t="s">
        <v>577</v>
      </c>
      <c r="F32" s="67" t="s">
        <v>240</v>
      </c>
      <c r="G32" s="68" t="s">
        <v>578</v>
      </c>
      <c r="H32" s="67">
        <v>1</v>
      </c>
      <c r="I32" s="67">
        <v>3</v>
      </c>
      <c r="J32" s="67">
        <v>2</v>
      </c>
      <c r="K32" s="68" t="s">
        <v>593</v>
      </c>
      <c r="L32" s="67" t="s">
        <v>594</v>
      </c>
      <c r="M32" s="68" t="s">
        <v>570</v>
      </c>
      <c r="N32" s="67" t="s">
        <v>240</v>
      </c>
      <c r="O32" s="69">
        <f>1-(1622/2042)</f>
        <v>0.20568070519098924</v>
      </c>
      <c r="P32" s="74">
        <v>-4.7E-2</v>
      </c>
      <c r="Q32" s="74">
        <v>2.5000000000000001E-2</v>
      </c>
      <c r="R32" s="67" t="s">
        <v>595</v>
      </c>
      <c r="S32" s="67">
        <v>608</v>
      </c>
      <c r="T32" s="78">
        <f>1026*(608/1622)</f>
        <v>384.59186189889027</v>
      </c>
      <c r="U32" s="78">
        <f>S32-T32</f>
        <v>223.40813810110973</v>
      </c>
      <c r="V32" s="67">
        <v>200.1</v>
      </c>
      <c r="W32" s="67">
        <v>185.6</v>
      </c>
      <c r="Y32" s="67">
        <v>729.5</v>
      </c>
      <c r="Z32" s="67">
        <v>2322.6999999999998</v>
      </c>
      <c r="AI32" s="70">
        <f t="shared" si="10"/>
        <v>185.6</v>
      </c>
      <c r="AL32" s="68" t="s">
        <v>596</v>
      </c>
      <c r="AM32" s="67" t="s">
        <v>30</v>
      </c>
      <c r="AP32" s="67">
        <f>+V32/AQ32</f>
        <v>9.0692498548859163E-2</v>
      </c>
      <c r="AQ32" s="67">
        <f>+W32*SQRT(T32*U32/S32)</f>
        <v>2206.356680009199</v>
      </c>
      <c r="AS32" s="67">
        <f>+AP32^2/(AU32-2)*(AU32/(V32/AI32)^2+AU32*AV32^2-AU32+2)</f>
        <v>7.1269385950403731E-3</v>
      </c>
      <c r="AU32" s="67">
        <f>+S32-2</f>
        <v>606</v>
      </c>
      <c r="AV32" s="67">
        <f>IFERROR(1/(SQRT(AU32/2)*_xlfn.GAMMA(AU32/2-0.5)/_xlfn.GAMMA(AU32/2)),1)</f>
        <v>1</v>
      </c>
      <c r="AW32" s="67" t="s">
        <v>1350</v>
      </c>
    </row>
    <row r="33" spans="1:49" ht="30" customHeight="1" x14ac:dyDescent="0.25">
      <c r="A33" s="77" t="s">
        <v>86</v>
      </c>
      <c r="B33" s="67" t="s">
        <v>207</v>
      </c>
      <c r="C33" s="77" t="s">
        <v>86</v>
      </c>
      <c r="D33" s="67">
        <v>1</v>
      </c>
      <c r="E33" s="67" t="s">
        <v>568</v>
      </c>
      <c r="F33" s="67" t="s">
        <v>240</v>
      </c>
      <c r="G33" s="68" t="s">
        <v>578</v>
      </c>
      <c r="H33" s="67">
        <v>1</v>
      </c>
      <c r="I33" s="67">
        <v>3</v>
      </c>
      <c r="J33" s="67">
        <v>1</v>
      </c>
      <c r="K33" s="68" t="s">
        <v>597</v>
      </c>
      <c r="L33" s="76" t="s">
        <v>240</v>
      </c>
      <c r="M33" s="68" t="s">
        <v>570</v>
      </c>
      <c r="N33" s="67" t="s">
        <v>240</v>
      </c>
      <c r="O33" s="69">
        <f>1-468/600</f>
        <v>0.21999999999999997</v>
      </c>
      <c r="P33" s="67" t="s">
        <v>240</v>
      </c>
      <c r="Q33" s="67" t="s">
        <v>240</v>
      </c>
      <c r="R33" s="68" t="s">
        <v>598</v>
      </c>
      <c r="S33" s="67">
        <v>468</v>
      </c>
      <c r="T33" s="67">
        <v>247</v>
      </c>
      <c r="U33" s="67">
        <v>221</v>
      </c>
      <c r="V33" s="67">
        <v>0.11899999999999999</v>
      </c>
      <c r="W33" s="67">
        <v>2.4E-2</v>
      </c>
      <c r="X33" s="67">
        <v>0.65</v>
      </c>
      <c r="Y33" s="67">
        <v>0.61</v>
      </c>
      <c r="AB33" s="67">
        <v>0.62</v>
      </c>
      <c r="AC33" s="67">
        <v>0.49</v>
      </c>
      <c r="AI33" s="70">
        <f t="shared" si="10"/>
        <v>2.4E-2</v>
      </c>
    </row>
    <row r="34" spans="1:49" ht="30" customHeight="1" x14ac:dyDescent="0.25">
      <c r="A34" s="75" t="s">
        <v>89</v>
      </c>
      <c r="B34" s="67" t="s">
        <v>207</v>
      </c>
      <c r="C34" s="75" t="s">
        <v>264</v>
      </c>
      <c r="D34" s="67">
        <v>1</v>
      </c>
      <c r="E34" s="67" t="s">
        <v>568</v>
      </c>
      <c r="F34" s="67" t="s">
        <v>240</v>
      </c>
      <c r="G34" s="68" t="s">
        <v>578</v>
      </c>
      <c r="H34" s="67">
        <v>1</v>
      </c>
      <c r="I34" s="67">
        <v>6</v>
      </c>
      <c r="J34" s="67">
        <v>1</v>
      </c>
      <c r="K34" s="68" t="s">
        <v>599</v>
      </c>
      <c r="L34" s="76" t="s">
        <v>240</v>
      </c>
      <c r="M34" s="68" t="s">
        <v>570</v>
      </c>
      <c r="N34" s="67" t="s">
        <v>240</v>
      </c>
      <c r="O34" s="79">
        <f>1-(0.526+0.504)/2</f>
        <v>0.48499999999999999</v>
      </c>
      <c r="P34" s="74">
        <f>(1-0.526)-(1-0.504)</f>
        <v>-2.200000000000002E-2</v>
      </c>
      <c r="Q34" s="67" t="s">
        <v>240</v>
      </c>
      <c r="R34" s="67" t="s">
        <v>600</v>
      </c>
      <c r="S34" s="67">
        <f>T34+U34</f>
        <v>462</v>
      </c>
      <c r="T34" s="67">
        <v>150</v>
      </c>
      <c r="U34" s="67">
        <v>312</v>
      </c>
      <c r="V34" s="67">
        <v>0.14000000000000001</v>
      </c>
      <c r="W34" s="67">
        <v>0.05</v>
      </c>
      <c r="AI34" s="70">
        <f t="shared" si="10"/>
        <v>0.05</v>
      </c>
      <c r="AJ34" s="70">
        <v>0.04</v>
      </c>
      <c r="AL34" s="68" t="s">
        <v>601</v>
      </c>
    </row>
    <row r="35" spans="1:49" ht="30" customHeight="1" x14ac:dyDescent="0.25">
      <c r="A35" s="75" t="s">
        <v>89</v>
      </c>
      <c r="B35" s="67" t="s">
        <v>207</v>
      </c>
      <c r="C35" s="75" t="s">
        <v>271</v>
      </c>
      <c r="D35" s="67">
        <v>2</v>
      </c>
      <c r="E35" s="67" t="s">
        <v>568</v>
      </c>
      <c r="F35" s="67" t="s">
        <v>240</v>
      </c>
      <c r="G35" s="68" t="s">
        <v>578</v>
      </c>
      <c r="H35" s="67">
        <v>1</v>
      </c>
      <c r="I35" s="67">
        <v>6</v>
      </c>
      <c r="J35" s="67">
        <v>1</v>
      </c>
      <c r="K35" s="68" t="s">
        <v>599</v>
      </c>
      <c r="L35" s="76" t="s">
        <v>240</v>
      </c>
      <c r="M35" s="68" t="s">
        <v>570</v>
      </c>
      <c r="N35" s="67" t="s">
        <v>240</v>
      </c>
      <c r="O35" s="79">
        <f>1-(0.463+0.504)/2</f>
        <v>0.51649999999999996</v>
      </c>
      <c r="P35" s="74">
        <f>(1-0.463)-(1-0.504)</f>
        <v>4.0999999999999925E-2</v>
      </c>
      <c r="Q35" s="67" t="s">
        <v>240</v>
      </c>
      <c r="R35" s="67" t="s">
        <v>600</v>
      </c>
      <c r="S35" s="67">
        <f>T35+U35</f>
        <v>463</v>
      </c>
      <c r="T35" s="67">
        <v>151</v>
      </c>
      <c r="U35" s="67">
        <v>312</v>
      </c>
      <c r="V35" s="67">
        <v>0.09</v>
      </c>
      <c r="W35" s="67">
        <v>0.05</v>
      </c>
      <c r="AI35" s="70">
        <f t="shared" si="10"/>
        <v>0.05</v>
      </c>
      <c r="AJ35" s="70">
        <v>-0.01</v>
      </c>
      <c r="AL35" s="68" t="s">
        <v>601</v>
      </c>
    </row>
    <row r="36" spans="1:49" ht="30" customHeight="1" x14ac:dyDescent="0.25">
      <c r="A36" s="75" t="s">
        <v>89</v>
      </c>
      <c r="B36" s="67" t="s">
        <v>207</v>
      </c>
      <c r="C36" s="75" t="s">
        <v>264</v>
      </c>
      <c r="D36" s="67">
        <v>3</v>
      </c>
      <c r="E36" s="67" t="s">
        <v>568</v>
      </c>
      <c r="F36" s="67" t="s">
        <v>240</v>
      </c>
      <c r="G36" s="68" t="s">
        <v>578</v>
      </c>
      <c r="H36" s="67">
        <v>1</v>
      </c>
      <c r="I36" s="67">
        <v>6</v>
      </c>
      <c r="J36" s="67">
        <v>2</v>
      </c>
      <c r="K36" s="68" t="s">
        <v>602</v>
      </c>
      <c r="L36" s="80" t="s">
        <v>603</v>
      </c>
      <c r="M36" s="68" t="s">
        <v>570</v>
      </c>
      <c r="N36" s="67" t="s">
        <v>240</v>
      </c>
      <c r="O36" s="79">
        <f>1-(0.526+0.504)/2</f>
        <v>0.48499999999999999</v>
      </c>
      <c r="P36" s="74">
        <f>(1-0.526)-(1-0.504)</f>
        <v>-2.200000000000002E-2</v>
      </c>
      <c r="Q36" s="67" t="s">
        <v>240</v>
      </c>
      <c r="R36" s="67" t="s">
        <v>604</v>
      </c>
      <c r="S36" s="67">
        <f>T36+U36</f>
        <v>462</v>
      </c>
      <c r="T36" s="67">
        <v>150</v>
      </c>
      <c r="U36" s="67">
        <v>312</v>
      </c>
      <c r="V36" s="67">
        <v>445</v>
      </c>
      <c r="W36" s="67">
        <v>151</v>
      </c>
      <c r="X36" s="81">
        <f>1.4/2.2*200</f>
        <v>127.27272727272725</v>
      </c>
      <c r="Y36" s="81">
        <f>1.85/2.2*200</f>
        <v>168.18181818181816</v>
      </c>
      <c r="AI36" s="70">
        <f t="shared" si="10"/>
        <v>151</v>
      </c>
      <c r="AJ36" s="78">
        <v>147</v>
      </c>
      <c r="AL36" s="68" t="s">
        <v>601</v>
      </c>
      <c r="AP36" s="67">
        <f>+V36/AQ36</f>
        <v>0.29280677747152029</v>
      </c>
      <c r="AQ36" s="67">
        <f>+W36*SQRT(T36*U36/S36)</f>
        <v>1519.7735648153935</v>
      </c>
      <c r="AS36" s="67">
        <f>+AP36^2/(AU36-2)*(AU36/(V36/AI36)^2+AU36*AV36^2-AU36+2)</f>
        <v>1.0289295325092037E-2</v>
      </c>
      <c r="AU36" s="67">
        <f>+S36-2</f>
        <v>460</v>
      </c>
      <c r="AV36" s="67">
        <f>IFERROR(1/(SQRT(AU36/2)*_xlfn.GAMMA(AU36/2-0.5)/_xlfn.GAMMA(AU36/2)),1)</f>
        <v>1</v>
      </c>
      <c r="AW36" s="67" t="s">
        <v>1350</v>
      </c>
    </row>
    <row r="37" spans="1:49" ht="30" customHeight="1" x14ac:dyDescent="0.25">
      <c r="A37" s="75" t="s">
        <v>89</v>
      </c>
      <c r="B37" s="67" t="s">
        <v>207</v>
      </c>
      <c r="C37" s="75" t="s">
        <v>271</v>
      </c>
      <c r="D37" s="67">
        <v>4</v>
      </c>
      <c r="E37" s="67" t="s">
        <v>568</v>
      </c>
      <c r="F37" s="67" t="s">
        <v>240</v>
      </c>
      <c r="G37" s="68" t="s">
        <v>578</v>
      </c>
      <c r="H37" s="67">
        <v>1</v>
      </c>
      <c r="I37" s="67">
        <v>6</v>
      </c>
      <c r="J37" s="67">
        <v>2</v>
      </c>
      <c r="K37" s="68" t="s">
        <v>602</v>
      </c>
      <c r="L37" s="76" t="s">
        <v>240</v>
      </c>
      <c r="M37" s="68" t="s">
        <v>570</v>
      </c>
      <c r="N37" s="67" t="s">
        <v>240</v>
      </c>
      <c r="O37" s="79">
        <f>1-(0.463+0.504)/2</f>
        <v>0.51649999999999996</v>
      </c>
      <c r="P37" s="74">
        <f>(1-0.463)-(1-0.504)</f>
        <v>4.0999999999999925E-2</v>
      </c>
      <c r="Q37" s="67" t="s">
        <v>240</v>
      </c>
      <c r="R37" s="67" t="s">
        <v>604</v>
      </c>
      <c r="S37" s="67">
        <f>T37+U37</f>
        <v>463</v>
      </c>
      <c r="T37" s="67">
        <v>151</v>
      </c>
      <c r="U37" s="67">
        <v>312</v>
      </c>
      <c r="V37" s="67">
        <v>506</v>
      </c>
      <c r="W37" s="67">
        <v>167</v>
      </c>
      <c r="X37" s="81">
        <f>0.56/2.2*200</f>
        <v>50.909090909090914</v>
      </c>
      <c r="Y37" s="81">
        <f>1.85/2.2*200</f>
        <v>168.18181818181816</v>
      </c>
      <c r="AI37" s="70">
        <f t="shared" si="10"/>
        <v>167</v>
      </c>
      <c r="AJ37" s="78">
        <v>178</v>
      </c>
      <c r="AL37" s="68" t="s">
        <v>601</v>
      </c>
      <c r="AP37" s="67">
        <f>+V37/AQ37</f>
        <v>0.30037153264934879</v>
      </c>
      <c r="AQ37" s="67">
        <f>+W37*SQRT(T37*U37/S37)</f>
        <v>1684.5804112558835</v>
      </c>
      <c r="AS37" s="67">
        <f>+AP37^2/(AU37-2)*(AU37/(V37/AI37)^2+AU37*AV37^2-AU37+2)</f>
        <v>1.0263595534350042E-2</v>
      </c>
      <c r="AU37" s="67">
        <f>+S37-2</f>
        <v>461</v>
      </c>
      <c r="AV37" s="67">
        <f>IFERROR(1/(SQRT(AU37/2)*_xlfn.GAMMA(AU37/2-0.5)/_xlfn.GAMMA(AU37/2)),1)</f>
        <v>1</v>
      </c>
      <c r="AW37" s="67" t="s">
        <v>1350</v>
      </c>
    </row>
    <row r="38" spans="1:49" ht="30" customHeight="1" x14ac:dyDescent="0.25">
      <c r="A38" s="73" t="s">
        <v>69</v>
      </c>
      <c r="B38" s="67" t="s">
        <v>221</v>
      </c>
      <c r="C38" s="73" t="s">
        <v>69</v>
      </c>
      <c r="D38" s="67">
        <v>1</v>
      </c>
      <c r="E38" s="67" t="s">
        <v>605</v>
      </c>
      <c r="F38" s="73" t="s">
        <v>240</v>
      </c>
      <c r="G38" s="73" t="s">
        <v>578</v>
      </c>
      <c r="H38" s="67">
        <v>1</v>
      </c>
      <c r="I38" s="67">
        <v>18</v>
      </c>
      <c r="J38" s="67">
        <v>3</v>
      </c>
      <c r="K38" s="68" t="s">
        <v>606</v>
      </c>
      <c r="L38" s="67" t="s">
        <v>240</v>
      </c>
      <c r="M38" s="68" t="s">
        <v>587</v>
      </c>
      <c r="N38" s="67" t="s">
        <v>240</v>
      </c>
      <c r="O38" s="69">
        <v>0</v>
      </c>
      <c r="R38" s="67" t="s">
        <v>311</v>
      </c>
      <c r="S38" s="67">
        <v>407</v>
      </c>
      <c r="T38" s="67">
        <v>220</v>
      </c>
      <c r="U38" s="67">
        <v>187</v>
      </c>
      <c r="V38" s="67">
        <v>0.10199999999999999</v>
      </c>
      <c r="W38" s="67">
        <v>4.65E-2</v>
      </c>
      <c r="AC38" s="67">
        <v>0.246</v>
      </c>
      <c r="AI38" s="70">
        <f t="shared" si="10"/>
        <v>4.65E-2</v>
      </c>
    </row>
    <row r="39" spans="1:49" ht="30" customHeight="1" x14ac:dyDescent="0.25">
      <c r="A39" s="73" t="s">
        <v>69</v>
      </c>
      <c r="B39" s="67" t="s">
        <v>221</v>
      </c>
      <c r="C39" s="73" t="s">
        <v>69</v>
      </c>
      <c r="D39" s="67">
        <f>D38+1</f>
        <v>2</v>
      </c>
      <c r="E39" s="67" t="s">
        <v>605</v>
      </c>
      <c r="F39" s="73" t="s">
        <v>240</v>
      </c>
      <c r="G39" s="73" t="s">
        <v>578</v>
      </c>
      <c r="H39" s="67">
        <v>1</v>
      </c>
      <c r="I39" s="67">
        <v>33</v>
      </c>
      <c r="J39" s="67">
        <v>3</v>
      </c>
      <c r="K39" s="68" t="s">
        <v>606</v>
      </c>
      <c r="L39" s="67" t="s">
        <v>240</v>
      </c>
      <c r="M39" s="68" t="s">
        <v>587</v>
      </c>
      <c r="N39" s="67" t="s">
        <v>240</v>
      </c>
      <c r="O39" s="69">
        <v>0</v>
      </c>
      <c r="R39" s="67" t="s">
        <v>311</v>
      </c>
      <c r="S39" s="67">
        <v>407</v>
      </c>
      <c r="T39" s="67">
        <v>220</v>
      </c>
      <c r="U39" s="67">
        <v>187</v>
      </c>
      <c r="V39" s="67">
        <v>3.8199999999999998E-2</v>
      </c>
      <c r="W39" s="67">
        <v>4.4999999999999998E-2</v>
      </c>
      <c r="AC39" s="67">
        <v>0.2888</v>
      </c>
      <c r="AI39" s="70">
        <f t="shared" si="10"/>
        <v>4.4999999999999998E-2</v>
      </c>
    </row>
    <row r="40" spans="1:49" ht="30" customHeight="1" x14ac:dyDescent="0.25">
      <c r="A40" s="73" t="s">
        <v>69</v>
      </c>
      <c r="B40" s="67" t="s">
        <v>221</v>
      </c>
      <c r="C40" s="73" t="s">
        <v>69</v>
      </c>
      <c r="D40" s="67">
        <f>D39+1</f>
        <v>3</v>
      </c>
      <c r="E40" s="67" t="s">
        <v>605</v>
      </c>
      <c r="F40" s="73" t="s">
        <v>240</v>
      </c>
      <c r="G40" s="73" t="s">
        <v>578</v>
      </c>
      <c r="H40" s="67">
        <v>1</v>
      </c>
      <c r="I40" s="67">
        <v>48</v>
      </c>
      <c r="J40" s="67">
        <v>3</v>
      </c>
      <c r="K40" s="68" t="s">
        <v>606</v>
      </c>
      <c r="L40" s="67" t="s">
        <v>240</v>
      </c>
      <c r="M40" s="68" t="s">
        <v>587</v>
      </c>
      <c r="N40" s="67" t="s">
        <v>240</v>
      </c>
      <c r="O40" s="69">
        <v>0</v>
      </c>
      <c r="R40" s="67" t="s">
        <v>311</v>
      </c>
      <c r="S40" s="67">
        <v>407</v>
      </c>
      <c r="T40" s="67">
        <v>220</v>
      </c>
      <c r="U40" s="67">
        <v>187</v>
      </c>
      <c r="V40" s="67">
        <v>1.7100000000000001E-2</v>
      </c>
      <c r="W40" s="67">
        <v>4.7500000000000001E-2</v>
      </c>
      <c r="AC40" s="67">
        <v>0.32619999999999999</v>
      </c>
      <c r="AI40" s="70">
        <f t="shared" si="10"/>
        <v>4.7500000000000001E-2</v>
      </c>
    </row>
    <row r="41" spans="1:49" ht="30" customHeight="1" x14ac:dyDescent="0.25">
      <c r="A41" s="73" t="s">
        <v>69</v>
      </c>
      <c r="B41" s="67" t="s">
        <v>221</v>
      </c>
      <c r="C41" s="73" t="s">
        <v>69</v>
      </c>
      <c r="D41" s="67">
        <f>D40+1</f>
        <v>4</v>
      </c>
      <c r="E41" s="67" t="s">
        <v>605</v>
      </c>
      <c r="F41" s="73" t="s">
        <v>240</v>
      </c>
      <c r="G41" s="73" t="s">
        <v>578</v>
      </c>
      <c r="H41" s="67">
        <v>1</v>
      </c>
      <c r="I41" s="67">
        <v>18</v>
      </c>
      <c r="J41" s="67">
        <v>2</v>
      </c>
      <c r="K41" s="68" t="s">
        <v>607</v>
      </c>
      <c r="L41" s="68" t="s">
        <v>608</v>
      </c>
      <c r="M41" s="68" t="s">
        <v>587</v>
      </c>
      <c r="N41" s="48" t="s">
        <v>240</v>
      </c>
      <c r="O41" s="69">
        <v>0</v>
      </c>
      <c r="R41" s="67" t="s">
        <v>311</v>
      </c>
      <c r="S41" s="67">
        <v>407</v>
      </c>
      <c r="T41" s="67">
        <v>220</v>
      </c>
      <c r="U41" s="67">
        <v>187</v>
      </c>
      <c r="V41" s="67">
        <v>328.18</v>
      </c>
      <c r="W41" s="67">
        <v>149.34</v>
      </c>
      <c r="AC41" s="67">
        <v>623.5</v>
      </c>
      <c r="AI41" s="70">
        <f t="shared" si="10"/>
        <v>149.34</v>
      </c>
      <c r="AL41" s="68" t="s">
        <v>609</v>
      </c>
      <c r="AP41" s="67">
        <f>+V41/AQ41</f>
        <v>0.21857527054628167</v>
      </c>
      <c r="AQ41" s="67">
        <f>+W41*SQRT(T41*U41/S41)</f>
        <v>1501.4507321884355</v>
      </c>
      <c r="AS41" s="67">
        <f>+AP41^2/(AU41-2)*(AU41/(V41/AI41)^2+AU41*AV41^2-AU41+2)</f>
        <v>1.0179242654509597E-2</v>
      </c>
      <c r="AU41" s="67">
        <f>+S41-2</f>
        <v>405</v>
      </c>
      <c r="AV41" s="67">
        <f>IFERROR(1/(SQRT(AU41/2)*_xlfn.GAMMA(AU41/2-0.5)/_xlfn.GAMMA(AU41/2)),1)</f>
        <v>1</v>
      </c>
      <c r="AW41" s="67" t="s">
        <v>1350</v>
      </c>
    </row>
    <row r="42" spans="1:49" ht="30" customHeight="1" x14ac:dyDescent="0.25">
      <c r="A42" s="73" t="s">
        <v>69</v>
      </c>
      <c r="B42" s="67" t="s">
        <v>221</v>
      </c>
      <c r="C42" s="73" t="s">
        <v>69</v>
      </c>
      <c r="D42" s="67">
        <f>D41+1</f>
        <v>5</v>
      </c>
      <c r="E42" s="67" t="s">
        <v>605</v>
      </c>
      <c r="F42" s="73" t="s">
        <v>240</v>
      </c>
      <c r="G42" s="73" t="s">
        <v>578</v>
      </c>
      <c r="H42" s="67">
        <v>1</v>
      </c>
      <c r="I42" s="67">
        <v>33</v>
      </c>
      <c r="J42" s="67">
        <v>2</v>
      </c>
      <c r="K42" s="68" t="s">
        <v>607</v>
      </c>
      <c r="L42" s="68" t="s">
        <v>608</v>
      </c>
      <c r="M42" s="68" t="s">
        <v>587</v>
      </c>
      <c r="N42" s="48" t="s">
        <v>240</v>
      </c>
      <c r="O42" s="69">
        <v>0</v>
      </c>
      <c r="R42" s="67" t="s">
        <v>311</v>
      </c>
      <c r="S42" s="67">
        <v>407</v>
      </c>
      <c r="T42" s="67">
        <v>220</v>
      </c>
      <c r="U42" s="67">
        <v>187</v>
      </c>
      <c r="V42" s="67">
        <v>98.96</v>
      </c>
      <c r="W42" s="67">
        <v>159.27000000000001</v>
      </c>
      <c r="AC42" s="67">
        <v>809.29</v>
      </c>
      <c r="AI42" s="70">
        <f t="shared" si="10"/>
        <v>159.27000000000001</v>
      </c>
      <c r="AL42" s="68" t="s">
        <v>610</v>
      </c>
      <c r="AP42" s="67">
        <f>+V42/AQ42</f>
        <v>6.1800326209494764E-2</v>
      </c>
      <c r="AQ42" s="67">
        <f>+W42*SQRT(T42*U42/S42)</f>
        <v>1601.286046040258</v>
      </c>
      <c r="AS42" s="67">
        <f>+AP42^2/(AU42-2)*(AU42/(V42/AI42)^2+AU42*AV42^2-AU42+2)</f>
        <v>9.9610993861484112E-3</v>
      </c>
      <c r="AU42" s="67">
        <f>+S42-2</f>
        <v>405</v>
      </c>
      <c r="AV42" s="67">
        <f>IFERROR(1/(SQRT(AU42/2)*_xlfn.GAMMA(AU42/2-0.5)/_xlfn.GAMMA(AU42/2)),1)</f>
        <v>1</v>
      </c>
      <c r="AW42" s="67" t="s">
        <v>1350</v>
      </c>
    </row>
    <row r="43" spans="1:49" ht="30" customHeight="1" x14ac:dyDescent="0.25">
      <c r="A43" s="67" t="s">
        <v>54</v>
      </c>
      <c r="B43" s="67" t="s">
        <v>221</v>
      </c>
      <c r="C43" s="72" t="s">
        <v>282</v>
      </c>
      <c r="D43" s="82">
        <v>1</v>
      </c>
      <c r="E43" s="82" t="s">
        <v>577</v>
      </c>
      <c r="F43" s="73" t="s">
        <v>240</v>
      </c>
      <c r="G43" s="73" t="s">
        <v>578</v>
      </c>
      <c r="H43" s="73">
        <v>1</v>
      </c>
      <c r="I43" s="73">
        <v>14</v>
      </c>
      <c r="J43" s="73">
        <v>1</v>
      </c>
      <c r="K43" s="73" t="s">
        <v>579</v>
      </c>
      <c r="L43" s="73" t="s">
        <v>240</v>
      </c>
      <c r="M43" s="73" t="s">
        <v>570</v>
      </c>
      <c r="N43" s="73" t="s">
        <v>240</v>
      </c>
      <c r="O43" s="83">
        <v>0.185</v>
      </c>
      <c r="P43" s="84">
        <v>-1.6899999999999998E-2</v>
      </c>
      <c r="Q43" s="84">
        <v>1.7510000000000001E-2</v>
      </c>
      <c r="R43" s="73" t="s">
        <v>284</v>
      </c>
      <c r="S43" s="85">
        <v>1367</v>
      </c>
      <c r="T43" s="85">
        <f t="shared" ref="T43:T48" si="12">+S43-U43</f>
        <v>649</v>
      </c>
      <c r="U43" s="85">
        <f t="shared" ref="U43:U48" si="13">+ROUND(S43*(2287/(2066+2287)),0)</f>
        <v>718</v>
      </c>
      <c r="V43" s="86">
        <v>5.3999999999999999E-2</v>
      </c>
      <c r="W43" s="86">
        <v>2.1999999999999999E-2</v>
      </c>
      <c r="X43" s="81">
        <f>+Y43+0.012</f>
        <v>0.47200000000000003</v>
      </c>
      <c r="Y43" s="81">
        <v>0.46</v>
      </c>
      <c r="Z43" s="72"/>
      <c r="AA43" s="72"/>
      <c r="AB43" s="72"/>
      <c r="AC43" s="72">
        <v>0.63700000000000001</v>
      </c>
      <c r="AD43" s="87"/>
      <c r="AE43" s="73"/>
      <c r="AF43" s="87"/>
      <c r="AG43" s="87"/>
      <c r="AH43" s="87"/>
      <c r="AI43" s="70">
        <f t="shared" si="10"/>
        <v>2.1999999999999999E-2</v>
      </c>
      <c r="AJ43" s="87"/>
      <c r="AK43" s="73"/>
      <c r="AL43" s="73" t="s">
        <v>1376</v>
      </c>
    </row>
    <row r="44" spans="1:49" ht="30" customHeight="1" x14ac:dyDescent="0.25">
      <c r="A44" s="67" t="s">
        <v>54</v>
      </c>
      <c r="B44" s="67" t="s">
        <v>221</v>
      </c>
      <c r="C44" s="72" t="s">
        <v>282</v>
      </c>
      <c r="D44" s="67">
        <f>D43+1</f>
        <v>2</v>
      </c>
      <c r="E44" s="82" t="s">
        <v>577</v>
      </c>
      <c r="F44" s="73" t="s">
        <v>240</v>
      </c>
      <c r="G44" s="73" t="s">
        <v>578</v>
      </c>
      <c r="H44" s="73">
        <v>1</v>
      </c>
      <c r="I44" s="73">
        <v>14</v>
      </c>
      <c r="J44" s="67">
        <v>2</v>
      </c>
      <c r="K44" s="68" t="s">
        <v>611</v>
      </c>
      <c r="L44" s="68" t="s">
        <v>612</v>
      </c>
      <c r="M44" s="73" t="s">
        <v>570</v>
      </c>
      <c r="N44" s="67" t="s">
        <v>240</v>
      </c>
      <c r="O44" s="83">
        <v>0.185</v>
      </c>
      <c r="P44" s="84">
        <v>-1.6899999999999998E-2</v>
      </c>
      <c r="Q44" s="84">
        <v>1.7510000000000001E-2</v>
      </c>
      <c r="R44" s="73" t="s">
        <v>284</v>
      </c>
      <c r="S44" s="67">
        <v>1767</v>
      </c>
      <c r="T44" s="85">
        <f t="shared" si="12"/>
        <v>839</v>
      </c>
      <c r="U44" s="85">
        <f t="shared" si="13"/>
        <v>928</v>
      </c>
      <c r="V44" s="67">
        <v>34668</v>
      </c>
      <c r="W44" s="67">
        <v>9743</v>
      </c>
      <c r="X44" s="67">
        <f>+Y44+255</f>
        <v>85053</v>
      </c>
      <c r="Y44" s="67">
        <v>84798</v>
      </c>
      <c r="Z44" s="81">
        <v>150905</v>
      </c>
      <c r="AC44" s="67">
        <v>177161</v>
      </c>
      <c r="AI44" s="70">
        <f t="shared" si="10"/>
        <v>9743</v>
      </c>
      <c r="AL44" s="68" t="s">
        <v>613</v>
      </c>
      <c r="AP44" s="67">
        <f>+V44/AQ44</f>
        <v>0.16951158767433333</v>
      </c>
      <c r="AQ44" s="67">
        <f>+W44*SQRT(T44*U44/S44)</f>
        <v>204516.99188025051</v>
      </c>
      <c r="AS44" s="67">
        <f>+AP44^2/(AU44-2)*(AU44/(V44/AI44)^2+AU44*AV44^2-AU44+2)</f>
        <v>2.3046528001901168E-3</v>
      </c>
      <c r="AU44" s="67">
        <f>+S44-2</f>
        <v>1765</v>
      </c>
      <c r="AV44" s="67">
        <f>IFERROR(1/(SQRT(AU44/2)*_xlfn.GAMMA(AU44/2-0.5)/_xlfn.GAMMA(AU44/2)),1)</f>
        <v>1</v>
      </c>
      <c r="AW44" s="67" t="s">
        <v>1350</v>
      </c>
    </row>
    <row r="45" spans="1:49" ht="30" customHeight="1" x14ac:dyDescent="0.25">
      <c r="A45" s="67" t="s">
        <v>54</v>
      </c>
      <c r="B45" s="67" t="s">
        <v>221</v>
      </c>
      <c r="C45" s="72" t="s">
        <v>282</v>
      </c>
      <c r="D45" s="67">
        <f>D44+1</f>
        <v>3</v>
      </c>
      <c r="E45" s="67" t="s">
        <v>583</v>
      </c>
      <c r="F45" s="73" t="s">
        <v>240</v>
      </c>
      <c r="G45" s="73" t="s">
        <v>578</v>
      </c>
      <c r="H45" s="73">
        <v>1</v>
      </c>
      <c r="I45" s="73">
        <v>14</v>
      </c>
      <c r="J45" s="73">
        <v>1</v>
      </c>
      <c r="K45" s="73" t="s">
        <v>579</v>
      </c>
      <c r="L45" s="73" t="s">
        <v>240</v>
      </c>
      <c r="M45" s="73" t="s">
        <v>570</v>
      </c>
      <c r="N45" s="73" t="s">
        <v>240</v>
      </c>
      <c r="O45" s="83">
        <v>0.185</v>
      </c>
      <c r="P45" s="84">
        <v>-7.1300000000000002E-2</v>
      </c>
      <c r="Q45" s="84">
        <v>2.0400000000000001E-2</v>
      </c>
      <c r="R45" s="73" t="s">
        <v>614</v>
      </c>
      <c r="S45" s="67">
        <v>791</v>
      </c>
      <c r="T45" s="85">
        <f t="shared" si="12"/>
        <v>375</v>
      </c>
      <c r="U45" s="85">
        <f t="shared" si="13"/>
        <v>416</v>
      </c>
      <c r="V45" s="67">
        <v>-2.7E-2</v>
      </c>
      <c r="W45" s="67">
        <v>0.03</v>
      </c>
      <c r="AC45" s="67">
        <v>0.83299999999999996</v>
      </c>
      <c r="AI45" s="70">
        <f t="shared" si="10"/>
        <v>0.03</v>
      </c>
      <c r="AL45" s="68" t="s">
        <v>615</v>
      </c>
    </row>
    <row r="46" spans="1:49" ht="30" customHeight="1" x14ac:dyDescent="0.25">
      <c r="A46" s="67" t="s">
        <v>54</v>
      </c>
      <c r="B46" s="67" t="s">
        <v>221</v>
      </c>
      <c r="C46" s="72" t="s">
        <v>282</v>
      </c>
      <c r="D46" s="67">
        <f>D45+1</f>
        <v>4</v>
      </c>
      <c r="E46" s="67" t="s">
        <v>583</v>
      </c>
      <c r="F46" s="73" t="s">
        <v>240</v>
      </c>
      <c r="G46" s="73" t="s">
        <v>578</v>
      </c>
      <c r="H46" s="73">
        <v>1</v>
      </c>
      <c r="I46" s="73">
        <v>14</v>
      </c>
      <c r="J46" s="67">
        <v>2</v>
      </c>
      <c r="K46" s="68" t="s">
        <v>611</v>
      </c>
      <c r="L46" s="68" t="s">
        <v>612</v>
      </c>
      <c r="M46" s="73" t="s">
        <v>570</v>
      </c>
      <c r="N46" s="67" t="s">
        <v>240</v>
      </c>
      <c r="O46" s="83">
        <v>0.185</v>
      </c>
      <c r="P46" s="84">
        <v>-7.1300000000000002E-2</v>
      </c>
      <c r="Q46" s="84">
        <v>2.0400000000000001E-2</v>
      </c>
      <c r="R46" s="73" t="s">
        <v>614</v>
      </c>
      <c r="S46" s="67">
        <v>1464</v>
      </c>
      <c r="T46" s="85">
        <f t="shared" si="12"/>
        <v>695</v>
      </c>
      <c r="U46" s="85">
        <f t="shared" si="13"/>
        <v>769</v>
      </c>
      <c r="V46" s="67">
        <v>13690</v>
      </c>
      <c r="W46" s="67">
        <v>12819</v>
      </c>
      <c r="Y46" s="81">
        <v>119204</v>
      </c>
      <c r="Z46" s="81">
        <v>192442.4</v>
      </c>
      <c r="AC46" s="67">
        <v>265292</v>
      </c>
      <c r="AI46" s="70">
        <f t="shared" si="10"/>
        <v>12819</v>
      </c>
      <c r="AL46" s="68" t="s">
        <v>613</v>
      </c>
      <c r="AP46" s="67">
        <f>+V46/AQ46</f>
        <v>5.5893881102608393E-2</v>
      </c>
      <c r="AQ46" s="67">
        <f>+W46*SQRT(T46*U46/S46)</f>
        <v>244928.42024815362</v>
      </c>
      <c r="AS46" s="67">
        <f>+AP46^2/(AU46-2)*(AU46/(V46/AI46)^2+AU46*AV46^2-AU46+2)</f>
        <v>2.747271044723915E-3</v>
      </c>
      <c r="AU46" s="67">
        <f>+S46-2</f>
        <v>1462</v>
      </c>
      <c r="AV46" s="67">
        <f>IFERROR(1/(SQRT(AU46/2)*_xlfn.GAMMA(AU46/2-0.5)/_xlfn.GAMMA(AU46/2)),1)</f>
        <v>1</v>
      </c>
      <c r="AW46" s="67" t="s">
        <v>1350</v>
      </c>
    </row>
    <row r="47" spans="1:49" ht="30" customHeight="1" x14ac:dyDescent="0.25">
      <c r="A47" s="67" t="s">
        <v>54</v>
      </c>
      <c r="B47" s="67" t="s">
        <v>221</v>
      </c>
      <c r="C47" s="72" t="s">
        <v>282</v>
      </c>
      <c r="D47" s="67">
        <f>D46+1</f>
        <v>5</v>
      </c>
      <c r="E47" s="67" t="s">
        <v>577</v>
      </c>
      <c r="F47" s="73" t="s">
        <v>240</v>
      </c>
      <c r="G47" s="73" t="s">
        <v>578</v>
      </c>
      <c r="H47" s="73">
        <v>1</v>
      </c>
      <c r="I47" s="73">
        <v>14</v>
      </c>
      <c r="J47" s="67">
        <v>3</v>
      </c>
      <c r="K47" s="68" t="s">
        <v>606</v>
      </c>
      <c r="L47" s="67" t="s">
        <v>240</v>
      </c>
      <c r="M47" s="73" t="s">
        <v>570</v>
      </c>
      <c r="N47" s="73" t="s">
        <v>240</v>
      </c>
      <c r="O47" s="83">
        <v>0.185</v>
      </c>
      <c r="P47" s="84">
        <v>-1.6899999999999998E-2</v>
      </c>
      <c r="Q47" s="84">
        <v>1.7510000000000001E-2</v>
      </c>
      <c r="R47" s="73" t="s">
        <v>616</v>
      </c>
      <c r="S47" s="67">
        <v>1202</v>
      </c>
      <c r="T47" s="85">
        <f t="shared" si="12"/>
        <v>570</v>
      </c>
      <c r="U47" s="85">
        <f t="shared" si="13"/>
        <v>632</v>
      </c>
      <c r="V47" s="67">
        <v>6.9000000000000006E-2</v>
      </c>
      <c r="W47" s="67">
        <v>0.02</v>
      </c>
      <c r="AC47" s="67">
        <v>0.19700000000000001</v>
      </c>
      <c r="AI47" s="70">
        <f t="shared" si="10"/>
        <v>0.02</v>
      </c>
      <c r="AL47" s="68" t="s">
        <v>617</v>
      </c>
    </row>
    <row r="48" spans="1:49" ht="30" customHeight="1" x14ac:dyDescent="0.25">
      <c r="A48" s="67" t="s">
        <v>54</v>
      </c>
      <c r="B48" s="67" t="s">
        <v>221</v>
      </c>
      <c r="C48" s="72" t="s">
        <v>282</v>
      </c>
      <c r="D48" s="67">
        <f>D47+1</f>
        <v>6</v>
      </c>
      <c r="E48" s="67" t="s">
        <v>583</v>
      </c>
      <c r="F48" s="73" t="s">
        <v>240</v>
      </c>
      <c r="G48" s="73" t="s">
        <v>578</v>
      </c>
      <c r="H48" s="73">
        <v>1</v>
      </c>
      <c r="I48" s="73">
        <v>14</v>
      </c>
      <c r="J48" s="67">
        <v>3</v>
      </c>
      <c r="K48" s="68" t="s">
        <v>606</v>
      </c>
      <c r="L48" s="67" t="s">
        <v>240</v>
      </c>
      <c r="M48" s="73" t="s">
        <v>570</v>
      </c>
      <c r="N48" s="73" t="s">
        <v>240</v>
      </c>
      <c r="O48" s="83">
        <v>0.185</v>
      </c>
      <c r="P48" s="84">
        <v>-7.1300000000000002E-2</v>
      </c>
      <c r="Q48" s="84">
        <v>2.0400000000000001E-2</v>
      </c>
      <c r="R48" s="73" t="s">
        <v>618</v>
      </c>
      <c r="S48" s="67">
        <v>1149</v>
      </c>
      <c r="T48" s="85">
        <f t="shared" si="12"/>
        <v>545</v>
      </c>
      <c r="U48" s="85">
        <f t="shared" si="13"/>
        <v>604</v>
      </c>
      <c r="V48" s="67">
        <v>5.8000000000000003E-2</v>
      </c>
      <c r="W48" s="67">
        <v>2.5999999999999999E-2</v>
      </c>
      <c r="AC48" s="67">
        <v>0.34100000000000003</v>
      </c>
      <c r="AI48" s="70">
        <f t="shared" si="10"/>
        <v>2.5999999999999999E-2</v>
      </c>
      <c r="AL48" s="68" t="s">
        <v>617</v>
      </c>
    </row>
    <row r="49" spans="1:49" ht="30" customHeight="1" x14ac:dyDescent="0.25">
      <c r="A49" s="77" t="s">
        <v>64</v>
      </c>
      <c r="B49" s="72" t="s">
        <v>207</v>
      </c>
      <c r="C49" s="75" t="s">
        <v>282</v>
      </c>
      <c r="D49" s="67">
        <v>1</v>
      </c>
      <c r="E49" s="67" t="s">
        <v>568</v>
      </c>
      <c r="F49" s="67" t="s">
        <v>240</v>
      </c>
      <c r="G49" s="68" t="s">
        <v>578</v>
      </c>
      <c r="H49" s="67">
        <v>1</v>
      </c>
      <c r="I49" s="67">
        <v>75</v>
      </c>
      <c r="J49" s="67">
        <v>4</v>
      </c>
      <c r="K49" s="68" t="s">
        <v>619</v>
      </c>
      <c r="L49" s="68" t="s">
        <v>620</v>
      </c>
      <c r="M49" s="68" t="s">
        <v>621</v>
      </c>
      <c r="N49" s="67" t="s">
        <v>240</v>
      </c>
      <c r="O49" s="67" t="s">
        <v>240</v>
      </c>
      <c r="P49" s="67" t="s">
        <v>240</v>
      </c>
      <c r="Q49" s="67" t="s">
        <v>240</v>
      </c>
      <c r="R49" s="67" t="s">
        <v>311</v>
      </c>
      <c r="S49" s="88">
        <f>(3956)</f>
        <v>3956</v>
      </c>
      <c r="T49" s="88">
        <f t="shared" ref="T49:T60" si="14">S49-U49</f>
        <v>2037.3601220752798</v>
      </c>
      <c r="U49" s="88">
        <f>3956*(148746/306696)</f>
        <v>1918.6398779247202</v>
      </c>
      <c r="V49" s="88">
        <v>35331</v>
      </c>
      <c r="W49" s="88">
        <v>10766</v>
      </c>
      <c r="Y49" s="88"/>
      <c r="Z49" s="88"/>
      <c r="AC49" s="89">
        <v>258922</v>
      </c>
      <c r="AD49" s="89">
        <v>432480</v>
      </c>
      <c r="AE49" s="67" t="s">
        <v>622</v>
      </c>
      <c r="AI49" s="70">
        <f t="shared" si="10"/>
        <v>10766</v>
      </c>
      <c r="AL49" s="68" t="s">
        <v>1375</v>
      </c>
      <c r="AM49" s="67" t="s">
        <v>308</v>
      </c>
      <c r="AN49" s="68" t="s">
        <v>624</v>
      </c>
      <c r="AP49" s="67">
        <f>+V49/AQ49</f>
        <v>0.10439965456681891</v>
      </c>
      <c r="AQ49" s="67">
        <f>+W49*SQRT(T49*U49/S49)</f>
        <v>338420.65997820999</v>
      </c>
      <c r="AS49" s="67">
        <f>+AP49^2/(AU49-2)*(AU49/(V49/AI49)^2+AU49*AV49^2-AU49+2)</f>
        <v>1.0180617908401627E-3</v>
      </c>
      <c r="AU49" s="67">
        <f>+S49-2</f>
        <v>3954</v>
      </c>
      <c r="AV49" s="67">
        <f>IFERROR(1/(SQRT(AU49/2)*_xlfn.GAMMA(AU49/2-0.5)/_xlfn.GAMMA(AU49/2)),1)</f>
        <v>1</v>
      </c>
      <c r="AW49" s="67" t="s">
        <v>1350</v>
      </c>
    </row>
    <row r="50" spans="1:49" ht="30" customHeight="1" x14ac:dyDescent="0.25">
      <c r="A50" s="77" t="s">
        <v>64</v>
      </c>
      <c r="B50" s="72" t="s">
        <v>207</v>
      </c>
      <c r="C50" s="75" t="s">
        <v>282</v>
      </c>
      <c r="D50" s="67">
        <v>2</v>
      </c>
      <c r="E50" s="67" t="s">
        <v>568</v>
      </c>
      <c r="F50" s="67" t="s">
        <v>240</v>
      </c>
      <c r="G50" s="68" t="s">
        <v>578</v>
      </c>
      <c r="H50" s="67">
        <v>1</v>
      </c>
      <c r="I50" s="67">
        <v>75</v>
      </c>
      <c r="J50" s="67">
        <v>3</v>
      </c>
      <c r="K50" s="68" t="s">
        <v>625</v>
      </c>
      <c r="L50" s="76" t="s">
        <v>240</v>
      </c>
      <c r="M50" s="68" t="s">
        <v>621</v>
      </c>
      <c r="N50" s="67" t="s">
        <v>240</v>
      </c>
      <c r="O50" s="67" t="s">
        <v>240</v>
      </c>
      <c r="P50" s="67" t="s">
        <v>240</v>
      </c>
      <c r="Q50" s="67" t="s">
        <v>240</v>
      </c>
      <c r="R50" s="67" t="s">
        <v>311</v>
      </c>
      <c r="S50" s="88">
        <f>(3956)</f>
        <v>3956</v>
      </c>
      <c r="T50" s="88">
        <f t="shared" si="14"/>
        <v>2037.3601220752798</v>
      </c>
      <c r="U50" s="88">
        <f>3956*(148746/306696)</f>
        <v>1918.6398779247202</v>
      </c>
      <c r="V50" s="90">
        <v>4.2000000000000003E-2</v>
      </c>
      <c r="W50" s="90">
        <v>1.2E-2</v>
      </c>
      <c r="AC50" s="81">
        <v>0.36</v>
      </c>
      <c r="AD50" s="81">
        <v>0.47899999999999998</v>
      </c>
      <c r="AE50" s="67" t="s">
        <v>622</v>
      </c>
      <c r="AI50" s="70">
        <f t="shared" si="10"/>
        <v>1.2E-2</v>
      </c>
      <c r="AL50" s="68" t="s">
        <v>623</v>
      </c>
    </row>
    <row r="51" spans="1:49" ht="30" customHeight="1" x14ac:dyDescent="0.25">
      <c r="A51" s="77" t="s">
        <v>64</v>
      </c>
      <c r="B51" s="72" t="s">
        <v>207</v>
      </c>
      <c r="C51" s="75" t="s">
        <v>282</v>
      </c>
      <c r="D51" s="67">
        <v>3</v>
      </c>
      <c r="E51" s="67" t="s">
        <v>577</v>
      </c>
      <c r="F51" s="67" t="s">
        <v>240</v>
      </c>
      <c r="G51" s="68" t="s">
        <v>578</v>
      </c>
      <c r="H51" s="67">
        <v>1</v>
      </c>
      <c r="I51" s="67">
        <v>75</v>
      </c>
      <c r="J51" s="67">
        <v>4</v>
      </c>
      <c r="K51" s="68" t="s">
        <v>619</v>
      </c>
      <c r="L51" s="68" t="s">
        <v>620</v>
      </c>
      <c r="M51" s="68" t="s">
        <v>621</v>
      </c>
      <c r="N51" s="67" t="s">
        <v>240</v>
      </c>
      <c r="O51" s="67" t="s">
        <v>240</v>
      </c>
      <c r="P51" s="67" t="s">
        <v>240</v>
      </c>
      <c r="Q51" s="67" t="s">
        <v>240</v>
      </c>
      <c r="R51" s="67" t="s">
        <v>376</v>
      </c>
      <c r="S51" s="88">
        <f>(3956)*0.54</f>
        <v>2136.2400000000002</v>
      </c>
      <c r="T51" s="88">
        <f t="shared" si="14"/>
        <v>1100.1744659206511</v>
      </c>
      <c r="U51" s="88">
        <f>3956*0.54*(148746/306696)</f>
        <v>1036.0655340793492</v>
      </c>
      <c r="V51" s="88">
        <v>35495</v>
      </c>
      <c r="W51" s="88">
        <v>12421</v>
      </c>
      <c r="Y51" s="88"/>
      <c r="Z51" s="88"/>
      <c r="AC51" s="89">
        <v>200103</v>
      </c>
      <c r="AD51" s="89">
        <v>366562</v>
      </c>
      <c r="AE51" s="67" t="s">
        <v>622</v>
      </c>
      <c r="AI51" s="70">
        <f t="shared" si="10"/>
        <v>12421</v>
      </c>
      <c r="AL51" s="68" t="s">
        <v>626</v>
      </c>
      <c r="AP51" s="67">
        <f>+V51/AQ51</f>
        <v>0.12371183427090121</v>
      </c>
      <c r="AQ51" s="67">
        <f>+W51*SQRT(T51*U51/S51)</f>
        <v>286916.77081009001</v>
      </c>
      <c r="AS51" s="67">
        <f>+AP51^2/(AU51-2)*(AU51/(V51/AI51)^2+AU51*AV51^2-AU51+2)</f>
        <v>1.8902499961576255E-3</v>
      </c>
      <c r="AU51" s="67">
        <f>+S51-2</f>
        <v>2134.2400000000002</v>
      </c>
      <c r="AV51" s="67">
        <f>IFERROR(1/(SQRT(AU51/2)*_xlfn.GAMMA(AU51/2-0.5)/_xlfn.GAMMA(AU51/2)),1)</f>
        <v>1</v>
      </c>
      <c r="AW51" s="67" t="s">
        <v>1350</v>
      </c>
    </row>
    <row r="52" spans="1:49" ht="30" customHeight="1" x14ac:dyDescent="0.25">
      <c r="A52" s="77" t="s">
        <v>64</v>
      </c>
      <c r="B52" s="72" t="s">
        <v>207</v>
      </c>
      <c r="C52" s="75" t="s">
        <v>282</v>
      </c>
      <c r="D52" s="67">
        <v>4</v>
      </c>
      <c r="E52" s="67" t="s">
        <v>577</v>
      </c>
      <c r="F52" s="67" t="s">
        <v>240</v>
      </c>
      <c r="G52" s="68" t="s">
        <v>578</v>
      </c>
      <c r="H52" s="67">
        <v>1</v>
      </c>
      <c r="I52" s="67">
        <v>75</v>
      </c>
      <c r="J52" s="67">
        <v>3</v>
      </c>
      <c r="K52" s="68" t="s">
        <v>625</v>
      </c>
      <c r="L52" s="76" t="s">
        <v>240</v>
      </c>
      <c r="M52" s="68" t="s">
        <v>621</v>
      </c>
      <c r="N52" s="67" t="s">
        <v>240</v>
      </c>
      <c r="O52" s="67" t="s">
        <v>240</v>
      </c>
      <c r="P52" s="67" t="s">
        <v>240</v>
      </c>
      <c r="Q52" s="67" t="s">
        <v>240</v>
      </c>
      <c r="R52" s="67" t="s">
        <v>376</v>
      </c>
      <c r="S52" s="88">
        <f>(3956)*0.54</f>
        <v>2136.2400000000002</v>
      </c>
      <c r="T52" s="88">
        <f t="shared" si="14"/>
        <v>1100.1744659206511</v>
      </c>
      <c r="U52" s="88">
        <f>3956*0.54*(148746/306696)</f>
        <v>1036.0655340793492</v>
      </c>
      <c r="V52" s="91">
        <v>4.7E-2</v>
      </c>
      <c r="W52" s="91">
        <v>1.4999999999999999E-2</v>
      </c>
      <c r="Y52" s="91"/>
      <c r="AC52" s="92">
        <v>0.28999999999999998</v>
      </c>
      <c r="AD52" s="81">
        <v>0.45300000000000001</v>
      </c>
      <c r="AE52" s="67" t="s">
        <v>622</v>
      </c>
      <c r="AI52" s="70">
        <f t="shared" si="10"/>
        <v>1.4999999999999999E-2</v>
      </c>
      <c r="AL52" s="68" t="s">
        <v>626</v>
      </c>
    </row>
    <row r="53" spans="1:49" ht="30" customHeight="1" x14ac:dyDescent="0.25">
      <c r="A53" s="77" t="s">
        <v>64</v>
      </c>
      <c r="B53" s="72" t="s">
        <v>207</v>
      </c>
      <c r="C53" s="75" t="s">
        <v>282</v>
      </c>
      <c r="D53" s="67">
        <v>5</v>
      </c>
      <c r="E53" s="67" t="s">
        <v>583</v>
      </c>
      <c r="F53" s="67" t="s">
        <v>240</v>
      </c>
      <c r="G53" s="68" t="s">
        <v>578</v>
      </c>
      <c r="H53" s="67">
        <v>1</v>
      </c>
      <c r="I53" s="67">
        <v>75</v>
      </c>
      <c r="J53" s="67">
        <v>4</v>
      </c>
      <c r="K53" s="68" t="s">
        <v>619</v>
      </c>
      <c r="L53" s="68" t="s">
        <v>620</v>
      </c>
      <c r="M53" s="68" t="s">
        <v>621</v>
      </c>
      <c r="N53" s="67" t="s">
        <v>240</v>
      </c>
      <c r="O53" s="67" t="s">
        <v>240</v>
      </c>
      <c r="P53" s="67" t="s">
        <v>240</v>
      </c>
      <c r="Q53" s="67" t="s">
        <v>240</v>
      </c>
      <c r="R53" s="67" t="s">
        <v>376</v>
      </c>
      <c r="S53" s="88">
        <f>(3956)*0.46</f>
        <v>1819.76</v>
      </c>
      <c r="T53" s="88">
        <f t="shared" si="14"/>
        <v>937.18565615462865</v>
      </c>
      <c r="U53" s="88">
        <f>3956*0.46*(148746/306696)</f>
        <v>882.57434384537135</v>
      </c>
      <c r="V53" s="88">
        <v>35126</v>
      </c>
      <c r="W53" s="88">
        <v>18597</v>
      </c>
      <c r="Y53" s="88"/>
      <c r="Z53" s="88"/>
      <c r="AC53" s="89">
        <v>327673</v>
      </c>
      <c r="AD53" s="89">
        <v>489732</v>
      </c>
      <c r="AE53" s="67" t="s">
        <v>622</v>
      </c>
      <c r="AI53" s="70">
        <f t="shared" si="10"/>
        <v>18597</v>
      </c>
      <c r="AL53" s="68" t="s">
        <v>626</v>
      </c>
      <c r="AP53" s="67">
        <f>+V53/AQ53</f>
        <v>8.8594017757861146E-2</v>
      </c>
      <c r="AQ53" s="67">
        <f>+W53*SQRT(T53*U53/S53)</f>
        <v>396482.75232311821</v>
      </c>
      <c r="AS53" s="67">
        <f>+AP53^2/(AU53-2)*(AU53/(V53/AI53)^2+AU53*AV53^2-AU53+2)</f>
        <v>2.2111420795013653E-3</v>
      </c>
      <c r="AU53" s="67">
        <f>+S53-2</f>
        <v>1817.76</v>
      </c>
      <c r="AV53" s="67">
        <f>IFERROR(1/(SQRT(AU53/2)*_xlfn.GAMMA(AU53/2-0.5)/_xlfn.GAMMA(AU53/2)),1)</f>
        <v>1</v>
      </c>
      <c r="AW53" s="67" t="s">
        <v>1350</v>
      </c>
    </row>
    <row r="54" spans="1:49" ht="30" customHeight="1" x14ac:dyDescent="0.25">
      <c r="A54" s="77" t="s">
        <v>64</v>
      </c>
      <c r="B54" s="72" t="s">
        <v>207</v>
      </c>
      <c r="C54" s="75" t="s">
        <v>282</v>
      </c>
      <c r="D54" s="67">
        <v>6</v>
      </c>
      <c r="E54" s="67" t="s">
        <v>583</v>
      </c>
      <c r="F54" s="67" t="s">
        <v>240</v>
      </c>
      <c r="G54" s="68" t="s">
        <v>578</v>
      </c>
      <c r="H54" s="67">
        <v>1</v>
      </c>
      <c r="I54" s="67">
        <v>75</v>
      </c>
      <c r="J54" s="67">
        <v>3</v>
      </c>
      <c r="K54" s="68" t="s">
        <v>625</v>
      </c>
      <c r="L54" s="76" t="s">
        <v>240</v>
      </c>
      <c r="M54" s="68" t="s">
        <v>621</v>
      </c>
      <c r="N54" s="67" t="s">
        <v>240</v>
      </c>
      <c r="O54" s="67" t="s">
        <v>240</v>
      </c>
      <c r="P54" s="67" t="s">
        <v>240</v>
      </c>
      <c r="Q54" s="67" t="s">
        <v>240</v>
      </c>
      <c r="R54" s="67" t="s">
        <v>376</v>
      </c>
      <c r="S54" s="88">
        <f>(3956)*0.46</f>
        <v>1819.76</v>
      </c>
      <c r="T54" s="88">
        <f t="shared" si="14"/>
        <v>937.18565615462865</v>
      </c>
      <c r="U54" s="88">
        <f>3956*0.46*(148746/306696)</f>
        <v>882.57434384537135</v>
      </c>
      <c r="V54" s="90">
        <v>3.5999999999999997E-2</v>
      </c>
      <c r="W54" s="90">
        <v>1.9E-2</v>
      </c>
      <c r="AC54" s="81">
        <v>0.43</v>
      </c>
      <c r="AD54" s="81">
        <v>0.496</v>
      </c>
      <c r="AE54" s="67" t="s">
        <v>622</v>
      </c>
      <c r="AI54" s="70">
        <f t="shared" si="10"/>
        <v>1.9E-2</v>
      </c>
      <c r="AL54" s="68" t="s">
        <v>626</v>
      </c>
    </row>
    <row r="55" spans="1:49" ht="30" customHeight="1" x14ac:dyDescent="0.25">
      <c r="A55" s="77" t="s">
        <v>64</v>
      </c>
      <c r="B55" s="72" t="s">
        <v>293</v>
      </c>
      <c r="C55" s="75" t="s">
        <v>282</v>
      </c>
      <c r="D55" s="67">
        <f t="shared" ref="D55:D60" si="15">D54+1</f>
        <v>7</v>
      </c>
      <c r="E55" s="67" t="s">
        <v>568</v>
      </c>
      <c r="F55" s="67" t="s">
        <v>240</v>
      </c>
      <c r="G55" s="68" t="s">
        <v>627</v>
      </c>
      <c r="H55" s="67">
        <v>1</v>
      </c>
      <c r="I55" s="67">
        <v>81</v>
      </c>
      <c r="J55" s="67">
        <v>1</v>
      </c>
      <c r="K55" s="68" t="s">
        <v>628</v>
      </c>
      <c r="L55" s="67" t="s">
        <v>240</v>
      </c>
      <c r="M55" s="68" t="s">
        <v>629</v>
      </c>
      <c r="N55" s="67" t="s">
        <v>240</v>
      </c>
      <c r="O55" s="67" t="s">
        <v>240</v>
      </c>
      <c r="P55" s="67" t="s">
        <v>240</v>
      </c>
      <c r="Q55" s="67" t="s">
        <v>240</v>
      </c>
      <c r="R55" s="67" t="s">
        <v>630</v>
      </c>
      <c r="S55" s="67">
        <v>2863</v>
      </c>
      <c r="T55" s="67">
        <f t="shared" si="14"/>
        <v>1462</v>
      </c>
      <c r="U55" s="67">
        <v>1401</v>
      </c>
      <c r="V55" s="67">
        <v>4.8000000000000001E-2</v>
      </c>
      <c r="W55" s="67">
        <v>2.3E-2</v>
      </c>
      <c r="AC55" s="67">
        <v>0.46600000000000003</v>
      </c>
      <c r="AI55" s="70">
        <f t="shared" si="10"/>
        <v>2.3E-2</v>
      </c>
      <c r="AL55" s="68" t="s">
        <v>631</v>
      </c>
      <c r="AM55" s="67" t="s">
        <v>308</v>
      </c>
      <c r="AN55" s="68" t="s">
        <v>24</v>
      </c>
    </row>
    <row r="56" spans="1:49" ht="30" customHeight="1" x14ac:dyDescent="0.25">
      <c r="A56" s="77" t="s">
        <v>64</v>
      </c>
      <c r="B56" s="72" t="s">
        <v>293</v>
      </c>
      <c r="C56" s="75" t="s">
        <v>282</v>
      </c>
      <c r="D56" s="67">
        <f t="shared" si="15"/>
        <v>8</v>
      </c>
      <c r="E56" s="67" t="s">
        <v>568</v>
      </c>
      <c r="F56" s="67" t="s">
        <v>240</v>
      </c>
      <c r="G56" s="68" t="s">
        <v>627</v>
      </c>
      <c r="H56" s="67">
        <v>1</v>
      </c>
      <c r="I56" s="67">
        <v>81</v>
      </c>
      <c r="J56" s="67">
        <v>2</v>
      </c>
      <c r="K56" s="68" t="s">
        <v>632</v>
      </c>
      <c r="L56" s="67" t="s">
        <v>633</v>
      </c>
      <c r="M56" s="68" t="s">
        <v>629</v>
      </c>
      <c r="N56" s="67" t="s">
        <v>240</v>
      </c>
      <c r="O56" s="67" t="s">
        <v>240</v>
      </c>
      <c r="P56" s="67" t="s">
        <v>240</v>
      </c>
      <c r="Q56" s="67" t="s">
        <v>240</v>
      </c>
      <c r="R56" s="67" t="s">
        <v>630</v>
      </c>
      <c r="S56" s="67">
        <v>2863</v>
      </c>
      <c r="T56" s="67">
        <f t="shared" si="14"/>
        <v>1462</v>
      </c>
      <c r="U56" s="67">
        <v>1401</v>
      </c>
      <c r="V56" s="67">
        <v>23053</v>
      </c>
      <c r="W56" s="67">
        <v>16453</v>
      </c>
      <c r="AC56" s="67">
        <v>213205</v>
      </c>
      <c r="AI56" s="70">
        <f t="shared" si="10"/>
        <v>16453</v>
      </c>
      <c r="AL56" s="68" t="s">
        <v>631</v>
      </c>
      <c r="AM56" s="67" t="s">
        <v>308</v>
      </c>
      <c r="AN56" s="68" t="s">
        <v>24</v>
      </c>
      <c r="AP56" s="67">
        <f>+V56/AQ56</f>
        <v>5.2384194786706695E-2</v>
      </c>
      <c r="AQ56" s="67">
        <f>+W56*SQRT(T56*U56/S56)</f>
        <v>440075.48639174766</v>
      </c>
      <c r="AS56" s="67">
        <f>+AP56^2/(AU56-2)*(AU56/(V56/AI56)^2+AU56*AV56^2-AU56+2)</f>
        <v>1.400667831076704E-3</v>
      </c>
      <c r="AU56" s="67">
        <f>+S56-2</f>
        <v>2861</v>
      </c>
      <c r="AV56" s="67">
        <f>IFERROR(1/(SQRT(AU56/2)*_xlfn.GAMMA(AU56/2-0.5)/_xlfn.GAMMA(AU56/2)),1)</f>
        <v>1</v>
      </c>
      <c r="AW56" s="67" t="s">
        <v>1350</v>
      </c>
    </row>
    <row r="57" spans="1:49" ht="30" customHeight="1" x14ac:dyDescent="0.25">
      <c r="A57" s="77" t="s">
        <v>64</v>
      </c>
      <c r="B57" s="72" t="s">
        <v>293</v>
      </c>
      <c r="C57" s="75" t="s">
        <v>282</v>
      </c>
      <c r="D57" s="67">
        <f t="shared" si="15"/>
        <v>9</v>
      </c>
      <c r="E57" s="67" t="s">
        <v>577</v>
      </c>
      <c r="F57" s="67" t="s">
        <v>240</v>
      </c>
      <c r="G57" s="68" t="s">
        <v>627</v>
      </c>
      <c r="H57" s="67">
        <v>1</v>
      </c>
      <c r="I57" s="67">
        <v>81</v>
      </c>
      <c r="J57" s="67">
        <v>1</v>
      </c>
      <c r="K57" s="68" t="s">
        <v>628</v>
      </c>
      <c r="L57" s="67" t="s">
        <v>240</v>
      </c>
      <c r="M57" s="68" t="s">
        <v>629</v>
      </c>
      <c r="N57" s="67" t="s">
        <v>240</v>
      </c>
      <c r="O57" s="67" t="s">
        <v>240</v>
      </c>
      <c r="P57" s="67" t="s">
        <v>240</v>
      </c>
      <c r="Q57" s="67" t="s">
        <v>240</v>
      </c>
      <c r="R57" s="67" t="s">
        <v>630</v>
      </c>
      <c r="S57" s="67">
        <v>1649</v>
      </c>
      <c r="T57" s="67">
        <f t="shared" si="14"/>
        <v>821</v>
      </c>
      <c r="U57" s="67">
        <v>828</v>
      </c>
      <c r="V57" s="67">
        <v>3.7999999999999999E-2</v>
      </c>
      <c r="W57" s="67">
        <v>2.9000000000000001E-2</v>
      </c>
      <c r="AC57" s="67">
        <v>0.36</v>
      </c>
      <c r="AI57" s="70">
        <f t="shared" si="10"/>
        <v>2.9000000000000001E-2</v>
      </c>
      <c r="AL57" s="68" t="s">
        <v>631</v>
      </c>
      <c r="AM57" s="67" t="s">
        <v>308</v>
      </c>
      <c r="AN57" s="68" t="s">
        <v>24</v>
      </c>
    </row>
    <row r="58" spans="1:49" ht="30" customHeight="1" x14ac:dyDescent="0.25">
      <c r="A58" s="77" t="s">
        <v>64</v>
      </c>
      <c r="B58" s="72" t="s">
        <v>293</v>
      </c>
      <c r="C58" s="75" t="s">
        <v>282</v>
      </c>
      <c r="D58" s="67">
        <f t="shared" si="15"/>
        <v>10</v>
      </c>
      <c r="E58" s="67" t="s">
        <v>577</v>
      </c>
      <c r="F58" s="67" t="s">
        <v>240</v>
      </c>
      <c r="G58" s="68" t="s">
        <v>627</v>
      </c>
      <c r="H58" s="67">
        <v>1</v>
      </c>
      <c r="I58" s="67">
        <v>81</v>
      </c>
      <c r="J58" s="67">
        <v>2</v>
      </c>
      <c r="K58" s="68" t="s">
        <v>632</v>
      </c>
      <c r="L58" s="67" t="s">
        <v>633</v>
      </c>
      <c r="M58" s="68" t="s">
        <v>629</v>
      </c>
      <c r="N58" s="67" t="s">
        <v>240</v>
      </c>
      <c r="O58" s="67" t="s">
        <v>240</v>
      </c>
      <c r="P58" s="67" t="s">
        <v>240</v>
      </c>
      <c r="Q58" s="67" t="s">
        <v>240</v>
      </c>
      <c r="R58" s="67" t="s">
        <v>630</v>
      </c>
      <c r="S58" s="67">
        <v>1649</v>
      </c>
      <c r="T58" s="67">
        <f t="shared" si="14"/>
        <v>821</v>
      </c>
      <c r="U58" s="67">
        <v>828</v>
      </c>
      <c r="V58" s="67">
        <v>-9836</v>
      </c>
      <c r="W58" s="67">
        <v>22320</v>
      </c>
      <c r="AC58" s="67">
        <v>182301</v>
      </c>
      <c r="AI58" s="70">
        <f t="shared" si="10"/>
        <v>22320</v>
      </c>
      <c r="AL58" s="68" t="s">
        <v>631</v>
      </c>
      <c r="AM58" s="67" t="s">
        <v>308</v>
      </c>
      <c r="AN58" s="68" t="s">
        <v>24</v>
      </c>
      <c r="AP58" s="67">
        <f>+V58/AQ58</f>
        <v>-2.1704406298934581E-2</v>
      </c>
      <c r="AQ58" s="67">
        <f>+W58*SQRT(T58*U58/S58)</f>
        <v>453179.86884915741</v>
      </c>
      <c r="AS58" s="67">
        <f>+AP58^2/(AU58-2)*(AU58/(V58/AI58)^2+AU58*AV58^2-AU58+2)</f>
        <v>2.4292782560918743E-3</v>
      </c>
      <c r="AU58" s="67">
        <f>+S58-2</f>
        <v>1647</v>
      </c>
      <c r="AV58" s="67">
        <f>IFERROR(1/(SQRT(AU58/2)*_xlfn.GAMMA(AU58/2-0.5)/_xlfn.GAMMA(AU58/2)),1)</f>
        <v>1</v>
      </c>
      <c r="AW58" s="67" t="s">
        <v>1350</v>
      </c>
    </row>
    <row r="59" spans="1:49" ht="30" customHeight="1" x14ac:dyDescent="0.25">
      <c r="A59" s="77" t="s">
        <v>64</v>
      </c>
      <c r="B59" s="72" t="s">
        <v>293</v>
      </c>
      <c r="C59" s="75" t="s">
        <v>282</v>
      </c>
      <c r="D59" s="67">
        <f t="shared" si="15"/>
        <v>11</v>
      </c>
      <c r="E59" s="67" t="s">
        <v>583</v>
      </c>
      <c r="F59" s="67" t="s">
        <v>240</v>
      </c>
      <c r="G59" s="68" t="s">
        <v>627</v>
      </c>
      <c r="H59" s="67">
        <v>1</v>
      </c>
      <c r="I59" s="67">
        <v>81</v>
      </c>
      <c r="J59" s="67">
        <v>1</v>
      </c>
      <c r="K59" s="68" t="s">
        <v>628</v>
      </c>
      <c r="L59" s="67" t="s">
        <v>240</v>
      </c>
      <c r="M59" s="68" t="s">
        <v>629</v>
      </c>
      <c r="N59" s="67" t="s">
        <v>240</v>
      </c>
      <c r="O59" s="67" t="s">
        <v>240</v>
      </c>
      <c r="P59" s="67" t="s">
        <v>240</v>
      </c>
      <c r="Q59" s="67" t="s">
        <v>240</v>
      </c>
      <c r="R59" s="67" t="s">
        <v>630</v>
      </c>
      <c r="S59" s="67">
        <v>1214</v>
      </c>
      <c r="T59" s="67">
        <f t="shared" si="14"/>
        <v>641</v>
      </c>
      <c r="U59" s="67">
        <v>573</v>
      </c>
      <c r="V59" s="67">
        <v>6.2E-2</v>
      </c>
      <c r="W59" s="67">
        <v>3.6999999999999998E-2</v>
      </c>
      <c r="AC59" s="67">
        <v>0.60699999999999998</v>
      </c>
      <c r="AI59" s="70">
        <f t="shared" si="10"/>
        <v>3.6999999999999998E-2</v>
      </c>
      <c r="AL59" s="68" t="s">
        <v>631</v>
      </c>
      <c r="AM59" s="67" t="s">
        <v>308</v>
      </c>
      <c r="AN59" s="68" t="s">
        <v>24</v>
      </c>
    </row>
    <row r="60" spans="1:49" ht="30" customHeight="1" x14ac:dyDescent="0.25">
      <c r="A60" s="77" t="s">
        <v>64</v>
      </c>
      <c r="B60" s="72" t="s">
        <v>293</v>
      </c>
      <c r="C60" s="75" t="s">
        <v>282</v>
      </c>
      <c r="D60" s="67">
        <f t="shared" si="15"/>
        <v>12</v>
      </c>
      <c r="E60" s="67" t="s">
        <v>583</v>
      </c>
      <c r="F60" s="67" t="s">
        <v>240</v>
      </c>
      <c r="G60" s="68" t="s">
        <v>627</v>
      </c>
      <c r="H60" s="67">
        <v>1</v>
      </c>
      <c r="I60" s="67">
        <v>81</v>
      </c>
      <c r="J60" s="67">
        <v>2</v>
      </c>
      <c r="K60" s="68" t="s">
        <v>632</v>
      </c>
      <c r="L60" s="67" t="s">
        <v>633</v>
      </c>
      <c r="M60" s="68" t="s">
        <v>629</v>
      </c>
      <c r="N60" s="67" t="s">
        <v>240</v>
      </c>
      <c r="O60" s="67" t="s">
        <v>240</v>
      </c>
      <c r="P60" s="67" t="s">
        <v>240</v>
      </c>
      <c r="Q60" s="67" t="s">
        <v>240</v>
      </c>
      <c r="R60" s="67" t="s">
        <v>630</v>
      </c>
      <c r="S60" s="67">
        <v>1214</v>
      </c>
      <c r="T60" s="67">
        <f t="shared" si="14"/>
        <v>641</v>
      </c>
      <c r="U60" s="67">
        <v>573</v>
      </c>
      <c r="V60" s="67">
        <v>70861</v>
      </c>
      <c r="W60" s="67">
        <v>23355</v>
      </c>
      <c r="AC60" s="67">
        <v>254403</v>
      </c>
      <c r="AI60" s="70">
        <f t="shared" si="10"/>
        <v>23355</v>
      </c>
      <c r="AL60" s="68" t="s">
        <v>631</v>
      </c>
      <c r="AM60" s="67" t="s">
        <v>308</v>
      </c>
      <c r="AN60" s="68" t="s">
        <v>24</v>
      </c>
      <c r="AP60" s="67">
        <f>+V60/AQ60</f>
        <v>0.17443371202536398</v>
      </c>
      <c r="AQ60" s="67">
        <f>+W60*SQRT(T60*U60/S60)</f>
        <v>406234.54707938724</v>
      </c>
      <c r="AS60" s="67">
        <f>+AP60^2/(AU60-2)*(AU60/(V60/AI60)^2+AU60*AV60^2-AU60+2)</f>
        <v>3.3610191055210496E-3</v>
      </c>
      <c r="AU60" s="67">
        <f>+S60-2</f>
        <v>1212</v>
      </c>
      <c r="AV60" s="67">
        <f>IFERROR(1/(SQRT(AU60/2)*_xlfn.GAMMA(AU60/2-0.5)/_xlfn.GAMMA(AU60/2)),1)</f>
        <v>1</v>
      </c>
      <c r="AW60" s="67" t="s">
        <v>1350</v>
      </c>
    </row>
    <row r="61" spans="1:49" ht="30" customHeight="1" x14ac:dyDescent="0.25">
      <c r="A61" s="75" t="s">
        <v>103</v>
      </c>
      <c r="B61" s="67" t="s">
        <v>207</v>
      </c>
      <c r="C61" s="67" t="s">
        <v>294</v>
      </c>
      <c r="D61" s="67">
        <v>1</v>
      </c>
      <c r="E61" s="67" t="s">
        <v>568</v>
      </c>
      <c r="F61" s="67" t="s">
        <v>240</v>
      </c>
      <c r="G61" s="68" t="s">
        <v>578</v>
      </c>
      <c r="H61" s="67">
        <v>0</v>
      </c>
      <c r="I61" s="67">
        <v>48</v>
      </c>
      <c r="J61" s="67">
        <v>1</v>
      </c>
      <c r="K61" s="68" t="s">
        <v>634</v>
      </c>
      <c r="L61" s="76" t="s">
        <v>240</v>
      </c>
      <c r="M61" s="68" t="s">
        <v>570</v>
      </c>
      <c r="N61" s="67" t="s">
        <v>240</v>
      </c>
      <c r="O61" s="67" t="s">
        <v>240</v>
      </c>
      <c r="P61" s="67" t="s">
        <v>240</v>
      </c>
      <c r="Q61" s="67" t="s">
        <v>240</v>
      </c>
      <c r="R61" s="67" t="s">
        <v>635</v>
      </c>
      <c r="S61" s="67">
        <f t="shared" ref="S61:S80" si="16">T61+U61</f>
        <v>8020</v>
      </c>
      <c r="T61" s="67">
        <v>5045</v>
      </c>
      <c r="U61" s="67">
        <v>2975</v>
      </c>
      <c r="V61" s="67">
        <v>2.8000000000000001E-2</v>
      </c>
      <c r="AB61" s="67">
        <v>0.70399999999999996</v>
      </c>
      <c r="AC61" s="67">
        <v>0.67600000000000005</v>
      </c>
      <c r="AD61" s="67">
        <v>8.9999999999999993E-3</v>
      </c>
      <c r="AE61" s="67" t="s">
        <v>622</v>
      </c>
      <c r="AI61" s="67">
        <f>SQRT(S61/(T61*U61) )*SQRT(((T61-1)*AK61^2+(U61-1)*AD61^2)/(T61+U61-2))</f>
        <v>9.116711246470819E-3</v>
      </c>
      <c r="AK61" s="68">
        <f>0.007*SQRT(T61)</f>
        <v>0.49719714399823334</v>
      </c>
      <c r="AL61" s="68" t="s">
        <v>636</v>
      </c>
    </row>
    <row r="62" spans="1:49" ht="30" customHeight="1" x14ac:dyDescent="0.25">
      <c r="A62" s="77" t="s">
        <v>103</v>
      </c>
      <c r="B62" s="67" t="s">
        <v>293</v>
      </c>
      <c r="C62" s="67" t="s">
        <v>294</v>
      </c>
      <c r="D62" s="67">
        <f t="shared" ref="D62:D79" si="17">D61+1</f>
        <v>2</v>
      </c>
      <c r="E62" s="67" t="s">
        <v>605</v>
      </c>
      <c r="F62" s="67" t="s">
        <v>240</v>
      </c>
      <c r="G62" s="68" t="s">
        <v>578</v>
      </c>
      <c r="H62" s="67">
        <v>0</v>
      </c>
      <c r="I62" s="67">
        <v>36</v>
      </c>
      <c r="J62" s="67">
        <v>2</v>
      </c>
      <c r="K62" s="68" t="s">
        <v>637</v>
      </c>
      <c r="L62" s="67" t="s">
        <v>638</v>
      </c>
      <c r="M62" s="68" t="s">
        <v>570</v>
      </c>
      <c r="N62" s="67" t="s">
        <v>240</v>
      </c>
      <c r="O62" s="79" t="s">
        <v>240</v>
      </c>
      <c r="P62" s="79" t="s">
        <v>240</v>
      </c>
      <c r="Q62" s="79" t="s">
        <v>240</v>
      </c>
      <c r="R62" s="67" t="s">
        <v>296</v>
      </c>
      <c r="S62" s="78">
        <f t="shared" si="16"/>
        <v>8020</v>
      </c>
      <c r="T62" s="78">
        <f>2296+2749</f>
        <v>5045</v>
      </c>
      <c r="U62" s="78">
        <f>1105+1870</f>
        <v>2975</v>
      </c>
      <c r="V62" s="67">
        <v>22.22</v>
      </c>
      <c r="AB62" s="67">
        <v>189.15</v>
      </c>
      <c r="AC62" s="67">
        <v>166.93</v>
      </c>
      <c r="AD62" s="67">
        <v>3.52</v>
      </c>
      <c r="AE62" s="67" t="s">
        <v>622</v>
      </c>
      <c r="AI62" s="67">
        <f>SQRT(((T62-1)*AK62^2+(U62-1)*AD62^2)/(T62+U62-2))</f>
        <v>128.07092935000787</v>
      </c>
      <c r="AK62" s="68">
        <f>2.96*SQRT(U62)</f>
        <v>161.44893929660859</v>
      </c>
      <c r="AL62" s="68" t="s">
        <v>639</v>
      </c>
      <c r="AP62" s="71">
        <f>+(V62/AQ62)*AT62</f>
        <v>0.17348137941578867</v>
      </c>
      <c r="AQ62" s="67">
        <f>+AI62</f>
        <v>128.07092935000787</v>
      </c>
      <c r="AR62" s="67">
        <f>+AT62^2*(S62/(T62*U62)+(AP62^2)/(2*S62))</f>
        <v>5.3612649010552902E-4</v>
      </c>
      <c r="AT62" s="67">
        <f>+(1-3/(4*(S62-2)-1))</f>
        <v>0.99990645754731688</v>
      </c>
      <c r="AW62" s="67" t="s">
        <v>1003</v>
      </c>
    </row>
    <row r="63" spans="1:49" ht="30" customHeight="1" x14ac:dyDescent="0.25">
      <c r="A63" s="77" t="s">
        <v>103</v>
      </c>
      <c r="B63" s="67" t="s">
        <v>293</v>
      </c>
      <c r="C63" s="67" t="s">
        <v>294</v>
      </c>
      <c r="D63" s="67">
        <f t="shared" si="17"/>
        <v>3</v>
      </c>
      <c r="E63" s="67" t="s">
        <v>605</v>
      </c>
      <c r="F63" s="67" t="s">
        <v>240</v>
      </c>
      <c r="G63" s="68" t="s">
        <v>578</v>
      </c>
      <c r="H63" s="67">
        <v>0</v>
      </c>
      <c r="I63" s="67">
        <v>48</v>
      </c>
      <c r="J63" s="67">
        <v>2</v>
      </c>
      <c r="K63" s="68" t="s">
        <v>637</v>
      </c>
      <c r="L63" s="67" t="s">
        <v>638</v>
      </c>
      <c r="M63" s="68" t="s">
        <v>570</v>
      </c>
      <c r="N63" s="67" t="s">
        <v>240</v>
      </c>
      <c r="O63" s="79" t="s">
        <v>240</v>
      </c>
      <c r="P63" s="79" t="s">
        <v>240</v>
      </c>
      <c r="Q63" s="79" t="s">
        <v>240</v>
      </c>
      <c r="R63" s="67" t="s">
        <v>296</v>
      </c>
      <c r="S63" s="78">
        <f t="shared" si="16"/>
        <v>8020</v>
      </c>
      <c r="T63" s="78">
        <f>2296+2749</f>
        <v>5045</v>
      </c>
      <c r="U63" s="78">
        <f>1105+1870</f>
        <v>2975</v>
      </c>
      <c r="V63" s="67">
        <v>19.63</v>
      </c>
      <c r="AB63" s="67">
        <v>210.46</v>
      </c>
      <c r="AC63" s="67">
        <v>190.82</v>
      </c>
      <c r="AD63" s="67">
        <v>3.63</v>
      </c>
      <c r="AE63" s="67" t="s">
        <v>622</v>
      </c>
      <c r="AI63" s="67">
        <f>SQRT(((T63-1)*AK63^2+(U63-1)*AD63^2)/(T63+U63-2))</f>
        <v>127.20697518167601</v>
      </c>
      <c r="AK63" s="68">
        <f>2.94*SQRT(U63)</f>
        <v>160.35806808514499</v>
      </c>
      <c r="AL63" s="68" t="s">
        <v>639</v>
      </c>
      <c r="AP63" s="71">
        <f>+(V63/AQ63)*AT63</f>
        <v>0.15430100223373003</v>
      </c>
      <c r="AQ63" s="67">
        <f>+AI63</f>
        <v>127.20697518167601</v>
      </c>
      <c r="AR63" s="67">
        <f>+AT63^2*(S63/(T63*U63)+(AP63^2)/(2*S63))</f>
        <v>5.3573460646663836E-4</v>
      </c>
      <c r="AT63" s="67">
        <f>+(1-3/(4*(S63-2)-1))</f>
        <v>0.99990645754731688</v>
      </c>
      <c r="AW63" s="67" t="s">
        <v>1003</v>
      </c>
    </row>
    <row r="64" spans="1:49" ht="30" customHeight="1" x14ac:dyDescent="0.25">
      <c r="A64" s="75" t="s">
        <v>103</v>
      </c>
      <c r="B64" s="67" t="s">
        <v>293</v>
      </c>
      <c r="C64" s="67" t="s">
        <v>294</v>
      </c>
      <c r="D64" s="67">
        <f t="shared" si="17"/>
        <v>4</v>
      </c>
      <c r="E64" s="67" t="s">
        <v>605</v>
      </c>
      <c r="F64" s="67" t="s">
        <v>640</v>
      </c>
      <c r="G64" s="68" t="s">
        <v>578</v>
      </c>
      <c r="H64" s="67">
        <v>0</v>
      </c>
      <c r="I64" s="67">
        <v>36</v>
      </c>
      <c r="J64" s="67">
        <v>1</v>
      </c>
      <c r="K64" s="68" t="s">
        <v>634</v>
      </c>
      <c r="L64" s="67" t="s">
        <v>240</v>
      </c>
      <c r="M64" s="68" t="s">
        <v>570</v>
      </c>
      <c r="N64" s="67" t="s">
        <v>240</v>
      </c>
      <c r="O64" s="79" t="s">
        <v>240</v>
      </c>
      <c r="P64" s="79" t="s">
        <v>240</v>
      </c>
      <c r="Q64" s="79" t="s">
        <v>240</v>
      </c>
      <c r="R64" s="67" t="s">
        <v>641</v>
      </c>
      <c r="S64" s="78">
        <f t="shared" si="16"/>
        <v>6947</v>
      </c>
      <c r="T64" s="78">
        <v>4313</v>
      </c>
      <c r="U64" s="78">
        <v>2634</v>
      </c>
      <c r="V64" s="67">
        <v>3.9E-2</v>
      </c>
      <c r="AB64" s="67">
        <v>0.63600000000000001</v>
      </c>
      <c r="AC64" s="67">
        <v>0.59699999999999998</v>
      </c>
      <c r="AD64" s="67">
        <v>0.01</v>
      </c>
      <c r="AE64" s="67" t="s">
        <v>622</v>
      </c>
      <c r="AI64" s="67">
        <f>SQRT(S64/(T64*U64) )*SQRT(((T64-1)*AK64^2+(U64-1)*AD64^2)/(T64+U64-2))</f>
        <v>8.9589020229056664E-3</v>
      </c>
      <c r="AK64" s="68">
        <f>0.007*SQRT(T64)</f>
        <v>0.45971404155191953</v>
      </c>
      <c r="AL64" s="68" t="s">
        <v>642</v>
      </c>
    </row>
    <row r="65" spans="1:49" ht="30" customHeight="1" x14ac:dyDescent="0.25">
      <c r="A65" s="75" t="s">
        <v>103</v>
      </c>
      <c r="B65" s="67" t="s">
        <v>293</v>
      </c>
      <c r="C65" s="67" t="s">
        <v>294</v>
      </c>
      <c r="D65" s="67">
        <f t="shared" si="17"/>
        <v>5</v>
      </c>
      <c r="E65" s="67" t="s">
        <v>605</v>
      </c>
      <c r="F65" s="67" t="s">
        <v>640</v>
      </c>
      <c r="G65" s="68" t="s">
        <v>578</v>
      </c>
      <c r="H65" s="67">
        <v>0</v>
      </c>
      <c r="I65" s="67">
        <v>48</v>
      </c>
      <c r="J65" s="67">
        <v>1</v>
      </c>
      <c r="K65" s="68" t="s">
        <v>634</v>
      </c>
      <c r="L65" s="67" t="s">
        <v>240</v>
      </c>
      <c r="M65" s="68" t="s">
        <v>570</v>
      </c>
      <c r="N65" s="67" t="s">
        <v>240</v>
      </c>
      <c r="O65" s="79" t="s">
        <v>240</v>
      </c>
      <c r="P65" s="79" t="s">
        <v>240</v>
      </c>
      <c r="Q65" s="79" t="s">
        <v>240</v>
      </c>
      <c r="R65" s="67" t="s">
        <v>641</v>
      </c>
      <c r="S65" s="78">
        <f t="shared" si="16"/>
        <v>6947</v>
      </c>
      <c r="T65" s="78">
        <v>4313</v>
      </c>
      <c r="U65" s="78">
        <v>2634</v>
      </c>
      <c r="V65" s="67">
        <v>2.1000000000000001E-2</v>
      </c>
      <c r="AB65" s="67">
        <v>0.69199999999999995</v>
      </c>
      <c r="AC65" s="67">
        <v>0.67400000000000004</v>
      </c>
      <c r="AD65" s="67">
        <v>8.9999999999999993E-3</v>
      </c>
      <c r="AE65" s="67" t="s">
        <v>622</v>
      </c>
      <c r="AI65" s="67">
        <f>SQRT(S65/(T65*U65) )*SQRT(((T65-1)*AK65^2+(U65-1)*AD65^2)/(T65+U65-2))</f>
        <v>7.0015373529910482E-3</v>
      </c>
      <c r="AK65" s="68">
        <f>0.007*SQRT(U65)</f>
        <v>0.35925756776997753</v>
      </c>
      <c r="AL65" s="68" t="s">
        <v>642</v>
      </c>
    </row>
    <row r="66" spans="1:49" ht="30" customHeight="1" x14ac:dyDescent="0.25">
      <c r="A66" s="75" t="s">
        <v>103</v>
      </c>
      <c r="B66" s="67" t="s">
        <v>293</v>
      </c>
      <c r="C66" s="67" t="s">
        <v>294</v>
      </c>
      <c r="D66" s="67">
        <f t="shared" si="17"/>
        <v>6</v>
      </c>
      <c r="E66" s="67" t="s">
        <v>605</v>
      </c>
      <c r="F66" s="67" t="s">
        <v>643</v>
      </c>
      <c r="G66" s="68" t="s">
        <v>578</v>
      </c>
      <c r="H66" s="67">
        <v>0</v>
      </c>
      <c r="I66" s="67">
        <v>36</v>
      </c>
      <c r="J66" s="67">
        <v>1</v>
      </c>
      <c r="K66" s="68" t="s">
        <v>634</v>
      </c>
      <c r="L66" s="67" t="s">
        <v>240</v>
      </c>
      <c r="M66" s="68" t="s">
        <v>570</v>
      </c>
      <c r="N66" s="67" t="s">
        <v>240</v>
      </c>
      <c r="O66" s="79" t="s">
        <v>240</v>
      </c>
      <c r="P66" s="79" t="s">
        <v>240</v>
      </c>
      <c r="Q66" s="79" t="s">
        <v>240</v>
      </c>
      <c r="R66" s="67" t="s">
        <v>641</v>
      </c>
      <c r="S66" s="78">
        <f t="shared" si="16"/>
        <v>1073</v>
      </c>
      <c r="T66" s="78">
        <v>732</v>
      </c>
      <c r="U66" s="78">
        <v>341</v>
      </c>
      <c r="V66" s="67">
        <v>6.7000000000000004E-2</v>
      </c>
      <c r="AB66" s="67">
        <v>0.74199999999999999</v>
      </c>
      <c r="AC66" s="67">
        <v>0.67500000000000004</v>
      </c>
      <c r="AD66" s="67">
        <v>2.5000000000000001E-2</v>
      </c>
      <c r="AE66" s="67" t="s">
        <v>622</v>
      </c>
      <c r="AI66" s="67">
        <f>SQRT(S66/(T66*U66) )*SQRT(((T66-1)*AK66^2+(U66-1)*AD66^2)/(T66+U66-2))</f>
        <v>1.603061411951541E-2</v>
      </c>
      <c r="AK66" s="68">
        <f>0.016*SQRT(U66)</f>
        <v>0.29545896500191021</v>
      </c>
      <c r="AL66" s="68" t="s">
        <v>642</v>
      </c>
    </row>
    <row r="67" spans="1:49" ht="30" customHeight="1" x14ac:dyDescent="0.25">
      <c r="A67" s="75" t="s">
        <v>103</v>
      </c>
      <c r="B67" s="67" t="s">
        <v>293</v>
      </c>
      <c r="C67" s="67" t="s">
        <v>294</v>
      </c>
      <c r="D67" s="67">
        <f t="shared" si="17"/>
        <v>7</v>
      </c>
      <c r="E67" s="67" t="s">
        <v>605</v>
      </c>
      <c r="F67" s="67" t="s">
        <v>643</v>
      </c>
      <c r="G67" s="68" t="s">
        <v>578</v>
      </c>
      <c r="H67" s="67">
        <v>0</v>
      </c>
      <c r="I67" s="67">
        <v>48</v>
      </c>
      <c r="J67" s="67">
        <v>1</v>
      </c>
      <c r="K67" s="68" t="s">
        <v>634</v>
      </c>
      <c r="L67" s="67" t="s">
        <v>240</v>
      </c>
      <c r="M67" s="68" t="s">
        <v>570</v>
      </c>
      <c r="N67" s="67" t="s">
        <v>240</v>
      </c>
      <c r="O67" s="79" t="s">
        <v>240</v>
      </c>
      <c r="P67" s="79" t="s">
        <v>240</v>
      </c>
      <c r="Q67" s="79" t="s">
        <v>240</v>
      </c>
      <c r="R67" s="67" t="s">
        <v>641</v>
      </c>
      <c r="S67" s="78">
        <f t="shared" si="16"/>
        <v>1073</v>
      </c>
      <c r="T67" s="78">
        <v>732</v>
      </c>
      <c r="U67" s="78">
        <v>341</v>
      </c>
      <c r="V67" s="67">
        <v>7.0000000000000007E-2</v>
      </c>
      <c r="AB67" s="67">
        <v>0.78200000000000003</v>
      </c>
      <c r="AC67" s="67">
        <v>0.69199999999999995</v>
      </c>
      <c r="AD67" s="67">
        <v>2.5000000000000001E-2</v>
      </c>
      <c r="AE67" s="67" t="s">
        <v>622</v>
      </c>
      <c r="AI67" s="67">
        <f>SQRT(S67/(T67*U67) )*SQRT(((T67-1)*AK67^2+(U67-1)*AD67^2)/(T67+U67-2))</f>
        <v>1.603061411951541E-2</v>
      </c>
      <c r="AK67" s="68">
        <f>0.016*SQRT(U67)</f>
        <v>0.29545896500191021</v>
      </c>
      <c r="AL67" s="68" t="s">
        <v>642</v>
      </c>
    </row>
    <row r="68" spans="1:49" ht="30" customHeight="1" x14ac:dyDescent="0.25">
      <c r="A68" s="75" t="s">
        <v>103</v>
      </c>
      <c r="B68" s="67" t="s">
        <v>293</v>
      </c>
      <c r="C68" s="67" t="s">
        <v>294</v>
      </c>
      <c r="D68" s="67">
        <f t="shared" si="17"/>
        <v>8</v>
      </c>
      <c r="E68" s="67" t="s">
        <v>605</v>
      </c>
      <c r="F68" s="67" t="s">
        <v>640</v>
      </c>
      <c r="G68" s="68" t="s">
        <v>578</v>
      </c>
      <c r="H68" s="67">
        <v>0</v>
      </c>
      <c r="I68" s="67">
        <v>36</v>
      </c>
      <c r="J68" s="67">
        <v>2</v>
      </c>
      <c r="K68" s="68" t="s">
        <v>637</v>
      </c>
      <c r="L68" s="67" t="s">
        <v>638</v>
      </c>
      <c r="M68" s="68" t="s">
        <v>570</v>
      </c>
      <c r="N68" s="67" t="s">
        <v>240</v>
      </c>
      <c r="O68" s="79" t="s">
        <v>240</v>
      </c>
      <c r="P68" s="79" t="s">
        <v>240</v>
      </c>
      <c r="Q68" s="79" t="s">
        <v>240</v>
      </c>
      <c r="R68" s="67" t="s">
        <v>641</v>
      </c>
      <c r="S68" s="78">
        <f t="shared" si="16"/>
        <v>6947</v>
      </c>
      <c r="T68" s="78">
        <v>4313</v>
      </c>
      <c r="U68" s="78">
        <v>2634</v>
      </c>
      <c r="V68" s="67">
        <v>19.61</v>
      </c>
      <c r="AB68" s="67">
        <v>182.13</v>
      </c>
      <c r="AC68" s="67">
        <v>162.52000000000001</v>
      </c>
      <c r="AD68" s="67">
        <v>3.75</v>
      </c>
      <c r="AE68" s="67" t="s">
        <v>622</v>
      </c>
      <c r="AI68" s="67">
        <f>SQRT(((T68-1)*AK68^2+(U68-1)*AD68^2)/(T68+U68-2))</f>
        <v>129.02425896952474</v>
      </c>
      <c r="AK68" s="68">
        <f>3.19*SQRT(U68)</f>
        <v>163.71880588374688</v>
      </c>
      <c r="AL68" s="68" t="s">
        <v>639</v>
      </c>
      <c r="AP68" s="71">
        <f>+(V68/AQ68)*AT68</f>
        <v>0.15197050825778402</v>
      </c>
      <c r="AQ68" s="67">
        <f>+AI68</f>
        <v>129.02425896952474</v>
      </c>
      <c r="AR68" s="67">
        <f>+AT68^2*(S68/(T68*U68)+(AP68^2)/(2*S68))</f>
        <v>6.1303769639340147E-4</v>
      </c>
      <c r="AT68" s="67">
        <f>+(1-3/(4*(S68-2)-1))</f>
        <v>0.99989200475179096</v>
      </c>
      <c r="AW68" s="67" t="s">
        <v>1003</v>
      </c>
    </row>
    <row r="69" spans="1:49" ht="30" customHeight="1" x14ac:dyDescent="0.25">
      <c r="A69" s="75" t="s">
        <v>103</v>
      </c>
      <c r="B69" s="67" t="s">
        <v>293</v>
      </c>
      <c r="C69" s="67" t="s">
        <v>294</v>
      </c>
      <c r="D69" s="67">
        <f t="shared" si="17"/>
        <v>9</v>
      </c>
      <c r="E69" s="67" t="s">
        <v>605</v>
      </c>
      <c r="F69" s="67" t="s">
        <v>640</v>
      </c>
      <c r="G69" s="68" t="s">
        <v>578</v>
      </c>
      <c r="H69" s="67">
        <v>0</v>
      </c>
      <c r="I69" s="67">
        <v>48</v>
      </c>
      <c r="J69" s="67">
        <v>2</v>
      </c>
      <c r="K69" s="68" t="s">
        <v>637</v>
      </c>
      <c r="L69" s="67" t="s">
        <v>638</v>
      </c>
      <c r="M69" s="68" t="s">
        <v>570</v>
      </c>
      <c r="N69" s="67" t="s">
        <v>240</v>
      </c>
      <c r="O69" s="79" t="s">
        <v>240</v>
      </c>
      <c r="P69" s="79" t="s">
        <v>240</v>
      </c>
      <c r="Q69" s="79" t="s">
        <v>240</v>
      </c>
      <c r="R69" s="67" t="s">
        <v>641</v>
      </c>
      <c r="S69" s="78">
        <f t="shared" si="16"/>
        <v>6947</v>
      </c>
      <c r="T69" s="78">
        <v>4313</v>
      </c>
      <c r="U69" s="78">
        <v>2634</v>
      </c>
      <c r="V69" s="67">
        <v>16.98</v>
      </c>
      <c r="AB69" s="67">
        <v>204.45</v>
      </c>
      <c r="AC69" s="67">
        <v>187.47</v>
      </c>
      <c r="AD69" s="67">
        <v>3.82</v>
      </c>
      <c r="AE69" s="67" t="s">
        <v>622</v>
      </c>
      <c r="AI69" s="67">
        <f>SQRT(((T69-1)*AK69^2+(U69-1)*AD69^2)/(T69+U69-2))</f>
        <v>127.40770974475839</v>
      </c>
      <c r="AK69" s="68">
        <f>3.15*SQRT(U69)</f>
        <v>161.66590549648987</v>
      </c>
      <c r="AL69" s="68" t="s">
        <v>639</v>
      </c>
      <c r="AP69" s="71">
        <f>+(V69/AQ69)*AT69</f>
        <v>0.13325854671352727</v>
      </c>
      <c r="AQ69" s="67">
        <f>+AI69</f>
        <v>127.40770974475839</v>
      </c>
      <c r="AR69" s="67">
        <f>+AT69^2*(S69/(T69*U69)+(AP69^2)/(2*S69))</f>
        <v>6.1265364267332407E-4</v>
      </c>
      <c r="AT69" s="67">
        <f>+(1-3/(4*(S69-2)-1))</f>
        <v>0.99989200475179096</v>
      </c>
      <c r="AW69" s="67" t="s">
        <v>1003</v>
      </c>
    </row>
    <row r="70" spans="1:49" ht="30" customHeight="1" x14ac:dyDescent="0.25">
      <c r="A70" s="75" t="s">
        <v>103</v>
      </c>
      <c r="B70" s="67" t="s">
        <v>293</v>
      </c>
      <c r="C70" s="67" t="s">
        <v>294</v>
      </c>
      <c r="D70" s="67">
        <f t="shared" si="17"/>
        <v>10</v>
      </c>
      <c r="E70" s="67" t="s">
        <v>605</v>
      </c>
      <c r="F70" s="67" t="s">
        <v>643</v>
      </c>
      <c r="G70" s="68" t="s">
        <v>578</v>
      </c>
      <c r="H70" s="67">
        <v>0</v>
      </c>
      <c r="I70" s="67">
        <v>36</v>
      </c>
      <c r="J70" s="67">
        <v>2</v>
      </c>
      <c r="K70" s="68" t="s">
        <v>637</v>
      </c>
      <c r="L70" s="67" t="s">
        <v>638</v>
      </c>
      <c r="M70" s="68" t="s">
        <v>570</v>
      </c>
      <c r="N70" s="67" t="s">
        <v>240</v>
      </c>
      <c r="O70" s="79" t="s">
        <v>240</v>
      </c>
      <c r="P70" s="79" t="s">
        <v>240</v>
      </c>
      <c r="Q70" s="79" t="s">
        <v>240</v>
      </c>
      <c r="R70" s="67" t="s">
        <v>641</v>
      </c>
      <c r="S70" s="78">
        <f t="shared" si="16"/>
        <v>1073</v>
      </c>
      <c r="T70" s="78">
        <v>732</v>
      </c>
      <c r="U70" s="78">
        <v>341</v>
      </c>
      <c r="V70" s="67">
        <v>31.84</v>
      </c>
      <c r="AB70" s="67">
        <v>233.31</v>
      </c>
      <c r="AC70" s="67">
        <v>201.47</v>
      </c>
      <c r="AD70" s="67">
        <v>11.53</v>
      </c>
      <c r="AE70" s="67" t="s">
        <v>622</v>
      </c>
      <c r="AI70" s="67">
        <f>SQRT(((T70-1)*AK70^2+(U70-1)*AD70^2)/(T70+U70-2))</f>
        <v>116.27989905997005</v>
      </c>
      <c r="AK70" s="68">
        <f>7.61*SQRT(U70)</f>
        <v>140.52767022903353</v>
      </c>
      <c r="AL70" s="68" t="s">
        <v>639</v>
      </c>
      <c r="AP70" s="71">
        <f>+(V70/AQ70)*AT70</f>
        <v>0.27363025021987175</v>
      </c>
      <c r="AQ70" s="67">
        <f>+AI70</f>
        <v>116.27989905997005</v>
      </c>
      <c r="AR70" s="67">
        <f>+AT70^2*(S70/(T70*U70)+(AP70^2)/(2*S70))</f>
        <v>4.3274926350441167E-3</v>
      </c>
      <c r="AT70" s="67">
        <f>+(1-3/(4*(S70-2)-1))</f>
        <v>0.999299556385711</v>
      </c>
      <c r="AW70" s="67" t="s">
        <v>1003</v>
      </c>
    </row>
    <row r="71" spans="1:49" ht="30" customHeight="1" x14ac:dyDescent="0.25">
      <c r="A71" s="75" t="s">
        <v>103</v>
      </c>
      <c r="B71" s="67" t="s">
        <v>293</v>
      </c>
      <c r="C71" s="67" t="s">
        <v>294</v>
      </c>
      <c r="D71" s="67">
        <f t="shared" si="17"/>
        <v>11</v>
      </c>
      <c r="E71" s="67" t="s">
        <v>605</v>
      </c>
      <c r="F71" s="67" t="s">
        <v>643</v>
      </c>
      <c r="G71" s="68" t="s">
        <v>578</v>
      </c>
      <c r="H71" s="67">
        <v>0</v>
      </c>
      <c r="I71" s="67">
        <v>48</v>
      </c>
      <c r="J71" s="67">
        <v>2</v>
      </c>
      <c r="K71" s="68" t="s">
        <v>637</v>
      </c>
      <c r="L71" s="67" t="s">
        <v>638</v>
      </c>
      <c r="M71" s="68" t="s">
        <v>570</v>
      </c>
      <c r="N71" s="67" t="s">
        <v>240</v>
      </c>
      <c r="O71" s="79" t="s">
        <v>240</v>
      </c>
      <c r="P71" s="79" t="s">
        <v>240</v>
      </c>
      <c r="Q71" s="79" t="s">
        <v>240</v>
      </c>
      <c r="R71" s="67" t="s">
        <v>641</v>
      </c>
      <c r="S71" s="78">
        <f t="shared" si="16"/>
        <v>1073</v>
      </c>
      <c r="T71" s="78">
        <v>732</v>
      </c>
      <c r="U71" s="78">
        <v>341</v>
      </c>
      <c r="V71" s="67">
        <v>31.28</v>
      </c>
      <c r="AB71" s="67">
        <v>248.33</v>
      </c>
      <c r="AC71" s="67">
        <v>217.05</v>
      </c>
      <c r="AD71" s="67">
        <v>11.34</v>
      </c>
      <c r="AE71" s="67" t="s">
        <v>622</v>
      </c>
      <c r="AI71" s="67">
        <f>SQRT(((T71-1)*AK71^2+(U71-1)*AD71^2)/(T71+U71-2))</f>
        <v>120.38708067583828</v>
      </c>
      <c r="AK71" s="68">
        <f>SQRT(U71)*7.88</f>
        <v>145.51354026344077</v>
      </c>
      <c r="AL71" s="68" t="s">
        <v>639</v>
      </c>
      <c r="AP71" s="71">
        <f>+(V71/AQ71)*AT71</f>
        <v>0.25964654968179279</v>
      </c>
      <c r="AQ71" s="67">
        <f>+AI71</f>
        <v>120.38708067583828</v>
      </c>
      <c r="AR71" s="67">
        <f>+AT71^2*(S71/(T71*U71)+(AP71^2)/(2*S71))</f>
        <v>4.3240225790982393E-3</v>
      </c>
      <c r="AT71" s="67">
        <f>+(1-3/(4*(S71-2)-1))</f>
        <v>0.999299556385711</v>
      </c>
      <c r="AW71" s="67" t="s">
        <v>1003</v>
      </c>
    </row>
    <row r="72" spans="1:49" ht="30" customHeight="1" x14ac:dyDescent="0.25">
      <c r="A72" s="75" t="s">
        <v>103</v>
      </c>
      <c r="B72" s="67" t="s">
        <v>293</v>
      </c>
      <c r="C72" s="67" t="s">
        <v>294</v>
      </c>
      <c r="D72" s="67">
        <f t="shared" si="17"/>
        <v>12</v>
      </c>
      <c r="E72" s="67" t="s">
        <v>644</v>
      </c>
      <c r="F72" s="67" t="s">
        <v>240</v>
      </c>
      <c r="G72" s="68" t="s">
        <v>578</v>
      </c>
      <c r="H72" s="67">
        <v>0</v>
      </c>
      <c r="I72" s="67">
        <v>36</v>
      </c>
      <c r="J72" s="67">
        <v>1</v>
      </c>
      <c r="K72" s="68" t="s">
        <v>634</v>
      </c>
      <c r="L72" s="67" t="s">
        <v>240</v>
      </c>
      <c r="M72" s="68" t="s">
        <v>570</v>
      </c>
      <c r="N72" s="67" t="s">
        <v>240</v>
      </c>
      <c r="O72" s="79" t="s">
        <v>240</v>
      </c>
      <c r="P72" s="79" t="s">
        <v>240</v>
      </c>
      <c r="Q72" s="79" t="s">
        <v>240</v>
      </c>
      <c r="R72" s="67" t="s">
        <v>645</v>
      </c>
      <c r="S72" s="78">
        <f t="shared" si="16"/>
        <v>3401</v>
      </c>
      <c r="T72" s="67">
        <v>2296</v>
      </c>
      <c r="U72" s="67">
        <v>1105</v>
      </c>
      <c r="V72" s="67">
        <v>5.8999999999999997E-2</v>
      </c>
      <c r="AB72" s="67">
        <v>0.61599999999999999</v>
      </c>
      <c r="AC72" s="67">
        <v>0.55800000000000005</v>
      </c>
      <c r="AD72" s="67">
        <v>1.4999999999999999E-2</v>
      </c>
      <c r="AE72" s="67" t="s">
        <v>622</v>
      </c>
      <c r="AI72" s="67">
        <f>SQRT(S72/(T72*U72) )*SQRT(((T72-1)*AK72^2+(U72-1)*AD72^2)/(T72+U72-2))</f>
        <v>1.000565973046582E-2</v>
      </c>
      <c r="AK72" s="68">
        <f>0.01*SQRT(U72)</f>
        <v>0.33241540277189324</v>
      </c>
      <c r="AL72" s="68" t="s">
        <v>639</v>
      </c>
    </row>
    <row r="73" spans="1:49" ht="30" customHeight="1" x14ac:dyDescent="0.25">
      <c r="A73" s="75" t="s">
        <v>103</v>
      </c>
      <c r="B73" s="67" t="s">
        <v>293</v>
      </c>
      <c r="C73" s="67" t="s">
        <v>294</v>
      </c>
      <c r="D73" s="67">
        <f t="shared" si="17"/>
        <v>13</v>
      </c>
      <c r="E73" s="67" t="s">
        <v>644</v>
      </c>
      <c r="F73" s="67" t="s">
        <v>240</v>
      </c>
      <c r="G73" s="68" t="s">
        <v>578</v>
      </c>
      <c r="H73" s="67">
        <v>0</v>
      </c>
      <c r="I73" s="67">
        <v>48</v>
      </c>
      <c r="J73" s="67">
        <v>1</v>
      </c>
      <c r="K73" s="68" t="s">
        <v>634</v>
      </c>
      <c r="L73" s="67" t="s">
        <v>240</v>
      </c>
      <c r="M73" s="68" t="s">
        <v>570</v>
      </c>
      <c r="N73" s="67" t="s">
        <v>240</v>
      </c>
      <c r="O73" s="79" t="s">
        <v>240</v>
      </c>
      <c r="P73" s="79" t="s">
        <v>240</v>
      </c>
      <c r="Q73" s="79" t="s">
        <v>240</v>
      </c>
      <c r="R73" s="67" t="s">
        <v>645</v>
      </c>
      <c r="S73" s="78">
        <f t="shared" si="16"/>
        <v>3401</v>
      </c>
      <c r="T73" s="67">
        <v>2296</v>
      </c>
      <c r="U73" s="67">
        <v>1105</v>
      </c>
      <c r="V73" s="67">
        <v>3.5000000000000003E-2</v>
      </c>
      <c r="AB73" s="67">
        <v>0.67900000000000005</v>
      </c>
      <c r="AC73" s="67">
        <v>0.64400000000000002</v>
      </c>
      <c r="AD73" s="67">
        <v>1.4E-2</v>
      </c>
      <c r="AE73" s="67" t="s">
        <v>622</v>
      </c>
      <c r="AI73" s="67">
        <f>SQRT(S73/(T73*U73) )*SQRT(((T73-1)*AK73^2+(U73-1)*AD73^2)/(T73+U73-2))</f>
        <v>1.0005028734843619E-2</v>
      </c>
      <c r="AK73" s="68">
        <f>0.01*SQRT(U73)</f>
        <v>0.33241540277189324</v>
      </c>
      <c r="AL73" s="68" t="s">
        <v>639</v>
      </c>
    </row>
    <row r="74" spans="1:49" ht="30" customHeight="1" x14ac:dyDescent="0.25">
      <c r="A74" s="75" t="s">
        <v>103</v>
      </c>
      <c r="B74" s="67" t="s">
        <v>293</v>
      </c>
      <c r="C74" s="67" t="s">
        <v>294</v>
      </c>
      <c r="D74" s="67">
        <f t="shared" si="17"/>
        <v>14</v>
      </c>
      <c r="E74" s="67" t="s">
        <v>646</v>
      </c>
      <c r="F74" s="67" t="s">
        <v>240</v>
      </c>
      <c r="G74" s="68" t="s">
        <v>578</v>
      </c>
      <c r="H74" s="67">
        <v>0</v>
      </c>
      <c r="I74" s="67">
        <v>36</v>
      </c>
      <c r="J74" s="67">
        <v>1</v>
      </c>
      <c r="K74" s="68" t="s">
        <v>634</v>
      </c>
      <c r="L74" s="67" t="s">
        <v>240</v>
      </c>
      <c r="M74" s="68" t="s">
        <v>570</v>
      </c>
      <c r="N74" s="67" t="s">
        <v>240</v>
      </c>
      <c r="O74" s="79" t="s">
        <v>240</v>
      </c>
      <c r="P74" s="79" t="s">
        <v>240</v>
      </c>
      <c r="Q74" s="79" t="s">
        <v>240</v>
      </c>
      <c r="R74" s="67" t="s">
        <v>645</v>
      </c>
      <c r="S74" s="78">
        <f t="shared" si="16"/>
        <v>4619</v>
      </c>
      <c r="T74" s="67">
        <v>2749</v>
      </c>
      <c r="U74" s="67">
        <v>1870</v>
      </c>
      <c r="V74" s="67">
        <v>3.5000000000000003E-2</v>
      </c>
      <c r="AB74" s="67">
        <v>0.67749999999999999</v>
      </c>
      <c r="AC74" s="67">
        <v>0.64229999999999998</v>
      </c>
      <c r="AD74" s="67">
        <v>1.0999999999999999E-2</v>
      </c>
      <c r="AE74" s="67" t="s">
        <v>622</v>
      </c>
      <c r="AI74" s="67">
        <f>SQRT(S74/(T74*U74) )*SQRT(((T74-1)*AK74^2+(U74-1)*AD74^2)/(T74+U74-2))</f>
        <v>8.0030271695463156E-3</v>
      </c>
      <c r="AK74" s="68">
        <f>0.008*SQRT(U74)</f>
        <v>0.34594797296703445</v>
      </c>
      <c r="AL74" s="68" t="s">
        <v>639</v>
      </c>
    </row>
    <row r="75" spans="1:49" ht="30" customHeight="1" x14ac:dyDescent="0.25">
      <c r="A75" s="75" t="s">
        <v>103</v>
      </c>
      <c r="B75" s="67" t="s">
        <v>293</v>
      </c>
      <c r="C75" s="67" t="s">
        <v>294</v>
      </c>
      <c r="D75" s="67">
        <f t="shared" si="17"/>
        <v>15</v>
      </c>
      <c r="E75" s="67" t="s">
        <v>646</v>
      </c>
      <c r="F75" s="67" t="s">
        <v>240</v>
      </c>
      <c r="G75" s="68" t="s">
        <v>578</v>
      </c>
      <c r="H75" s="67">
        <v>0</v>
      </c>
      <c r="I75" s="67">
        <v>48</v>
      </c>
      <c r="J75" s="67">
        <v>1</v>
      </c>
      <c r="K75" s="68" t="s">
        <v>634</v>
      </c>
      <c r="L75" s="67" t="s">
        <v>240</v>
      </c>
      <c r="M75" s="68" t="s">
        <v>570</v>
      </c>
      <c r="N75" s="67" t="s">
        <v>240</v>
      </c>
      <c r="O75" s="79" t="s">
        <v>240</v>
      </c>
      <c r="P75" s="79" t="s">
        <v>240</v>
      </c>
      <c r="Q75" s="79" t="s">
        <v>240</v>
      </c>
      <c r="R75" s="67" t="s">
        <v>645</v>
      </c>
      <c r="S75" s="78">
        <f t="shared" si="16"/>
        <v>4619</v>
      </c>
      <c r="T75" s="67">
        <v>2749</v>
      </c>
      <c r="U75" s="67">
        <v>1870</v>
      </c>
      <c r="V75" s="67">
        <v>2.3E-2</v>
      </c>
      <c r="AB75" s="67">
        <v>0.72199999999999998</v>
      </c>
      <c r="AC75" s="67">
        <v>0.7</v>
      </c>
      <c r="AD75" s="67">
        <v>1.0999999999999999E-2</v>
      </c>
      <c r="AE75" s="67" t="s">
        <v>622</v>
      </c>
      <c r="AI75" s="67">
        <f>SQRT(S75/(T75*U75) )*SQRT(((T75-1)*AK75^2+(U75-1)*AD75^2)/(T75+U75-2))</f>
        <v>8.0030271695463156E-3</v>
      </c>
      <c r="AK75" s="68">
        <f>0.008*SQRT(U75)</f>
        <v>0.34594797296703445</v>
      </c>
      <c r="AL75" s="68" t="s">
        <v>639</v>
      </c>
    </row>
    <row r="76" spans="1:49" ht="30" customHeight="1" x14ac:dyDescent="0.25">
      <c r="A76" s="75" t="s">
        <v>103</v>
      </c>
      <c r="B76" s="67" t="s">
        <v>293</v>
      </c>
      <c r="C76" s="67" t="s">
        <v>294</v>
      </c>
      <c r="D76" s="67">
        <f t="shared" si="17"/>
        <v>16</v>
      </c>
      <c r="E76" s="67" t="s">
        <v>644</v>
      </c>
      <c r="F76" s="67" t="s">
        <v>240</v>
      </c>
      <c r="G76" s="68" t="s">
        <v>578</v>
      </c>
      <c r="H76" s="67">
        <v>0</v>
      </c>
      <c r="I76" s="67">
        <v>36</v>
      </c>
      <c r="J76" s="67">
        <v>2</v>
      </c>
      <c r="K76" s="68" t="s">
        <v>637</v>
      </c>
      <c r="L76" s="67" t="s">
        <v>638</v>
      </c>
      <c r="M76" s="68" t="s">
        <v>570</v>
      </c>
      <c r="N76" s="67" t="s">
        <v>240</v>
      </c>
      <c r="O76" s="79" t="s">
        <v>240</v>
      </c>
      <c r="P76" s="79" t="s">
        <v>240</v>
      </c>
      <c r="Q76" s="79" t="s">
        <v>240</v>
      </c>
      <c r="R76" s="67" t="s">
        <v>645</v>
      </c>
      <c r="S76" s="78">
        <f t="shared" si="16"/>
        <v>3401</v>
      </c>
      <c r="T76" s="67">
        <v>2296</v>
      </c>
      <c r="U76" s="67">
        <v>1105</v>
      </c>
      <c r="V76" s="67">
        <v>22.03</v>
      </c>
      <c r="AB76" s="67">
        <v>152.41</v>
      </c>
      <c r="AC76" s="67">
        <v>130.38</v>
      </c>
      <c r="AD76" s="67">
        <v>4.99</v>
      </c>
      <c r="AE76" s="67" t="s">
        <v>622</v>
      </c>
      <c r="AI76" s="67">
        <f>SQRT(((T76-1)*AK76^2+(U76-1)*AD76^2)/(T76+U76-2))</f>
        <v>103.0157912525856</v>
      </c>
      <c r="AK76" s="68">
        <f>SQRT(U76)*3.77</f>
        <v>125.32060684500375</v>
      </c>
      <c r="AL76" s="68" t="s">
        <v>639</v>
      </c>
      <c r="AP76" s="71">
        <f>+(V76/AQ76)*AT76</f>
        <v>0.21380351872377695</v>
      </c>
      <c r="AQ76" s="67">
        <f>+AI76</f>
        <v>103.0157912525856</v>
      </c>
      <c r="AR76" s="67">
        <f>+AT76^2*(S76/(T76*U76)+(AP76^2)/(2*S76))</f>
        <v>1.3466432908514989E-3</v>
      </c>
      <c r="AT76" s="67">
        <f>+(1-3/(4*(S76-2)-1))</f>
        <v>0.99977933063626334</v>
      </c>
      <c r="AW76" s="67" t="s">
        <v>1003</v>
      </c>
    </row>
    <row r="77" spans="1:49" ht="30" customHeight="1" x14ac:dyDescent="0.25">
      <c r="A77" s="75" t="s">
        <v>103</v>
      </c>
      <c r="B77" s="67" t="s">
        <v>293</v>
      </c>
      <c r="C77" s="67" t="s">
        <v>294</v>
      </c>
      <c r="D77" s="67">
        <f t="shared" si="17"/>
        <v>17</v>
      </c>
      <c r="E77" s="67" t="s">
        <v>644</v>
      </c>
      <c r="F77" s="67" t="s">
        <v>240</v>
      </c>
      <c r="G77" s="68" t="s">
        <v>578</v>
      </c>
      <c r="H77" s="67">
        <v>0</v>
      </c>
      <c r="I77" s="67">
        <v>48</v>
      </c>
      <c r="J77" s="67">
        <v>2</v>
      </c>
      <c r="K77" s="68" t="s">
        <v>637</v>
      </c>
      <c r="L77" s="67" t="s">
        <v>638</v>
      </c>
      <c r="M77" s="68" t="s">
        <v>570</v>
      </c>
      <c r="N77" s="67" t="s">
        <v>240</v>
      </c>
      <c r="O77" s="79" t="s">
        <v>240</v>
      </c>
      <c r="P77" s="79" t="s">
        <v>240</v>
      </c>
      <c r="Q77" s="79" t="s">
        <v>240</v>
      </c>
      <c r="R77" s="67" t="s">
        <v>645</v>
      </c>
      <c r="S77" s="78">
        <f t="shared" si="16"/>
        <v>3401</v>
      </c>
      <c r="T77" s="67">
        <v>2296</v>
      </c>
      <c r="U77" s="67">
        <v>1105</v>
      </c>
      <c r="V77" s="67">
        <v>17.84</v>
      </c>
      <c r="AB77" s="67">
        <v>170.41</v>
      </c>
      <c r="AC77" s="67">
        <v>152.58000000000001</v>
      </c>
      <c r="AD77" s="67">
        <v>5.03</v>
      </c>
      <c r="AE77" s="67" t="s">
        <v>622</v>
      </c>
      <c r="AI77" s="67">
        <f>SQRT(((T77-1)*AK77^2+(U77-1)*AD77^2)/(T77+U77-2))</f>
        <v>101.65122262026254</v>
      </c>
      <c r="AK77" s="68">
        <f>SQRT(U77)*3.72</f>
        <v>123.65852983114429</v>
      </c>
      <c r="AL77" s="68" t="s">
        <v>639</v>
      </c>
      <c r="AP77" s="71">
        <f>+(V77/AQ77)*AT77</f>
        <v>0.17546334218901569</v>
      </c>
      <c r="AQ77" s="67">
        <f>+AI77</f>
        <v>101.65122262026254</v>
      </c>
      <c r="AR77" s="67">
        <f>+AT77^2*(S77/(T77*U77)+(AP77^2)/(2*S77))</f>
        <v>1.3444501161812713E-3</v>
      </c>
      <c r="AT77" s="67">
        <f>+(1-3/(4*(S77-2)-1))</f>
        <v>0.99977933063626334</v>
      </c>
      <c r="AW77" s="67" t="s">
        <v>1003</v>
      </c>
    </row>
    <row r="78" spans="1:49" ht="30" customHeight="1" x14ac:dyDescent="0.25">
      <c r="A78" s="75" t="s">
        <v>103</v>
      </c>
      <c r="B78" s="67" t="s">
        <v>293</v>
      </c>
      <c r="C78" s="67" t="s">
        <v>294</v>
      </c>
      <c r="D78" s="67">
        <f t="shared" si="17"/>
        <v>18</v>
      </c>
      <c r="E78" s="67" t="s">
        <v>646</v>
      </c>
      <c r="F78" s="67" t="s">
        <v>240</v>
      </c>
      <c r="G78" s="68" t="s">
        <v>578</v>
      </c>
      <c r="H78" s="67">
        <v>0</v>
      </c>
      <c r="I78" s="67">
        <v>36</v>
      </c>
      <c r="J78" s="67">
        <v>2</v>
      </c>
      <c r="K78" s="68" t="s">
        <v>637</v>
      </c>
      <c r="L78" s="67" t="s">
        <v>638</v>
      </c>
      <c r="M78" s="68" t="s">
        <v>570</v>
      </c>
      <c r="N78" s="67" t="s">
        <v>240</v>
      </c>
      <c r="O78" s="79" t="s">
        <v>240</v>
      </c>
      <c r="P78" s="79" t="s">
        <v>240</v>
      </c>
      <c r="Q78" s="79" t="s">
        <v>240</v>
      </c>
      <c r="R78" s="67" t="s">
        <v>645</v>
      </c>
      <c r="S78" s="78">
        <f t="shared" si="16"/>
        <v>4619</v>
      </c>
      <c r="T78" s="67">
        <v>2749</v>
      </c>
      <c r="U78" s="67">
        <v>1870</v>
      </c>
      <c r="V78" s="67">
        <v>23.3</v>
      </c>
      <c r="AB78" s="67">
        <v>217.71</v>
      </c>
      <c r="AC78" s="67">
        <v>194.4</v>
      </c>
      <c r="AD78" s="67">
        <v>4.87</v>
      </c>
      <c r="AE78" s="67" t="s">
        <v>622</v>
      </c>
      <c r="AI78" s="67">
        <f>SQRT(((T78-1)*AK78^2+(U78-1)*AD78^2)/(T78+U78-2))</f>
        <v>144.15619875843296</v>
      </c>
      <c r="AK78" s="68">
        <f>SQRT(U78)*4.32</f>
        <v>186.81190540219862</v>
      </c>
      <c r="AL78" s="68" t="s">
        <v>639</v>
      </c>
      <c r="AP78" s="71">
        <f>+(V78/AQ78)*AT78</f>
        <v>0.1616039758984342</v>
      </c>
      <c r="AQ78" s="67">
        <f>+AI78</f>
        <v>144.15619875843296</v>
      </c>
      <c r="AR78" s="67">
        <f>+AT78^2*(S78/(T78*U78)+(AP78^2)/(2*S78))</f>
        <v>9.0106217353838028E-4</v>
      </c>
      <c r="AT78" s="67">
        <f>+(1-3/(4*(S78-2)-1))</f>
        <v>0.99983754805869929</v>
      </c>
      <c r="AW78" s="67" t="s">
        <v>1003</v>
      </c>
    </row>
    <row r="79" spans="1:49" ht="30" customHeight="1" x14ac:dyDescent="0.25">
      <c r="A79" s="75" t="s">
        <v>103</v>
      </c>
      <c r="B79" s="67" t="s">
        <v>293</v>
      </c>
      <c r="C79" s="67" t="s">
        <v>294</v>
      </c>
      <c r="D79" s="67">
        <f t="shared" si="17"/>
        <v>19</v>
      </c>
      <c r="E79" s="67" t="s">
        <v>646</v>
      </c>
      <c r="F79" s="67" t="s">
        <v>240</v>
      </c>
      <c r="G79" s="68" t="s">
        <v>578</v>
      </c>
      <c r="H79" s="67">
        <v>0</v>
      </c>
      <c r="I79" s="67">
        <v>48</v>
      </c>
      <c r="J79" s="67">
        <v>2</v>
      </c>
      <c r="K79" s="68" t="s">
        <v>637</v>
      </c>
      <c r="L79" s="67" t="s">
        <v>638</v>
      </c>
      <c r="M79" s="68" t="s">
        <v>570</v>
      </c>
      <c r="N79" s="67" t="s">
        <v>240</v>
      </c>
      <c r="O79" s="79" t="s">
        <v>240</v>
      </c>
      <c r="P79" s="79" t="s">
        <v>240</v>
      </c>
      <c r="Q79" s="79" t="s">
        <v>240</v>
      </c>
      <c r="R79" s="67" t="s">
        <v>645</v>
      </c>
      <c r="S79" s="78">
        <f t="shared" si="16"/>
        <v>4619</v>
      </c>
      <c r="T79" s="67">
        <v>2749</v>
      </c>
      <c r="U79" s="67">
        <v>1870</v>
      </c>
      <c r="V79" s="67">
        <v>22.02</v>
      </c>
      <c r="AB79" s="67">
        <v>241.58</v>
      </c>
      <c r="AC79" s="67">
        <v>219.57</v>
      </c>
      <c r="AD79" s="67">
        <v>4.9400000000000004</v>
      </c>
      <c r="AE79" s="67" t="s">
        <v>622</v>
      </c>
      <c r="AI79" s="67">
        <f>SQRT(((T79-1)*AK79^2+(U79-1)*AD79^2)/(T79+U79-2))</f>
        <v>142.8230118593261</v>
      </c>
      <c r="AK79" s="68">
        <f>SQRT(U79)*4.28</f>
        <v>185.08216553736344</v>
      </c>
      <c r="AL79" s="68" t="s">
        <v>639</v>
      </c>
      <c r="AP79" s="71">
        <f>+(V79/AQ79)*AT79</f>
        <v>0.15415178913841765</v>
      </c>
      <c r="AQ79" s="67">
        <f>+AI79</f>
        <v>142.8230118593261</v>
      </c>
      <c r="AR79" s="67">
        <f>+AT79^2*(S79/(T79*U79)+(AP79^2)/(2*S79))</f>
        <v>9.0080753980036087E-4</v>
      </c>
      <c r="AT79" s="67">
        <f>+(1-3/(4*(S79-2)-1))</f>
        <v>0.99983754805869929</v>
      </c>
      <c r="AW79" s="67" t="s">
        <v>1003</v>
      </c>
    </row>
    <row r="80" spans="1:49" ht="30" customHeight="1" x14ac:dyDescent="0.25">
      <c r="A80" s="10" t="s">
        <v>107</v>
      </c>
      <c r="B80" s="67" t="s">
        <v>293</v>
      </c>
      <c r="C80" s="10" t="s">
        <v>107</v>
      </c>
      <c r="D80" s="67">
        <v>1</v>
      </c>
      <c r="E80" s="67" t="s">
        <v>605</v>
      </c>
      <c r="F80" s="67" t="s">
        <v>240</v>
      </c>
      <c r="G80" s="68" t="s">
        <v>578</v>
      </c>
      <c r="H80" s="67">
        <v>1</v>
      </c>
      <c r="I80" s="67">
        <v>24</v>
      </c>
      <c r="J80" s="67">
        <v>1</v>
      </c>
      <c r="K80" s="68" t="s">
        <v>647</v>
      </c>
      <c r="L80" s="67" t="s">
        <v>240</v>
      </c>
      <c r="M80" s="68" t="s">
        <v>570</v>
      </c>
      <c r="N80" s="67" t="s">
        <v>240</v>
      </c>
      <c r="O80" s="93">
        <v>0.51700000000000002</v>
      </c>
      <c r="P80" s="94">
        <f>0.513-0.521</f>
        <v>-8.0000000000000071E-3</v>
      </c>
      <c r="R80" s="67" t="s">
        <v>648</v>
      </c>
      <c r="S80" s="67">
        <f t="shared" si="16"/>
        <v>871</v>
      </c>
      <c r="T80" s="67">
        <v>427</v>
      </c>
      <c r="U80" s="67">
        <v>444</v>
      </c>
      <c r="V80" s="67">
        <f>-0.063</f>
        <v>-6.3E-2</v>
      </c>
      <c r="W80" s="67">
        <v>3.4000000000000002E-2</v>
      </c>
      <c r="AC80" s="67">
        <v>0.28599999999999998</v>
      </c>
      <c r="AD80" s="67">
        <v>0.45200000000000001</v>
      </c>
      <c r="AI80" s="70">
        <f t="shared" ref="AI80:AI111" si="18">+W80</f>
        <v>3.4000000000000002E-2</v>
      </c>
    </row>
    <row r="81" spans="1:49" ht="30" customHeight="1" x14ac:dyDescent="0.25">
      <c r="A81" s="10" t="s">
        <v>107</v>
      </c>
      <c r="B81" s="67" t="s">
        <v>293</v>
      </c>
      <c r="C81" s="10" t="s">
        <v>107</v>
      </c>
      <c r="D81" s="67">
        <f>D80+1</f>
        <v>2</v>
      </c>
      <c r="E81" s="67" t="s">
        <v>644</v>
      </c>
      <c r="F81" s="67" t="s">
        <v>240</v>
      </c>
      <c r="G81" s="68" t="s">
        <v>578</v>
      </c>
      <c r="H81" s="67">
        <v>0</v>
      </c>
      <c r="I81" s="67">
        <v>24</v>
      </c>
      <c r="J81" s="67">
        <v>1</v>
      </c>
      <c r="K81" s="68" t="s">
        <v>647</v>
      </c>
      <c r="L81" s="67" t="s">
        <v>240</v>
      </c>
      <c r="M81" s="68" t="s">
        <v>570</v>
      </c>
      <c r="N81" s="67" t="s">
        <v>240</v>
      </c>
      <c r="O81" s="93">
        <v>0.51700000000000002</v>
      </c>
      <c r="P81" s="94">
        <f>0.513-0.521</f>
        <v>-8.0000000000000071E-3</v>
      </c>
      <c r="R81" s="67" t="s">
        <v>649</v>
      </c>
      <c r="S81" s="67">
        <v>414</v>
      </c>
      <c r="T81" s="78">
        <f>S81*(427/871)</f>
        <v>202.9598163030999</v>
      </c>
      <c r="U81" s="78">
        <f>S81-T81</f>
        <v>211.0401836969001</v>
      </c>
      <c r="V81" s="67">
        <v>-0.113</v>
      </c>
      <c r="W81" s="67">
        <v>7.3999999999999996E-2</v>
      </c>
      <c r="AC81" s="67">
        <v>0.124</v>
      </c>
      <c r="AD81" s="67">
        <v>0.33100000000000002</v>
      </c>
      <c r="AI81" s="70">
        <f t="shared" si="18"/>
        <v>7.3999999999999996E-2</v>
      </c>
      <c r="AK81" s="68" t="s">
        <v>650</v>
      </c>
    </row>
    <row r="82" spans="1:49" ht="30" customHeight="1" x14ac:dyDescent="0.25">
      <c r="A82" s="10" t="s">
        <v>107</v>
      </c>
      <c r="B82" s="67" t="s">
        <v>293</v>
      </c>
      <c r="C82" s="10" t="s">
        <v>107</v>
      </c>
      <c r="D82" s="67">
        <f>D81+1</f>
        <v>3</v>
      </c>
      <c r="E82" s="67" t="s">
        <v>646</v>
      </c>
      <c r="F82" s="67" t="s">
        <v>240</v>
      </c>
      <c r="G82" s="68" t="s">
        <v>578</v>
      </c>
      <c r="H82" s="67">
        <v>0</v>
      </c>
      <c r="I82" s="67">
        <v>24</v>
      </c>
      <c r="J82" s="67">
        <v>1</v>
      </c>
      <c r="K82" s="68" t="s">
        <v>647</v>
      </c>
      <c r="L82" s="67" t="s">
        <v>240</v>
      </c>
      <c r="M82" s="68" t="s">
        <v>570</v>
      </c>
      <c r="N82" s="67" t="s">
        <v>240</v>
      </c>
      <c r="O82" s="93">
        <v>0.51700000000000002</v>
      </c>
      <c r="P82" s="94">
        <f>0.513-0.521</f>
        <v>-8.0000000000000071E-3</v>
      </c>
      <c r="R82" s="67" t="s">
        <v>649</v>
      </c>
      <c r="S82" s="67">
        <v>457</v>
      </c>
      <c r="T82" s="78">
        <f>S82*(427/871)</f>
        <v>224.04018369690013</v>
      </c>
      <c r="U82" s="78">
        <f>S82-T82</f>
        <v>232.95981630309987</v>
      </c>
      <c r="V82" s="67">
        <v>-0.27400000000000002</v>
      </c>
      <c r="W82" s="67">
        <v>0.16900000000000001</v>
      </c>
      <c r="AC82" s="67">
        <v>0.44</v>
      </c>
      <c r="AD82" s="67">
        <v>0.498</v>
      </c>
      <c r="AI82" s="70">
        <f t="shared" si="18"/>
        <v>0.16900000000000001</v>
      </c>
      <c r="AK82" s="68" t="s">
        <v>650</v>
      </c>
    </row>
    <row r="83" spans="1:49" ht="30" customHeight="1" x14ac:dyDescent="0.25">
      <c r="A83" s="10" t="s">
        <v>107</v>
      </c>
      <c r="B83" s="67" t="s">
        <v>293</v>
      </c>
      <c r="C83" s="10" t="s">
        <v>107</v>
      </c>
      <c r="D83" s="67">
        <f>D82+1</f>
        <v>4</v>
      </c>
      <c r="E83" s="67" t="s">
        <v>605</v>
      </c>
      <c r="F83" s="67" t="s">
        <v>651</v>
      </c>
      <c r="G83" s="68" t="s">
        <v>578</v>
      </c>
      <c r="H83" s="67">
        <v>0</v>
      </c>
      <c r="I83" s="67">
        <v>24</v>
      </c>
      <c r="J83" s="67">
        <v>1</v>
      </c>
      <c r="K83" s="68" t="s">
        <v>647</v>
      </c>
      <c r="L83" s="67" t="s">
        <v>240</v>
      </c>
      <c r="M83" s="68" t="s">
        <v>570</v>
      </c>
      <c r="N83" s="67" t="s">
        <v>240</v>
      </c>
      <c r="O83" s="93">
        <v>0.51700000000000002</v>
      </c>
      <c r="P83" s="94">
        <f>0.513-0.521</f>
        <v>-8.0000000000000071E-3</v>
      </c>
      <c r="R83" s="67" t="s">
        <v>652</v>
      </c>
      <c r="S83" s="67">
        <v>481</v>
      </c>
      <c r="T83" s="78">
        <f>S83*(427/871)</f>
        <v>235.80597014925374</v>
      </c>
      <c r="U83" s="78">
        <f>S83-T83</f>
        <v>245.19402985074626</v>
      </c>
      <c r="V83" s="67">
        <v>-0.01</v>
      </c>
      <c r="W83" s="67">
        <v>0.115</v>
      </c>
      <c r="AC83" s="67">
        <v>0.32100000000000001</v>
      </c>
      <c r="AD83" s="67">
        <v>0.46800000000000003</v>
      </c>
      <c r="AI83" s="70">
        <f t="shared" si="18"/>
        <v>0.115</v>
      </c>
      <c r="AK83" s="68" t="s">
        <v>650</v>
      </c>
    </row>
    <row r="84" spans="1:49" ht="30" customHeight="1" x14ac:dyDescent="0.25">
      <c r="A84" s="10" t="s">
        <v>107</v>
      </c>
      <c r="B84" s="67" t="s">
        <v>293</v>
      </c>
      <c r="C84" s="10" t="s">
        <v>107</v>
      </c>
      <c r="D84" s="67">
        <f>D83+1</f>
        <v>5</v>
      </c>
      <c r="E84" s="67" t="s">
        <v>605</v>
      </c>
      <c r="F84" s="67" t="s">
        <v>1006</v>
      </c>
      <c r="G84" s="68" t="s">
        <v>578</v>
      </c>
      <c r="H84" s="67">
        <v>0</v>
      </c>
      <c r="I84" s="67">
        <v>24</v>
      </c>
      <c r="J84" s="67">
        <v>1</v>
      </c>
      <c r="K84" s="68" t="s">
        <v>647</v>
      </c>
      <c r="L84" s="67" t="s">
        <v>240</v>
      </c>
      <c r="M84" s="68" t="s">
        <v>570</v>
      </c>
      <c r="N84" s="67" t="s">
        <v>240</v>
      </c>
      <c r="O84" s="93">
        <v>0.51700000000000002</v>
      </c>
      <c r="P84" s="94">
        <f>0.513-0.521</f>
        <v>-8.0000000000000071E-3</v>
      </c>
      <c r="R84" s="67" t="s">
        <v>652</v>
      </c>
      <c r="S84" s="67">
        <v>390</v>
      </c>
      <c r="T84" s="78">
        <f>S84*(427/871)</f>
        <v>191.19402985074629</v>
      </c>
      <c r="U84" s="78">
        <f>S84-T84</f>
        <v>198.80597014925371</v>
      </c>
      <c r="V84" s="67">
        <v>0.23300000000000001</v>
      </c>
      <c r="W84" s="67">
        <v>0.14899999999999999</v>
      </c>
      <c r="AC84" s="67">
        <v>0.251</v>
      </c>
      <c r="AD84" s="67">
        <v>0.435</v>
      </c>
      <c r="AI84" s="70">
        <f t="shared" si="18"/>
        <v>0.14899999999999999</v>
      </c>
      <c r="AK84" s="68" t="s">
        <v>650</v>
      </c>
    </row>
    <row r="85" spans="1:49" ht="30" customHeight="1" x14ac:dyDescent="0.25">
      <c r="A85" s="10" t="s">
        <v>110</v>
      </c>
      <c r="B85" s="67" t="s">
        <v>293</v>
      </c>
      <c r="C85" s="10" t="s">
        <v>110</v>
      </c>
      <c r="D85" s="67">
        <v>1</v>
      </c>
      <c r="E85" s="67" t="s">
        <v>605</v>
      </c>
      <c r="F85" s="67" t="s">
        <v>240</v>
      </c>
      <c r="G85" s="68" t="s">
        <v>653</v>
      </c>
      <c r="H85" s="67">
        <v>0</v>
      </c>
      <c r="I85" s="67">
        <f>2.5*3</f>
        <v>7.5</v>
      </c>
      <c r="J85" s="67">
        <v>5</v>
      </c>
      <c r="K85" s="68" t="s">
        <v>654</v>
      </c>
      <c r="L85" s="67" t="s">
        <v>638</v>
      </c>
      <c r="M85" s="68" t="s">
        <v>587</v>
      </c>
      <c r="N85" s="67" t="s">
        <v>240</v>
      </c>
      <c r="O85" s="67" t="s">
        <v>240</v>
      </c>
      <c r="P85" s="67" t="s">
        <v>240</v>
      </c>
      <c r="Q85" s="67" t="s">
        <v>240</v>
      </c>
      <c r="R85" s="67" t="s">
        <v>376</v>
      </c>
      <c r="S85" s="67">
        <f t="shared" ref="S85:S116" si="19">T85+U85</f>
        <v>2496</v>
      </c>
      <c r="T85" s="67">
        <v>745</v>
      </c>
      <c r="U85" s="67">
        <v>1751</v>
      </c>
      <c r="V85" s="67">
        <v>0.42899999999999999</v>
      </c>
      <c r="W85" s="67">
        <v>7.8E-2</v>
      </c>
      <c r="AC85" s="67">
        <v>9.0839999999999996</v>
      </c>
      <c r="AD85" s="67">
        <v>3.2000000000000001E-2</v>
      </c>
      <c r="AI85" s="70">
        <f t="shared" si="18"/>
        <v>7.8E-2</v>
      </c>
      <c r="AL85" s="68" t="s">
        <v>1374</v>
      </c>
      <c r="AP85" s="67">
        <f t="shared" ref="AP85:AP102" si="20">+V85/AQ85</f>
        <v>0.24058235434341993</v>
      </c>
      <c r="AQ85" s="67">
        <f t="shared" ref="AQ85:AQ102" si="21">+W85*SQRT(T85*U85/S85)</f>
        <v>1.7831731723251107</v>
      </c>
      <c r="AS85" s="67">
        <f t="shared" ref="AS85:AS102" si="22">+AP85^2/(AU85-2)*(AU85/(V85/AI85)^2+AU85*AV85^2-AU85+2)</f>
        <v>1.9613722712829751E-3</v>
      </c>
      <c r="AU85" s="67">
        <f t="shared" ref="AU85:AU102" si="23">+S85-2</f>
        <v>2494</v>
      </c>
      <c r="AV85" s="67">
        <f t="shared" ref="AV85:AV102" si="24">IFERROR(1/(SQRT(AU85/2)*_xlfn.GAMMA(AU85/2-0.5)/_xlfn.GAMMA(AU85/2)),1)</f>
        <v>1</v>
      </c>
      <c r="AW85" s="67" t="s">
        <v>1350</v>
      </c>
    </row>
    <row r="86" spans="1:49" ht="30" customHeight="1" x14ac:dyDescent="0.25">
      <c r="A86" s="10" t="s">
        <v>110</v>
      </c>
      <c r="B86" s="67" t="s">
        <v>293</v>
      </c>
      <c r="C86" s="10" t="s">
        <v>110</v>
      </c>
      <c r="D86" s="67">
        <f t="shared" ref="D86:D102" si="25">D85+1</f>
        <v>2</v>
      </c>
      <c r="E86" s="67" t="s">
        <v>605</v>
      </c>
      <c r="F86" s="67" t="s">
        <v>240</v>
      </c>
      <c r="G86" s="68" t="s">
        <v>656</v>
      </c>
      <c r="H86" s="67">
        <v>0</v>
      </c>
      <c r="I86" s="67">
        <f>2.5*3</f>
        <v>7.5</v>
      </c>
      <c r="J86" s="67">
        <v>5</v>
      </c>
      <c r="K86" s="68" t="s">
        <v>654</v>
      </c>
      <c r="L86" s="67" t="s">
        <v>638</v>
      </c>
      <c r="M86" s="68" t="s">
        <v>587</v>
      </c>
      <c r="N86" s="67" t="s">
        <v>240</v>
      </c>
      <c r="O86" s="67" t="s">
        <v>240</v>
      </c>
      <c r="P86" s="67" t="s">
        <v>240</v>
      </c>
      <c r="Q86" s="67" t="s">
        <v>240</v>
      </c>
      <c r="R86" s="67" t="s">
        <v>376</v>
      </c>
      <c r="S86" s="67">
        <f t="shared" si="19"/>
        <v>2496</v>
      </c>
      <c r="T86" s="67">
        <v>745</v>
      </c>
      <c r="U86" s="67">
        <v>1751</v>
      </c>
      <c r="V86" s="67">
        <v>0.27200000000000002</v>
      </c>
      <c r="W86" s="67">
        <v>6.5000000000000002E-2</v>
      </c>
      <c r="AC86" s="67">
        <v>8.9269999999999996</v>
      </c>
      <c r="AD86" s="67">
        <v>2.9000000000000001E-2</v>
      </c>
      <c r="AI86" s="70">
        <f t="shared" si="18"/>
        <v>6.5000000000000002E-2</v>
      </c>
      <c r="AL86" s="68" t="s">
        <v>655</v>
      </c>
      <c r="AP86" s="67">
        <f t="shared" si="20"/>
        <v>0.18304447659135725</v>
      </c>
      <c r="AQ86" s="67">
        <f t="shared" si="21"/>
        <v>1.4859776436042591</v>
      </c>
      <c r="AS86" s="67">
        <f t="shared" si="22"/>
        <v>1.9418100009693197E-3</v>
      </c>
      <c r="AU86" s="67">
        <f t="shared" si="23"/>
        <v>2494</v>
      </c>
      <c r="AV86" s="67">
        <f t="shared" si="24"/>
        <v>1</v>
      </c>
      <c r="AW86" s="67" t="s">
        <v>1350</v>
      </c>
    </row>
    <row r="87" spans="1:49" ht="30" customHeight="1" x14ac:dyDescent="0.25">
      <c r="A87" s="10" t="s">
        <v>110</v>
      </c>
      <c r="B87" s="67" t="s">
        <v>293</v>
      </c>
      <c r="C87" s="10" t="s">
        <v>110</v>
      </c>
      <c r="D87" s="67">
        <f t="shared" si="25"/>
        <v>3</v>
      </c>
      <c r="E87" s="67" t="s">
        <v>605</v>
      </c>
      <c r="F87" s="67" t="s">
        <v>240</v>
      </c>
      <c r="G87" s="68" t="s">
        <v>653</v>
      </c>
      <c r="H87" s="67">
        <v>0</v>
      </c>
      <c r="I87" s="67">
        <v>19.5</v>
      </c>
      <c r="J87" s="67">
        <v>5</v>
      </c>
      <c r="K87" s="68" t="s">
        <v>654</v>
      </c>
      <c r="L87" s="67" t="s">
        <v>638</v>
      </c>
      <c r="M87" s="68" t="s">
        <v>587</v>
      </c>
      <c r="N87" s="67" t="s">
        <v>240</v>
      </c>
      <c r="O87" s="67" t="s">
        <v>240</v>
      </c>
      <c r="P87" s="67" t="s">
        <v>240</v>
      </c>
      <c r="Q87" s="67" t="s">
        <v>240</v>
      </c>
      <c r="R87" s="67" t="s">
        <v>376</v>
      </c>
      <c r="S87" s="67">
        <f t="shared" si="19"/>
        <v>2496</v>
      </c>
      <c r="T87" s="67">
        <v>745</v>
      </c>
      <c r="U87" s="67">
        <v>1751</v>
      </c>
      <c r="V87" s="67">
        <v>0.313</v>
      </c>
      <c r="W87" s="67">
        <v>8.5999999999999993E-2</v>
      </c>
      <c r="AC87" s="67">
        <v>9.1020000000000003</v>
      </c>
      <c r="AD87" s="67">
        <v>3.6999999999999998E-2</v>
      </c>
      <c r="AI87" s="70">
        <f t="shared" si="18"/>
        <v>8.5999999999999993E-2</v>
      </c>
      <c r="AL87" s="68" t="s">
        <v>655</v>
      </c>
      <c r="AP87" s="67">
        <f t="shared" si="20"/>
        <v>0.15920143109828847</v>
      </c>
      <c r="AQ87" s="67">
        <f t="shared" si="21"/>
        <v>1.9660627284610195</v>
      </c>
      <c r="AS87" s="67">
        <f t="shared" si="22"/>
        <v>1.9352608960360451E-3</v>
      </c>
      <c r="AU87" s="67">
        <f t="shared" si="23"/>
        <v>2494</v>
      </c>
      <c r="AV87" s="67">
        <f t="shared" si="24"/>
        <v>1</v>
      </c>
      <c r="AW87" s="67" t="s">
        <v>1350</v>
      </c>
    </row>
    <row r="88" spans="1:49" ht="30" customHeight="1" x14ac:dyDescent="0.25">
      <c r="A88" s="10" t="s">
        <v>110</v>
      </c>
      <c r="B88" s="67" t="s">
        <v>293</v>
      </c>
      <c r="C88" s="10" t="s">
        <v>110</v>
      </c>
      <c r="D88" s="67">
        <f t="shared" si="25"/>
        <v>4</v>
      </c>
      <c r="E88" s="67" t="s">
        <v>605</v>
      </c>
      <c r="F88" s="67" t="s">
        <v>240</v>
      </c>
      <c r="G88" s="68" t="s">
        <v>656</v>
      </c>
      <c r="H88" s="67">
        <v>0</v>
      </c>
      <c r="I88" s="67">
        <v>19.5</v>
      </c>
      <c r="J88" s="67">
        <v>5</v>
      </c>
      <c r="K88" s="68" t="s">
        <v>654</v>
      </c>
      <c r="L88" s="67" t="s">
        <v>638</v>
      </c>
      <c r="M88" s="68" t="s">
        <v>587</v>
      </c>
      <c r="N88" s="67" t="s">
        <v>240</v>
      </c>
      <c r="O88" s="67" t="s">
        <v>240</v>
      </c>
      <c r="P88" s="67" t="s">
        <v>240</v>
      </c>
      <c r="Q88" s="67" t="s">
        <v>240</v>
      </c>
      <c r="R88" s="67" t="s">
        <v>376</v>
      </c>
      <c r="S88" s="67">
        <f t="shared" si="19"/>
        <v>3186</v>
      </c>
      <c r="T88" s="67">
        <v>1093</v>
      </c>
      <c r="U88" s="67">
        <v>2093</v>
      </c>
      <c r="V88" s="67">
        <v>0.314</v>
      </c>
      <c r="W88" s="67">
        <v>6.7000000000000004E-2</v>
      </c>
      <c r="AC88" s="67">
        <v>9.0869999999999997</v>
      </c>
      <c r="AD88" s="67">
        <v>3.2000000000000001E-2</v>
      </c>
      <c r="AI88" s="70">
        <f t="shared" si="18"/>
        <v>6.7000000000000004E-2</v>
      </c>
      <c r="AL88" s="68" t="s">
        <v>655</v>
      </c>
      <c r="AP88" s="67">
        <f t="shared" si="20"/>
        <v>0.17489727217568685</v>
      </c>
      <c r="AQ88" s="67">
        <f t="shared" si="21"/>
        <v>1.7953396076102459</v>
      </c>
      <c r="AS88" s="67">
        <f t="shared" si="22"/>
        <v>1.4127978366020976E-3</v>
      </c>
      <c r="AU88" s="67">
        <f t="shared" si="23"/>
        <v>3184</v>
      </c>
      <c r="AV88" s="67">
        <f t="shared" si="24"/>
        <v>1</v>
      </c>
      <c r="AW88" s="67" t="s">
        <v>1350</v>
      </c>
    </row>
    <row r="89" spans="1:49" ht="30" customHeight="1" x14ac:dyDescent="0.25">
      <c r="A89" s="10" t="s">
        <v>110</v>
      </c>
      <c r="B89" s="67" t="s">
        <v>293</v>
      </c>
      <c r="C89" s="10" t="s">
        <v>110</v>
      </c>
      <c r="D89" s="67">
        <f t="shared" si="25"/>
        <v>5</v>
      </c>
      <c r="E89" s="67" t="s">
        <v>605</v>
      </c>
      <c r="F89" s="67" t="s">
        <v>240</v>
      </c>
      <c r="G89" s="68" t="s">
        <v>653</v>
      </c>
      <c r="H89" s="67">
        <v>0</v>
      </c>
      <c r="I89" s="68">
        <v>31.5</v>
      </c>
      <c r="J89" s="67">
        <v>5</v>
      </c>
      <c r="K89" s="68" t="s">
        <v>654</v>
      </c>
      <c r="L89" s="67" t="s">
        <v>638</v>
      </c>
      <c r="M89" s="68" t="s">
        <v>587</v>
      </c>
      <c r="N89" s="67" t="s">
        <v>240</v>
      </c>
      <c r="O89" s="67" t="s">
        <v>240</v>
      </c>
      <c r="P89" s="67" t="s">
        <v>240</v>
      </c>
      <c r="Q89" s="67" t="s">
        <v>240</v>
      </c>
      <c r="R89" s="67" t="s">
        <v>376</v>
      </c>
      <c r="S89" s="67">
        <f t="shared" si="19"/>
        <v>3186</v>
      </c>
      <c r="T89" s="67">
        <v>1093</v>
      </c>
      <c r="U89" s="67">
        <v>2093</v>
      </c>
      <c r="V89" s="67">
        <v>5.1999999999999998E-2</v>
      </c>
      <c r="W89" s="67">
        <v>0.09</v>
      </c>
      <c r="AC89" s="67">
        <v>9.1340000000000003</v>
      </c>
      <c r="AD89" s="67">
        <v>3.5000000000000003E-2</v>
      </c>
      <c r="AI89" s="70">
        <f t="shared" si="18"/>
        <v>0.09</v>
      </c>
      <c r="AL89" s="68" t="s">
        <v>655</v>
      </c>
      <c r="AP89" s="67">
        <f t="shared" si="20"/>
        <v>2.1561999159946672E-2</v>
      </c>
      <c r="AQ89" s="67">
        <f t="shared" si="21"/>
        <v>2.4116502191779423</v>
      </c>
      <c r="AS89" s="67">
        <f t="shared" si="22"/>
        <v>1.3938637473458288E-3</v>
      </c>
      <c r="AU89" s="67">
        <f t="shared" si="23"/>
        <v>3184</v>
      </c>
      <c r="AV89" s="67">
        <f t="shared" si="24"/>
        <v>1</v>
      </c>
      <c r="AW89" s="67" t="s">
        <v>1350</v>
      </c>
    </row>
    <row r="90" spans="1:49" ht="30" customHeight="1" x14ac:dyDescent="0.25">
      <c r="A90" s="10" t="s">
        <v>110</v>
      </c>
      <c r="B90" s="67" t="s">
        <v>293</v>
      </c>
      <c r="C90" s="10" t="s">
        <v>110</v>
      </c>
      <c r="D90" s="67">
        <f t="shared" si="25"/>
        <v>6</v>
      </c>
      <c r="E90" s="67" t="s">
        <v>605</v>
      </c>
      <c r="F90" s="67" t="s">
        <v>240</v>
      </c>
      <c r="G90" s="68" t="s">
        <v>656</v>
      </c>
      <c r="H90" s="67">
        <v>0</v>
      </c>
      <c r="I90" s="67">
        <f>10.5*3</f>
        <v>31.5</v>
      </c>
      <c r="J90" s="67">
        <v>5</v>
      </c>
      <c r="K90" s="68" t="s">
        <v>654</v>
      </c>
      <c r="L90" s="67" t="s">
        <v>638</v>
      </c>
      <c r="M90" s="68" t="s">
        <v>587</v>
      </c>
      <c r="N90" s="67" t="s">
        <v>240</v>
      </c>
      <c r="O90" s="67" t="s">
        <v>240</v>
      </c>
      <c r="P90" s="67" t="s">
        <v>240</v>
      </c>
      <c r="Q90" s="67" t="s">
        <v>240</v>
      </c>
      <c r="R90" s="67" t="s">
        <v>376</v>
      </c>
      <c r="S90" s="67">
        <f t="shared" si="19"/>
        <v>3186</v>
      </c>
      <c r="T90" s="67">
        <v>1093</v>
      </c>
      <c r="U90" s="67">
        <v>2093</v>
      </c>
      <c r="V90" s="67">
        <v>0.27900000000000003</v>
      </c>
      <c r="W90" s="67">
        <v>6.5000000000000002E-2</v>
      </c>
      <c r="AC90" s="67">
        <v>9.3409999999999993</v>
      </c>
      <c r="AD90" s="67">
        <v>2.8000000000000001E-2</v>
      </c>
      <c r="AI90" s="70">
        <f t="shared" si="18"/>
        <v>6.5000000000000002E-2</v>
      </c>
      <c r="AL90" s="68" t="s">
        <v>655</v>
      </c>
      <c r="AP90" s="67">
        <f t="shared" si="20"/>
        <v>0.16018396417344999</v>
      </c>
      <c r="AQ90" s="67">
        <f t="shared" si="21"/>
        <v>1.7417473805174029</v>
      </c>
      <c r="AS90" s="67">
        <f t="shared" si="22"/>
        <v>1.4096990600865893E-3</v>
      </c>
      <c r="AU90" s="67">
        <f t="shared" si="23"/>
        <v>3184</v>
      </c>
      <c r="AV90" s="67">
        <f t="shared" si="24"/>
        <v>1</v>
      </c>
      <c r="AW90" s="67" t="s">
        <v>1350</v>
      </c>
    </row>
    <row r="91" spans="1:49" ht="30" customHeight="1" x14ac:dyDescent="0.25">
      <c r="A91" s="10" t="s">
        <v>110</v>
      </c>
      <c r="B91" s="67" t="s">
        <v>293</v>
      </c>
      <c r="C91" s="10" t="s">
        <v>110</v>
      </c>
      <c r="D91" s="67">
        <f t="shared" si="25"/>
        <v>7</v>
      </c>
      <c r="E91" s="67" t="s">
        <v>605</v>
      </c>
      <c r="F91" s="67" t="s">
        <v>657</v>
      </c>
      <c r="G91" s="68" t="s">
        <v>653</v>
      </c>
      <c r="H91" s="67">
        <v>0</v>
      </c>
      <c r="I91" s="68">
        <f t="shared" ref="I91:I102" si="26">6.5*3</f>
        <v>19.5</v>
      </c>
      <c r="J91" s="67">
        <v>5</v>
      </c>
      <c r="K91" s="68" t="s">
        <v>654</v>
      </c>
      <c r="L91" s="67" t="s">
        <v>638</v>
      </c>
      <c r="M91" s="68" t="s">
        <v>587</v>
      </c>
      <c r="N91" s="67" t="s">
        <v>240</v>
      </c>
      <c r="O91" s="67" t="s">
        <v>240</v>
      </c>
      <c r="P91" s="67" t="s">
        <v>240</v>
      </c>
      <c r="Q91" s="67" t="s">
        <v>240</v>
      </c>
      <c r="R91" s="67" t="s">
        <v>338</v>
      </c>
      <c r="S91" s="67">
        <f t="shared" si="19"/>
        <v>325</v>
      </c>
      <c r="T91" s="67">
        <v>97</v>
      </c>
      <c r="U91" s="67">
        <f>ROUND(0.13*U85,0)</f>
        <v>228</v>
      </c>
      <c r="V91" s="67">
        <v>0.318</v>
      </c>
      <c r="W91" s="67">
        <v>0.19700000000000001</v>
      </c>
      <c r="AI91" s="70">
        <f t="shared" si="18"/>
        <v>0.19700000000000001</v>
      </c>
      <c r="AL91" s="68" t="s">
        <v>655</v>
      </c>
      <c r="AP91" s="67">
        <f t="shared" si="20"/>
        <v>0.19568128141886715</v>
      </c>
      <c r="AQ91" s="67">
        <f t="shared" si="21"/>
        <v>1.625091565704246</v>
      </c>
      <c r="AS91" s="67">
        <f t="shared" si="22"/>
        <v>1.4846492347198731E-2</v>
      </c>
      <c r="AU91" s="67">
        <f t="shared" si="23"/>
        <v>323</v>
      </c>
      <c r="AV91" s="67">
        <f t="shared" si="24"/>
        <v>0.99767591975953029</v>
      </c>
      <c r="AW91" s="67" t="s">
        <v>1350</v>
      </c>
    </row>
    <row r="92" spans="1:49" ht="30" customHeight="1" x14ac:dyDescent="0.25">
      <c r="A92" s="10" t="s">
        <v>110</v>
      </c>
      <c r="B92" s="67" t="s">
        <v>293</v>
      </c>
      <c r="C92" s="10" t="s">
        <v>110</v>
      </c>
      <c r="D92" s="67">
        <f t="shared" si="25"/>
        <v>8</v>
      </c>
      <c r="E92" s="67" t="s">
        <v>605</v>
      </c>
      <c r="F92" s="67" t="s">
        <v>658</v>
      </c>
      <c r="G92" s="68" t="s">
        <v>653</v>
      </c>
      <c r="H92" s="67">
        <v>0</v>
      </c>
      <c r="I92" s="68">
        <f t="shared" si="26"/>
        <v>19.5</v>
      </c>
      <c r="J92" s="67">
        <v>5</v>
      </c>
      <c r="K92" s="68" t="s">
        <v>654</v>
      </c>
      <c r="L92" s="67" t="s">
        <v>638</v>
      </c>
      <c r="M92" s="68" t="s">
        <v>587</v>
      </c>
      <c r="N92" s="67" t="s">
        <v>240</v>
      </c>
      <c r="O92" s="67" t="s">
        <v>240</v>
      </c>
      <c r="P92" s="67" t="s">
        <v>240</v>
      </c>
      <c r="Q92" s="67" t="s">
        <v>240</v>
      </c>
      <c r="R92" s="67" t="s">
        <v>338</v>
      </c>
      <c r="S92" s="67">
        <f t="shared" si="19"/>
        <v>1031</v>
      </c>
      <c r="T92" s="67">
        <v>308</v>
      </c>
      <c r="U92" s="67">
        <f>ROUND(0.413*U85,0)</f>
        <v>723</v>
      </c>
      <c r="V92" s="67">
        <v>0.34699999999999998</v>
      </c>
      <c r="W92" s="67">
        <v>0.111</v>
      </c>
      <c r="AI92" s="70">
        <f t="shared" si="18"/>
        <v>0.111</v>
      </c>
      <c r="AL92" s="68" t="s">
        <v>655</v>
      </c>
      <c r="AP92" s="67">
        <f t="shared" si="20"/>
        <v>0.21271167220143872</v>
      </c>
      <c r="AQ92" s="67">
        <f t="shared" si="21"/>
        <v>1.6313162150847544</v>
      </c>
      <c r="AS92" s="67">
        <f t="shared" si="22"/>
        <v>4.7270088767413544E-3</v>
      </c>
      <c r="AU92" s="67">
        <f t="shared" si="23"/>
        <v>1029</v>
      </c>
      <c r="AV92" s="67">
        <f t="shared" si="24"/>
        <v>1</v>
      </c>
      <c r="AW92" s="67" t="s">
        <v>1350</v>
      </c>
    </row>
    <row r="93" spans="1:49" ht="30" customHeight="1" x14ac:dyDescent="0.25">
      <c r="A93" s="10" t="s">
        <v>110</v>
      </c>
      <c r="B93" s="67" t="s">
        <v>293</v>
      </c>
      <c r="C93" s="10" t="s">
        <v>110</v>
      </c>
      <c r="D93" s="67">
        <f t="shared" si="25"/>
        <v>9</v>
      </c>
      <c r="E93" s="67" t="s">
        <v>605</v>
      </c>
      <c r="F93" s="67" t="s">
        <v>659</v>
      </c>
      <c r="G93" s="68" t="s">
        <v>653</v>
      </c>
      <c r="H93" s="67">
        <v>0</v>
      </c>
      <c r="I93" s="68">
        <f t="shared" si="26"/>
        <v>19.5</v>
      </c>
      <c r="J93" s="67">
        <v>5</v>
      </c>
      <c r="K93" s="68" t="s">
        <v>654</v>
      </c>
      <c r="L93" s="67" t="s">
        <v>638</v>
      </c>
      <c r="M93" s="68" t="s">
        <v>587</v>
      </c>
      <c r="N93" s="67" t="s">
        <v>240</v>
      </c>
      <c r="O93" s="67" t="s">
        <v>240</v>
      </c>
      <c r="P93" s="67" t="s">
        <v>240</v>
      </c>
      <c r="Q93" s="67" t="s">
        <v>240</v>
      </c>
      <c r="R93" s="67" t="s">
        <v>338</v>
      </c>
      <c r="S93" s="67">
        <f t="shared" si="19"/>
        <v>429</v>
      </c>
      <c r="T93" s="67">
        <v>128</v>
      </c>
      <c r="U93" s="67">
        <f>ROUND(0.172*U86,0)</f>
        <v>301</v>
      </c>
      <c r="V93" s="67">
        <v>0.29799999999999999</v>
      </c>
      <c r="W93" s="67">
        <v>0.19700000000000001</v>
      </c>
      <c r="AI93" s="70">
        <f t="shared" si="18"/>
        <v>0.19700000000000001</v>
      </c>
      <c r="AL93" s="68" t="s">
        <v>655</v>
      </c>
      <c r="AP93" s="67">
        <f t="shared" si="20"/>
        <v>0.15962115588147349</v>
      </c>
      <c r="AQ93" s="67">
        <f t="shared" si="21"/>
        <v>1.8669204489490074</v>
      </c>
      <c r="AS93" s="67">
        <f t="shared" si="22"/>
        <v>1.1307058771700388E-2</v>
      </c>
      <c r="AU93" s="67">
        <f t="shared" si="23"/>
        <v>427</v>
      </c>
      <c r="AV93" s="67">
        <f t="shared" si="24"/>
        <v>1</v>
      </c>
      <c r="AW93" s="67" t="s">
        <v>1350</v>
      </c>
    </row>
    <row r="94" spans="1:49" ht="30" customHeight="1" x14ac:dyDescent="0.25">
      <c r="A94" s="10" t="s">
        <v>110</v>
      </c>
      <c r="B94" s="67" t="s">
        <v>293</v>
      </c>
      <c r="C94" s="10" t="s">
        <v>110</v>
      </c>
      <c r="D94" s="67">
        <f t="shared" si="25"/>
        <v>10</v>
      </c>
      <c r="E94" s="67" t="s">
        <v>605</v>
      </c>
      <c r="F94" s="67" t="s">
        <v>660</v>
      </c>
      <c r="G94" s="68" t="s">
        <v>653</v>
      </c>
      <c r="H94" s="67">
        <v>0</v>
      </c>
      <c r="I94" s="68">
        <f t="shared" si="26"/>
        <v>19.5</v>
      </c>
      <c r="J94" s="67">
        <v>5</v>
      </c>
      <c r="K94" s="68" t="s">
        <v>654</v>
      </c>
      <c r="L94" s="67" t="s">
        <v>638</v>
      </c>
      <c r="M94" s="68" t="s">
        <v>587</v>
      </c>
      <c r="N94" s="67" t="s">
        <v>240</v>
      </c>
      <c r="O94" s="67" t="s">
        <v>240</v>
      </c>
      <c r="P94" s="67" t="s">
        <v>240</v>
      </c>
      <c r="Q94" s="67" t="s">
        <v>240</v>
      </c>
      <c r="R94" s="67" t="s">
        <v>338</v>
      </c>
      <c r="S94" s="67">
        <f t="shared" si="19"/>
        <v>127</v>
      </c>
      <c r="T94" s="67">
        <v>38</v>
      </c>
      <c r="U94" s="67">
        <f>ROUND(0.051*U85,0)</f>
        <v>89</v>
      </c>
      <c r="V94" s="67">
        <v>0.34799999999999998</v>
      </c>
      <c r="W94" s="67">
        <v>0.19900000000000001</v>
      </c>
      <c r="AI94" s="70">
        <f t="shared" si="18"/>
        <v>0.19900000000000001</v>
      </c>
      <c r="AL94" s="68" t="s">
        <v>655</v>
      </c>
      <c r="AP94" s="67">
        <f t="shared" si="20"/>
        <v>0.33887632321231043</v>
      </c>
      <c r="AQ94" s="67">
        <f t="shared" si="21"/>
        <v>1.0269233232384118</v>
      </c>
      <c r="AS94" s="67">
        <f t="shared" si="22"/>
        <v>3.863010467568876E-2</v>
      </c>
      <c r="AU94" s="67">
        <f t="shared" si="23"/>
        <v>125</v>
      </c>
      <c r="AV94" s="67">
        <f t="shared" si="24"/>
        <v>0.99398596411992246</v>
      </c>
      <c r="AW94" s="67" t="s">
        <v>1350</v>
      </c>
    </row>
    <row r="95" spans="1:49" ht="30" customHeight="1" x14ac:dyDescent="0.25">
      <c r="A95" s="10" t="s">
        <v>110</v>
      </c>
      <c r="B95" s="67" t="s">
        <v>293</v>
      </c>
      <c r="C95" s="10" t="s">
        <v>110</v>
      </c>
      <c r="D95" s="67">
        <f t="shared" si="25"/>
        <v>11</v>
      </c>
      <c r="E95" s="67" t="s">
        <v>577</v>
      </c>
      <c r="F95" s="67" t="s">
        <v>240</v>
      </c>
      <c r="G95" s="68" t="s">
        <v>653</v>
      </c>
      <c r="H95" s="67">
        <v>0</v>
      </c>
      <c r="I95" s="68">
        <f t="shared" si="26"/>
        <v>19.5</v>
      </c>
      <c r="J95" s="67">
        <v>5</v>
      </c>
      <c r="K95" s="68" t="s">
        <v>654</v>
      </c>
      <c r="L95" s="67" t="s">
        <v>638</v>
      </c>
      <c r="M95" s="68" t="s">
        <v>587</v>
      </c>
      <c r="N95" s="67" t="s">
        <v>240</v>
      </c>
      <c r="O95" s="67" t="s">
        <v>240</v>
      </c>
      <c r="P95" s="67" t="s">
        <v>240</v>
      </c>
      <c r="Q95" s="67" t="s">
        <v>240</v>
      </c>
      <c r="R95" s="67" t="s">
        <v>338</v>
      </c>
      <c r="S95" s="78">
        <f t="shared" si="19"/>
        <v>1347.1330000000003</v>
      </c>
      <c r="T95" s="78">
        <f>745*0.532</f>
        <v>396.34000000000003</v>
      </c>
      <c r="U95" s="78">
        <f>1751*0.543</f>
        <v>950.79300000000012</v>
      </c>
      <c r="V95" s="67">
        <v>0.36099999999999999</v>
      </c>
      <c r="W95" s="67">
        <v>0.11799999999999999</v>
      </c>
      <c r="AI95" s="70">
        <f t="shared" si="18"/>
        <v>0.11799999999999999</v>
      </c>
      <c r="AL95" s="68" t="s">
        <v>655</v>
      </c>
      <c r="AP95" s="67">
        <f t="shared" si="20"/>
        <v>0.18291675645606253</v>
      </c>
      <c r="AQ95" s="67">
        <f t="shared" si="21"/>
        <v>1.973575341014282</v>
      </c>
      <c r="AS95" s="67">
        <f t="shared" si="22"/>
        <v>3.6299846497633522E-3</v>
      </c>
      <c r="AU95" s="67">
        <f t="shared" si="23"/>
        <v>1345.1330000000003</v>
      </c>
      <c r="AV95" s="67">
        <f t="shared" si="24"/>
        <v>1</v>
      </c>
      <c r="AW95" s="67" t="s">
        <v>1350</v>
      </c>
    </row>
    <row r="96" spans="1:49" ht="30" customHeight="1" x14ac:dyDescent="0.25">
      <c r="A96" s="10" t="s">
        <v>110</v>
      </c>
      <c r="B96" s="67" t="s">
        <v>293</v>
      </c>
      <c r="C96" s="10" t="s">
        <v>110</v>
      </c>
      <c r="D96" s="67">
        <f t="shared" si="25"/>
        <v>12</v>
      </c>
      <c r="E96" s="67" t="s">
        <v>583</v>
      </c>
      <c r="F96" s="67" t="s">
        <v>240</v>
      </c>
      <c r="G96" s="68" t="s">
        <v>653</v>
      </c>
      <c r="H96" s="67">
        <v>0</v>
      </c>
      <c r="I96" s="68">
        <f t="shared" si="26"/>
        <v>19.5</v>
      </c>
      <c r="J96" s="67">
        <v>5</v>
      </c>
      <c r="K96" s="68" t="s">
        <v>654</v>
      </c>
      <c r="L96" s="67" t="s">
        <v>638</v>
      </c>
      <c r="M96" s="68" t="s">
        <v>587</v>
      </c>
      <c r="N96" s="67" t="s">
        <v>240</v>
      </c>
      <c r="O96" s="67" t="s">
        <v>240</v>
      </c>
      <c r="P96" s="67" t="s">
        <v>240</v>
      </c>
      <c r="Q96" s="67" t="s">
        <v>240</v>
      </c>
      <c r="R96" s="67" t="s">
        <v>338</v>
      </c>
      <c r="S96" s="78">
        <f t="shared" si="19"/>
        <v>1148.8669999999997</v>
      </c>
      <c r="T96" s="78">
        <f>745*(1-0.532)</f>
        <v>348.65999999999997</v>
      </c>
      <c r="U96" s="78">
        <f>1751*(1-0.543)</f>
        <v>800.20699999999988</v>
      </c>
      <c r="V96" s="67">
        <v>0.54900000000000004</v>
      </c>
      <c r="W96" s="67">
        <v>0.122</v>
      </c>
      <c r="AI96" s="70">
        <f t="shared" si="18"/>
        <v>0.122</v>
      </c>
      <c r="AL96" s="68" t="s">
        <v>655</v>
      </c>
      <c r="AP96" s="67">
        <f t="shared" si="20"/>
        <v>0.28876540040857956</v>
      </c>
      <c r="AQ96" s="67">
        <f t="shared" si="21"/>
        <v>1.9011973014191095</v>
      </c>
      <c r="AS96" s="67">
        <f t="shared" si="22"/>
        <v>4.2706621923371546E-3</v>
      </c>
      <c r="AU96" s="67">
        <f t="shared" si="23"/>
        <v>1146.8669999999997</v>
      </c>
      <c r="AV96" s="67">
        <f t="shared" si="24"/>
        <v>1</v>
      </c>
      <c r="AW96" s="67" t="s">
        <v>1350</v>
      </c>
    </row>
    <row r="97" spans="1:49" ht="30" customHeight="1" x14ac:dyDescent="0.25">
      <c r="A97" s="10" t="s">
        <v>110</v>
      </c>
      <c r="B97" s="67" t="s">
        <v>293</v>
      </c>
      <c r="C97" s="10" t="s">
        <v>110</v>
      </c>
      <c r="D97" s="67">
        <f t="shared" si="25"/>
        <v>13</v>
      </c>
      <c r="E97" s="67" t="s">
        <v>605</v>
      </c>
      <c r="F97" s="67" t="s">
        <v>657</v>
      </c>
      <c r="G97" s="68" t="s">
        <v>656</v>
      </c>
      <c r="H97" s="67">
        <v>0</v>
      </c>
      <c r="I97" s="68">
        <f t="shared" si="26"/>
        <v>19.5</v>
      </c>
      <c r="J97" s="67">
        <v>5</v>
      </c>
      <c r="K97" s="68" t="s">
        <v>654</v>
      </c>
      <c r="L97" s="67" t="s">
        <v>638</v>
      </c>
      <c r="M97" s="68" t="s">
        <v>587</v>
      </c>
      <c r="N97" s="67" t="s">
        <v>240</v>
      </c>
      <c r="O97" s="67" t="s">
        <v>240</v>
      </c>
      <c r="P97" s="67" t="s">
        <v>240</v>
      </c>
      <c r="Q97" s="67" t="s">
        <v>240</v>
      </c>
      <c r="R97" s="67" t="s">
        <v>338</v>
      </c>
      <c r="S97" s="67">
        <f t="shared" si="19"/>
        <v>670</v>
      </c>
      <c r="T97" s="67">
        <v>230</v>
      </c>
      <c r="U97" s="67">
        <f>ROUND(0.21*2093,0)</f>
        <v>440</v>
      </c>
      <c r="V97" s="67">
        <v>0.52700000000000002</v>
      </c>
      <c r="W97" s="67">
        <v>0.129</v>
      </c>
      <c r="AI97" s="70">
        <f t="shared" si="18"/>
        <v>0.129</v>
      </c>
      <c r="AL97" s="68" t="s">
        <v>655</v>
      </c>
      <c r="AP97" s="67">
        <f t="shared" si="20"/>
        <v>0.33240538441014744</v>
      </c>
      <c r="AQ97" s="67">
        <f t="shared" si="21"/>
        <v>1.5854135483850849</v>
      </c>
      <c r="AS97" s="67">
        <f t="shared" si="22"/>
        <v>6.9722467318896232E-3</v>
      </c>
      <c r="AU97" s="67">
        <f t="shared" si="23"/>
        <v>668</v>
      </c>
      <c r="AV97" s="67">
        <f t="shared" si="24"/>
        <v>1</v>
      </c>
      <c r="AW97" s="67" t="s">
        <v>1350</v>
      </c>
    </row>
    <row r="98" spans="1:49" ht="30" customHeight="1" x14ac:dyDescent="0.25">
      <c r="A98" s="10" t="s">
        <v>110</v>
      </c>
      <c r="B98" s="67" t="s">
        <v>293</v>
      </c>
      <c r="C98" s="10" t="s">
        <v>110</v>
      </c>
      <c r="D98" s="67">
        <f t="shared" si="25"/>
        <v>14</v>
      </c>
      <c r="E98" s="67" t="s">
        <v>605</v>
      </c>
      <c r="F98" s="67" t="s">
        <v>658</v>
      </c>
      <c r="G98" s="68" t="s">
        <v>656</v>
      </c>
      <c r="H98" s="67">
        <v>0</v>
      </c>
      <c r="I98" s="68">
        <f t="shared" si="26"/>
        <v>19.5</v>
      </c>
      <c r="J98" s="67">
        <v>5</v>
      </c>
      <c r="K98" s="68" t="s">
        <v>654</v>
      </c>
      <c r="L98" s="67" t="s">
        <v>638</v>
      </c>
      <c r="M98" s="68" t="s">
        <v>587</v>
      </c>
      <c r="N98" s="67" t="s">
        <v>240</v>
      </c>
      <c r="O98" s="67" t="s">
        <v>240</v>
      </c>
      <c r="P98" s="67" t="s">
        <v>240</v>
      </c>
      <c r="Q98" s="67" t="s">
        <v>240</v>
      </c>
      <c r="R98" s="67" t="s">
        <v>338</v>
      </c>
      <c r="S98" s="67">
        <f t="shared" si="19"/>
        <v>1597</v>
      </c>
      <c r="T98" s="67">
        <v>548</v>
      </c>
      <c r="U98" s="67">
        <f>ROUND(0.501*2093,0)</f>
        <v>1049</v>
      </c>
      <c r="V98" s="67">
        <v>0.307</v>
      </c>
      <c r="W98" s="67">
        <v>9.0999999999999998E-2</v>
      </c>
      <c r="AI98" s="70">
        <f t="shared" si="18"/>
        <v>9.0999999999999998E-2</v>
      </c>
      <c r="AL98" s="68" t="s">
        <v>655</v>
      </c>
      <c r="AP98" s="67">
        <f t="shared" si="20"/>
        <v>0.17781623804339317</v>
      </c>
      <c r="AQ98" s="67">
        <f t="shared" si="21"/>
        <v>1.726501490404277</v>
      </c>
      <c r="AS98" s="67">
        <f t="shared" si="22"/>
        <v>2.8212911995165349E-3</v>
      </c>
      <c r="AU98" s="67">
        <f t="shared" si="23"/>
        <v>1595</v>
      </c>
      <c r="AV98" s="67">
        <f t="shared" si="24"/>
        <v>1</v>
      </c>
      <c r="AW98" s="67" t="s">
        <v>1350</v>
      </c>
    </row>
    <row r="99" spans="1:49" ht="30" customHeight="1" x14ac:dyDescent="0.25">
      <c r="A99" s="10" t="s">
        <v>110</v>
      </c>
      <c r="B99" s="67" t="s">
        <v>293</v>
      </c>
      <c r="C99" s="10" t="s">
        <v>110</v>
      </c>
      <c r="D99" s="67">
        <f t="shared" si="25"/>
        <v>15</v>
      </c>
      <c r="E99" s="67" t="s">
        <v>605</v>
      </c>
      <c r="F99" s="67" t="s">
        <v>659</v>
      </c>
      <c r="G99" s="68" t="s">
        <v>656</v>
      </c>
      <c r="H99" s="67">
        <v>0</v>
      </c>
      <c r="I99" s="68">
        <f t="shared" si="26"/>
        <v>19.5</v>
      </c>
      <c r="J99" s="67">
        <v>5</v>
      </c>
      <c r="K99" s="68" t="s">
        <v>654</v>
      </c>
      <c r="L99" s="67" t="s">
        <v>638</v>
      </c>
      <c r="M99" s="68" t="s">
        <v>587</v>
      </c>
      <c r="N99" s="67" t="s">
        <v>240</v>
      </c>
      <c r="O99" s="67" t="s">
        <v>240</v>
      </c>
      <c r="P99" s="67" t="s">
        <v>240</v>
      </c>
      <c r="Q99" s="67" t="s">
        <v>240</v>
      </c>
      <c r="R99" s="67" t="s">
        <v>338</v>
      </c>
      <c r="S99" s="67">
        <f t="shared" si="19"/>
        <v>586</v>
      </c>
      <c r="T99" s="67">
        <v>201</v>
      </c>
      <c r="U99" s="67">
        <f>ROUND(0.184*2093,0)</f>
        <v>385</v>
      </c>
      <c r="V99" s="67">
        <v>0.44800000000000001</v>
      </c>
      <c r="W99" s="67">
        <v>0.127</v>
      </c>
      <c r="AI99" s="70">
        <f t="shared" si="18"/>
        <v>0.127</v>
      </c>
      <c r="AL99" s="68" t="s">
        <v>655</v>
      </c>
      <c r="AP99" s="67">
        <f t="shared" si="20"/>
        <v>0.30696913299853745</v>
      </c>
      <c r="AQ99" s="67">
        <f t="shared" si="21"/>
        <v>1.4594301245335128</v>
      </c>
      <c r="AS99" s="67">
        <f t="shared" si="22"/>
        <v>7.9223640050288327E-3</v>
      </c>
      <c r="AU99" s="67">
        <f t="shared" si="23"/>
        <v>584</v>
      </c>
      <c r="AV99" s="67">
        <f t="shared" si="24"/>
        <v>1</v>
      </c>
      <c r="AW99" s="67" t="s">
        <v>1350</v>
      </c>
    </row>
    <row r="100" spans="1:49" ht="30" customHeight="1" x14ac:dyDescent="0.25">
      <c r="A100" s="10" t="s">
        <v>110</v>
      </c>
      <c r="B100" s="67" t="s">
        <v>293</v>
      </c>
      <c r="C100" s="10" t="s">
        <v>110</v>
      </c>
      <c r="D100" s="67">
        <f t="shared" si="25"/>
        <v>16</v>
      </c>
      <c r="E100" s="67" t="s">
        <v>605</v>
      </c>
      <c r="F100" s="67" t="s">
        <v>660</v>
      </c>
      <c r="G100" s="68" t="s">
        <v>656</v>
      </c>
      <c r="H100" s="67">
        <v>0</v>
      </c>
      <c r="I100" s="68">
        <f t="shared" si="26"/>
        <v>19.5</v>
      </c>
      <c r="J100" s="67">
        <v>5</v>
      </c>
      <c r="K100" s="68" t="s">
        <v>654</v>
      </c>
      <c r="L100" s="67" t="s">
        <v>638</v>
      </c>
      <c r="M100" s="68" t="s">
        <v>587</v>
      </c>
      <c r="N100" s="67" t="s">
        <v>240</v>
      </c>
      <c r="O100" s="67" t="s">
        <v>240</v>
      </c>
      <c r="P100" s="67" t="s">
        <v>240</v>
      </c>
      <c r="Q100" s="67" t="s">
        <v>240</v>
      </c>
      <c r="R100" s="67" t="s">
        <v>338</v>
      </c>
      <c r="S100" s="67">
        <f t="shared" si="19"/>
        <v>1130</v>
      </c>
      <c r="T100" s="67">
        <v>65</v>
      </c>
      <c r="U100" s="67">
        <f>ROUND(0.509*2093,0)</f>
        <v>1065</v>
      </c>
      <c r="V100" s="67">
        <v>0.495</v>
      </c>
      <c r="W100" s="67">
        <v>0.129</v>
      </c>
      <c r="AI100" s="70">
        <f t="shared" si="18"/>
        <v>0.129</v>
      </c>
      <c r="AL100" s="68" t="s">
        <v>655</v>
      </c>
      <c r="AP100" s="67">
        <f t="shared" si="20"/>
        <v>0.49025635071331253</v>
      </c>
      <c r="AQ100" s="67">
        <f t="shared" si="21"/>
        <v>1.0096758548457059</v>
      </c>
      <c r="AS100" s="67">
        <f t="shared" si="22"/>
        <v>1.6779488154754069E-2</v>
      </c>
      <c r="AU100" s="67">
        <f t="shared" si="23"/>
        <v>1128</v>
      </c>
      <c r="AV100" s="67">
        <f t="shared" si="24"/>
        <v>1</v>
      </c>
      <c r="AW100" s="67" t="s">
        <v>1350</v>
      </c>
    </row>
    <row r="101" spans="1:49" ht="30" customHeight="1" x14ac:dyDescent="0.25">
      <c r="A101" s="10" t="s">
        <v>110</v>
      </c>
      <c r="B101" s="67" t="s">
        <v>293</v>
      </c>
      <c r="C101" s="10" t="s">
        <v>110</v>
      </c>
      <c r="D101" s="67">
        <f t="shared" si="25"/>
        <v>17</v>
      </c>
      <c r="E101" s="67" t="s">
        <v>577</v>
      </c>
      <c r="F101" s="67" t="s">
        <v>240</v>
      </c>
      <c r="G101" s="68" t="s">
        <v>656</v>
      </c>
      <c r="H101" s="67">
        <v>0</v>
      </c>
      <c r="I101" s="68">
        <f t="shared" si="26"/>
        <v>19.5</v>
      </c>
      <c r="J101" s="67">
        <v>5</v>
      </c>
      <c r="K101" s="68" t="s">
        <v>654</v>
      </c>
      <c r="L101" s="67" t="s">
        <v>638</v>
      </c>
      <c r="M101" s="68" t="s">
        <v>587</v>
      </c>
      <c r="N101" s="67" t="s">
        <v>240</v>
      </c>
      <c r="O101" s="67" t="s">
        <v>240</v>
      </c>
      <c r="P101" s="67" t="s">
        <v>240</v>
      </c>
      <c r="Q101" s="67" t="s">
        <v>240</v>
      </c>
      <c r="R101" s="67" t="s">
        <v>338</v>
      </c>
      <c r="S101" s="78">
        <f t="shared" si="19"/>
        <v>1759.393</v>
      </c>
      <c r="T101" s="78">
        <f>1093*0.545</f>
        <v>595.68500000000006</v>
      </c>
      <c r="U101" s="78">
        <f>2093*0.556</f>
        <v>1163.7080000000001</v>
      </c>
      <c r="V101" s="67">
        <v>0.30599999999999999</v>
      </c>
      <c r="W101" s="67">
        <v>0.08</v>
      </c>
      <c r="AI101" s="70">
        <f t="shared" si="18"/>
        <v>0.08</v>
      </c>
      <c r="AL101" s="68" t="s">
        <v>655</v>
      </c>
      <c r="AP101" s="67">
        <f t="shared" si="20"/>
        <v>0.19270036056999057</v>
      </c>
      <c r="AQ101" s="67">
        <f t="shared" si="21"/>
        <v>1.5879575891548887</v>
      </c>
      <c r="AS101" s="67">
        <f t="shared" si="22"/>
        <v>2.583261254650799E-3</v>
      </c>
      <c r="AU101" s="67">
        <f t="shared" si="23"/>
        <v>1757.393</v>
      </c>
      <c r="AV101" s="67">
        <f t="shared" si="24"/>
        <v>1</v>
      </c>
      <c r="AW101" s="67" t="s">
        <v>1350</v>
      </c>
    </row>
    <row r="102" spans="1:49" ht="30" customHeight="1" x14ac:dyDescent="0.25">
      <c r="A102" s="10" t="s">
        <v>110</v>
      </c>
      <c r="B102" s="67" t="s">
        <v>293</v>
      </c>
      <c r="C102" s="10" t="s">
        <v>110</v>
      </c>
      <c r="D102" s="67">
        <f t="shared" si="25"/>
        <v>18</v>
      </c>
      <c r="E102" s="67" t="s">
        <v>583</v>
      </c>
      <c r="F102" s="67" t="s">
        <v>240</v>
      </c>
      <c r="G102" s="68" t="s">
        <v>656</v>
      </c>
      <c r="H102" s="67">
        <v>0</v>
      </c>
      <c r="I102" s="68">
        <f t="shared" si="26"/>
        <v>19.5</v>
      </c>
      <c r="J102" s="67">
        <v>5</v>
      </c>
      <c r="K102" s="68" t="s">
        <v>654</v>
      </c>
      <c r="L102" s="67" t="s">
        <v>638</v>
      </c>
      <c r="M102" s="68" t="s">
        <v>587</v>
      </c>
      <c r="N102" s="67" t="s">
        <v>240</v>
      </c>
      <c r="O102" s="67" t="s">
        <v>240</v>
      </c>
      <c r="P102" s="67" t="s">
        <v>240</v>
      </c>
      <c r="Q102" s="67" t="s">
        <v>240</v>
      </c>
      <c r="R102" s="67" t="s">
        <v>338</v>
      </c>
      <c r="S102" s="78">
        <f t="shared" si="19"/>
        <v>1426.607</v>
      </c>
      <c r="T102" s="78">
        <f>1093*(1-0.545)</f>
        <v>497.31499999999994</v>
      </c>
      <c r="U102" s="78">
        <f>2093*(1-0.556)</f>
        <v>929.29199999999992</v>
      </c>
      <c r="V102" s="67">
        <v>0.52</v>
      </c>
      <c r="W102" s="67">
        <v>0.106</v>
      </c>
      <c r="AI102" s="70">
        <f t="shared" si="18"/>
        <v>0.106</v>
      </c>
      <c r="AL102" s="68" t="s">
        <v>655</v>
      </c>
      <c r="AP102" s="67">
        <f t="shared" si="20"/>
        <v>0.2725572728801483</v>
      </c>
      <c r="AQ102" s="67">
        <f t="shared" si="21"/>
        <v>1.9078558957722613</v>
      </c>
      <c r="AS102" s="67">
        <f t="shared" si="22"/>
        <v>3.1956642721044917E-3</v>
      </c>
      <c r="AU102" s="67">
        <f t="shared" si="23"/>
        <v>1424.607</v>
      </c>
      <c r="AV102" s="67">
        <f t="shared" si="24"/>
        <v>1</v>
      </c>
      <c r="AW102" s="67" t="s">
        <v>1350</v>
      </c>
    </row>
    <row r="103" spans="1:49" ht="30" customHeight="1" x14ac:dyDescent="0.25">
      <c r="A103" s="75" t="s">
        <v>93</v>
      </c>
      <c r="B103" s="67" t="s">
        <v>207</v>
      </c>
      <c r="C103" s="75" t="s">
        <v>661</v>
      </c>
      <c r="D103" s="67">
        <v>1</v>
      </c>
      <c r="E103" s="67" t="s">
        <v>583</v>
      </c>
      <c r="F103" s="67" t="s">
        <v>240</v>
      </c>
      <c r="G103" s="68" t="s">
        <v>662</v>
      </c>
      <c r="H103" s="67">
        <v>1</v>
      </c>
      <c r="I103" s="67">
        <v>12</v>
      </c>
      <c r="J103" s="67">
        <v>1</v>
      </c>
      <c r="K103" s="68" t="s">
        <v>579</v>
      </c>
      <c r="L103" s="76" t="s">
        <v>240</v>
      </c>
      <c r="M103" s="68" t="s">
        <v>587</v>
      </c>
      <c r="N103" s="67" t="s">
        <v>240</v>
      </c>
      <c r="O103" s="67" t="s">
        <v>240</v>
      </c>
      <c r="P103" s="67" t="s">
        <v>240</v>
      </c>
      <c r="Q103" s="67" t="s">
        <v>240</v>
      </c>
      <c r="R103" s="67" t="s">
        <v>376</v>
      </c>
      <c r="S103" s="67">
        <f t="shared" si="19"/>
        <v>1824</v>
      </c>
      <c r="T103" s="67">
        <v>912</v>
      </c>
      <c r="U103" s="67">
        <f t="shared" ref="U103:U150" si="27">T103</f>
        <v>912</v>
      </c>
      <c r="V103" s="67">
        <v>-2E-3</v>
      </c>
      <c r="W103" s="67">
        <v>0.13</v>
      </c>
      <c r="AI103" s="70">
        <f t="shared" si="18"/>
        <v>0.13</v>
      </c>
      <c r="AL103" s="68" t="s">
        <v>663</v>
      </c>
    </row>
    <row r="104" spans="1:49" ht="30" customHeight="1" x14ac:dyDescent="0.25">
      <c r="A104" s="75" t="s">
        <v>93</v>
      </c>
      <c r="B104" s="67" t="s">
        <v>207</v>
      </c>
      <c r="C104" s="75" t="s">
        <v>316</v>
      </c>
      <c r="D104" s="67">
        <f t="shared" ref="D104:D150" si="28">D103+1</f>
        <v>2</v>
      </c>
      <c r="E104" s="67" t="s">
        <v>583</v>
      </c>
      <c r="F104" s="67" t="s">
        <v>240</v>
      </c>
      <c r="G104" s="68" t="s">
        <v>662</v>
      </c>
      <c r="H104" s="67">
        <v>1</v>
      </c>
      <c r="I104" s="67">
        <v>12</v>
      </c>
      <c r="J104" s="67">
        <v>1</v>
      </c>
      <c r="K104" s="68" t="s">
        <v>579</v>
      </c>
      <c r="L104" s="76" t="s">
        <v>240</v>
      </c>
      <c r="M104" s="68" t="s">
        <v>587</v>
      </c>
      <c r="N104" s="67" t="s">
        <v>240</v>
      </c>
      <c r="O104" s="67" t="s">
        <v>240</v>
      </c>
      <c r="P104" s="67" t="s">
        <v>240</v>
      </c>
      <c r="Q104" s="67" t="s">
        <v>240</v>
      </c>
      <c r="R104" s="67" t="s">
        <v>376</v>
      </c>
      <c r="S104" s="67">
        <f t="shared" si="19"/>
        <v>778</v>
      </c>
      <c r="T104" s="67">
        <v>389</v>
      </c>
      <c r="U104" s="67">
        <f t="shared" si="27"/>
        <v>389</v>
      </c>
      <c r="V104" s="67">
        <v>-0.19</v>
      </c>
      <c r="W104" s="67">
        <v>0.18</v>
      </c>
      <c r="AI104" s="70">
        <f t="shared" si="18"/>
        <v>0.18</v>
      </c>
      <c r="AL104" s="68" t="s">
        <v>663</v>
      </c>
    </row>
    <row r="105" spans="1:49" ht="30" customHeight="1" x14ac:dyDescent="0.25">
      <c r="A105" s="75" t="s">
        <v>93</v>
      </c>
      <c r="B105" s="67" t="s">
        <v>207</v>
      </c>
      <c r="C105" s="75" t="s">
        <v>661</v>
      </c>
      <c r="D105" s="67">
        <f t="shared" si="28"/>
        <v>3</v>
      </c>
      <c r="E105" s="67" t="s">
        <v>577</v>
      </c>
      <c r="F105" s="67" t="s">
        <v>240</v>
      </c>
      <c r="G105" s="68" t="s">
        <v>662</v>
      </c>
      <c r="H105" s="67">
        <v>1</v>
      </c>
      <c r="I105" s="68">
        <v>12</v>
      </c>
      <c r="J105" s="67">
        <v>1</v>
      </c>
      <c r="K105" s="68" t="s">
        <v>579</v>
      </c>
      <c r="L105" s="76" t="s">
        <v>240</v>
      </c>
      <c r="M105" s="68" t="s">
        <v>587</v>
      </c>
      <c r="N105" s="67" t="s">
        <v>240</v>
      </c>
      <c r="O105" s="67" t="s">
        <v>240</v>
      </c>
      <c r="P105" s="67" t="s">
        <v>240</v>
      </c>
      <c r="Q105" s="67" t="s">
        <v>240</v>
      </c>
      <c r="R105" s="67" t="s">
        <v>376</v>
      </c>
      <c r="S105" s="67">
        <f t="shared" si="19"/>
        <v>1386</v>
      </c>
      <c r="T105" s="67">
        <v>693</v>
      </c>
      <c r="U105" s="67">
        <f t="shared" si="27"/>
        <v>693</v>
      </c>
      <c r="V105" s="67">
        <v>8.0000000000000002E-3</v>
      </c>
      <c r="W105" s="67">
        <v>1.6E-2</v>
      </c>
      <c r="AI105" s="70">
        <f t="shared" si="18"/>
        <v>1.6E-2</v>
      </c>
      <c r="AL105" s="68" t="s">
        <v>663</v>
      </c>
    </row>
    <row r="106" spans="1:49" ht="30" customHeight="1" x14ac:dyDescent="0.25">
      <c r="A106" s="75" t="s">
        <v>93</v>
      </c>
      <c r="B106" s="67" t="s">
        <v>207</v>
      </c>
      <c r="C106" s="75" t="s">
        <v>316</v>
      </c>
      <c r="D106" s="67">
        <f t="shared" si="28"/>
        <v>4</v>
      </c>
      <c r="E106" s="67" t="s">
        <v>577</v>
      </c>
      <c r="F106" s="67" t="s">
        <v>240</v>
      </c>
      <c r="G106" s="68" t="s">
        <v>662</v>
      </c>
      <c r="H106" s="67">
        <v>1</v>
      </c>
      <c r="I106" s="68">
        <v>12</v>
      </c>
      <c r="J106" s="67">
        <v>1</v>
      </c>
      <c r="K106" s="68" t="s">
        <v>579</v>
      </c>
      <c r="L106" s="76" t="s">
        <v>240</v>
      </c>
      <c r="M106" s="68" t="s">
        <v>587</v>
      </c>
      <c r="N106" s="67" t="s">
        <v>240</v>
      </c>
      <c r="O106" s="67" t="s">
        <v>240</v>
      </c>
      <c r="P106" s="67" t="s">
        <v>240</v>
      </c>
      <c r="Q106" s="67" t="s">
        <v>240</v>
      </c>
      <c r="R106" s="67" t="s">
        <v>376</v>
      </c>
      <c r="S106" s="67">
        <f t="shared" si="19"/>
        <v>688</v>
      </c>
      <c r="T106" s="67">
        <v>344</v>
      </c>
      <c r="U106" s="67">
        <f t="shared" si="27"/>
        <v>344</v>
      </c>
      <c r="V106" s="67">
        <v>-0.13400000000000001</v>
      </c>
      <c r="W106" s="67">
        <v>2.1999999999999999E-2</v>
      </c>
      <c r="AI106" s="70">
        <f t="shared" si="18"/>
        <v>2.1999999999999999E-2</v>
      </c>
      <c r="AL106" s="68" t="s">
        <v>663</v>
      </c>
    </row>
    <row r="107" spans="1:49" ht="30" customHeight="1" x14ac:dyDescent="0.25">
      <c r="A107" s="75" t="s">
        <v>93</v>
      </c>
      <c r="B107" s="67" t="s">
        <v>207</v>
      </c>
      <c r="C107" s="75" t="s">
        <v>661</v>
      </c>
      <c r="D107" s="67">
        <f t="shared" si="28"/>
        <v>5</v>
      </c>
      <c r="E107" s="67" t="s">
        <v>583</v>
      </c>
      <c r="F107" s="67" t="s">
        <v>240</v>
      </c>
      <c r="G107" s="68" t="s">
        <v>662</v>
      </c>
      <c r="H107" s="67">
        <v>1</v>
      </c>
      <c r="I107" s="67">
        <v>24</v>
      </c>
      <c r="J107" s="67">
        <v>1</v>
      </c>
      <c r="K107" s="68" t="s">
        <v>579</v>
      </c>
      <c r="L107" s="76" t="s">
        <v>240</v>
      </c>
      <c r="M107" s="68" t="s">
        <v>587</v>
      </c>
      <c r="N107" s="67" t="s">
        <v>240</v>
      </c>
      <c r="O107" s="67" t="s">
        <v>240</v>
      </c>
      <c r="P107" s="67" t="s">
        <v>240</v>
      </c>
      <c r="Q107" s="67" t="s">
        <v>240</v>
      </c>
      <c r="R107" s="67" t="s">
        <v>376</v>
      </c>
      <c r="S107" s="67">
        <f t="shared" si="19"/>
        <v>1824</v>
      </c>
      <c r="T107" s="67">
        <v>912</v>
      </c>
      <c r="U107" s="67">
        <f t="shared" si="27"/>
        <v>912</v>
      </c>
      <c r="V107" s="67">
        <v>0.01</v>
      </c>
      <c r="W107" s="67">
        <v>1.6E-2</v>
      </c>
      <c r="AI107" s="70">
        <f t="shared" si="18"/>
        <v>1.6E-2</v>
      </c>
      <c r="AL107" s="68" t="s">
        <v>663</v>
      </c>
    </row>
    <row r="108" spans="1:49" ht="30" customHeight="1" x14ac:dyDescent="0.25">
      <c r="A108" s="75" t="s">
        <v>93</v>
      </c>
      <c r="B108" s="67" t="s">
        <v>207</v>
      </c>
      <c r="C108" s="75" t="s">
        <v>316</v>
      </c>
      <c r="D108" s="67">
        <f t="shared" si="28"/>
        <v>6</v>
      </c>
      <c r="E108" s="67" t="s">
        <v>583</v>
      </c>
      <c r="F108" s="67" t="s">
        <v>240</v>
      </c>
      <c r="G108" s="68" t="s">
        <v>662</v>
      </c>
      <c r="H108" s="67">
        <v>1</v>
      </c>
      <c r="I108" s="67">
        <v>24</v>
      </c>
      <c r="J108" s="67">
        <v>1</v>
      </c>
      <c r="K108" s="68" t="s">
        <v>579</v>
      </c>
      <c r="L108" s="76" t="s">
        <v>240</v>
      </c>
      <c r="M108" s="68" t="s">
        <v>587</v>
      </c>
      <c r="N108" s="67" t="s">
        <v>240</v>
      </c>
      <c r="O108" s="67" t="s">
        <v>240</v>
      </c>
      <c r="P108" s="67" t="s">
        <v>240</v>
      </c>
      <c r="Q108" s="67" t="s">
        <v>240</v>
      </c>
      <c r="R108" s="67" t="s">
        <v>376</v>
      </c>
      <c r="S108" s="67">
        <f t="shared" si="19"/>
        <v>778</v>
      </c>
      <c r="T108" s="67">
        <v>389</v>
      </c>
      <c r="U108" s="67">
        <f t="shared" si="27"/>
        <v>389</v>
      </c>
      <c r="V108" s="67">
        <v>-1.9E-2</v>
      </c>
      <c r="W108" s="67">
        <v>2.5999999999999999E-2</v>
      </c>
      <c r="AI108" s="70">
        <f t="shared" si="18"/>
        <v>2.5999999999999999E-2</v>
      </c>
      <c r="AL108" s="68" t="s">
        <v>663</v>
      </c>
    </row>
    <row r="109" spans="1:49" ht="30" customHeight="1" x14ac:dyDescent="0.25">
      <c r="A109" s="75" t="s">
        <v>93</v>
      </c>
      <c r="B109" s="67" t="s">
        <v>207</v>
      </c>
      <c r="C109" s="75" t="s">
        <v>661</v>
      </c>
      <c r="D109" s="67">
        <f t="shared" si="28"/>
        <v>7</v>
      </c>
      <c r="E109" s="67" t="s">
        <v>577</v>
      </c>
      <c r="F109" s="67" t="s">
        <v>240</v>
      </c>
      <c r="G109" s="68" t="s">
        <v>662</v>
      </c>
      <c r="H109" s="67">
        <v>1</v>
      </c>
      <c r="I109" s="68">
        <v>24</v>
      </c>
      <c r="J109" s="67">
        <v>1</v>
      </c>
      <c r="K109" s="68" t="s">
        <v>579</v>
      </c>
      <c r="L109" s="76" t="s">
        <v>240</v>
      </c>
      <c r="M109" s="68" t="s">
        <v>587</v>
      </c>
      <c r="N109" s="67" t="s">
        <v>240</v>
      </c>
      <c r="O109" s="67" t="s">
        <v>240</v>
      </c>
      <c r="P109" s="67" t="s">
        <v>240</v>
      </c>
      <c r="Q109" s="67" t="s">
        <v>240</v>
      </c>
      <c r="R109" s="67" t="s">
        <v>376</v>
      </c>
      <c r="S109" s="67">
        <f t="shared" si="19"/>
        <v>1386</v>
      </c>
      <c r="T109" s="67">
        <v>693</v>
      </c>
      <c r="U109" s="67">
        <f t="shared" si="27"/>
        <v>693</v>
      </c>
      <c r="V109" s="67">
        <v>3.6999999999999998E-2</v>
      </c>
      <c r="W109" s="67">
        <v>1.7999999999999999E-2</v>
      </c>
      <c r="AI109" s="70">
        <f t="shared" si="18"/>
        <v>1.7999999999999999E-2</v>
      </c>
      <c r="AL109" s="68" t="s">
        <v>663</v>
      </c>
    </row>
    <row r="110" spans="1:49" ht="30" customHeight="1" x14ac:dyDescent="0.25">
      <c r="A110" s="75" t="s">
        <v>93</v>
      </c>
      <c r="B110" s="67" t="s">
        <v>207</v>
      </c>
      <c r="C110" s="75" t="s">
        <v>316</v>
      </c>
      <c r="D110" s="67">
        <f t="shared" si="28"/>
        <v>8</v>
      </c>
      <c r="E110" s="67" t="s">
        <v>577</v>
      </c>
      <c r="F110" s="67" t="s">
        <v>240</v>
      </c>
      <c r="G110" s="68" t="s">
        <v>662</v>
      </c>
      <c r="H110" s="67">
        <v>1</v>
      </c>
      <c r="I110" s="67">
        <v>24</v>
      </c>
      <c r="J110" s="67">
        <v>1</v>
      </c>
      <c r="K110" s="68" t="s">
        <v>579</v>
      </c>
      <c r="L110" s="76" t="s">
        <v>240</v>
      </c>
      <c r="M110" s="68" t="s">
        <v>587</v>
      </c>
      <c r="N110" s="67" t="s">
        <v>240</v>
      </c>
      <c r="O110" s="67" t="s">
        <v>240</v>
      </c>
      <c r="P110" s="67" t="s">
        <v>240</v>
      </c>
      <c r="Q110" s="67" t="s">
        <v>240</v>
      </c>
      <c r="R110" s="67" t="s">
        <v>376</v>
      </c>
      <c r="S110" s="67">
        <f t="shared" si="19"/>
        <v>688</v>
      </c>
      <c r="T110" s="67">
        <v>344</v>
      </c>
      <c r="U110" s="67">
        <f t="shared" si="27"/>
        <v>344</v>
      </c>
      <c r="V110" s="67">
        <v>0.06</v>
      </c>
      <c r="W110" s="67">
        <v>3.1E-2</v>
      </c>
      <c r="AI110" s="70">
        <f t="shared" si="18"/>
        <v>3.1E-2</v>
      </c>
      <c r="AL110" s="68" t="s">
        <v>663</v>
      </c>
    </row>
    <row r="111" spans="1:49" ht="30" customHeight="1" x14ac:dyDescent="0.25">
      <c r="A111" s="75" t="s">
        <v>93</v>
      </c>
      <c r="B111" s="67" t="s">
        <v>207</v>
      </c>
      <c r="C111" s="75" t="s">
        <v>661</v>
      </c>
      <c r="D111" s="67">
        <f t="shared" si="28"/>
        <v>9</v>
      </c>
      <c r="E111" s="67" t="s">
        <v>583</v>
      </c>
      <c r="F111" s="67" t="s">
        <v>240</v>
      </c>
      <c r="G111" s="68" t="s">
        <v>664</v>
      </c>
      <c r="H111" s="67">
        <v>1</v>
      </c>
      <c r="I111" s="67">
        <v>12</v>
      </c>
      <c r="J111" s="67">
        <v>1</v>
      </c>
      <c r="K111" s="68" t="s">
        <v>579</v>
      </c>
      <c r="L111" s="76" t="s">
        <v>240</v>
      </c>
      <c r="M111" s="68" t="s">
        <v>587</v>
      </c>
      <c r="N111" s="67" t="s">
        <v>240</v>
      </c>
      <c r="O111" s="67" t="s">
        <v>240</v>
      </c>
      <c r="P111" s="67" t="s">
        <v>240</v>
      </c>
      <c r="Q111" s="67" t="s">
        <v>240</v>
      </c>
      <c r="R111" s="67" t="s">
        <v>376</v>
      </c>
      <c r="S111" s="67">
        <f t="shared" si="19"/>
        <v>1094</v>
      </c>
      <c r="T111" s="67">
        <v>547</v>
      </c>
      <c r="U111" s="67">
        <f t="shared" si="27"/>
        <v>547</v>
      </c>
      <c r="V111" s="67">
        <v>1.9E-2</v>
      </c>
      <c r="W111" s="67">
        <v>1.7000000000000001E-2</v>
      </c>
      <c r="AI111" s="70">
        <f t="shared" si="18"/>
        <v>1.7000000000000001E-2</v>
      </c>
      <c r="AL111" s="68" t="s">
        <v>663</v>
      </c>
    </row>
    <row r="112" spans="1:49" ht="30" customHeight="1" x14ac:dyDescent="0.25">
      <c r="A112" s="75" t="s">
        <v>93</v>
      </c>
      <c r="B112" s="67" t="s">
        <v>207</v>
      </c>
      <c r="C112" s="75" t="s">
        <v>316</v>
      </c>
      <c r="D112" s="67">
        <f t="shared" si="28"/>
        <v>10</v>
      </c>
      <c r="E112" s="67" t="s">
        <v>583</v>
      </c>
      <c r="F112" s="67" t="s">
        <v>240</v>
      </c>
      <c r="G112" s="68" t="s">
        <v>664</v>
      </c>
      <c r="H112" s="67">
        <v>1</v>
      </c>
      <c r="I112" s="67">
        <v>12</v>
      </c>
      <c r="J112" s="67">
        <v>1</v>
      </c>
      <c r="K112" s="68" t="s">
        <v>579</v>
      </c>
      <c r="L112" s="76" t="s">
        <v>240</v>
      </c>
      <c r="M112" s="68" t="s">
        <v>587</v>
      </c>
      <c r="N112" s="67" t="s">
        <v>240</v>
      </c>
      <c r="O112" s="67" t="s">
        <v>240</v>
      </c>
      <c r="P112" s="67" t="s">
        <v>240</v>
      </c>
      <c r="Q112" s="67" t="s">
        <v>240</v>
      </c>
      <c r="R112" s="67" t="s">
        <v>376</v>
      </c>
      <c r="S112" s="67">
        <f t="shared" si="19"/>
        <v>502</v>
      </c>
      <c r="T112" s="67">
        <v>251</v>
      </c>
      <c r="U112" s="67">
        <f t="shared" si="27"/>
        <v>251</v>
      </c>
      <c r="V112" s="67">
        <v>-0.113</v>
      </c>
      <c r="W112" s="67">
        <v>2.3E-2</v>
      </c>
      <c r="AI112" s="70">
        <f t="shared" ref="AI112:AI143" si="29">+W112</f>
        <v>2.3E-2</v>
      </c>
      <c r="AL112" s="68" t="s">
        <v>663</v>
      </c>
    </row>
    <row r="113" spans="1:49" ht="30" customHeight="1" x14ac:dyDescent="0.25">
      <c r="A113" s="75" t="s">
        <v>93</v>
      </c>
      <c r="B113" s="67" t="s">
        <v>207</v>
      </c>
      <c r="C113" s="75" t="s">
        <v>661</v>
      </c>
      <c r="D113" s="67">
        <f t="shared" si="28"/>
        <v>11</v>
      </c>
      <c r="E113" s="67" t="s">
        <v>577</v>
      </c>
      <c r="F113" s="67" t="s">
        <v>240</v>
      </c>
      <c r="G113" s="68" t="s">
        <v>664</v>
      </c>
      <c r="H113" s="67">
        <v>1</v>
      </c>
      <c r="I113" s="68">
        <v>12</v>
      </c>
      <c r="J113" s="67">
        <v>1</v>
      </c>
      <c r="K113" s="68" t="s">
        <v>579</v>
      </c>
      <c r="L113" s="76" t="s">
        <v>240</v>
      </c>
      <c r="M113" s="68" t="s">
        <v>587</v>
      </c>
      <c r="N113" s="67" t="s">
        <v>240</v>
      </c>
      <c r="O113" s="67" t="s">
        <v>240</v>
      </c>
      <c r="P113" s="67" t="s">
        <v>240</v>
      </c>
      <c r="Q113" s="67" t="s">
        <v>240</v>
      </c>
      <c r="R113" s="67" t="s">
        <v>376</v>
      </c>
      <c r="S113" s="67">
        <f t="shared" si="19"/>
        <v>818</v>
      </c>
      <c r="T113" s="67">
        <v>409</v>
      </c>
      <c r="U113" s="67">
        <f t="shared" si="27"/>
        <v>409</v>
      </c>
      <c r="V113" s="67">
        <v>5.2999999999999999E-2</v>
      </c>
      <c r="W113" s="67">
        <v>1.9E-2</v>
      </c>
      <c r="AI113" s="70">
        <f t="shared" si="29"/>
        <v>1.9E-2</v>
      </c>
      <c r="AL113" s="68" t="s">
        <v>663</v>
      </c>
    </row>
    <row r="114" spans="1:49" ht="30" customHeight="1" x14ac:dyDescent="0.25">
      <c r="A114" s="75" t="s">
        <v>93</v>
      </c>
      <c r="B114" s="67" t="s">
        <v>207</v>
      </c>
      <c r="C114" s="75" t="s">
        <v>316</v>
      </c>
      <c r="D114" s="67">
        <f t="shared" si="28"/>
        <v>12</v>
      </c>
      <c r="E114" s="67" t="s">
        <v>577</v>
      </c>
      <c r="F114" s="67" t="s">
        <v>240</v>
      </c>
      <c r="G114" s="68" t="s">
        <v>664</v>
      </c>
      <c r="H114" s="67">
        <v>1</v>
      </c>
      <c r="I114" s="67">
        <v>12</v>
      </c>
      <c r="J114" s="67">
        <v>1</v>
      </c>
      <c r="K114" s="68" t="s">
        <v>579</v>
      </c>
      <c r="L114" s="76" t="s">
        <v>240</v>
      </c>
      <c r="M114" s="68" t="s">
        <v>587</v>
      </c>
      <c r="N114" s="67" t="s">
        <v>240</v>
      </c>
      <c r="O114" s="67" t="s">
        <v>240</v>
      </c>
      <c r="P114" s="67" t="s">
        <v>240</v>
      </c>
      <c r="Q114" s="67" t="s">
        <v>240</v>
      </c>
      <c r="R114" s="67" t="s">
        <v>376</v>
      </c>
      <c r="S114" s="67">
        <f t="shared" si="19"/>
        <v>388</v>
      </c>
      <c r="T114" s="67">
        <v>194</v>
      </c>
      <c r="U114" s="67">
        <f t="shared" si="27"/>
        <v>194</v>
      </c>
      <c r="V114" s="67">
        <v>-0.13200000000000001</v>
      </c>
      <c r="W114" s="67">
        <v>2.9000000000000001E-2</v>
      </c>
      <c r="AI114" s="70">
        <f t="shared" si="29"/>
        <v>2.9000000000000001E-2</v>
      </c>
      <c r="AL114" s="68" t="s">
        <v>663</v>
      </c>
    </row>
    <row r="115" spans="1:49" ht="30" customHeight="1" x14ac:dyDescent="0.25">
      <c r="A115" s="75" t="s">
        <v>93</v>
      </c>
      <c r="B115" s="67" t="s">
        <v>207</v>
      </c>
      <c r="C115" s="75" t="s">
        <v>661</v>
      </c>
      <c r="D115" s="67">
        <f t="shared" si="28"/>
        <v>13</v>
      </c>
      <c r="E115" s="67" t="s">
        <v>583</v>
      </c>
      <c r="F115" s="67" t="s">
        <v>240</v>
      </c>
      <c r="G115" s="68" t="s">
        <v>664</v>
      </c>
      <c r="H115" s="67">
        <v>1</v>
      </c>
      <c r="I115" s="67">
        <v>24</v>
      </c>
      <c r="J115" s="67">
        <v>1</v>
      </c>
      <c r="K115" s="68" t="s">
        <v>579</v>
      </c>
      <c r="L115" s="76" t="s">
        <v>240</v>
      </c>
      <c r="M115" s="68" t="s">
        <v>587</v>
      </c>
      <c r="N115" s="67" t="s">
        <v>240</v>
      </c>
      <c r="O115" s="67" t="s">
        <v>240</v>
      </c>
      <c r="P115" s="67" t="s">
        <v>240</v>
      </c>
      <c r="Q115" s="67" t="s">
        <v>240</v>
      </c>
      <c r="R115" s="67" t="s">
        <v>376</v>
      </c>
      <c r="S115" s="67">
        <f t="shared" si="19"/>
        <v>1094</v>
      </c>
      <c r="T115" s="67">
        <v>547</v>
      </c>
      <c r="U115" s="67">
        <f t="shared" si="27"/>
        <v>547</v>
      </c>
      <c r="V115" s="67">
        <v>3.4000000000000002E-2</v>
      </c>
      <c r="W115" s="67">
        <v>0.02</v>
      </c>
      <c r="AI115" s="70">
        <f t="shared" si="29"/>
        <v>0.02</v>
      </c>
      <c r="AL115" s="68" t="s">
        <v>663</v>
      </c>
    </row>
    <row r="116" spans="1:49" ht="30" customHeight="1" x14ac:dyDescent="0.25">
      <c r="A116" s="75" t="s">
        <v>93</v>
      </c>
      <c r="B116" s="67" t="s">
        <v>207</v>
      </c>
      <c r="C116" s="75" t="s">
        <v>316</v>
      </c>
      <c r="D116" s="67">
        <f t="shared" si="28"/>
        <v>14</v>
      </c>
      <c r="E116" s="67" t="s">
        <v>583</v>
      </c>
      <c r="F116" s="67" t="s">
        <v>240</v>
      </c>
      <c r="G116" s="68" t="s">
        <v>664</v>
      </c>
      <c r="H116" s="67">
        <v>1</v>
      </c>
      <c r="I116" s="67">
        <v>24</v>
      </c>
      <c r="J116" s="67">
        <v>1</v>
      </c>
      <c r="K116" s="68" t="s">
        <v>579</v>
      </c>
      <c r="L116" s="76" t="s">
        <v>240</v>
      </c>
      <c r="M116" s="68" t="s">
        <v>587</v>
      </c>
      <c r="N116" s="67" t="s">
        <v>240</v>
      </c>
      <c r="O116" s="67" t="s">
        <v>240</v>
      </c>
      <c r="P116" s="67" t="s">
        <v>240</v>
      </c>
      <c r="Q116" s="67" t="s">
        <v>240</v>
      </c>
      <c r="R116" s="67" t="s">
        <v>376</v>
      </c>
      <c r="S116" s="67">
        <f t="shared" si="19"/>
        <v>502</v>
      </c>
      <c r="T116" s="67">
        <v>251</v>
      </c>
      <c r="U116" s="67">
        <f t="shared" si="27"/>
        <v>251</v>
      </c>
      <c r="V116" s="67">
        <v>1.4999999999999999E-2</v>
      </c>
      <c r="W116" s="67">
        <v>3.2000000000000001E-2</v>
      </c>
      <c r="AI116" s="70">
        <f t="shared" si="29"/>
        <v>3.2000000000000001E-2</v>
      </c>
      <c r="AL116" s="68" t="s">
        <v>663</v>
      </c>
    </row>
    <row r="117" spans="1:49" ht="30" customHeight="1" x14ac:dyDescent="0.25">
      <c r="A117" s="75" t="s">
        <v>93</v>
      </c>
      <c r="B117" s="67" t="s">
        <v>207</v>
      </c>
      <c r="C117" s="75" t="s">
        <v>661</v>
      </c>
      <c r="D117" s="67">
        <f t="shared" si="28"/>
        <v>15</v>
      </c>
      <c r="E117" s="67" t="s">
        <v>577</v>
      </c>
      <c r="F117" s="67" t="s">
        <v>240</v>
      </c>
      <c r="G117" s="68" t="s">
        <v>664</v>
      </c>
      <c r="H117" s="67">
        <v>1</v>
      </c>
      <c r="I117" s="68">
        <v>24</v>
      </c>
      <c r="J117" s="67">
        <v>1</v>
      </c>
      <c r="K117" s="68" t="s">
        <v>579</v>
      </c>
      <c r="L117" s="76" t="s">
        <v>240</v>
      </c>
      <c r="M117" s="68" t="s">
        <v>587</v>
      </c>
      <c r="N117" s="67" t="s">
        <v>240</v>
      </c>
      <c r="O117" s="67" t="s">
        <v>240</v>
      </c>
      <c r="P117" s="67" t="s">
        <v>240</v>
      </c>
      <c r="Q117" s="67" t="s">
        <v>240</v>
      </c>
      <c r="R117" s="67" t="s">
        <v>376</v>
      </c>
      <c r="S117" s="67">
        <f t="shared" ref="S117:S148" si="30">T117+U117</f>
        <v>818</v>
      </c>
      <c r="T117" s="67">
        <v>409</v>
      </c>
      <c r="U117" s="67">
        <f t="shared" si="27"/>
        <v>409</v>
      </c>
      <c r="V117" s="67">
        <v>9.6000000000000002E-2</v>
      </c>
      <c r="W117" s="67">
        <v>2.5000000000000001E-2</v>
      </c>
      <c r="AI117" s="70">
        <f t="shared" si="29"/>
        <v>2.5000000000000001E-2</v>
      </c>
      <c r="AL117" s="68" t="s">
        <v>663</v>
      </c>
    </row>
    <row r="118" spans="1:49" ht="30" customHeight="1" x14ac:dyDescent="0.25">
      <c r="A118" s="75" t="s">
        <v>93</v>
      </c>
      <c r="B118" s="67" t="s">
        <v>207</v>
      </c>
      <c r="C118" s="75" t="s">
        <v>316</v>
      </c>
      <c r="D118" s="67">
        <f t="shared" si="28"/>
        <v>16</v>
      </c>
      <c r="E118" s="67" t="s">
        <v>577</v>
      </c>
      <c r="F118" s="67" t="s">
        <v>240</v>
      </c>
      <c r="G118" s="68" t="s">
        <v>664</v>
      </c>
      <c r="H118" s="67">
        <v>1</v>
      </c>
      <c r="I118" s="68">
        <v>24</v>
      </c>
      <c r="J118" s="67">
        <v>1</v>
      </c>
      <c r="K118" s="68" t="s">
        <v>579</v>
      </c>
      <c r="L118" s="76" t="s">
        <v>240</v>
      </c>
      <c r="M118" s="68" t="s">
        <v>587</v>
      </c>
      <c r="N118" s="67" t="s">
        <v>240</v>
      </c>
      <c r="O118" s="67" t="s">
        <v>240</v>
      </c>
      <c r="P118" s="67" t="s">
        <v>240</v>
      </c>
      <c r="Q118" s="67" t="s">
        <v>240</v>
      </c>
      <c r="R118" s="67" t="s">
        <v>376</v>
      </c>
      <c r="S118" s="67">
        <f t="shared" si="30"/>
        <v>388</v>
      </c>
      <c r="T118" s="67">
        <v>194</v>
      </c>
      <c r="U118" s="67">
        <f t="shared" si="27"/>
        <v>194</v>
      </c>
      <c r="V118" s="67">
        <v>6.3E-2</v>
      </c>
      <c r="W118" s="67">
        <v>4.5999999999999999E-2</v>
      </c>
      <c r="AI118" s="70">
        <f t="shared" si="29"/>
        <v>4.5999999999999999E-2</v>
      </c>
      <c r="AL118" s="68" t="s">
        <v>663</v>
      </c>
    </row>
    <row r="119" spans="1:49" ht="30" customHeight="1" x14ac:dyDescent="0.25">
      <c r="A119" s="75" t="s">
        <v>93</v>
      </c>
      <c r="B119" s="67" t="s">
        <v>207</v>
      </c>
      <c r="C119" s="75" t="s">
        <v>661</v>
      </c>
      <c r="D119" s="67">
        <f t="shared" si="28"/>
        <v>17</v>
      </c>
      <c r="E119" s="67" t="s">
        <v>583</v>
      </c>
      <c r="F119" s="67" t="s">
        <v>240</v>
      </c>
      <c r="G119" s="68" t="s">
        <v>665</v>
      </c>
      <c r="H119" s="67">
        <v>1</v>
      </c>
      <c r="I119" s="67">
        <v>12</v>
      </c>
      <c r="J119" s="67">
        <v>1</v>
      </c>
      <c r="K119" s="68" t="s">
        <v>579</v>
      </c>
      <c r="L119" s="76" t="s">
        <v>240</v>
      </c>
      <c r="M119" s="68" t="s">
        <v>587</v>
      </c>
      <c r="N119" s="67" t="s">
        <v>240</v>
      </c>
      <c r="O119" s="67" t="s">
        <v>240</v>
      </c>
      <c r="P119" s="67" t="s">
        <v>240</v>
      </c>
      <c r="Q119" s="67" t="s">
        <v>240</v>
      </c>
      <c r="R119" s="67" t="s">
        <v>376</v>
      </c>
      <c r="S119" s="67">
        <f t="shared" si="30"/>
        <v>1324</v>
      </c>
      <c r="T119" s="67">
        <v>662</v>
      </c>
      <c r="U119" s="67">
        <f t="shared" si="27"/>
        <v>662</v>
      </c>
      <c r="V119" s="67">
        <v>0.03</v>
      </c>
      <c r="W119" s="67">
        <v>1.4999999999999999E-2</v>
      </c>
      <c r="AI119" s="70">
        <f t="shared" si="29"/>
        <v>1.4999999999999999E-2</v>
      </c>
      <c r="AL119" s="68" t="s">
        <v>663</v>
      </c>
    </row>
    <row r="120" spans="1:49" ht="30" customHeight="1" x14ac:dyDescent="0.25">
      <c r="A120" s="75" t="s">
        <v>93</v>
      </c>
      <c r="B120" s="67" t="s">
        <v>207</v>
      </c>
      <c r="C120" s="75" t="s">
        <v>316</v>
      </c>
      <c r="D120" s="67">
        <f t="shared" si="28"/>
        <v>18</v>
      </c>
      <c r="E120" s="67" t="s">
        <v>583</v>
      </c>
      <c r="F120" s="67" t="s">
        <v>240</v>
      </c>
      <c r="G120" s="68" t="s">
        <v>665</v>
      </c>
      <c r="H120" s="67">
        <v>1</v>
      </c>
      <c r="I120" s="67">
        <v>12</v>
      </c>
      <c r="J120" s="67">
        <v>1</v>
      </c>
      <c r="K120" s="68" t="s">
        <v>579</v>
      </c>
      <c r="L120" s="76" t="s">
        <v>240</v>
      </c>
      <c r="M120" s="68" t="s">
        <v>587</v>
      </c>
      <c r="N120" s="67" t="s">
        <v>240</v>
      </c>
      <c r="O120" s="67" t="s">
        <v>240</v>
      </c>
      <c r="P120" s="67" t="s">
        <v>240</v>
      </c>
      <c r="Q120" s="67" t="s">
        <v>240</v>
      </c>
      <c r="R120" s="67" t="s">
        <v>376</v>
      </c>
      <c r="S120" s="67">
        <f t="shared" si="30"/>
        <v>540</v>
      </c>
      <c r="T120" s="67">
        <v>270</v>
      </c>
      <c r="U120" s="67">
        <f t="shared" si="27"/>
        <v>270</v>
      </c>
      <c r="V120" s="67">
        <v>-7.8E-2</v>
      </c>
      <c r="W120" s="67">
        <v>1.7000000000000001E-2</v>
      </c>
      <c r="AI120" s="70">
        <f t="shared" si="29"/>
        <v>1.7000000000000001E-2</v>
      </c>
      <c r="AL120" s="68" t="s">
        <v>663</v>
      </c>
    </row>
    <row r="121" spans="1:49" ht="30" customHeight="1" x14ac:dyDescent="0.25">
      <c r="A121" s="75" t="s">
        <v>93</v>
      </c>
      <c r="B121" s="67" t="s">
        <v>207</v>
      </c>
      <c r="C121" s="75" t="s">
        <v>661</v>
      </c>
      <c r="D121" s="67">
        <f t="shared" si="28"/>
        <v>19</v>
      </c>
      <c r="E121" s="67" t="s">
        <v>577</v>
      </c>
      <c r="F121" s="67" t="s">
        <v>240</v>
      </c>
      <c r="G121" s="68" t="s">
        <v>665</v>
      </c>
      <c r="H121" s="67">
        <v>1</v>
      </c>
      <c r="I121" s="68">
        <v>12</v>
      </c>
      <c r="J121" s="67">
        <v>1</v>
      </c>
      <c r="K121" s="68" t="s">
        <v>579</v>
      </c>
      <c r="L121" s="76" t="s">
        <v>240</v>
      </c>
      <c r="M121" s="68" t="s">
        <v>587</v>
      </c>
      <c r="N121" s="67" t="s">
        <v>240</v>
      </c>
      <c r="O121" s="67" t="s">
        <v>240</v>
      </c>
      <c r="P121" s="67" t="s">
        <v>240</v>
      </c>
      <c r="Q121" s="67" t="s">
        <v>240</v>
      </c>
      <c r="R121" s="67" t="s">
        <v>376</v>
      </c>
      <c r="S121" s="67">
        <f t="shared" si="30"/>
        <v>994</v>
      </c>
      <c r="T121" s="67">
        <v>497</v>
      </c>
      <c r="U121" s="67">
        <f t="shared" si="27"/>
        <v>497</v>
      </c>
      <c r="V121" s="67">
        <v>0.05</v>
      </c>
      <c r="W121" s="67">
        <v>2.1000000000000001E-2</v>
      </c>
      <c r="AI121" s="70">
        <f t="shared" si="29"/>
        <v>2.1000000000000001E-2</v>
      </c>
      <c r="AL121" s="68" t="s">
        <v>663</v>
      </c>
    </row>
    <row r="122" spans="1:49" ht="30" customHeight="1" x14ac:dyDescent="0.25">
      <c r="A122" s="75" t="s">
        <v>93</v>
      </c>
      <c r="B122" s="67" t="s">
        <v>207</v>
      </c>
      <c r="C122" s="75" t="s">
        <v>316</v>
      </c>
      <c r="D122" s="67">
        <f t="shared" si="28"/>
        <v>20</v>
      </c>
      <c r="E122" s="67" t="s">
        <v>577</v>
      </c>
      <c r="F122" s="67" t="s">
        <v>240</v>
      </c>
      <c r="G122" s="68" t="s">
        <v>665</v>
      </c>
      <c r="H122" s="67">
        <v>1</v>
      </c>
      <c r="I122" s="68">
        <v>12</v>
      </c>
      <c r="J122" s="67">
        <v>1</v>
      </c>
      <c r="K122" s="68" t="s">
        <v>579</v>
      </c>
      <c r="L122" s="76" t="s">
        <v>240</v>
      </c>
      <c r="M122" s="68" t="s">
        <v>587</v>
      </c>
      <c r="N122" s="67" t="s">
        <v>240</v>
      </c>
      <c r="O122" s="67" t="s">
        <v>240</v>
      </c>
      <c r="P122" s="67" t="s">
        <v>240</v>
      </c>
      <c r="Q122" s="67" t="s">
        <v>240</v>
      </c>
      <c r="R122" s="67" t="s">
        <v>376</v>
      </c>
      <c r="S122" s="67">
        <f t="shared" si="30"/>
        <v>402</v>
      </c>
      <c r="T122" s="67">
        <v>201</v>
      </c>
      <c r="U122" s="67">
        <f t="shared" si="27"/>
        <v>201</v>
      </c>
      <c r="V122" s="67">
        <v>-8.6999999999999994E-2</v>
      </c>
      <c r="W122" s="67">
        <v>2.7E-2</v>
      </c>
      <c r="AI122" s="70">
        <f t="shared" si="29"/>
        <v>2.7E-2</v>
      </c>
      <c r="AL122" s="68" t="s">
        <v>663</v>
      </c>
    </row>
    <row r="123" spans="1:49" ht="30" customHeight="1" x14ac:dyDescent="0.25">
      <c r="A123" s="75" t="s">
        <v>93</v>
      </c>
      <c r="B123" s="67" t="s">
        <v>207</v>
      </c>
      <c r="C123" s="75" t="s">
        <v>661</v>
      </c>
      <c r="D123" s="67">
        <f t="shared" si="28"/>
        <v>21</v>
      </c>
      <c r="E123" s="67" t="s">
        <v>583</v>
      </c>
      <c r="F123" s="67" t="s">
        <v>240</v>
      </c>
      <c r="G123" s="68" t="s">
        <v>665</v>
      </c>
      <c r="H123" s="67">
        <v>1</v>
      </c>
      <c r="I123" s="67">
        <v>24</v>
      </c>
      <c r="J123" s="67">
        <v>1</v>
      </c>
      <c r="K123" s="68" t="s">
        <v>579</v>
      </c>
      <c r="L123" s="76" t="s">
        <v>240</v>
      </c>
      <c r="M123" s="68" t="s">
        <v>587</v>
      </c>
      <c r="N123" s="67" t="s">
        <v>240</v>
      </c>
      <c r="O123" s="67" t="s">
        <v>240</v>
      </c>
      <c r="P123" s="67" t="s">
        <v>240</v>
      </c>
      <c r="Q123" s="67" t="s">
        <v>240</v>
      </c>
      <c r="R123" s="67" t="s">
        <v>376</v>
      </c>
      <c r="S123" s="67">
        <f t="shared" si="30"/>
        <v>1324</v>
      </c>
      <c r="T123" s="67">
        <v>662</v>
      </c>
      <c r="U123" s="67">
        <f t="shared" si="27"/>
        <v>662</v>
      </c>
      <c r="V123" s="67">
        <v>4.5999999999999999E-2</v>
      </c>
      <c r="W123" s="67">
        <v>1.7999999999999999E-2</v>
      </c>
      <c r="AI123" s="70">
        <f t="shared" si="29"/>
        <v>1.7999999999999999E-2</v>
      </c>
      <c r="AL123" s="68" t="s">
        <v>663</v>
      </c>
    </row>
    <row r="124" spans="1:49" ht="30" customHeight="1" x14ac:dyDescent="0.25">
      <c r="A124" s="75" t="s">
        <v>93</v>
      </c>
      <c r="B124" s="67" t="s">
        <v>207</v>
      </c>
      <c r="C124" s="75" t="s">
        <v>316</v>
      </c>
      <c r="D124" s="67">
        <f t="shared" si="28"/>
        <v>22</v>
      </c>
      <c r="E124" s="67" t="s">
        <v>583</v>
      </c>
      <c r="F124" s="67" t="s">
        <v>240</v>
      </c>
      <c r="G124" s="68" t="s">
        <v>665</v>
      </c>
      <c r="H124" s="67">
        <v>1</v>
      </c>
      <c r="I124" s="67">
        <v>24</v>
      </c>
      <c r="J124" s="67">
        <v>1</v>
      </c>
      <c r="K124" s="68" t="s">
        <v>579</v>
      </c>
      <c r="L124" s="76" t="s">
        <v>240</v>
      </c>
      <c r="M124" s="68" t="s">
        <v>587</v>
      </c>
      <c r="N124" s="67" t="s">
        <v>240</v>
      </c>
      <c r="O124" s="67" t="s">
        <v>240</v>
      </c>
      <c r="P124" s="67" t="s">
        <v>240</v>
      </c>
      <c r="Q124" s="67" t="s">
        <v>240</v>
      </c>
      <c r="R124" s="67" t="s">
        <v>376</v>
      </c>
      <c r="S124" s="67">
        <f t="shared" si="30"/>
        <v>540</v>
      </c>
      <c r="T124" s="67">
        <v>270</v>
      </c>
      <c r="U124" s="67">
        <f t="shared" si="27"/>
        <v>270</v>
      </c>
      <c r="V124" s="67">
        <v>8.4000000000000005E-2</v>
      </c>
      <c r="W124" s="67">
        <v>3.2000000000000001E-2</v>
      </c>
      <c r="AI124" s="70">
        <f t="shared" si="29"/>
        <v>3.2000000000000001E-2</v>
      </c>
      <c r="AL124" s="68" t="s">
        <v>663</v>
      </c>
    </row>
    <row r="125" spans="1:49" ht="30" customHeight="1" x14ac:dyDescent="0.25">
      <c r="A125" s="75" t="s">
        <v>93</v>
      </c>
      <c r="B125" s="67" t="s">
        <v>207</v>
      </c>
      <c r="C125" s="75" t="s">
        <v>661</v>
      </c>
      <c r="D125" s="67">
        <f t="shared" si="28"/>
        <v>23</v>
      </c>
      <c r="E125" s="67" t="s">
        <v>577</v>
      </c>
      <c r="F125" s="67" t="s">
        <v>240</v>
      </c>
      <c r="G125" s="68" t="s">
        <v>665</v>
      </c>
      <c r="H125" s="67">
        <v>1</v>
      </c>
      <c r="I125" s="68">
        <v>24</v>
      </c>
      <c r="J125" s="67">
        <v>1</v>
      </c>
      <c r="K125" s="68" t="s">
        <v>579</v>
      </c>
      <c r="L125" s="76" t="s">
        <v>240</v>
      </c>
      <c r="M125" s="68" t="s">
        <v>587</v>
      </c>
      <c r="N125" s="67" t="s">
        <v>240</v>
      </c>
      <c r="O125" s="67" t="s">
        <v>240</v>
      </c>
      <c r="P125" s="67" t="s">
        <v>240</v>
      </c>
      <c r="Q125" s="67" t="s">
        <v>240</v>
      </c>
      <c r="R125" s="67" t="s">
        <v>376</v>
      </c>
      <c r="S125" s="67">
        <f t="shared" si="30"/>
        <v>994</v>
      </c>
      <c r="T125" s="67">
        <v>497</v>
      </c>
      <c r="U125" s="67">
        <f t="shared" si="27"/>
        <v>497</v>
      </c>
      <c r="V125" s="67">
        <v>0.128</v>
      </c>
      <c r="W125" s="67">
        <v>2.5000000000000001E-2</v>
      </c>
      <c r="AI125" s="70">
        <f t="shared" si="29"/>
        <v>2.5000000000000001E-2</v>
      </c>
      <c r="AL125" s="68" t="s">
        <v>663</v>
      </c>
    </row>
    <row r="126" spans="1:49" ht="30" customHeight="1" x14ac:dyDescent="0.25">
      <c r="A126" s="75" t="s">
        <v>93</v>
      </c>
      <c r="B126" s="67" t="s">
        <v>207</v>
      </c>
      <c r="C126" s="75" t="s">
        <v>316</v>
      </c>
      <c r="D126" s="67">
        <f t="shared" si="28"/>
        <v>24</v>
      </c>
      <c r="E126" s="67" t="s">
        <v>577</v>
      </c>
      <c r="F126" s="67" t="s">
        <v>240</v>
      </c>
      <c r="G126" s="68" t="s">
        <v>665</v>
      </c>
      <c r="H126" s="67">
        <v>1</v>
      </c>
      <c r="I126" s="67">
        <v>24</v>
      </c>
      <c r="J126" s="67">
        <v>1</v>
      </c>
      <c r="K126" s="68" t="s">
        <v>579</v>
      </c>
      <c r="L126" s="76" t="s">
        <v>240</v>
      </c>
      <c r="M126" s="68" t="s">
        <v>587</v>
      </c>
      <c r="N126" s="67" t="s">
        <v>240</v>
      </c>
      <c r="O126" s="67" t="s">
        <v>240</v>
      </c>
      <c r="P126" s="67" t="s">
        <v>240</v>
      </c>
      <c r="Q126" s="67" t="s">
        <v>240</v>
      </c>
      <c r="R126" s="67" t="s">
        <v>376</v>
      </c>
      <c r="S126" s="67">
        <f t="shared" si="30"/>
        <v>402</v>
      </c>
      <c r="T126" s="67">
        <v>201</v>
      </c>
      <c r="U126" s="67">
        <f t="shared" si="27"/>
        <v>201</v>
      </c>
      <c r="V126" s="67">
        <v>7.0000000000000007E-2</v>
      </c>
      <c r="W126" s="67">
        <v>3.7999999999999999E-2</v>
      </c>
      <c r="AI126" s="70">
        <f t="shared" si="29"/>
        <v>3.7999999999999999E-2</v>
      </c>
      <c r="AL126" s="68" t="s">
        <v>663</v>
      </c>
    </row>
    <row r="127" spans="1:49" ht="30" customHeight="1" x14ac:dyDescent="0.25">
      <c r="A127" s="75" t="s">
        <v>93</v>
      </c>
      <c r="B127" s="67" t="s">
        <v>207</v>
      </c>
      <c r="C127" s="75" t="s">
        <v>661</v>
      </c>
      <c r="D127" s="67">
        <f t="shared" si="28"/>
        <v>25</v>
      </c>
      <c r="E127" s="67" t="s">
        <v>583</v>
      </c>
      <c r="F127" s="67" t="s">
        <v>240</v>
      </c>
      <c r="G127" s="68" t="s">
        <v>666</v>
      </c>
      <c r="H127" s="67">
        <v>1</v>
      </c>
      <c r="I127" s="67">
        <v>12</v>
      </c>
      <c r="J127" s="67">
        <v>2</v>
      </c>
      <c r="K127" s="68" t="s">
        <v>667</v>
      </c>
      <c r="L127" s="76" t="s">
        <v>240</v>
      </c>
      <c r="M127" s="68" t="s">
        <v>587</v>
      </c>
      <c r="N127" s="67" t="s">
        <v>240</v>
      </c>
      <c r="O127" s="67" t="s">
        <v>240</v>
      </c>
      <c r="P127" s="67" t="s">
        <v>240</v>
      </c>
      <c r="Q127" s="67" t="s">
        <v>240</v>
      </c>
      <c r="R127" s="67" t="s">
        <v>338</v>
      </c>
      <c r="S127" s="67">
        <f t="shared" si="30"/>
        <v>1824</v>
      </c>
      <c r="T127" s="67">
        <v>912</v>
      </c>
      <c r="U127" s="67">
        <f t="shared" si="27"/>
        <v>912</v>
      </c>
      <c r="V127" s="67">
        <v>-30.382000000000001</v>
      </c>
      <c r="W127" s="67">
        <v>30.722999999999999</v>
      </c>
      <c r="AI127" s="70">
        <f t="shared" si="29"/>
        <v>30.722999999999999</v>
      </c>
      <c r="AL127" s="68" t="s">
        <v>663</v>
      </c>
      <c r="AP127" s="67">
        <f t="shared" ref="AP127:AP150" si="31">+V127/AQ127</f>
        <v>-4.6309524016982441E-2</v>
      </c>
      <c r="AQ127" s="67">
        <f t="shared" ref="AQ127:AQ150" si="32">+W127*SQRT(T127*U127/S127)</f>
        <v>656.06375027431591</v>
      </c>
      <c r="AS127" s="67">
        <f t="shared" ref="AS127:AS150" si="33">+AP127^2/(AU127-2)*(AU127/(V127/AI127)^2+AU127*AV127^2-AU127+2)</f>
        <v>2.1977489995148787E-3</v>
      </c>
      <c r="AU127" s="67">
        <f t="shared" ref="AU127:AU150" si="34">+S127-2</f>
        <v>1822</v>
      </c>
      <c r="AV127" s="67">
        <f t="shared" ref="AV127:AV150" si="35">IFERROR(1/(SQRT(AU127/2)*_xlfn.GAMMA(AU127/2-0.5)/_xlfn.GAMMA(AU127/2)),1)</f>
        <v>1</v>
      </c>
      <c r="AW127" s="67" t="s">
        <v>1350</v>
      </c>
    </row>
    <row r="128" spans="1:49" ht="30" customHeight="1" x14ac:dyDescent="0.25">
      <c r="A128" s="75" t="s">
        <v>93</v>
      </c>
      <c r="B128" s="67" t="s">
        <v>207</v>
      </c>
      <c r="C128" s="75" t="s">
        <v>316</v>
      </c>
      <c r="D128" s="67">
        <f t="shared" si="28"/>
        <v>26</v>
      </c>
      <c r="E128" s="67" t="s">
        <v>583</v>
      </c>
      <c r="F128" s="67" t="s">
        <v>240</v>
      </c>
      <c r="G128" s="68" t="s">
        <v>666</v>
      </c>
      <c r="H128" s="67">
        <v>1</v>
      </c>
      <c r="I128" s="67">
        <v>12</v>
      </c>
      <c r="J128" s="67">
        <v>2</v>
      </c>
      <c r="K128" s="68" t="s">
        <v>667</v>
      </c>
      <c r="L128" s="76" t="s">
        <v>240</v>
      </c>
      <c r="M128" s="68" t="s">
        <v>587</v>
      </c>
      <c r="N128" s="67" t="s">
        <v>240</v>
      </c>
      <c r="O128" s="67" t="s">
        <v>240</v>
      </c>
      <c r="P128" s="67" t="s">
        <v>240</v>
      </c>
      <c r="Q128" s="67" t="s">
        <v>240</v>
      </c>
      <c r="R128" s="67" t="s">
        <v>338</v>
      </c>
      <c r="S128" s="67">
        <f t="shared" si="30"/>
        <v>778</v>
      </c>
      <c r="T128" s="67">
        <v>389</v>
      </c>
      <c r="U128" s="67">
        <f t="shared" si="27"/>
        <v>389</v>
      </c>
      <c r="V128" s="67">
        <v>-424.43700000000001</v>
      </c>
      <c r="W128" s="67">
        <v>51.134999999999998</v>
      </c>
      <c r="AI128" s="70">
        <f t="shared" si="29"/>
        <v>51.134999999999998</v>
      </c>
      <c r="AL128" s="68" t="s">
        <v>663</v>
      </c>
      <c r="AP128" s="67">
        <f t="shared" si="31"/>
        <v>-0.59516197062503107</v>
      </c>
      <c r="AQ128" s="67">
        <f t="shared" si="32"/>
        <v>713.14536369698146</v>
      </c>
      <c r="AS128" s="67">
        <f t="shared" si="33"/>
        <v>6.0699648142208528E-3</v>
      </c>
      <c r="AU128" s="67">
        <f t="shared" si="34"/>
        <v>776</v>
      </c>
      <c r="AV128" s="67">
        <f t="shared" si="35"/>
        <v>1</v>
      </c>
      <c r="AW128" s="67" t="s">
        <v>1350</v>
      </c>
    </row>
    <row r="129" spans="1:49" ht="30" customHeight="1" x14ac:dyDescent="0.25">
      <c r="A129" s="75" t="s">
        <v>93</v>
      </c>
      <c r="B129" s="67" t="s">
        <v>207</v>
      </c>
      <c r="C129" s="75" t="s">
        <v>661</v>
      </c>
      <c r="D129" s="67">
        <f t="shared" si="28"/>
        <v>27</v>
      </c>
      <c r="E129" s="67" t="s">
        <v>577</v>
      </c>
      <c r="F129" s="67" t="s">
        <v>240</v>
      </c>
      <c r="G129" s="68" t="s">
        <v>666</v>
      </c>
      <c r="H129" s="67">
        <v>1</v>
      </c>
      <c r="I129" s="68">
        <v>12</v>
      </c>
      <c r="J129" s="67">
        <v>2</v>
      </c>
      <c r="K129" s="68" t="s">
        <v>667</v>
      </c>
      <c r="L129" s="76" t="s">
        <v>240</v>
      </c>
      <c r="M129" s="68" t="s">
        <v>587</v>
      </c>
      <c r="N129" s="67" t="s">
        <v>240</v>
      </c>
      <c r="O129" s="67" t="s">
        <v>240</v>
      </c>
      <c r="P129" s="67" t="s">
        <v>240</v>
      </c>
      <c r="Q129" s="67" t="s">
        <v>240</v>
      </c>
      <c r="R129" s="67" t="s">
        <v>338</v>
      </c>
      <c r="S129" s="67">
        <f t="shared" si="30"/>
        <v>1386</v>
      </c>
      <c r="T129" s="67">
        <v>693</v>
      </c>
      <c r="U129" s="67">
        <f t="shared" si="27"/>
        <v>693</v>
      </c>
      <c r="V129" s="67">
        <v>28.555</v>
      </c>
      <c r="W129" s="67">
        <v>30.097999999999999</v>
      </c>
      <c r="AI129" s="70">
        <f t="shared" si="29"/>
        <v>30.097999999999999</v>
      </c>
      <c r="AL129" s="68" t="s">
        <v>663</v>
      </c>
      <c r="AP129" s="67">
        <f t="shared" si="31"/>
        <v>5.0967450191030939E-2</v>
      </c>
      <c r="AQ129" s="67">
        <f t="shared" si="32"/>
        <v>560.25953609554915</v>
      </c>
      <c r="AS129" s="67">
        <f t="shared" si="33"/>
        <v>2.89393875266711E-3</v>
      </c>
      <c r="AU129" s="67">
        <f t="shared" si="34"/>
        <v>1384</v>
      </c>
      <c r="AV129" s="67">
        <f t="shared" si="35"/>
        <v>1</v>
      </c>
      <c r="AW129" s="67" t="s">
        <v>1350</v>
      </c>
    </row>
    <row r="130" spans="1:49" ht="30" customHeight="1" x14ac:dyDescent="0.25">
      <c r="A130" s="75" t="s">
        <v>93</v>
      </c>
      <c r="B130" s="67" t="s">
        <v>207</v>
      </c>
      <c r="C130" s="75" t="s">
        <v>316</v>
      </c>
      <c r="D130" s="67">
        <f t="shared" si="28"/>
        <v>28</v>
      </c>
      <c r="E130" s="67" t="s">
        <v>577</v>
      </c>
      <c r="F130" s="67" t="s">
        <v>240</v>
      </c>
      <c r="G130" s="68" t="s">
        <v>666</v>
      </c>
      <c r="H130" s="67">
        <v>1</v>
      </c>
      <c r="I130" s="68">
        <v>12</v>
      </c>
      <c r="J130" s="67">
        <v>2</v>
      </c>
      <c r="K130" s="68" t="s">
        <v>667</v>
      </c>
      <c r="L130" s="76" t="s">
        <v>240</v>
      </c>
      <c r="M130" s="68" t="s">
        <v>587</v>
      </c>
      <c r="N130" s="67" t="s">
        <v>240</v>
      </c>
      <c r="O130" s="67" t="s">
        <v>240</v>
      </c>
      <c r="P130" s="67" t="s">
        <v>240</v>
      </c>
      <c r="Q130" s="67" t="s">
        <v>240</v>
      </c>
      <c r="R130" s="67" t="s">
        <v>338</v>
      </c>
      <c r="S130" s="67">
        <f t="shared" si="30"/>
        <v>688</v>
      </c>
      <c r="T130" s="67">
        <v>344</v>
      </c>
      <c r="U130" s="67">
        <f t="shared" si="27"/>
        <v>344</v>
      </c>
      <c r="V130" s="67">
        <v>-190.22900000000001</v>
      </c>
      <c r="W130" s="67">
        <v>45.235999999999997</v>
      </c>
      <c r="AI130" s="70">
        <f t="shared" si="29"/>
        <v>45.235999999999997</v>
      </c>
      <c r="AL130" s="68" t="s">
        <v>663</v>
      </c>
      <c r="AP130" s="67">
        <f t="shared" si="31"/>
        <v>-0.32064783066364244</v>
      </c>
      <c r="AQ130" s="67">
        <f t="shared" si="32"/>
        <v>593.26457817065057</v>
      </c>
      <c r="AS130" s="67">
        <f t="shared" si="33"/>
        <v>6.1315820988916102E-3</v>
      </c>
      <c r="AU130" s="67">
        <f t="shared" si="34"/>
        <v>686</v>
      </c>
      <c r="AV130" s="67">
        <f t="shared" si="35"/>
        <v>1</v>
      </c>
      <c r="AW130" s="67" t="s">
        <v>1350</v>
      </c>
    </row>
    <row r="131" spans="1:49" ht="30" customHeight="1" x14ac:dyDescent="0.25">
      <c r="A131" s="75" t="s">
        <v>93</v>
      </c>
      <c r="B131" s="67" t="s">
        <v>207</v>
      </c>
      <c r="C131" s="75" t="s">
        <v>661</v>
      </c>
      <c r="D131" s="67">
        <f t="shared" si="28"/>
        <v>29</v>
      </c>
      <c r="E131" s="67" t="s">
        <v>583</v>
      </c>
      <c r="F131" s="67" t="s">
        <v>240</v>
      </c>
      <c r="G131" s="68" t="s">
        <v>666</v>
      </c>
      <c r="H131" s="67">
        <v>1</v>
      </c>
      <c r="I131" s="67">
        <v>24</v>
      </c>
      <c r="J131" s="67">
        <v>2</v>
      </c>
      <c r="K131" s="68" t="s">
        <v>667</v>
      </c>
      <c r="L131" s="76" t="s">
        <v>240</v>
      </c>
      <c r="M131" s="68" t="s">
        <v>587</v>
      </c>
      <c r="N131" s="67" t="s">
        <v>240</v>
      </c>
      <c r="O131" s="67" t="s">
        <v>240</v>
      </c>
      <c r="P131" s="67" t="s">
        <v>240</v>
      </c>
      <c r="Q131" s="67" t="s">
        <v>240</v>
      </c>
      <c r="R131" s="67" t="s">
        <v>338</v>
      </c>
      <c r="S131" s="67">
        <f t="shared" si="30"/>
        <v>1824</v>
      </c>
      <c r="T131" s="67">
        <v>912</v>
      </c>
      <c r="U131" s="67">
        <f t="shared" si="27"/>
        <v>912</v>
      </c>
      <c r="V131" s="67">
        <v>4.4930000000000003</v>
      </c>
      <c r="W131" s="67">
        <v>37.667999999999999</v>
      </c>
      <c r="AI131" s="70">
        <f t="shared" si="29"/>
        <v>37.667999999999999</v>
      </c>
      <c r="AL131" s="68" t="s">
        <v>663</v>
      </c>
      <c r="AP131" s="67">
        <f t="shared" si="31"/>
        <v>5.5857492452964733E-3</v>
      </c>
      <c r="AQ131" s="67">
        <f t="shared" si="32"/>
        <v>804.36836719503083</v>
      </c>
      <c r="AS131" s="67">
        <f t="shared" si="33"/>
        <v>2.195426613339001E-3</v>
      </c>
      <c r="AU131" s="67">
        <f t="shared" si="34"/>
        <v>1822</v>
      </c>
      <c r="AV131" s="67">
        <f t="shared" si="35"/>
        <v>1</v>
      </c>
      <c r="AW131" s="67" t="s">
        <v>1350</v>
      </c>
    </row>
    <row r="132" spans="1:49" ht="30" customHeight="1" x14ac:dyDescent="0.25">
      <c r="A132" s="75" t="s">
        <v>93</v>
      </c>
      <c r="B132" s="67" t="s">
        <v>207</v>
      </c>
      <c r="C132" s="75" t="s">
        <v>316</v>
      </c>
      <c r="D132" s="67">
        <f t="shared" si="28"/>
        <v>30</v>
      </c>
      <c r="E132" s="67" t="s">
        <v>583</v>
      </c>
      <c r="F132" s="67" t="s">
        <v>240</v>
      </c>
      <c r="G132" s="68" t="s">
        <v>666</v>
      </c>
      <c r="H132" s="67">
        <v>1</v>
      </c>
      <c r="I132" s="67">
        <v>24</v>
      </c>
      <c r="J132" s="67">
        <v>2</v>
      </c>
      <c r="K132" s="68" t="s">
        <v>667</v>
      </c>
      <c r="L132" s="76" t="s">
        <v>240</v>
      </c>
      <c r="M132" s="68" t="s">
        <v>587</v>
      </c>
      <c r="N132" s="67" t="s">
        <v>240</v>
      </c>
      <c r="O132" s="67" t="s">
        <v>240</v>
      </c>
      <c r="P132" s="67" t="s">
        <v>240</v>
      </c>
      <c r="Q132" s="67" t="s">
        <v>240</v>
      </c>
      <c r="R132" s="67" t="s">
        <v>338</v>
      </c>
      <c r="S132" s="67">
        <f t="shared" si="30"/>
        <v>778</v>
      </c>
      <c r="T132" s="67">
        <v>389</v>
      </c>
      <c r="U132" s="67">
        <f t="shared" si="27"/>
        <v>389</v>
      </c>
      <c r="V132" s="67">
        <v>6.6749999999999998</v>
      </c>
      <c r="W132" s="67">
        <v>72.885999999999996</v>
      </c>
      <c r="AI132" s="70">
        <f t="shared" si="29"/>
        <v>72.885999999999996</v>
      </c>
      <c r="AL132" s="68" t="s">
        <v>663</v>
      </c>
      <c r="AP132" s="67">
        <f t="shared" si="31"/>
        <v>6.5667026388817459E-3</v>
      </c>
      <c r="AQ132" s="67">
        <f t="shared" si="32"/>
        <v>1016.4918935840068</v>
      </c>
      <c r="AS132" s="67">
        <f t="shared" si="33"/>
        <v>5.1547848408494603E-3</v>
      </c>
      <c r="AU132" s="67">
        <f t="shared" si="34"/>
        <v>776</v>
      </c>
      <c r="AV132" s="67">
        <f t="shared" si="35"/>
        <v>1</v>
      </c>
      <c r="AW132" s="67" t="s">
        <v>1350</v>
      </c>
    </row>
    <row r="133" spans="1:49" ht="30" customHeight="1" x14ac:dyDescent="0.25">
      <c r="A133" s="75" t="s">
        <v>93</v>
      </c>
      <c r="B133" s="67" t="s">
        <v>207</v>
      </c>
      <c r="C133" s="75" t="s">
        <v>661</v>
      </c>
      <c r="D133" s="67">
        <f t="shared" si="28"/>
        <v>31</v>
      </c>
      <c r="E133" s="67" t="s">
        <v>577</v>
      </c>
      <c r="F133" s="67" t="s">
        <v>240</v>
      </c>
      <c r="G133" s="68" t="s">
        <v>666</v>
      </c>
      <c r="H133" s="67">
        <v>1</v>
      </c>
      <c r="I133" s="68">
        <v>24</v>
      </c>
      <c r="J133" s="67">
        <v>2</v>
      </c>
      <c r="K133" s="68" t="s">
        <v>667</v>
      </c>
      <c r="L133" s="76" t="s">
        <v>240</v>
      </c>
      <c r="M133" s="68" t="s">
        <v>587</v>
      </c>
      <c r="N133" s="67" t="s">
        <v>240</v>
      </c>
      <c r="O133" s="67" t="s">
        <v>240</v>
      </c>
      <c r="P133" s="67" t="s">
        <v>240</v>
      </c>
      <c r="Q133" s="67" t="s">
        <v>240</v>
      </c>
      <c r="R133" s="67" t="s">
        <v>338</v>
      </c>
      <c r="S133" s="67">
        <f t="shared" si="30"/>
        <v>1386</v>
      </c>
      <c r="T133" s="67">
        <v>693</v>
      </c>
      <c r="U133" s="67">
        <f t="shared" si="27"/>
        <v>693</v>
      </c>
      <c r="V133" s="67">
        <v>86.123999999999995</v>
      </c>
      <c r="W133" s="67">
        <v>38.009</v>
      </c>
      <c r="AI133" s="70">
        <f t="shared" si="29"/>
        <v>38.009</v>
      </c>
      <c r="AL133" s="68" t="s">
        <v>663</v>
      </c>
      <c r="AP133" s="67">
        <f t="shared" si="31"/>
        <v>0.12172677866421434</v>
      </c>
      <c r="AQ133" s="67">
        <f t="shared" si="32"/>
        <v>707.51892841569975</v>
      </c>
      <c r="AS133" s="67">
        <f t="shared" si="33"/>
        <v>2.9116228737452428E-3</v>
      </c>
      <c r="AU133" s="67">
        <f t="shared" si="34"/>
        <v>1384</v>
      </c>
      <c r="AV133" s="67">
        <f t="shared" si="35"/>
        <v>1</v>
      </c>
      <c r="AW133" s="67" t="s">
        <v>1350</v>
      </c>
    </row>
    <row r="134" spans="1:49" ht="30" customHeight="1" x14ac:dyDescent="0.25">
      <c r="A134" s="75" t="s">
        <v>93</v>
      </c>
      <c r="B134" s="67" t="s">
        <v>207</v>
      </c>
      <c r="C134" s="75" t="s">
        <v>316</v>
      </c>
      <c r="D134" s="67">
        <f t="shared" si="28"/>
        <v>32</v>
      </c>
      <c r="E134" s="67" t="s">
        <v>577</v>
      </c>
      <c r="F134" s="67" t="s">
        <v>240</v>
      </c>
      <c r="G134" s="68" t="s">
        <v>666</v>
      </c>
      <c r="H134" s="67">
        <v>1</v>
      </c>
      <c r="I134" s="67">
        <v>24</v>
      </c>
      <c r="J134" s="67">
        <v>2</v>
      </c>
      <c r="K134" s="68" t="s">
        <v>667</v>
      </c>
      <c r="L134" s="76" t="s">
        <v>240</v>
      </c>
      <c r="M134" s="68" t="s">
        <v>587</v>
      </c>
      <c r="N134" s="67" t="s">
        <v>240</v>
      </c>
      <c r="O134" s="67" t="s">
        <v>240</v>
      </c>
      <c r="P134" s="67" t="s">
        <v>240</v>
      </c>
      <c r="Q134" s="67" t="s">
        <v>240</v>
      </c>
      <c r="R134" s="67" t="s">
        <v>338</v>
      </c>
      <c r="S134" s="67">
        <f t="shared" si="30"/>
        <v>688</v>
      </c>
      <c r="T134" s="67">
        <v>344</v>
      </c>
      <c r="U134" s="67">
        <f t="shared" si="27"/>
        <v>344</v>
      </c>
      <c r="V134" s="67">
        <v>193.08099999999999</v>
      </c>
      <c r="W134" s="67">
        <v>65.128</v>
      </c>
      <c r="AI134" s="70">
        <f t="shared" si="29"/>
        <v>65.128</v>
      </c>
      <c r="AL134" s="68" t="s">
        <v>663</v>
      </c>
      <c r="AP134" s="67">
        <f t="shared" si="31"/>
        <v>0.22605159423281571</v>
      </c>
      <c r="AQ134" s="67">
        <f t="shared" si="32"/>
        <v>854.14571242148133</v>
      </c>
      <c r="AS134" s="67">
        <f t="shared" si="33"/>
        <v>5.9803665782655752E-3</v>
      </c>
      <c r="AU134" s="67">
        <f t="shared" si="34"/>
        <v>686</v>
      </c>
      <c r="AV134" s="67">
        <f t="shared" si="35"/>
        <v>1</v>
      </c>
      <c r="AW134" s="67" t="s">
        <v>1350</v>
      </c>
    </row>
    <row r="135" spans="1:49" ht="30" customHeight="1" x14ac:dyDescent="0.25">
      <c r="A135" s="75" t="s">
        <v>93</v>
      </c>
      <c r="B135" s="67" t="s">
        <v>207</v>
      </c>
      <c r="C135" s="75" t="s">
        <v>661</v>
      </c>
      <c r="D135" s="67">
        <f t="shared" si="28"/>
        <v>33</v>
      </c>
      <c r="E135" s="67" t="s">
        <v>583</v>
      </c>
      <c r="F135" s="67" t="s">
        <v>240</v>
      </c>
      <c r="G135" s="68" t="s">
        <v>664</v>
      </c>
      <c r="H135" s="67">
        <v>1</v>
      </c>
      <c r="I135" s="67">
        <v>12</v>
      </c>
      <c r="J135" s="67">
        <v>2</v>
      </c>
      <c r="K135" s="68" t="s">
        <v>667</v>
      </c>
      <c r="L135" s="76" t="s">
        <v>240</v>
      </c>
      <c r="M135" s="68" t="s">
        <v>587</v>
      </c>
      <c r="N135" s="67" t="s">
        <v>240</v>
      </c>
      <c r="O135" s="67" t="s">
        <v>240</v>
      </c>
      <c r="P135" s="67" t="s">
        <v>240</v>
      </c>
      <c r="Q135" s="67" t="s">
        <v>240</v>
      </c>
      <c r="R135" s="67" t="s">
        <v>338</v>
      </c>
      <c r="S135" s="67">
        <f t="shared" si="30"/>
        <v>1094</v>
      </c>
      <c r="T135" s="67">
        <v>547</v>
      </c>
      <c r="U135" s="67">
        <f t="shared" si="27"/>
        <v>547</v>
      </c>
      <c r="V135" s="67">
        <v>-2.5089999999999999</v>
      </c>
      <c r="W135" s="67">
        <v>34.284999999999997</v>
      </c>
      <c r="AI135" s="70">
        <f t="shared" si="29"/>
        <v>34.284999999999997</v>
      </c>
      <c r="AL135" s="68" t="s">
        <v>663</v>
      </c>
      <c r="AP135" s="67">
        <f t="shared" si="31"/>
        <v>-4.4250465346030729E-3</v>
      </c>
      <c r="AQ135" s="67">
        <f t="shared" si="32"/>
        <v>566.99968698183591</v>
      </c>
      <c r="AS135" s="67">
        <f t="shared" si="33"/>
        <v>3.6630518787285058E-3</v>
      </c>
      <c r="AU135" s="67">
        <f t="shared" si="34"/>
        <v>1092</v>
      </c>
      <c r="AV135" s="67">
        <f t="shared" si="35"/>
        <v>1</v>
      </c>
      <c r="AW135" s="67" t="s">
        <v>1350</v>
      </c>
    </row>
    <row r="136" spans="1:49" ht="30" customHeight="1" x14ac:dyDescent="0.25">
      <c r="A136" s="75" t="s">
        <v>93</v>
      </c>
      <c r="B136" s="67" t="s">
        <v>207</v>
      </c>
      <c r="C136" s="75" t="s">
        <v>316</v>
      </c>
      <c r="D136" s="67">
        <f t="shared" si="28"/>
        <v>34</v>
      </c>
      <c r="E136" s="67" t="s">
        <v>583</v>
      </c>
      <c r="F136" s="67" t="s">
        <v>240</v>
      </c>
      <c r="G136" s="68" t="s">
        <v>664</v>
      </c>
      <c r="H136" s="67">
        <v>1</v>
      </c>
      <c r="I136" s="67">
        <v>12</v>
      </c>
      <c r="J136" s="67">
        <v>2</v>
      </c>
      <c r="K136" s="68" t="s">
        <v>667</v>
      </c>
      <c r="L136" s="76" t="s">
        <v>240</v>
      </c>
      <c r="M136" s="68" t="s">
        <v>587</v>
      </c>
      <c r="N136" s="67" t="s">
        <v>240</v>
      </c>
      <c r="O136" s="67" t="s">
        <v>240</v>
      </c>
      <c r="P136" s="67" t="s">
        <v>240</v>
      </c>
      <c r="Q136" s="67" t="s">
        <v>240</v>
      </c>
      <c r="R136" s="67" t="s">
        <v>338</v>
      </c>
      <c r="S136" s="67">
        <f t="shared" si="30"/>
        <v>502</v>
      </c>
      <c r="T136" s="67">
        <v>251</v>
      </c>
      <c r="U136" s="67">
        <f t="shared" si="27"/>
        <v>251</v>
      </c>
      <c r="V136" s="67">
        <v>-250.291</v>
      </c>
      <c r="W136" s="67">
        <v>58.448999999999998</v>
      </c>
      <c r="AI136" s="70">
        <f t="shared" si="29"/>
        <v>58.448999999999998</v>
      </c>
      <c r="AL136" s="68" t="s">
        <v>663</v>
      </c>
      <c r="AP136" s="67">
        <f t="shared" si="31"/>
        <v>-0.38224893608301969</v>
      </c>
      <c r="AQ136" s="67">
        <f t="shared" si="32"/>
        <v>654.78534110462488</v>
      </c>
      <c r="AS136" s="67">
        <f t="shared" si="33"/>
        <v>8.5869322154480329E-3</v>
      </c>
      <c r="AU136" s="67">
        <f t="shared" si="34"/>
        <v>500</v>
      </c>
      <c r="AV136" s="67">
        <f t="shared" si="35"/>
        <v>1</v>
      </c>
      <c r="AW136" s="67" t="s">
        <v>1350</v>
      </c>
    </row>
    <row r="137" spans="1:49" ht="30" customHeight="1" x14ac:dyDescent="0.25">
      <c r="A137" s="75" t="s">
        <v>93</v>
      </c>
      <c r="B137" s="67" t="s">
        <v>207</v>
      </c>
      <c r="C137" s="75" t="s">
        <v>661</v>
      </c>
      <c r="D137" s="67">
        <f t="shared" si="28"/>
        <v>35</v>
      </c>
      <c r="E137" s="67" t="s">
        <v>577</v>
      </c>
      <c r="F137" s="67" t="s">
        <v>240</v>
      </c>
      <c r="G137" s="68" t="s">
        <v>664</v>
      </c>
      <c r="H137" s="67">
        <v>1</v>
      </c>
      <c r="I137" s="68">
        <v>12</v>
      </c>
      <c r="J137" s="67">
        <v>2</v>
      </c>
      <c r="K137" s="68" t="s">
        <v>667</v>
      </c>
      <c r="L137" s="76" t="s">
        <v>240</v>
      </c>
      <c r="M137" s="68" t="s">
        <v>587</v>
      </c>
      <c r="N137" s="67" t="s">
        <v>240</v>
      </c>
      <c r="O137" s="67" t="s">
        <v>240</v>
      </c>
      <c r="P137" s="67" t="s">
        <v>240</v>
      </c>
      <c r="Q137" s="67" t="s">
        <v>240</v>
      </c>
      <c r="R137" s="67" t="s">
        <v>338</v>
      </c>
      <c r="S137" s="67">
        <f t="shared" si="30"/>
        <v>818</v>
      </c>
      <c r="T137" s="67">
        <v>409</v>
      </c>
      <c r="U137" s="67">
        <f t="shared" si="27"/>
        <v>409</v>
      </c>
      <c r="V137" s="67">
        <v>76.040000000000006</v>
      </c>
      <c r="W137" s="67">
        <v>33.034999999999997</v>
      </c>
      <c r="AI137" s="70">
        <f t="shared" si="29"/>
        <v>33.034999999999997</v>
      </c>
      <c r="AL137" s="68" t="s">
        <v>663</v>
      </c>
      <c r="AP137" s="67">
        <f t="shared" si="31"/>
        <v>0.16096117766295143</v>
      </c>
      <c r="AQ137" s="67">
        <f t="shared" si="32"/>
        <v>472.41205055809058</v>
      </c>
      <c r="AS137" s="67">
        <f t="shared" si="33"/>
        <v>4.965647481976713E-3</v>
      </c>
      <c r="AU137" s="67">
        <f t="shared" si="34"/>
        <v>816</v>
      </c>
      <c r="AV137" s="67">
        <f t="shared" si="35"/>
        <v>1</v>
      </c>
      <c r="AW137" s="67" t="s">
        <v>1350</v>
      </c>
    </row>
    <row r="138" spans="1:49" ht="30" customHeight="1" x14ac:dyDescent="0.25">
      <c r="A138" s="75" t="s">
        <v>93</v>
      </c>
      <c r="B138" s="67" t="s">
        <v>207</v>
      </c>
      <c r="C138" s="75" t="s">
        <v>316</v>
      </c>
      <c r="D138" s="67">
        <f t="shared" si="28"/>
        <v>36</v>
      </c>
      <c r="E138" s="67" t="s">
        <v>583</v>
      </c>
      <c r="F138" s="67" t="s">
        <v>240</v>
      </c>
      <c r="G138" s="68" t="s">
        <v>664</v>
      </c>
      <c r="H138" s="67">
        <v>1</v>
      </c>
      <c r="I138" s="67">
        <v>12</v>
      </c>
      <c r="J138" s="67">
        <v>2</v>
      </c>
      <c r="K138" s="68" t="s">
        <v>667</v>
      </c>
      <c r="L138" s="76" t="s">
        <v>240</v>
      </c>
      <c r="M138" s="68" t="s">
        <v>587</v>
      </c>
      <c r="N138" s="67" t="s">
        <v>240</v>
      </c>
      <c r="O138" s="67" t="s">
        <v>240</v>
      </c>
      <c r="P138" s="67" t="s">
        <v>240</v>
      </c>
      <c r="Q138" s="67" t="s">
        <v>240</v>
      </c>
      <c r="R138" s="67" t="s">
        <v>338</v>
      </c>
      <c r="S138" s="67">
        <f t="shared" si="30"/>
        <v>388</v>
      </c>
      <c r="T138" s="67">
        <v>194</v>
      </c>
      <c r="U138" s="67">
        <f t="shared" si="27"/>
        <v>194</v>
      </c>
      <c r="V138" s="67">
        <v>-220.98599999999999</v>
      </c>
      <c r="W138" s="67">
        <v>53.100999999999999</v>
      </c>
      <c r="AI138" s="70">
        <f t="shared" si="29"/>
        <v>53.100999999999999</v>
      </c>
      <c r="AL138" s="68" t="s">
        <v>663</v>
      </c>
      <c r="AP138" s="67">
        <f t="shared" si="31"/>
        <v>-0.4225481396738629</v>
      </c>
      <c r="AQ138" s="67">
        <f t="shared" si="32"/>
        <v>522.98419813317491</v>
      </c>
      <c r="AS138" s="67">
        <f t="shared" si="33"/>
        <v>1.1292904437454836E-2</v>
      </c>
      <c r="AU138" s="67">
        <f t="shared" si="34"/>
        <v>386</v>
      </c>
      <c r="AV138" s="67">
        <f t="shared" si="35"/>
        <v>1</v>
      </c>
      <c r="AW138" s="67" t="s">
        <v>1350</v>
      </c>
    </row>
    <row r="139" spans="1:49" ht="30" customHeight="1" x14ac:dyDescent="0.25">
      <c r="A139" s="75" t="s">
        <v>93</v>
      </c>
      <c r="B139" s="67" t="s">
        <v>207</v>
      </c>
      <c r="C139" s="75" t="s">
        <v>661</v>
      </c>
      <c r="D139" s="67">
        <f t="shared" si="28"/>
        <v>37</v>
      </c>
      <c r="E139" s="67" t="s">
        <v>583</v>
      </c>
      <c r="F139" s="67" t="s">
        <v>240</v>
      </c>
      <c r="G139" s="68" t="s">
        <v>664</v>
      </c>
      <c r="H139" s="67">
        <v>1</v>
      </c>
      <c r="I139" s="67">
        <v>24</v>
      </c>
      <c r="J139" s="67">
        <v>2</v>
      </c>
      <c r="K139" s="68" t="s">
        <v>667</v>
      </c>
      <c r="L139" s="76" t="s">
        <v>240</v>
      </c>
      <c r="M139" s="68" t="s">
        <v>587</v>
      </c>
      <c r="N139" s="67" t="s">
        <v>240</v>
      </c>
      <c r="O139" s="67" t="s">
        <v>240</v>
      </c>
      <c r="P139" s="67" t="s">
        <v>240</v>
      </c>
      <c r="Q139" s="67" t="s">
        <v>240</v>
      </c>
      <c r="R139" s="67" t="s">
        <v>338</v>
      </c>
      <c r="S139" s="67">
        <f t="shared" si="30"/>
        <v>1094</v>
      </c>
      <c r="T139" s="67">
        <v>547</v>
      </c>
      <c r="U139" s="67">
        <f t="shared" si="27"/>
        <v>547</v>
      </c>
      <c r="V139" s="67">
        <v>47.597999999999999</v>
      </c>
      <c r="W139" s="67">
        <v>46.249000000000002</v>
      </c>
      <c r="AI139" s="70">
        <f t="shared" si="29"/>
        <v>46.249000000000002</v>
      </c>
      <c r="AL139" s="68" t="s">
        <v>663</v>
      </c>
      <c r="AP139" s="67">
        <f t="shared" si="31"/>
        <v>6.2231130786304885E-2</v>
      </c>
      <c r="AQ139" s="67">
        <f t="shared" si="32"/>
        <v>764.85834980962329</v>
      </c>
      <c r="AS139" s="67">
        <f t="shared" si="33"/>
        <v>3.6701218468057676E-3</v>
      </c>
      <c r="AU139" s="67">
        <f t="shared" si="34"/>
        <v>1092</v>
      </c>
      <c r="AV139" s="67">
        <f t="shared" si="35"/>
        <v>1</v>
      </c>
      <c r="AW139" s="67" t="s">
        <v>1350</v>
      </c>
    </row>
    <row r="140" spans="1:49" ht="30" customHeight="1" x14ac:dyDescent="0.25">
      <c r="A140" s="75" t="s">
        <v>93</v>
      </c>
      <c r="B140" s="67" t="s">
        <v>207</v>
      </c>
      <c r="C140" s="75" t="s">
        <v>316</v>
      </c>
      <c r="D140" s="67">
        <f t="shared" si="28"/>
        <v>38</v>
      </c>
      <c r="E140" s="67" t="s">
        <v>583</v>
      </c>
      <c r="F140" s="67" t="s">
        <v>240</v>
      </c>
      <c r="G140" s="68" t="s">
        <v>664</v>
      </c>
      <c r="H140" s="67">
        <v>1</v>
      </c>
      <c r="I140" s="67">
        <v>24</v>
      </c>
      <c r="J140" s="67">
        <v>2</v>
      </c>
      <c r="K140" s="68" t="s">
        <v>667</v>
      </c>
      <c r="L140" s="76" t="s">
        <v>240</v>
      </c>
      <c r="M140" s="68" t="s">
        <v>587</v>
      </c>
      <c r="N140" s="67" t="s">
        <v>240</v>
      </c>
      <c r="O140" s="67" t="s">
        <v>240</v>
      </c>
      <c r="P140" s="67" t="s">
        <v>240</v>
      </c>
      <c r="Q140" s="67" t="s">
        <v>240</v>
      </c>
      <c r="R140" s="67" t="s">
        <v>338</v>
      </c>
      <c r="S140" s="67">
        <f t="shared" si="30"/>
        <v>502</v>
      </c>
      <c r="T140" s="67">
        <v>251</v>
      </c>
      <c r="U140" s="67">
        <f t="shared" si="27"/>
        <v>251</v>
      </c>
      <c r="V140" s="67">
        <v>-17.567</v>
      </c>
      <c r="W140" s="67">
        <v>81.542000000000002</v>
      </c>
      <c r="AI140" s="70">
        <f t="shared" si="29"/>
        <v>81.542000000000002</v>
      </c>
      <c r="AL140" s="68" t="s">
        <v>663</v>
      </c>
      <c r="AP140" s="67">
        <f t="shared" si="31"/>
        <v>-1.9230668392521143E-2</v>
      </c>
      <c r="AQ140" s="67">
        <f t="shared" si="32"/>
        <v>913.48878995967982</v>
      </c>
      <c r="AS140" s="67">
        <f t="shared" si="33"/>
        <v>8.0016132173364781E-3</v>
      </c>
      <c r="AU140" s="67">
        <f t="shared" si="34"/>
        <v>500</v>
      </c>
      <c r="AV140" s="67">
        <f t="shared" si="35"/>
        <v>1</v>
      </c>
      <c r="AW140" s="67" t="s">
        <v>1350</v>
      </c>
    </row>
    <row r="141" spans="1:49" ht="30" customHeight="1" x14ac:dyDescent="0.25">
      <c r="A141" s="75" t="s">
        <v>93</v>
      </c>
      <c r="B141" s="67" t="s">
        <v>207</v>
      </c>
      <c r="C141" s="75" t="s">
        <v>661</v>
      </c>
      <c r="D141" s="67">
        <f t="shared" si="28"/>
        <v>39</v>
      </c>
      <c r="E141" s="67" t="s">
        <v>577</v>
      </c>
      <c r="F141" s="67" t="s">
        <v>240</v>
      </c>
      <c r="G141" s="68" t="s">
        <v>664</v>
      </c>
      <c r="H141" s="67">
        <v>1</v>
      </c>
      <c r="I141" s="68">
        <v>24</v>
      </c>
      <c r="J141" s="67">
        <v>2</v>
      </c>
      <c r="K141" s="68" t="s">
        <v>667</v>
      </c>
      <c r="L141" s="76" t="s">
        <v>240</v>
      </c>
      <c r="M141" s="68" t="s">
        <v>587</v>
      </c>
      <c r="N141" s="67" t="s">
        <v>240</v>
      </c>
      <c r="O141" s="67" t="s">
        <v>240</v>
      </c>
      <c r="P141" s="67" t="s">
        <v>240</v>
      </c>
      <c r="Q141" s="67" t="s">
        <v>240</v>
      </c>
      <c r="R141" s="67" t="s">
        <v>338</v>
      </c>
      <c r="S141" s="67">
        <f t="shared" si="30"/>
        <v>818</v>
      </c>
      <c r="T141" s="67">
        <v>409</v>
      </c>
      <c r="U141" s="67">
        <f t="shared" si="27"/>
        <v>409</v>
      </c>
      <c r="V141" s="67">
        <v>163.31200000000001</v>
      </c>
      <c r="W141" s="67">
        <v>45.978999999999999</v>
      </c>
      <c r="AI141" s="70">
        <f t="shared" si="29"/>
        <v>45.978999999999999</v>
      </c>
      <c r="AL141" s="68" t="s">
        <v>663</v>
      </c>
      <c r="AP141" s="67">
        <f t="shared" si="31"/>
        <v>0.24837731027519852</v>
      </c>
      <c r="AQ141" s="67">
        <f t="shared" si="32"/>
        <v>657.51577637688661</v>
      </c>
      <c r="AS141" s="67">
        <f t="shared" si="33"/>
        <v>5.0535658788929232E-3</v>
      </c>
      <c r="AU141" s="67">
        <f t="shared" si="34"/>
        <v>816</v>
      </c>
      <c r="AV141" s="67">
        <f t="shared" si="35"/>
        <v>1</v>
      </c>
      <c r="AW141" s="67" t="s">
        <v>1350</v>
      </c>
    </row>
    <row r="142" spans="1:49" ht="30" customHeight="1" x14ac:dyDescent="0.25">
      <c r="A142" s="75" t="s">
        <v>93</v>
      </c>
      <c r="B142" s="67" t="s">
        <v>207</v>
      </c>
      <c r="C142" s="75" t="s">
        <v>316</v>
      </c>
      <c r="D142" s="67">
        <f t="shared" si="28"/>
        <v>40</v>
      </c>
      <c r="E142" s="67" t="s">
        <v>577</v>
      </c>
      <c r="F142" s="67" t="s">
        <v>240</v>
      </c>
      <c r="G142" s="68" t="s">
        <v>664</v>
      </c>
      <c r="H142" s="67">
        <v>1</v>
      </c>
      <c r="I142" s="68">
        <v>24</v>
      </c>
      <c r="J142" s="67">
        <v>2</v>
      </c>
      <c r="K142" s="68" t="s">
        <v>667</v>
      </c>
      <c r="L142" s="76" t="s">
        <v>240</v>
      </c>
      <c r="M142" s="68" t="s">
        <v>587</v>
      </c>
      <c r="N142" s="67" t="s">
        <v>240</v>
      </c>
      <c r="O142" s="67" t="s">
        <v>240</v>
      </c>
      <c r="P142" s="67" t="s">
        <v>240</v>
      </c>
      <c r="Q142" s="67" t="s">
        <v>240</v>
      </c>
      <c r="R142" s="67" t="s">
        <v>338</v>
      </c>
      <c r="S142" s="67">
        <f t="shared" si="30"/>
        <v>388</v>
      </c>
      <c r="T142" s="67">
        <v>194</v>
      </c>
      <c r="U142" s="67">
        <f t="shared" si="27"/>
        <v>194</v>
      </c>
      <c r="V142" s="67">
        <v>123.872</v>
      </c>
      <c r="W142" s="67">
        <v>88.116</v>
      </c>
      <c r="AI142" s="70">
        <f t="shared" si="29"/>
        <v>88.116</v>
      </c>
      <c r="AL142" s="68" t="s">
        <v>663</v>
      </c>
      <c r="AP142" s="67">
        <f t="shared" si="31"/>
        <v>0.14273566681128474</v>
      </c>
      <c r="AQ142" s="67">
        <f t="shared" si="32"/>
        <v>867.84195406306549</v>
      </c>
      <c r="AS142" s="67">
        <f t="shared" si="33"/>
        <v>1.0469084334528887E-2</v>
      </c>
      <c r="AU142" s="67">
        <f t="shared" si="34"/>
        <v>386</v>
      </c>
      <c r="AV142" s="67">
        <f t="shared" si="35"/>
        <v>1</v>
      </c>
      <c r="AW142" s="67" t="s">
        <v>1350</v>
      </c>
    </row>
    <row r="143" spans="1:49" ht="30" customHeight="1" x14ac:dyDescent="0.25">
      <c r="A143" s="75" t="s">
        <v>93</v>
      </c>
      <c r="B143" s="67" t="s">
        <v>207</v>
      </c>
      <c r="C143" s="75" t="s">
        <v>661</v>
      </c>
      <c r="D143" s="67">
        <f t="shared" si="28"/>
        <v>41</v>
      </c>
      <c r="E143" s="67" t="s">
        <v>583</v>
      </c>
      <c r="F143" s="67" t="s">
        <v>240</v>
      </c>
      <c r="G143" s="68" t="s">
        <v>665</v>
      </c>
      <c r="H143" s="67">
        <v>1</v>
      </c>
      <c r="I143" s="67">
        <v>12</v>
      </c>
      <c r="J143" s="67">
        <v>2</v>
      </c>
      <c r="K143" s="68" t="s">
        <v>667</v>
      </c>
      <c r="L143" s="76" t="s">
        <v>240</v>
      </c>
      <c r="M143" s="68" t="s">
        <v>587</v>
      </c>
      <c r="N143" s="67" t="s">
        <v>240</v>
      </c>
      <c r="O143" s="67" t="s">
        <v>240</v>
      </c>
      <c r="P143" s="67" t="s">
        <v>240</v>
      </c>
      <c r="Q143" s="67" t="s">
        <v>240</v>
      </c>
      <c r="R143" s="67" t="s">
        <v>338</v>
      </c>
      <c r="S143" s="67">
        <f t="shared" si="30"/>
        <v>1324</v>
      </c>
      <c r="T143" s="67">
        <v>662</v>
      </c>
      <c r="U143" s="67">
        <f t="shared" si="27"/>
        <v>662</v>
      </c>
      <c r="V143" s="67">
        <v>42.625999999999998</v>
      </c>
      <c r="W143" s="67">
        <v>30.475999999999999</v>
      </c>
      <c r="AI143" s="70">
        <f t="shared" si="29"/>
        <v>30.475999999999999</v>
      </c>
      <c r="AL143" s="68" t="s">
        <v>663</v>
      </c>
      <c r="AP143" s="67">
        <f t="shared" si="31"/>
        <v>7.6878095995035048E-2</v>
      </c>
      <c r="AQ143" s="67">
        <f t="shared" si="32"/>
        <v>554.46222292956986</v>
      </c>
      <c r="AS143" s="67">
        <f t="shared" si="33"/>
        <v>3.0346804448599511E-3</v>
      </c>
      <c r="AU143" s="67">
        <f t="shared" si="34"/>
        <v>1322</v>
      </c>
      <c r="AV143" s="67">
        <f t="shared" si="35"/>
        <v>1</v>
      </c>
      <c r="AW143" s="67" t="s">
        <v>1350</v>
      </c>
    </row>
    <row r="144" spans="1:49" ht="30" customHeight="1" x14ac:dyDescent="0.25">
      <c r="A144" s="75" t="s">
        <v>93</v>
      </c>
      <c r="B144" s="67" t="s">
        <v>207</v>
      </c>
      <c r="C144" s="75" t="s">
        <v>316</v>
      </c>
      <c r="D144" s="67">
        <f t="shared" si="28"/>
        <v>42</v>
      </c>
      <c r="E144" s="67" t="s">
        <v>583</v>
      </c>
      <c r="F144" s="67" t="s">
        <v>240</v>
      </c>
      <c r="G144" s="68" t="s">
        <v>665</v>
      </c>
      <c r="H144" s="67">
        <v>1</v>
      </c>
      <c r="I144" s="67">
        <v>12</v>
      </c>
      <c r="J144" s="67">
        <v>2</v>
      </c>
      <c r="K144" s="68" t="s">
        <v>667</v>
      </c>
      <c r="L144" s="76" t="s">
        <v>240</v>
      </c>
      <c r="M144" s="68" t="s">
        <v>587</v>
      </c>
      <c r="N144" s="67" t="s">
        <v>240</v>
      </c>
      <c r="O144" s="67" t="s">
        <v>240</v>
      </c>
      <c r="P144" s="67" t="s">
        <v>240</v>
      </c>
      <c r="Q144" s="67" t="s">
        <v>240</v>
      </c>
      <c r="R144" s="67" t="s">
        <v>338</v>
      </c>
      <c r="S144" s="67">
        <f t="shared" si="30"/>
        <v>540</v>
      </c>
      <c r="T144" s="67">
        <v>270</v>
      </c>
      <c r="U144" s="67">
        <f t="shared" si="27"/>
        <v>270</v>
      </c>
      <c r="V144" s="67">
        <v>-175.649</v>
      </c>
      <c r="W144" s="67">
        <v>38.039000000000001</v>
      </c>
      <c r="AI144" s="70">
        <f t="shared" ref="AI144:AI156" si="36">+W144</f>
        <v>38.039000000000001</v>
      </c>
      <c r="AL144" s="68" t="s">
        <v>663</v>
      </c>
      <c r="AP144" s="67">
        <f t="shared" si="31"/>
        <v>-0.39741998812796608</v>
      </c>
      <c r="AQ144" s="67">
        <f t="shared" si="32"/>
        <v>441.97324051915177</v>
      </c>
      <c r="AS144" s="67">
        <f t="shared" si="33"/>
        <v>8.0243852222247215E-3</v>
      </c>
      <c r="AU144" s="67">
        <f t="shared" si="34"/>
        <v>538</v>
      </c>
      <c r="AV144" s="67">
        <f t="shared" si="35"/>
        <v>1</v>
      </c>
      <c r="AW144" s="67" t="s">
        <v>1350</v>
      </c>
    </row>
    <row r="145" spans="1:49" ht="30" customHeight="1" x14ac:dyDescent="0.25">
      <c r="A145" s="75" t="s">
        <v>93</v>
      </c>
      <c r="B145" s="67" t="s">
        <v>207</v>
      </c>
      <c r="C145" s="75" t="s">
        <v>661</v>
      </c>
      <c r="D145" s="67">
        <f t="shared" si="28"/>
        <v>43</v>
      </c>
      <c r="E145" s="67" t="s">
        <v>577</v>
      </c>
      <c r="F145" s="67" t="s">
        <v>240</v>
      </c>
      <c r="G145" s="68" t="s">
        <v>665</v>
      </c>
      <c r="H145" s="67">
        <v>1</v>
      </c>
      <c r="I145" s="68">
        <v>12</v>
      </c>
      <c r="J145" s="67">
        <v>2</v>
      </c>
      <c r="K145" s="68" t="s">
        <v>667</v>
      </c>
      <c r="L145" s="76" t="s">
        <v>240</v>
      </c>
      <c r="M145" s="68" t="s">
        <v>587</v>
      </c>
      <c r="N145" s="67" t="s">
        <v>240</v>
      </c>
      <c r="O145" s="67" t="s">
        <v>240</v>
      </c>
      <c r="P145" s="67" t="s">
        <v>240</v>
      </c>
      <c r="Q145" s="67" t="s">
        <v>240</v>
      </c>
      <c r="R145" s="67" t="s">
        <v>338</v>
      </c>
      <c r="S145" s="67">
        <f t="shared" si="30"/>
        <v>994</v>
      </c>
      <c r="T145" s="67">
        <v>497</v>
      </c>
      <c r="U145" s="67">
        <f t="shared" si="27"/>
        <v>497</v>
      </c>
      <c r="V145" s="67">
        <v>46.941000000000003</v>
      </c>
      <c r="W145" s="67">
        <v>31.321000000000002</v>
      </c>
      <c r="AI145" s="70">
        <f t="shared" si="36"/>
        <v>31.321000000000002</v>
      </c>
      <c r="AL145" s="68" t="s">
        <v>663</v>
      </c>
      <c r="AP145" s="67">
        <f t="shared" si="31"/>
        <v>9.5072195071641608E-2</v>
      </c>
      <c r="AQ145" s="67">
        <f t="shared" si="32"/>
        <v>493.74057225277733</v>
      </c>
      <c r="AS145" s="67">
        <f t="shared" si="33"/>
        <v>4.0505344998111635E-3</v>
      </c>
      <c r="AU145" s="67">
        <f t="shared" si="34"/>
        <v>992</v>
      </c>
      <c r="AV145" s="67">
        <f t="shared" si="35"/>
        <v>1</v>
      </c>
      <c r="AW145" s="67" t="s">
        <v>1350</v>
      </c>
    </row>
    <row r="146" spans="1:49" ht="30" customHeight="1" x14ac:dyDescent="0.25">
      <c r="A146" s="75" t="s">
        <v>93</v>
      </c>
      <c r="B146" s="67" t="s">
        <v>207</v>
      </c>
      <c r="C146" s="75" t="s">
        <v>316</v>
      </c>
      <c r="D146" s="67">
        <f t="shared" si="28"/>
        <v>44</v>
      </c>
      <c r="E146" s="67" t="s">
        <v>577</v>
      </c>
      <c r="F146" s="67" t="s">
        <v>240</v>
      </c>
      <c r="G146" s="68" t="s">
        <v>665</v>
      </c>
      <c r="H146" s="67">
        <v>1</v>
      </c>
      <c r="I146" s="68">
        <v>12</v>
      </c>
      <c r="J146" s="67">
        <v>2</v>
      </c>
      <c r="K146" s="68" t="s">
        <v>667</v>
      </c>
      <c r="L146" s="76" t="s">
        <v>240</v>
      </c>
      <c r="M146" s="68" t="s">
        <v>587</v>
      </c>
      <c r="N146" s="67" t="s">
        <v>240</v>
      </c>
      <c r="O146" s="67" t="s">
        <v>240</v>
      </c>
      <c r="P146" s="67" t="s">
        <v>240</v>
      </c>
      <c r="Q146" s="67" t="s">
        <v>240</v>
      </c>
      <c r="R146" s="67" t="s">
        <v>338</v>
      </c>
      <c r="S146" s="67">
        <f t="shared" si="30"/>
        <v>402</v>
      </c>
      <c r="T146" s="67">
        <v>201</v>
      </c>
      <c r="U146" s="67">
        <f t="shared" si="27"/>
        <v>201</v>
      </c>
      <c r="V146" s="67">
        <v>-128.16</v>
      </c>
      <c r="W146" s="67">
        <v>45.701999999999998</v>
      </c>
      <c r="AI146" s="70">
        <f t="shared" si="36"/>
        <v>45.701999999999998</v>
      </c>
      <c r="AL146" s="68" t="s">
        <v>663</v>
      </c>
      <c r="AP146" s="67">
        <f t="shared" si="31"/>
        <v>-0.27972691898725272</v>
      </c>
      <c r="AQ146" s="67">
        <f t="shared" si="32"/>
        <v>458.16112537184995</v>
      </c>
      <c r="AS146" s="67">
        <f t="shared" si="33"/>
        <v>1.0393451761054681E-2</v>
      </c>
      <c r="AU146" s="67">
        <f t="shared" si="34"/>
        <v>400</v>
      </c>
      <c r="AV146" s="67">
        <f t="shared" si="35"/>
        <v>1</v>
      </c>
      <c r="AW146" s="67" t="s">
        <v>1350</v>
      </c>
    </row>
    <row r="147" spans="1:49" ht="30" customHeight="1" x14ac:dyDescent="0.25">
      <c r="A147" s="75" t="s">
        <v>93</v>
      </c>
      <c r="B147" s="67" t="s">
        <v>207</v>
      </c>
      <c r="C147" s="75" t="s">
        <v>661</v>
      </c>
      <c r="D147" s="67">
        <f t="shared" si="28"/>
        <v>45</v>
      </c>
      <c r="E147" s="67" t="s">
        <v>583</v>
      </c>
      <c r="F147" s="67" t="s">
        <v>240</v>
      </c>
      <c r="G147" s="68" t="s">
        <v>665</v>
      </c>
      <c r="H147" s="67">
        <v>1</v>
      </c>
      <c r="I147" s="67">
        <v>24</v>
      </c>
      <c r="J147" s="67">
        <v>2</v>
      </c>
      <c r="K147" s="68" t="s">
        <v>667</v>
      </c>
      <c r="L147" s="76" t="s">
        <v>240</v>
      </c>
      <c r="M147" s="68" t="s">
        <v>587</v>
      </c>
      <c r="N147" s="67" t="s">
        <v>240</v>
      </c>
      <c r="O147" s="67" t="s">
        <v>240</v>
      </c>
      <c r="P147" s="67" t="s">
        <v>240</v>
      </c>
      <c r="Q147" s="67" t="s">
        <v>240</v>
      </c>
      <c r="R147" s="67" t="s">
        <v>338</v>
      </c>
      <c r="S147" s="67">
        <f t="shared" si="30"/>
        <v>1324</v>
      </c>
      <c r="T147" s="67">
        <v>662</v>
      </c>
      <c r="U147" s="67">
        <f t="shared" si="27"/>
        <v>662</v>
      </c>
      <c r="V147" s="67">
        <v>86.533000000000001</v>
      </c>
      <c r="W147" s="67">
        <v>40.003</v>
      </c>
      <c r="AI147" s="70">
        <f t="shared" si="36"/>
        <v>40.003</v>
      </c>
      <c r="AL147" s="68" t="s">
        <v>663</v>
      </c>
      <c r="AP147" s="67">
        <f t="shared" si="31"/>
        <v>0.11889817850989479</v>
      </c>
      <c r="AQ147" s="67">
        <f t="shared" si="32"/>
        <v>727.79079616260617</v>
      </c>
      <c r="AS147" s="67">
        <f t="shared" si="33"/>
        <v>3.047144892146541E-3</v>
      </c>
      <c r="AU147" s="67">
        <f t="shared" si="34"/>
        <v>1322</v>
      </c>
      <c r="AV147" s="67">
        <f t="shared" si="35"/>
        <v>1</v>
      </c>
      <c r="AW147" s="67" t="s">
        <v>1350</v>
      </c>
    </row>
    <row r="148" spans="1:49" ht="30" customHeight="1" x14ac:dyDescent="0.25">
      <c r="A148" s="75" t="s">
        <v>93</v>
      </c>
      <c r="B148" s="67" t="s">
        <v>207</v>
      </c>
      <c r="C148" s="75" t="s">
        <v>316</v>
      </c>
      <c r="D148" s="67">
        <f t="shared" si="28"/>
        <v>46</v>
      </c>
      <c r="E148" s="67" t="s">
        <v>583</v>
      </c>
      <c r="F148" s="67" t="s">
        <v>240</v>
      </c>
      <c r="G148" s="68" t="s">
        <v>665</v>
      </c>
      <c r="H148" s="67">
        <v>1</v>
      </c>
      <c r="I148" s="67">
        <v>24</v>
      </c>
      <c r="J148" s="67">
        <v>2</v>
      </c>
      <c r="K148" s="68" t="s">
        <v>667</v>
      </c>
      <c r="L148" s="76" t="s">
        <v>240</v>
      </c>
      <c r="M148" s="68" t="s">
        <v>587</v>
      </c>
      <c r="N148" s="67" t="s">
        <v>240</v>
      </c>
      <c r="O148" s="67" t="s">
        <v>240</v>
      </c>
      <c r="P148" s="67" t="s">
        <v>240</v>
      </c>
      <c r="Q148" s="67" t="s">
        <v>240</v>
      </c>
      <c r="R148" s="67" t="s">
        <v>338</v>
      </c>
      <c r="S148" s="67">
        <f t="shared" si="30"/>
        <v>540</v>
      </c>
      <c r="T148" s="67">
        <v>270</v>
      </c>
      <c r="U148" s="67">
        <f t="shared" si="27"/>
        <v>270</v>
      </c>
      <c r="V148" s="67">
        <v>179.11199999999999</v>
      </c>
      <c r="W148" s="67">
        <v>70.706000000000003</v>
      </c>
      <c r="AI148" s="70">
        <f t="shared" si="36"/>
        <v>70.706000000000003</v>
      </c>
      <c r="AL148" s="68" t="s">
        <v>663</v>
      </c>
      <c r="AP148" s="67">
        <f t="shared" si="31"/>
        <v>0.21802260788991751</v>
      </c>
      <c r="AQ148" s="67">
        <f t="shared" si="32"/>
        <v>821.52948143082483</v>
      </c>
      <c r="AS148" s="67">
        <f t="shared" si="33"/>
        <v>7.6124121274019144E-3</v>
      </c>
      <c r="AU148" s="67">
        <f t="shared" si="34"/>
        <v>538</v>
      </c>
      <c r="AV148" s="67">
        <f t="shared" si="35"/>
        <v>1</v>
      </c>
      <c r="AW148" s="67" t="s">
        <v>1350</v>
      </c>
    </row>
    <row r="149" spans="1:49" ht="30" customHeight="1" x14ac:dyDescent="0.25">
      <c r="A149" s="75" t="s">
        <v>93</v>
      </c>
      <c r="B149" s="67" t="s">
        <v>207</v>
      </c>
      <c r="C149" s="75" t="s">
        <v>661</v>
      </c>
      <c r="D149" s="67">
        <f t="shared" si="28"/>
        <v>47</v>
      </c>
      <c r="E149" s="67" t="s">
        <v>577</v>
      </c>
      <c r="F149" s="67" t="s">
        <v>240</v>
      </c>
      <c r="G149" s="68" t="s">
        <v>665</v>
      </c>
      <c r="H149" s="67">
        <v>1</v>
      </c>
      <c r="I149" s="68">
        <v>24</v>
      </c>
      <c r="J149" s="67">
        <v>2</v>
      </c>
      <c r="K149" s="68" t="s">
        <v>667</v>
      </c>
      <c r="L149" s="76" t="s">
        <v>240</v>
      </c>
      <c r="M149" s="68" t="s">
        <v>587</v>
      </c>
      <c r="N149" s="67" t="s">
        <v>240</v>
      </c>
      <c r="O149" s="67" t="s">
        <v>240</v>
      </c>
      <c r="P149" s="67" t="s">
        <v>240</v>
      </c>
      <c r="Q149" s="67" t="s">
        <v>240</v>
      </c>
      <c r="R149" s="67" t="s">
        <v>338</v>
      </c>
      <c r="S149" s="67">
        <f t="shared" ref="S149:S150" si="37">T149+U149</f>
        <v>994</v>
      </c>
      <c r="T149" s="67">
        <v>497</v>
      </c>
      <c r="U149" s="67">
        <f t="shared" si="27"/>
        <v>497</v>
      </c>
      <c r="V149" s="67">
        <v>174.03899999999999</v>
      </c>
      <c r="W149" s="67">
        <v>40.091000000000001</v>
      </c>
      <c r="AI149" s="70">
        <f t="shared" si="36"/>
        <v>40.091000000000001</v>
      </c>
      <c r="AL149" s="68" t="s">
        <v>663</v>
      </c>
      <c r="AP149" s="67">
        <f t="shared" si="31"/>
        <v>0.27538259850024699</v>
      </c>
      <c r="AQ149" s="67">
        <f t="shared" si="32"/>
        <v>631.98982414948739</v>
      </c>
      <c r="AS149" s="67">
        <f t="shared" si="33"/>
        <v>4.1854776377525998E-3</v>
      </c>
      <c r="AU149" s="67">
        <f t="shared" si="34"/>
        <v>992</v>
      </c>
      <c r="AV149" s="67">
        <f t="shared" si="35"/>
        <v>1</v>
      </c>
      <c r="AW149" s="67" t="s">
        <v>1350</v>
      </c>
    </row>
    <row r="150" spans="1:49" ht="30" customHeight="1" x14ac:dyDescent="0.25">
      <c r="A150" s="75" t="s">
        <v>93</v>
      </c>
      <c r="B150" s="67" t="s">
        <v>207</v>
      </c>
      <c r="C150" s="75" t="s">
        <v>316</v>
      </c>
      <c r="D150" s="67">
        <f t="shared" si="28"/>
        <v>48</v>
      </c>
      <c r="E150" s="67" t="s">
        <v>577</v>
      </c>
      <c r="F150" s="67" t="s">
        <v>240</v>
      </c>
      <c r="G150" s="68" t="s">
        <v>665</v>
      </c>
      <c r="H150" s="67">
        <v>1</v>
      </c>
      <c r="I150" s="67">
        <v>24</v>
      </c>
      <c r="J150" s="67">
        <v>2</v>
      </c>
      <c r="K150" s="68" t="s">
        <v>667</v>
      </c>
      <c r="L150" s="76" t="s">
        <v>240</v>
      </c>
      <c r="M150" s="68" t="s">
        <v>587</v>
      </c>
      <c r="N150" s="67" t="s">
        <v>240</v>
      </c>
      <c r="O150" s="67" t="s">
        <v>240</v>
      </c>
      <c r="P150" s="67" t="s">
        <v>240</v>
      </c>
      <c r="Q150" s="67" t="s">
        <v>240</v>
      </c>
      <c r="R150" s="67" t="s">
        <v>338</v>
      </c>
      <c r="S150" s="67">
        <f t="shared" si="37"/>
        <v>402</v>
      </c>
      <c r="T150" s="67">
        <v>201</v>
      </c>
      <c r="U150" s="67">
        <f t="shared" si="27"/>
        <v>201</v>
      </c>
      <c r="V150" s="67">
        <v>148.351</v>
      </c>
      <c r="W150" s="67">
        <v>69.05</v>
      </c>
      <c r="AI150" s="70">
        <f t="shared" si="36"/>
        <v>69.05</v>
      </c>
      <c r="AL150" s="68" t="s">
        <v>663</v>
      </c>
      <c r="AP150" s="67">
        <f t="shared" si="31"/>
        <v>0.21431065535250318</v>
      </c>
      <c r="AQ150" s="67">
        <f t="shared" si="32"/>
        <v>692.22409756523211</v>
      </c>
      <c r="AS150" s="67">
        <f t="shared" si="33"/>
        <v>1.0231049287645224E-2</v>
      </c>
      <c r="AU150" s="67">
        <f t="shared" si="34"/>
        <v>400</v>
      </c>
      <c r="AV150" s="67">
        <f t="shared" si="35"/>
        <v>1</v>
      </c>
      <c r="AW150" s="67" t="s">
        <v>1350</v>
      </c>
    </row>
    <row r="151" spans="1:49" ht="30" customHeight="1" x14ac:dyDescent="0.25">
      <c r="A151" s="67" t="s">
        <v>112</v>
      </c>
      <c r="B151" s="67" t="s">
        <v>293</v>
      </c>
      <c r="C151" s="67" t="s">
        <v>112</v>
      </c>
      <c r="D151" s="67">
        <v>1</v>
      </c>
      <c r="E151" s="67" t="s">
        <v>605</v>
      </c>
      <c r="F151" s="67" t="s">
        <v>240</v>
      </c>
      <c r="G151" s="68" t="s">
        <v>627</v>
      </c>
      <c r="H151" s="67">
        <v>1</v>
      </c>
      <c r="I151" s="67">
        <v>3.5</v>
      </c>
      <c r="J151" s="67">
        <v>1</v>
      </c>
      <c r="K151" s="68" t="s">
        <v>647</v>
      </c>
      <c r="L151" s="67" t="s">
        <v>240</v>
      </c>
      <c r="M151" s="68" t="s">
        <v>570</v>
      </c>
      <c r="N151" s="67" t="s">
        <v>240</v>
      </c>
      <c r="O151" s="69">
        <v>0.08</v>
      </c>
      <c r="P151" s="67" t="s">
        <v>240</v>
      </c>
      <c r="Q151" s="67" t="s">
        <v>240</v>
      </c>
      <c r="R151" s="67" t="s">
        <v>311</v>
      </c>
      <c r="S151" s="78">
        <f t="shared" ref="S151:S156" si="38">(T151+U151)</f>
        <v>301.76</v>
      </c>
      <c r="T151" s="78">
        <f t="shared" ref="T151:T156" si="39">(1-O151)*178</f>
        <v>163.76000000000002</v>
      </c>
      <c r="U151" s="78">
        <f t="shared" ref="U151:U156" si="40">(1-O151)*150</f>
        <v>138</v>
      </c>
      <c r="V151" s="67">
        <v>7.0000000000000007E-2</v>
      </c>
      <c r="W151" s="67">
        <v>0.06</v>
      </c>
      <c r="X151" s="67">
        <v>0.5</v>
      </c>
      <c r="Y151" s="67">
        <v>0.6</v>
      </c>
      <c r="AI151" s="70">
        <f t="shared" si="36"/>
        <v>0.06</v>
      </c>
      <c r="AL151" s="68" t="s">
        <v>668</v>
      </c>
      <c r="AM151" s="67" t="s">
        <v>30</v>
      </c>
    </row>
    <row r="152" spans="1:49" ht="30" customHeight="1" x14ac:dyDescent="0.25">
      <c r="A152" s="67" t="s">
        <v>112</v>
      </c>
      <c r="B152" s="67" t="s">
        <v>293</v>
      </c>
      <c r="C152" s="67" t="s">
        <v>112</v>
      </c>
      <c r="D152" s="67">
        <f>D151+1</f>
        <v>2</v>
      </c>
      <c r="E152" s="67" t="s">
        <v>605</v>
      </c>
      <c r="F152" s="67" t="s">
        <v>240</v>
      </c>
      <c r="G152" s="68" t="s">
        <v>627</v>
      </c>
      <c r="H152" s="67">
        <v>1</v>
      </c>
      <c r="I152" s="67">
        <v>12</v>
      </c>
      <c r="J152" s="67">
        <v>1</v>
      </c>
      <c r="K152" s="68" t="s">
        <v>647</v>
      </c>
      <c r="L152" s="67" t="s">
        <v>240</v>
      </c>
      <c r="M152" s="68" t="s">
        <v>570</v>
      </c>
      <c r="N152" s="67" t="s">
        <v>240</v>
      </c>
      <c r="O152" s="69">
        <v>0.21</v>
      </c>
      <c r="P152" s="67" t="s">
        <v>240</v>
      </c>
      <c r="Q152" s="67" t="s">
        <v>240</v>
      </c>
      <c r="R152" s="67" t="s">
        <v>311</v>
      </c>
      <c r="S152" s="78">
        <f t="shared" si="38"/>
        <v>259.12</v>
      </c>
      <c r="T152" s="78">
        <f t="shared" si="39"/>
        <v>140.62</v>
      </c>
      <c r="U152" s="78">
        <f t="shared" si="40"/>
        <v>118.5</v>
      </c>
      <c r="V152" s="67">
        <v>0.15</v>
      </c>
      <c r="W152" s="67">
        <v>7.0000000000000007E-2</v>
      </c>
      <c r="X152" s="67">
        <v>0.5</v>
      </c>
      <c r="Y152" s="67">
        <v>0.6</v>
      </c>
      <c r="AI152" s="70">
        <f t="shared" si="36"/>
        <v>7.0000000000000007E-2</v>
      </c>
      <c r="AL152" s="68" t="s">
        <v>669</v>
      </c>
      <c r="AM152" s="67" t="s">
        <v>30</v>
      </c>
    </row>
    <row r="153" spans="1:49" ht="30" customHeight="1" x14ac:dyDescent="0.25">
      <c r="A153" s="67" t="s">
        <v>112</v>
      </c>
      <c r="B153" s="67" t="s">
        <v>293</v>
      </c>
      <c r="C153" s="67" t="s">
        <v>112</v>
      </c>
      <c r="D153" s="67">
        <f>D152+1</f>
        <v>3</v>
      </c>
      <c r="E153" s="67" t="s">
        <v>605</v>
      </c>
      <c r="F153" s="67" t="s">
        <v>240</v>
      </c>
      <c r="G153" s="68" t="s">
        <v>627</v>
      </c>
      <c r="H153" s="67">
        <v>1</v>
      </c>
      <c r="I153" s="67">
        <v>3.5</v>
      </c>
      <c r="J153" s="67">
        <v>2</v>
      </c>
      <c r="K153" s="68" t="s">
        <v>670</v>
      </c>
      <c r="L153" s="67" t="s">
        <v>671</v>
      </c>
      <c r="M153" s="68" t="s">
        <v>570</v>
      </c>
      <c r="N153" s="67" t="s">
        <v>240</v>
      </c>
      <c r="O153" s="69">
        <v>0.08</v>
      </c>
      <c r="P153" s="67" t="s">
        <v>240</v>
      </c>
      <c r="Q153" s="67" t="s">
        <v>240</v>
      </c>
      <c r="R153" s="67" t="s">
        <v>311</v>
      </c>
      <c r="S153" s="78">
        <f t="shared" si="38"/>
        <v>301.76</v>
      </c>
      <c r="T153" s="78">
        <f t="shared" si="39"/>
        <v>163.76000000000002</v>
      </c>
      <c r="U153" s="78">
        <f t="shared" si="40"/>
        <v>138</v>
      </c>
      <c r="V153" s="67">
        <v>92.73</v>
      </c>
      <c r="W153" s="67">
        <v>62.36</v>
      </c>
      <c r="X153" s="67">
        <v>416.1</v>
      </c>
      <c r="Y153" s="67">
        <v>498.6</v>
      </c>
      <c r="Z153" s="81">
        <v>427.6465</v>
      </c>
      <c r="AI153" s="70">
        <f t="shared" si="36"/>
        <v>62.36</v>
      </c>
      <c r="AL153" s="68" t="s">
        <v>668</v>
      </c>
      <c r="AM153" s="67" t="s">
        <v>30</v>
      </c>
      <c r="AP153" s="67">
        <f>+V153/AQ153</f>
        <v>0.17183100522793776</v>
      </c>
      <c r="AQ153" s="67">
        <f>+W153*SQRT(T153*U153/S153)</f>
        <v>539.65813606800202</v>
      </c>
      <c r="AS153" s="67">
        <f>+AP153^2/(AU153-2)*(AU153/(V153/AI153)^2+AU153*AV153^2-AU153+2)</f>
        <v>1.349218454109947E-2</v>
      </c>
      <c r="AU153" s="67">
        <f>+S153-2</f>
        <v>299.76</v>
      </c>
      <c r="AV153" s="67">
        <f>IFERROR(1/(SQRT(AU153/2)*_xlfn.GAMMA(AU153/2-0.5)/_xlfn.GAMMA(AU153/2)),1)</f>
        <v>0.99749556134276973</v>
      </c>
      <c r="AW153" s="67" t="s">
        <v>1350</v>
      </c>
    </row>
    <row r="154" spans="1:49" ht="30" customHeight="1" x14ac:dyDescent="0.25">
      <c r="A154" s="67" t="s">
        <v>112</v>
      </c>
      <c r="B154" s="67" t="s">
        <v>293</v>
      </c>
      <c r="C154" s="67" t="s">
        <v>112</v>
      </c>
      <c r="D154" s="67">
        <f>D153+1</f>
        <v>4</v>
      </c>
      <c r="E154" s="67" t="s">
        <v>605</v>
      </c>
      <c r="F154" s="67" t="s">
        <v>240</v>
      </c>
      <c r="G154" s="68" t="s">
        <v>627</v>
      </c>
      <c r="H154" s="67">
        <v>1</v>
      </c>
      <c r="I154" s="67">
        <v>12</v>
      </c>
      <c r="J154" s="67">
        <v>2</v>
      </c>
      <c r="K154" s="68" t="s">
        <v>670</v>
      </c>
      <c r="L154" s="67" t="s">
        <v>671</v>
      </c>
      <c r="M154" s="68" t="s">
        <v>570</v>
      </c>
      <c r="N154" s="67" t="s">
        <v>240</v>
      </c>
      <c r="O154" s="69">
        <v>0.21</v>
      </c>
      <c r="P154" s="67" t="s">
        <v>240</v>
      </c>
      <c r="Q154" s="67" t="s">
        <v>240</v>
      </c>
      <c r="R154" s="67" t="s">
        <v>311</v>
      </c>
      <c r="S154" s="78">
        <f t="shared" si="38"/>
        <v>259.12</v>
      </c>
      <c r="T154" s="78">
        <f t="shared" si="39"/>
        <v>140.62</v>
      </c>
      <c r="U154" s="78">
        <f t="shared" si="40"/>
        <v>118.5</v>
      </c>
      <c r="V154" s="67">
        <v>191.47</v>
      </c>
      <c r="W154" s="67">
        <v>77.239999999999995</v>
      </c>
      <c r="X154" s="67">
        <v>416.1</v>
      </c>
      <c r="Y154" s="67">
        <v>498.6</v>
      </c>
      <c r="Z154" s="81">
        <v>427.6465</v>
      </c>
      <c r="AI154" s="70">
        <f t="shared" si="36"/>
        <v>77.239999999999995</v>
      </c>
      <c r="AL154" s="68" t="s">
        <v>669</v>
      </c>
      <c r="AM154" s="67" t="s">
        <v>30</v>
      </c>
      <c r="AP154" s="67">
        <f>+V154/AQ154</f>
        <v>0.30911936863578682</v>
      </c>
      <c r="AQ154" s="67">
        <f>+W154*SQRT(T154*U154/S154)</f>
        <v>619.40473301624581</v>
      </c>
      <c r="AS154" s="67">
        <f>+AP154^2/(AU154-2)*(AU154/(V154/AI154)^2+AU154*AV154^2-AU154+2)</f>
        <v>1.5859544721821335E-2</v>
      </c>
      <c r="AU154" s="67">
        <f>+S154-2</f>
        <v>257.12</v>
      </c>
      <c r="AV154" s="67">
        <f>IFERROR(1/(SQRT(AU154/2)*_xlfn.GAMMA(AU154/2-0.5)/_xlfn.GAMMA(AU154/2)),1)</f>
        <v>0.99707976107687224</v>
      </c>
      <c r="AW154" s="67" t="s">
        <v>1350</v>
      </c>
    </row>
    <row r="155" spans="1:49" ht="30" customHeight="1" x14ac:dyDescent="0.25">
      <c r="A155" s="67" t="s">
        <v>112</v>
      </c>
      <c r="B155" s="67" t="s">
        <v>293</v>
      </c>
      <c r="C155" s="67" t="s">
        <v>112</v>
      </c>
      <c r="D155" s="67">
        <f>D154+1</f>
        <v>5</v>
      </c>
      <c r="E155" s="67" t="s">
        <v>605</v>
      </c>
      <c r="F155" s="67" t="s">
        <v>240</v>
      </c>
      <c r="G155" s="68" t="s">
        <v>627</v>
      </c>
      <c r="H155" s="67">
        <v>1</v>
      </c>
      <c r="I155" s="67">
        <v>3.5</v>
      </c>
      <c r="J155" s="67">
        <v>4</v>
      </c>
      <c r="K155" s="68" t="s">
        <v>672</v>
      </c>
      <c r="L155" s="67" t="s">
        <v>671</v>
      </c>
      <c r="M155" s="68" t="s">
        <v>570</v>
      </c>
      <c r="N155" s="67" t="s">
        <v>240</v>
      </c>
      <c r="O155" s="69">
        <v>0.08</v>
      </c>
      <c r="P155" s="67" t="s">
        <v>240</v>
      </c>
      <c r="Q155" s="67" t="s">
        <v>240</v>
      </c>
      <c r="R155" s="67" t="s">
        <v>311</v>
      </c>
      <c r="S155" s="78">
        <f t="shared" si="38"/>
        <v>301.76</v>
      </c>
      <c r="T155" s="78">
        <f t="shared" si="39"/>
        <v>163.76000000000002</v>
      </c>
      <c r="U155" s="78">
        <f t="shared" si="40"/>
        <v>138</v>
      </c>
      <c r="V155" s="67">
        <v>61.41</v>
      </c>
      <c r="W155" s="67">
        <v>58.02</v>
      </c>
      <c r="X155" s="67">
        <v>416.1</v>
      </c>
      <c r="Y155" s="67">
        <v>498.6</v>
      </c>
      <c r="AI155" s="70">
        <f t="shared" si="36"/>
        <v>58.02</v>
      </c>
      <c r="AL155" s="68" t="s">
        <v>668</v>
      </c>
      <c r="AM155" s="67" t="s">
        <v>30</v>
      </c>
      <c r="AP155" s="67">
        <f>+V155/AQ155</f>
        <v>0.12230627811420275</v>
      </c>
      <c r="AQ155" s="67">
        <f>+W155*SQRT(T155*U155/S155)</f>
        <v>502.10014519989545</v>
      </c>
      <c r="AS155" s="67">
        <f>+AP155^2/(AU155-2)*(AU155/(V155/AI155)^2+AU155*AV155^2-AU155+2)</f>
        <v>1.3467702947439359E-2</v>
      </c>
      <c r="AU155" s="67">
        <f>+S155-2</f>
        <v>299.76</v>
      </c>
      <c r="AV155" s="67">
        <f>IFERROR(1/(SQRT(AU155/2)*_xlfn.GAMMA(AU155/2-0.5)/_xlfn.GAMMA(AU155/2)),1)</f>
        <v>0.99749556134276973</v>
      </c>
      <c r="AW155" s="67" t="s">
        <v>1350</v>
      </c>
    </row>
    <row r="156" spans="1:49" ht="30" customHeight="1" x14ac:dyDescent="0.25">
      <c r="A156" s="67" t="s">
        <v>112</v>
      </c>
      <c r="B156" s="67" t="s">
        <v>293</v>
      </c>
      <c r="C156" s="67" t="s">
        <v>112</v>
      </c>
      <c r="D156" s="67">
        <f>D155+1</f>
        <v>6</v>
      </c>
      <c r="E156" s="67" t="s">
        <v>605</v>
      </c>
      <c r="F156" s="67" t="s">
        <v>240</v>
      </c>
      <c r="G156" s="68" t="s">
        <v>627</v>
      </c>
      <c r="H156" s="67">
        <v>1</v>
      </c>
      <c r="I156" s="67">
        <v>12</v>
      </c>
      <c r="J156" s="67">
        <v>4</v>
      </c>
      <c r="K156" s="68" t="s">
        <v>672</v>
      </c>
      <c r="L156" s="67" t="s">
        <v>671</v>
      </c>
      <c r="M156" s="68" t="s">
        <v>570</v>
      </c>
      <c r="N156" s="67" t="s">
        <v>240</v>
      </c>
      <c r="O156" s="69">
        <v>0.21</v>
      </c>
      <c r="P156" s="67" t="s">
        <v>240</v>
      </c>
      <c r="Q156" s="67" t="s">
        <v>240</v>
      </c>
      <c r="R156" s="67" t="s">
        <v>311</v>
      </c>
      <c r="S156" s="78">
        <f t="shared" si="38"/>
        <v>259.12</v>
      </c>
      <c r="T156" s="78">
        <f t="shared" si="39"/>
        <v>140.62</v>
      </c>
      <c r="U156" s="78">
        <f t="shared" si="40"/>
        <v>118.5</v>
      </c>
      <c r="V156" s="67">
        <v>75.2</v>
      </c>
      <c r="W156" s="67">
        <v>81.3</v>
      </c>
      <c r="X156" s="67">
        <v>416.1</v>
      </c>
      <c r="Y156" s="67">
        <v>498.6</v>
      </c>
      <c r="AI156" s="70">
        <f t="shared" si="36"/>
        <v>81.3</v>
      </c>
      <c r="AL156" s="68" t="s">
        <v>669</v>
      </c>
      <c r="AM156" s="67" t="s">
        <v>30</v>
      </c>
      <c r="AP156" s="67">
        <f>+V156/AQ156</f>
        <v>0.11534400859086526</v>
      </c>
      <c r="AQ156" s="67">
        <f>+W156*SQRT(T156*U156/S156)</f>
        <v>651.96277568903145</v>
      </c>
      <c r="AS156" s="67">
        <f>+AP156^2/(AU156-2)*(AU156/(V156/AI156)^2+AU156*AV156^2-AU156+2)</f>
        <v>1.5698187350271817E-2</v>
      </c>
      <c r="AU156" s="67">
        <f>+S156-2</f>
        <v>257.12</v>
      </c>
      <c r="AV156" s="67">
        <f>IFERROR(1/(SQRT(AU156/2)*_xlfn.GAMMA(AU156/2-0.5)/_xlfn.GAMMA(AU156/2)),1)</f>
        <v>0.99707976107687224</v>
      </c>
      <c r="AW156" s="67" t="s">
        <v>1350</v>
      </c>
    </row>
    <row r="157" spans="1:49" ht="30" customHeight="1" x14ac:dyDescent="0.25">
      <c r="A157" s="77" t="s">
        <v>70</v>
      </c>
      <c r="B157" s="72" t="s">
        <v>207</v>
      </c>
      <c r="C157" s="77" t="s">
        <v>70</v>
      </c>
      <c r="D157" s="67">
        <v>1</v>
      </c>
      <c r="E157" s="67" t="s">
        <v>568</v>
      </c>
      <c r="F157" s="76" t="s">
        <v>240</v>
      </c>
      <c r="G157" s="68" t="s">
        <v>578</v>
      </c>
      <c r="H157" s="67">
        <v>1</v>
      </c>
      <c r="I157" s="67">
        <v>6</v>
      </c>
      <c r="J157" s="67">
        <v>2</v>
      </c>
      <c r="K157" s="68" t="s">
        <v>673</v>
      </c>
      <c r="L157" s="67" t="s">
        <v>638</v>
      </c>
      <c r="M157" s="68" t="s">
        <v>570</v>
      </c>
      <c r="N157" s="67" t="s">
        <v>240</v>
      </c>
      <c r="O157" s="95">
        <f t="shared" ref="O157:O200" si="41">1-1941/2312</f>
        <v>0.1604671280276817</v>
      </c>
      <c r="P157" s="94">
        <f t="shared" ref="P157:P200" si="42">(1-988/1163)-(1-953/1149)</f>
        <v>-2.0110200877506146E-2</v>
      </c>
      <c r="Q157" s="67" t="s">
        <v>240</v>
      </c>
      <c r="R157" s="67" t="s">
        <v>674</v>
      </c>
      <c r="S157" s="67">
        <f t="shared" ref="S157:S188" si="43">T157+U157</f>
        <v>1941</v>
      </c>
      <c r="T157" s="67">
        <v>988</v>
      </c>
      <c r="U157" s="67">
        <v>953</v>
      </c>
      <c r="V157" s="67">
        <v>-499</v>
      </c>
      <c r="AB157" s="67">
        <v>2097</v>
      </c>
      <c r="AC157" s="67">
        <v>2596</v>
      </c>
      <c r="AF157" s="67">
        <f t="shared" ref="AF157:AF200" si="44">_xlfn.T.INV.2T(AH157,S157-2)</f>
        <v>3.2955516012145787</v>
      </c>
      <c r="AH157" s="70">
        <v>1E-3</v>
      </c>
      <c r="AI157" s="67">
        <f t="shared" ref="AI157:AI200" si="45">+ABS(V157/AF157)</f>
        <v>151.41623023474827</v>
      </c>
      <c r="AP157" s="71">
        <f t="shared" ref="AP157:AP172" si="46">+(V157/AQ157)*AT157</f>
        <v>-0.41079752991542123</v>
      </c>
      <c r="AQ157" s="67">
        <f t="shared" ref="AQ157:AQ172" si="47">+AI157*SQRT(T156*U156/S156)</f>
        <v>1214.2404151072071</v>
      </c>
      <c r="AR157" s="67">
        <f t="shared" ref="AR157:AR172" si="48">+AT157^2*(S157/(T157*U157)+(AP157^2)/(2*S157))</f>
        <v>2.1033064797071335E-3</v>
      </c>
      <c r="AT157" s="67">
        <f t="shared" ref="AT157:AT172" si="49">+(1-3/(4*(S157-2)-1))</f>
        <v>0.99961315280464214</v>
      </c>
      <c r="AW157" s="67" t="s">
        <v>1003</v>
      </c>
    </row>
    <row r="158" spans="1:49" ht="30" customHeight="1" x14ac:dyDescent="0.25">
      <c r="A158" s="77" t="s">
        <v>70</v>
      </c>
      <c r="B158" s="72" t="s">
        <v>207</v>
      </c>
      <c r="C158" s="77" t="s">
        <v>70</v>
      </c>
      <c r="D158" s="67">
        <v>2</v>
      </c>
      <c r="E158" s="67" t="s">
        <v>568</v>
      </c>
      <c r="F158" s="76" t="s">
        <v>240</v>
      </c>
      <c r="G158" s="68" t="s">
        <v>578</v>
      </c>
      <c r="H158" s="67">
        <v>1</v>
      </c>
      <c r="I158" s="67">
        <v>18</v>
      </c>
      <c r="J158" s="67">
        <v>2</v>
      </c>
      <c r="K158" s="68" t="s">
        <v>673</v>
      </c>
      <c r="L158" s="67" t="s">
        <v>638</v>
      </c>
      <c r="M158" s="68" t="s">
        <v>570</v>
      </c>
      <c r="N158" s="67" t="s">
        <v>240</v>
      </c>
      <c r="O158" s="95">
        <f t="shared" si="41"/>
        <v>0.1604671280276817</v>
      </c>
      <c r="P158" s="94">
        <f t="shared" si="42"/>
        <v>-2.0110200877506146E-2</v>
      </c>
      <c r="Q158" s="67" t="s">
        <v>240</v>
      </c>
      <c r="R158" s="67" t="s">
        <v>674</v>
      </c>
      <c r="S158" s="67">
        <f t="shared" si="43"/>
        <v>1941</v>
      </c>
      <c r="T158" s="67">
        <v>988</v>
      </c>
      <c r="U158" s="67">
        <v>953</v>
      </c>
      <c r="V158" s="67">
        <v>-121</v>
      </c>
      <c r="AB158" s="67">
        <v>3991</v>
      </c>
      <c r="AC158" s="67">
        <v>4112</v>
      </c>
      <c r="AF158" s="67">
        <f t="shared" si="44"/>
        <v>0.57849078532787201</v>
      </c>
      <c r="AH158" s="70">
        <v>0.56299999999999994</v>
      </c>
      <c r="AI158" s="67">
        <f t="shared" si="45"/>
        <v>209.16495658858364</v>
      </c>
      <c r="AP158" s="71">
        <f t="shared" si="46"/>
        <v>-2.6255255717073801E-2</v>
      </c>
      <c r="AQ158" s="67">
        <f t="shared" si="47"/>
        <v>4606.8182611798293</v>
      </c>
      <c r="AR158" s="67">
        <f t="shared" si="48"/>
        <v>2.060046493585389E-3</v>
      </c>
      <c r="AT158" s="67">
        <f t="shared" si="49"/>
        <v>0.99961315280464214</v>
      </c>
      <c r="AW158" s="67" t="s">
        <v>1003</v>
      </c>
    </row>
    <row r="159" spans="1:49" ht="30" customHeight="1" x14ac:dyDescent="0.25">
      <c r="A159" s="77" t="s">
        <v>70</v>
      </c>
      <c r="B159" s="72" t="s">
        <v>207</v>
      </c>
      <c r="C159" s="77" t="s">
        <v>70</v>
      </c>
      <c r="D159" s="67">
        <v>3</v>
      </c>
      <c r="E159" s="67" t="s">
        <v>568</v>
      </c>
      <c r="F159" s="76" t="s">
        <v>240</v>
      </c>
      <c r="G159" s="68" t="s">
        <v>578</v>
      </c>
      <c r="H159" s="67">
        <v>1</v>
      </c>
      <c r="I159" s="67">
        <v>30</v>
      </c>
      <c r="J159" s="67">
        <v>2</v>
      </c>
      <c r="K159" s="68" t="s">
        <v>673</v>
      </c>
      <c r="L159" s="67" t="s">
        <v>638</v>
      </c>
      <c r="M159" s="68" t="s">
        <v>570</v>
      </c>
      <c r="N159" s="67" t="s">
        <v>240</v>
      </c>
      <c r="O159" s="95">
        <f t="shared" si="41"/>
        <v>0.1604671280276817</v>
      </c>
      <c r="P159" s="94">
        <f t="shared" si="42"/>
        <v>-2.0110200877506146E-2</v>
      </c>
      <c r="Q159" s="67" t="s">
        <v>240</v>
      </c>
      <c r="R159" s="67" t="s">
        <v>674</v>
      </c>
      <c r="S159" s="67">
        <f t="shared" si="43"/>
        <v>1941</v>
      </c>
      <c r="T159" s="67">
        <v>988</v>
      </c>
      <c r="U159" s="67">
        <v>953</v>
      </c>
      <c r="V159" s="67">
        <v>423</v>
      </c>
      <c r="AB159" s="67">
        <v>5329</v>
      </c>
      <c r="AC159" s="67">
        <v>4906</v>
      </c>
      <c r="AF159" s="67">
        <f t="shared" si="44"/>
        <v>1.6360089895977836</v>
      </c>
      <c r="AH159" s="70">
        <v>0.10199999999999999</v>
      </c>
      <c r="AI159" s="67">
        <f t="shared" si="45"/>
        <v>258.55603648241288</v>
      </c>
      <c r="AP159" s="71">
        <f t="shared" si="46"/>
        <v>7.4251544651616777E-2</v>
      </c>
      <c r="AQ159" s="67">
        <f t="shared" si="47"/>
        <v>5694.6473722571463</v>
      </c>
      <c r="AR159" s="67">
        <f t="shared" si="48"/>
        <v>2.061288178769979E-3</v>
      </c>
      <c r="AT159" s="67">
        <f t="shared" si="49"/>
        <v>0.99961315280464214</v>
      </c>
      <c r="AW159" s="67" t="s">
        <v>1003</v>
      </c>
    </row>
    <row r="160" spans="1:49" ht="30" customHeight="1" x14ac:dyDescent="0.25">
      <c r="A160" s="77" t="s">
        <v>70</v>
      </c>
      <c r="B160" s="72" t="s">
        <v>207</v>
      </c>
      <c r="C160" s="77" t="s">
        <v>70</v>
      </c>
      <c r="D160" s="67">
        <v>4</v>
      </c>
      <c r="E160" s="67" t="s">
        <v>568</v>
      </c>
      <c r="F160" s="76" t="s">
        <v>240</v>
      </c>
      <c r="G160" s="68" t="s">
        <v>578</v>
      </c>
      <c r="H160" s="67">
        <v>1</v>
      </c>
      <c r="I160" s="67">
        <v>42</v>
      </c>
      <c r="J160" s="67">
        <v>2</v>
      </c>
      <c r="K160" s="68" t="s">
        <v>673</v>
      </c>
      <c r="L160" s="67" t="s">
        <v>638</v>
      </c>
      <c r="M160" s="68" t="s">
        <v>570</v>
      </c>
      <c r="N160" s="67" t="s">
        <v>240</v>
      </c>
      <c r="O160" s="95">
        <f t="shared" si="41"/>
        <v>0.1604671280276817</v>
      </c>
      <c r="P160" s="94">
        <f t="shared" si="42"/>
        <v>-2.0110200877506146E-2</v>
      </c>
      <c r="Q160" s="67" t="s">
        <v>240</v>
      </c>
      <c r="R160" s="67" t="s">
        <v>674</v>
      </c>
      <c r="S160" s="67">
        <f t="shared" si="43"/>
        <v>1941</v>
      </c>
      <c r="T160" s="67">
        <v>988</v>
      </c>
      <c r="U160" s="67">
        <v>953</v>
      </c>
      <c r="V160" s="67">
        <v>410</v>
      </c>
      <c r="AB160" s="67">
        <v>5592</v>
      </c>
      <c r="AC160" s="67">
        <v>5182</v>
      </c>
      <c r="AF160" s="67">
        <f t="shared" si="44"/>
        <v>1.5347841553532942</v>
      </c>
      <c r="AH160" s="70">
        <v>0.125</v>
      </c>
      <c r="AI160" s="67">
        <f t="shared" si="45"/>
        <v>267.13854099283526</v>
      </c>
      <c r="AP160" s="71">
        <f t="shared" si="46"/>
        <v>6.9657376558686521E-2</v>
      </c>
      <c r="AQ160" s="67">
        <f t="shared" si="47"/>
        <v>5883.6753965979597</v>
      </c>
      <c r="AR160" s="67">
        <f t="shared" si="48"/>
        <v>2.0611180009360353E-3</v>
      </c>
      <c r="AT160" s="67">
        <f t="shared" si="49"/>
        <v>0.99961315280464214</v>
      </c>
      <c r="AW160" s="67" t="s">
        <v>1003</v>
      </c>
    </row>
    <row r="161" spans="1:49" ht="30" customHeight="1" x14ac:dyDescent="0.25">
      <c r="A161" s="77" t="s">
        <v>70</v>
      </c>
      <c r="B161" s="72" t="s">
        <v>207</v>
      </c>
      <c r="C161" s="77" t="s">
        <v>70</v>
      </c>
      <c r="D161" s="67">
        <v>5</v>
      </c>
      <c r="E161" s="67" t="s">
        <v>646</v>
      </c>
      <c r="F161" s="76" t="s">
        <v>240</v>
      </c>
      <c r="G161" s="68" t="s">
        <v>578</v>
      </c>
      <c r="H161" s="67">
        <v>1</v>
      </c>
      <c r="I161" s="67">
        <v>6</v>
      </c>
      <c r="J161" s="67">
        <v>2</v>
      </c>
      <c r="K161" s="68" t="s">
        <v>673</v>
      </c>
      <c r="L161" s="67" t="s">
        <v>638</v>
      </c>
      <c r="M161" s="68" t="s">
        <v>570</v>
      </c>
      <c r="N161" s="67" t="s">
        <v>240</v>
      </c>
      <c r="O161" s="95">
        <f t="shared" si="41"/>
        <v>0.1604671280276817</v>
      </c>
      <c r="P161" s="94">
        <f t="shared" si="42"/>
        <v>-2.0110200877506146E-2</v>
      </c>
      <c r="Q161" s="67" t="s">
        <v>240</v>
      </c>
      <c r="R161" s="67" t="s">
        <v>675</v>
      </c>
      <c r="S161" s="67">
        <f t="shared" si="43"/>
        <v>900</v>
      </c>
      <c r="T161" s="67">
        <v>448</v>
      </c>
      <c r="U161" s="67">
        <v>452</v>
      </c>
      <c r="V161" s="67">
        <v>-812</v>
      </c>
      <c r="AB161" s="67">
        <v>2929</v>
      </c>
      <c r="AC161" s="67">
        <v>3741</v>
      </c>
      <c r="AF161" s="67">
        <f t="shared" si="44"/>
        <v>2.975861355940296</v>
      </c>
      <c r="AH161" s="70">
        <v>3.0000000000000001E-3</v>
      </c>
      <c r="AI161" s="67">
        <f t="shared" si="45"/>
        <v>272.86217430093575</v>
      </c>
      <c r="AP161" s="71">
        <f t="shared" si="46"/>
        <v>-0.13500118110393261</v>
      </c>
      <c r="AQ161" s="67">
        <f t="shared" si="47"/>
        <v>6009.7373281667278</v>
      </c>
      <c r="AR161" s="67">
        <f t="shared" si="48"/>
        <v>4.4472174872617716E-3</v>
      </c>
      <c r="AT161" s="67">
        <f t="shared" si="49"/>
        <v>0.99916457811194648</v>
      </c>
      <c r="AW161" s="67" t="s">
        <v>1003</v>
      </c>
    </row>
    <row r="162" spans="1:49" ht="30" customHeight="1" x14ac:dyDescent="0.25">
      <c r="A162" s="77" t="s">
        <v>70</v>
      </c>
      <c r="B162" s="72" t="s">
        <v>207</v>
      </c>
      <c r="C162" s="77" t="s">
        <v>70</v>
      </c>
      <c r="D162" s="67">
        <v>6</v>
      </c>
      <c r="E162" s="67" t="s">
        <v>646</v>
      </c>
      <c r="F162" s="76" t="s">
        <v>240</v>
      </c>
      <c r="G162" s="68" t="s">
        <v>578</v>
      </c>
      <c r="H162" s="67">
        <v>1</v>
      </c>
      <c r="I162" s="67">
        <v>18</v>
      </c>
      <c r="J162" s="67">
        <v>2</v>
      </c>
      <c r="K162" s="68" t="s">
        <v>673</v>
      </c>
      <c r="L162" s="67" t="s">
        <v>638</v>
      </c>
      <c r="M162" s="68" t="s">
        <v>570</v>
      </c>
      <c r="N162" s="67" t="s">
        <v>240</v>
      </c>
      <c r="O162" s="95">
        <f t="shared" si="41"/>
        <v>0.1604671280276817</v>
      </c>
      <c r="P162" s="94">
        <f t="shared" si="42"/>
        <v>-2.0110200877506146E-2</v>
      </c>
      <c r="Q162" s="67" t="s">
        <v>240</v>
      </c>
      <c r="R162" s="67" t="s">
        <v>675</v>
      </c>
      <c r="S162" s="67">
        <f t="shared" si="43"/>
        <v>900</v>
      </c>
      <c r="T162" s="67">
        <v>448</v>
      </c>
      <c r="U162" s="67">
        <v>452</v>
      </c>
      <c r="V162" s="67">
        <v>-396</v>
      </c>
      <c r="AB162" s="67">
        <v>5435</v>
      </c>
      <c r="AC162" s="67">
        <v>5831</v>
      </c>
      <c r="AF162" s="67">
        <f t="shared" si="44"/>
        <v>1.1130146086040815</v>
      </c>
      <c r="AH162" s="70">
        <v>0.26600000000000001</v>
      </c>
      <c r="AI162" s="67">
        <f t="shared" si="45"/>
        <v>355.79047834480315</v>
      </c>
      <c r="AP162" s="71">
        <f t="shared" si="46"/>
        <v>-7.4139717036956945E-2</v>
      </c>
      <c r="AQ162" s="67">
        <f t="shared" si="47"/>
        <v>5336.8044652112549</v>
      </c>
      <c r="AR162" s="67">
        <f t="shared" si="48"/>
        <v>4.4401578413710979E-3</v>
      </c>
      <c r="AT162" s="67">
        <f t="shared" si="49"/>
        <v>0.99916457811194648</v>
      </c>
      <c r="AW162" s="67" t="s">
        <v>1003</v>
      </c>
    </row>
    <row r="163" spans="1:49" ht="30" customHeight="1" x14ac:dyDescent="0.25">
      <c r="A163" s="77" t="s">
        <v>70</v>
      </c>
      <c r="B163" s="72" t="s">
        <v>207</v>
      </c>
      <c r="C163" s="77" t="s">
        <v>70</v>
      </c>
      <c r="D163" s="67">
        <v>7</v>
      </c>
      <c r="E163" s="67" t="s">
        <v>646</v>
      </c>
      <c r="F163" s="76" t="s">
        <v>240</v>
      </c>
      <c r="G163" s="68" t="s">
        <v>578</v>
      </c>
      <c r="H163" s="67">
        <v>1</v>
      </c>
      <c r="I163" s="67">
        <v>30</v>
      </c>
      <c r="J163" s="67">
        <v>2</v>
      </c>
      <c r="K163" s="68" t="s">
        <v>673</v>
      </c>
      <c r="L163" s="67" t="s">
        <v>638</v>
      </c>
      <c r="M163" s="68" t="s">
        <v>570</v>
      </c>
      <c r="N163" s="67" t="s">
        <v>240</v>
      </c>
      <c r="O163" s="95">
        <f t="shared" si="41"/>
        <v>0.1604671280276817</v>
      </c>
      <c r="P163" s="94">
        <f t="shared" si="42"/>
        <v>-2.0110200877506146E-2</v>
      </c>
      <c r="Q163" s="67" t="s">
        <v>240</v>
      </c>
      <c r="R163" s="67" t="s">
        <v>675</v>
      </c>
      <c r="S163" s="67">
        <f t="shared" si="43"/>
        <v>900</v>
      </c>
      <c r="T163" s="67">
        <v>448</v>
      </c>
      <c r="U163" s="67">
        <v>452</v>
      </c>
      <c r="V163" s="67">
        <v>444</v>
      </c>
      <c r="AB163" s="67">
        <v>7401</v>
      </c>
      <c r="AC163" s="67">
        <v>6957</v>
      </c>
      <c r="AF163" s="67">
        <f t="shared" si="44"/>
        <v>0.99500883476552648</v>
      </c>
      <c r="AH163" s="70">
        <v>0.32</v>
      </c>
      <c r="AI163" s="67">
        <f t="shared" si="45"/>
        <v>446.22719365565075</v>
      </c>
      <c r="AP163" s="71">
        <f t="shared" si="46"/>
        <v>6.6279160119298616E-2</v>
      </c>
      <c r="AQ163" s="67">
        <f t="shared" si="47"/>
        <v>6693.3417967759069</v>
      </c>
      <c r="AR163" s="67">
        <f t="shared" si="48"/>
        <v>4.4395456596386766E-3</v>
      </c>
      <c r="AT163" s="67">
        <f t="shared" si="49"/>
        <v>0.99916457811194648</v>
      </c>
      <c r="AW163" s="67" t="s">
        <v>1003</v>
      </c>
    </row>
    <row r="164" spans="1:49" ht="30" customHeight="1" x14ac:dyDescent="0.25">
      <c r="A164" s="77" t="s">
        <v>70</v>
      </c>
      <c r="B164" s="72" t="s">
        <v>207</v>
      </c>
      <c r="C164" s="77" t="s">
        <v>70</v>
      </c>
      <c r="D164" s="67">
        <v>8</v>
      </c>
      <c r="E164" s="67" t="s">
        <v>646</v>
      </c>
      <c r="F164" s="76" t="s">
        <v>240</v>
      </c>
      <c r="G164" s="68" t="s">
        <v>578</v>
      </c>
      <c r="H164" s="67">
        <v>1</v>
      </c>
      <c r="I164" s="67">
        <v>42</v>
      </c>
      <c r="J164" s="67">
        <v>2</v>
      </c>
      <c r="K164" s="68" t="s">
        <v>673</v>
      </c>
      <c r="L164" s="67" t="s">
        <v>638</v>
      </c>
      <c r="M164" s="68" t="s">
        <v>570</v>
      </c>
      <c r="N164" s="67" t="s">
        <v>240</v>
      </c>
      <c r="O164" s="95">
        <f t="shared" si="41"/>
        <v>0.1604671280276817</v>
      </c>
      <c r="P164" s="94">
        <f t="shared" si="42"/>
        <v>-2.0110200877506146E-2</v>
      </c>
      <c r="Q164" s="67" t="s">
        <v>240</v>
      </c>
      <c r="R164" s="67" t="s">
        <v>675</v>
      </c>
      <c r="S164" s="67">
        <f t="shared" si="43"/>
        <v>900</v>
      </c>
      <c r="T164" s="67">
        <v>448</v>
      </c>
      <c r="U164" s="67">
        <v>452</v>
      </c>
      <c r="V164" s="67">
        <v>492</v>
      </c>
      <c r="AB164" s="67">
        <v>7599</v>
      </c>
      <c r="AC164" s="67">
        <v>7107</v>
      </c>
      <c r="AF164" s="67">
        <f t="shared" si="44"/>
        <v>1.1014407722465696</v>
      </c>
      <c r="AH164" s="70">
        <v>0.27100000000000002</v>
      </c>
      <c r="AI164" s="67">
        <f t="shared" si="45"/>
        <v>446.68765892557718</v>
      </c>
      <c r="AP164" s="71">
        <f t="shared" si="46"/>
        <v>7.3368764934491598E-2</v>
      </c>
      <c r="AQ164" s="67">
        <f t="shared" si="47"/>
        <v>6700.2487076073894</v>
      </c>
      <c r="AR164" s="67">
        <f t="shared" si="48"/>
        <v>4.4400947680144172E-3</v>
      </c>
      <c r="AT164" s="67">
        <f t="shared" si="49"/>
        <v>0.99916457811194648</v>
      </c>
      <c r="AW164" s="67" t="s">
        <v>1003</v>
      </c>
    </row>
    <row r="165" spans="1:49" ht="30" customHeight="1" x14ac:dyDescent="0.25">
      <c r="A165" s="77" t="s">
        <v>70</v>
      </c>
      <c r="B165" s="72" t="s">
        <v>207</v>
      </c>
      <c r="C165" s="77" t="s">
        <v>70</v>
      </c>
      <c r="D165" s="67">
        <v>9</v>
      </c>
      <c r="E165" s="67" t="s">
        <v>644</v>
      </c>
      <c r="F165" s="76" t="s">
        <v>240</v>
      </c>
      <c r="G165" s="68" t="s">
        <v>676</v>
      </c>
      <c r="H165" s="67">
        <v>1</v>
      </c>
      <c r="I165" s="67">
        <v>6</v>
      </c>
      <c r="J165" s="67">
        <v>2</v>
      </c>
      <c r="K165" s="68" t="s">
        <v>673</v>
      </c>
      <c r="L165" s="67" t="s">
        <v>638</v>
      </c>
      <c r="M165" s="68" t="s">
        <v>570</v>
      </c>
      <c r="N165" s="67" t="s">
        <v>240</v>
      </c>
      <c r="O165" s="95">
        <f t="shared" si="41"/>
        <v>0.1604671280276817</v>
      </c>
      <c r="P165" s="94">
        <f t="shared" si="42"/>
        <v>-2.0110200877506146E-2</v>
      </c>
      <c r="Q165" s="67" t="s">
        <v>240</v>
      </c>
      <c r="R165" s="67" t="s">
        <v>675</v>
      </c>
      <c r="S165" s="67">
        <f t="shared" si="43"/>
        <v>508</v>
      </c>
      <c r="T165" s="67">
        <v>257</v>
      </c>
      <c r="U165" s="67">
        <v>251</v>
      </c>
      <c r="V165" s="67">
        <v>-144</v>
      </c>
      <c r="AB165" s="67">
        <v>1016</v>
      </c>
      <c r="AC165" s="67">
        <v>1160</v>
      </c>
      <c r="AF165" s="67">
        <f t="shared" si="44"/>
        <v>0.75433332509231732</v>
      </c>
      <c r="AH165" s="70">
        <v>0.45100000000000001</v>
      </c>
      <c r="AI165" s="67">
        <f t="shared" si="45"/>
        <v>190.89704141385627</v>
      </c>
      <c r="AP165" s="71">
        <f t="shared" si="46"/>
        <v>-5.021480857884042E-2</v>
      </c>
      <c r="AQ165" s="67">
        <f t="shared" si="47"/>
        <v>2863.4273400250108</v>
      </c>
      <c r="AR165" s="67">
        <f t="shared" si="48"/>
        <v>7.8542493691680457E-3</v>
      </c>
      <c r="AT165" s="67">
        <f t="shared" si="49"/>
        <v>0.9985170538803757</v>
      </c>
      <c r="AW165" s="67" t="s">
        <v>1003</v>
      </c>
    </row>
    <row r="166" spans="1:49" ht="30" customHeight="1" x14ac:dyDescent="0.25">
      <c r="A166" s="77" t="s">
        <v>70</v>
      </c>
      <c r="B166" s="72" t="s">
        <v>207</v>
      </c>
      <c r="C166" s="77" t="s">
        <v>70</v>
      </c>
      <c r="D166" s="67">
        <v>10</v>
      </c>
      <c r="E166" s="67" t="s">
        <v>644</v>
      </c>
      <c r="F166" s="76" t="s">
        <v>240</v>
      </c>
      <c r="G166" s="68" t="s">
        <v>676</v>
      </c>
      <c r="H166" s="67">
        <v>1</v>
      </c>
      <c r="I166" s="67">
        <v>18</v>
      </c>
      <c r="J166" s="67">
        <v>2</v>
      </c>
      <c r="K166" s="68" t="s">
        <v>673</v>
      </c>
      <c r="L166" s="67" t="s">
        <v>638</v>
      </c>
      <c r="M166" s="68" t="s">
        <v>570</v>
      </c>
      <c r="N166" s="67" t="s">
        <v>240</v>
      </c>
      <c r="O166" s="95">
        <f t="shared" si="41"/>
        <v>0.1604671280276817</v>
      </c>
      <c r="P166" s="94">
        <f t="shared" si="42"/>
        <v>-2.0110200877506146E-2</v>
      </c>
      <c r="Q166" s="67" t="s">
        <v>240</v>
      </c>
      <c r="R166" s="67" t="s">
        <v>675</v>
      </c>
      <c r="S166" s="67">
        <f t="shared" si="43"/>
        <v>508</v>
      </c>
      <c r="T166" s="67">
        <v>257</v>
      </c>
      <c r="U166" s="67">
        <v>251</v>
      </c>
      <c r="V166" s="67">
        <v>150</v>
      </c>
      <c r="AB166" s="67">
        <v>2097</v>
      </c>
      <c r="AC166" s="67">
        <v>1947</v>
      </c>
      <c r="AF166" s="67">
        <f t="shared" si="44"/>
        <v>0.45681508446687447</v>
      </c>
      <c r="AH166" s="70">
        <v>0.64800000000000002</v>
      </c>
      <c r="AI166" s="67">
        <f t="shared" si="45"/>
        <v>328.36043532813136</v>
      </c>
      <c r="AP166" s="71">
        <f t="shared" si="46"/>
        <v>4.0478494975848142E-2</v>
      </c>
      <c r="AQ166" s="67">
        <f t="shared" si="47"/>
        <v>3700.1760606816656</v>
      </c>
      <c r="AR166" s="67">
        <f t="shared" si="48"/>
        <v>7.8533828323083827E-3</v>
      </c>
      <c r="AT166" s="67">
        <f t="shared" si="49"/>
        <v>0.9985170538803757</v>
      </c>
      <c r="AW166" s="67" t="s">
        <v>1003</v>
      </c>
    </row>
    <row r="167" spans="1:49" ht="30" customHeight="1" x14ac:dyDescent="0.25">
      <c r="A167" s="77" t="s">
        <v>70</v>
      </c>
      <c r="B167" s="72" t="s">
        <v>207</v>
      </c>
      <c r="C167" s="77" t="s">
        <v>70</v>
      </c>
      <c r="D167" s="67">
        <v>11</v>
      </c>
      <c r="E167" s="67" t="s">
        <v>644</v>
      </c>
      <c r="F167" s="76" t="s">
        <v>240</v>
      </c>
      <c r="G167" s="68" t="s">
        <v>676</v>
      </c>
      <c r="H167" s="67">
        <v>1</v>
      </c>
      <c r="I167" s="67">
        <v>30</v>
      </c>
      <c r="J167" s="67">
        <v>2</v>
      </c>
      <c r="K167" s="68" t="s">
        <v>673</v>
      </c>
      <c r="L167" s="67" t="s">
        <v>638</v>
      </c>
      <c r="M167" s="68" t="s">
        <v>570</v>
      </c>
      <c r="N167" s="67" t="s">
        <v>240</v>
      </c>
      <c r="O167" s="95">
        <f t="shared" si="41"/>
        <v>0.1604671280276817</v>
      </c>
      <c r="P167" s="94">
        <f t="shared" si="42"/>
        <v>-2.0110200877506146E-2</v>
      </c>
      <c r="Q167" s="67" t="s">
        <v>240</v>
      </c>
      <c r="R167" s="67" t="s">
        <v>675</v>
      </c>
      <c r="S167" s="67">
        <f t="shared" si="43"/>
        <v>508</v>
      </c>
      <c r="T167" s="67">
        <v>257</v>
      </c>
      <c r="U167" s="67">
        <v>251</v>
      </c>
      <c r="V167" s="67">
        <v>328</v>
      </c>
      <c r="AB167" s="67">
        <v>2700</v>
      </c>
      <c r="AC167" s="67">
        <v>2372</v>
      </c>
      <c r="AF167" s="67">
        <f t="shared" si="44"/>
        <v>0.82634126048741541</v>
      </c>
      <c r="AH167" s="70">
        <v>0.40899999999999997</v>
      </c>
      <c r="AI167" s="67">
        <f t="shared" si="45"/>
        <v>396.9304398603187</v>
      </c>
      <c r="AP167" s="71">
        <f t="shared" si="46"/>
        <v>7.3222298690098081E-2</v>
      </c>
      <c r="AQ167" s="67">
        <f t="shared" si="47"/>
        <v>4472.8668661293095</v>
      </c>
      <c r="AR167" s="67">
        <f t="shared" si="48"/>
        <v>7.8570363388546088E-3</v>
      </c>
      <c r="AT167" s="67">
        <f t="shared" si="49"/>
        <v>0.9985170538803757</v>
      </c>
      <c r="AW167" s="67" t="s">
        <v>1003</v>
      </c>
    </row>
    <row r="168" spans="1:49" ht="30" customHeight="1" x14ac:dyDescent="0.25">
      <c r="A168" s="77" t="s">
        <v>70</v>
      </c>
      <c r="B168" s="72" t="s">
        <v>207</v>
      </c>
      <c r="C168" s="77" t="s">
        <v>70</v>
      </c>
      <c r="D168" s="67">
        <v>12</v>
      </c>
      <c r="E168" s="67" t="s">
        <v>644</v>
      </c>
      <c r="F168" s="76" t="s">
        <v>240</v>
      </c>
      <c r="G168" s="68" t="s">
        <v>676</v>
      </c>
      <c r="H168" s="67">
        <v>1</v>
      </c>
      <c r="I168" s="67">
        <v>42</v>
      </c>
      <c r="J168" s="67">
        <v>2</v>
      </c>
      <c r="K168" s="68" t="s">
        <v>673</v>
      </c>
      <c r="L168" s="67" t="s">
        <v>638</v>
      </c>
      <c r="M168" s="68" t="s">
        <v>570</v>
      </c>
      <c r="N168" s="67" t="s">
        <v>240</v>
      </c>
      <c r="O168" s="95">
        <f t="shared" si="41"/>
        <v>0.1604671280276817</v>
      </c>
      <c r="P168" s="94">
        <f t="shared" si="42"/>
        <v>-2.0110200877506146E-2</v>
      </c>
      <c r="Q168" s="67" t="s">
        <v>240</v>
      </c>
      <c r="R168" s="67" t="s">
        <v>675</v>
      </c>
      <c r="S168" s="67">
        <f t="shared" si="43"/>
        <v>508</v>
      </c>
      <c r="T168" s="67">
        <v>257</v>
      </c>
      <c r="U168" s="67">
        <v>251</v>
      </c>
      <c r="V168" s="67">
        <v>290</v>
      </c>
      <c r="AB168" s="67">
        <v>3146</v>
      </c>
      <c r="AC168" s="67">
        <v>2856</v>
      </c>
      <c r="AF168" s="67">
        <f t="shared" si="44"/>
        <v>0.66711935262830191</v>
      </c>
      <c r="AH168" s="70">
        <v>0.505</v>
      </c>
      <c r="AI168" s="67">
        <f t="shared" si="45"/>
        <v>434.70482284386514</v>
      </c>
      <c r="AP168" s="71">
        <f t="shared" si="46"/>
        <v>5.911360697550247E-2</v>
      </c>
      <c r="AQ168" s="67">
        <f t="shared" si="47"/>
        <v>4898.5328495571403</v>
      </c>
      <c r="AR168" s="67">
        <f t="shared" si="48"/>
        <v>7.8552041016258442E-3</v>
      </c>
      <c r="AT168" s="67">
        <f t="shared" si="49"/>
        <v>0.9985170538803757</v>
      </c>
      <c r="AW168" s="67" t="s">
        <v>1003</v>
      </c>
    </row>
    <row r="169" spans="1:49" ht="30" customHeight="1" x14ac:dyDescent="0.25">
      <c r="A169" s="77" t="s">
        <v>70</v>
      </c>
      <c r="B169" s="72" t="s">
        <v>207</v>
      </c>
      <c r="C169" s="77" t="s">
        <v>70</v>
      </c>
      <c r="D169" s="67">
        <v>13</v>
      </c>
      <c r="E169" s="67" t="s">
        <v>644</v>
      </c>
      <c r="F169" s="76" t="s">
        <v>240</v>
      </c>
      <c r="G169" s="68" t="s">
        <v>677</v>
      </c>
      <c r="H169" s="67">
        <v>1</v>
      </c>
      <c r="I169" s="67">
        <v>6</v>
      </c>
      <c r="J169" s="67">
        <v>2</v>
      </c>
      <c r="K169" s="68" t="s">
        <v>673</v>
      </c>
      <c r="L169" s="67" t="s">
        <v>638</v>
      </c>
      <c r="M169" s="68" t="s">
        <v>570</v>
      </c>
      <c r="N169" s="67" t="s">
        <v>240</v>
      </c>
      <c r="O169" s="95">
        <f t="shared" si="41"/>
        <v>0.1604671280276817</v>
      </c>
      <c r="P169" s="94">
        <f t="shared" si="42"/>
        <v>-2.0110200877506146E-2</v>
      </c>
      <c r="Q169" s="67" t="s">
        <v>240</v>
      </c>
      <c r="R169" s="67" t="s">
        <v>675</v>
      </c>
      <c r="S169" s="67">
        <f t="shared" si="43"/>
        <v>533</v>
      </c>
      <c r="T169" s="67">
        <v>283</v>
      </c>
      <c r="U169" s="67">
        <v>250</v>
      </c>
      <c r="V169" s="67">
        <v>-343</v>
      </c>
      <c r="AB169" s="67">
        <v>1697</v>
      </c>
      <c r="AC169" s="67">
        <v>2040</v>
      </c>
      <c r="AF169" s="67">
        <f t="shared" si="44"/>
        <v>1.5324782643707395</v>
      </c>
      <c r="AH169" s="70">
        <v>0.126</v>
      </c>
      <c r="AI169" s="67">
        <f t="shared" si="45"/>
        <v>223.82046647874733</v>
      </c>
      <c r="AP169" s="71">
        <f t="shared" si="46"/>
        <v>-0.13580276861067819</v>
      </c>
      <c r="AQ169" s="67">
        <f t="shared" si="47"/>
        <v>2522.1526190500595</v>
      </c>
      <c r="AR169" s="67">
        <f t="shared" si="48"/>
        <v>7.5295443508714265E-3</v>
      </c>
      <c r="AT169" s="67">
        <f t="shared" si="49"/>
        <v>0.99858690532265659</v>
      </c>
      <c r="AW169" s="67" t="s">
        <v>1003</v>
      </c>
    </row>
    <row r="170" spans="1:49" ht="30" customHeight="1" x14ac:dyDescent="0.25">
      <c r="A170" s="77" t="s">
        <v>70</v>
      </c>
      <c r="B170" s="72" t="s">
        <v>207</v>
      </c>
      <c r="C170" s="77" t="s">
        <v>70</v>
      </c>
      <c r="D170" s="67">
        <v>14</v>
      </c>
      <c r="E170" s="67" t="s">
        <v>644</v>
      </c>
      <c r="F170" s="76" t="s">
        <v>240</v>
      </c>
      <c r="G170" s="68" t="s">
        <v>677</v>
      </c>
      <c r="H170" s="67">
        <v>1</v>
      </c>
      <c r="I170" s="67">
        <v>18</v>
      </c>
      <c r="J170" s="67">
        <v>2</v>
      </c>
      <c r="K170" s="68" t="s">
        <v>673</v>
      </c>
      <c r="L170" s="67" t="s">
        <v>638</v>
      </c>
      <c r="M170" s="68" t="s">
        <v>570</v>
      </c>
      <c r="N170" s="67" t="s">
        <v>240</v>
      </c>
      <c r="O170" s="95">
        <f t="shared" si="41"/>
        <v>0.1604671280276817</v>
      </c>
      <c r="P170" s="94">
        <f t="shared" si="42"/>
        <v>-2.0110200877506146E-2</v>
      </c>
      <c r="Q170" s="67" t="s">
        <v>240</v>
      </c>
      <c r="R170" s="67" t="s">
        <v>675</v>
      </c>
      <c r="S170" s="67">
        <f t="shared" si="43"/>
        <v>533</v>
      </c>
      <c r="T170" s="67">
        <v>283</v>
      </c>
      <c r="U170" s="67">
        <v>250</v>
      </c>
      <c r="V170" s="67">
        <v>76</v>
      </c>
      <c r="AB170" s="67">
        <v>3345</v>
      </c>
      <c r="AC170" s="67">
        <v>3269</v>
      </c>
      <c r="AF170" s="67">
        <f t="shared" si="44"/>
        <v>0.21352429364279762</v>
      </c>
      <c r="AH170" s="70">
        <v>0.83099999999999996</v>
      </c>
      <c r="AI170" s="67">
        <f t="shared" si="45"/>
        <v>355.93139639248517</v>
      </c>
      <c r="AP170" s="71">
        <f t="shared" si="46"/>
        <v>1.8506894235514503E-2</v>
      </c>
      <c r="AQ170" s="67">
        <f t="shared" si="47"/>
        <v>4100.774762028138</v>
      </c>
      <c r="AR170" s="67">
        <f t="shared" si="48"/>
        <v>7.5126130476227187E-3</v>
      </c>
      <c r="AT170" s="67">
        <f t="shared" si="49"/>
        <v>0.99858690532265659</v>
      </c>
      <c r="AW170" s="67" t="s">
        <v>1003</v>
      </c>
    </row>
    <row r="171" spans="1:49" ht="30" customHeight="1" x14ac:dyDescent="0.25">
      <c r="A171" s="77" t="s">
        <v>70</v>
      </c>
      <c r="B171" s="72" t="s">
        <v>207</v>
      </c>
      <c r="C171" s="77" t="s">
        <v>70</v>
      </c>
      <c r="D171" s="67">
        <v>15</v>
      </c>
      <c r="E171" s="67" t="s">
        <v>644</v>
      </c>
      <c r="F171" s="76" t="s">
        <v>240</v>
      </c>
      <c r="G171" s="68" t="s">
        <v>677</v>
      </c>
      <c r="H171" s="67">
        <v>1</v>
      </c>
      <c r="I171" s="67">
        <v>30</v>
      </c>
      <c r="J171" s="67">
        <v>2</v>
      </c>
      <c r="K171" s="68" t="s">
        <v>673</v>
      </c>
      <c r="L171" s="67" t="s">
        <v>638</v>
      </c>
      <c r="M171" s="68" t="s">
        <v>570</v>
      </c>
      <c r="N171" s="67" t="s">
        <v>240</v>
      </c>
      <c r="O171" s="95">
        <f t="shared" si="41"/>
        <v>0.1604671280276817</v>
      </c>
      <c r="P171" s="94">
        <f t="shared" si="42"/>
        <v>-2.0110200877506146E-2</v>
      </c>
      <c r="Q171" s="67" t="s">
        <v>240</v>
      </c>
      <c r="R171" s="67" t="s">
        <v>675</v>
      </c>
      <c r="S171" s="67">
        <f t="shared" si="43"/>
        <v>533</v>
      </c>
      <c r="T171" s="67">
        <v>283</v>
      </c>
      <c r="U171" s="67">
        <v>250</v>
      </c>
      <c r="V171" s="67">
        <v>420</v>
      </c>
      <c r="AB171" s="67">
        <v>4309</v>
      </c>
      <c r="AC171" s="67">
        <v>3889</v>
      </c>
      <c r="AF171" s="67">
        <f t="shared" si="44"/>
        <v>0.91615782529549916</v>
      </c>
      <c r="AH171" s="70">
        <v>0.36</v>
      </c>
      <c r="AI171" s="67">
        <f t="shared" si="45"/>
        <v>458.43629602195722</v>
      </c>
      <c r="AP171" s="71">
        <f t="shared" si="46"/>
        <v>7.9406589697690308E-2</v>
      </c>
      <c r="AQ171" s="67">
        <f t="shared" si="47"/>
        <v>5281.7593833489491</v>
      </c>
      <c r="AR171" s="67">
        <f t="shared" si="48"/>
        <v>7.5181909659827418E-3</v>
      </c>
      <c r="AT171" s="67">
        <f t="shared" si="49"/>
        <v>0.99858690532265659</v>
      </c>
      <c r="AW171" s="67" t="s">
        <v>1003</v>
      </c>
    </row>
    <row r="172" spans="1:49" ht="30" customHeight="1" x14ac:dyDescent="0.25">
      <c r="A172" s="77" t="s">
        <v>70</v>
      </c>
      <c r="B172" s="72" t="s">
        <v>207</v>
      </c>
      <c r="C172" s="77" t="s">
        <v>70</v>
      </c>
      <c r="D172" s="67">
        <v>16</v>
      </c>
      <c r="E172" s="67" t="s">
        <v>644</v>
      </c>
      <c r="F172" s="76" t="s">
        <v>240</v>
      </c>
      <c r="G172" s="68" t="s">
        <v>677</v>
      </c>
      <c r="H172" s="67">
        <v>1</v>
      </c>
      <c r="I172" s="67">
        <v>42</v>
      </c>
      <c r="J172" s="67">
        <v>2</v>
      </c>
      <c r="K172" s="68" t="s">
        <v>673</v>
      </c>
      <c r="L172" s="67" t="s">
        <v>638</v>
      </c>
      <c r="M172" s="68" t="s">
        <v>570</v>
      </c>
      <c r="N172" s="67" t="s">
        <v>240</v>
      </c>
      <c r="O172" s="95">
        <f t="shared" si="41"/>
        <v>0.1604671280276817</v>
      </c>
      <c r="P172" s="94">
        <f t="shared" si="42"/>
        <v>-2.0110200877506146E-2</v>
      </c>
      <c r="Q172" s="67" t="s">
        <v>240</v>
      </c>
      <c r="R172" s="67" t="s">
        <v>675</v>
      </c>
      <c r="S172" s="67">
        <f t="shared" si="43"/>
        <v>533</v>
      </c>
      <c r="T172" s="67">
        <v>283</v>
      </c>
      <c r="U172" s="67">
        <v>250</v>
      </c>
      <c r="V172" s="67">
        <v>461</v>
      </c>
      <c r="AB172" s="67">
        <v>4572</v>
      </c>
      <c r="AC172" s="67">
        <v>4111</v>
      </c>
      <c r="AF172" s="67">
        <f t="shared" si="44"/>
        <v>0.95107301297170965</v>
      </c>
      <c r="AH172" s="70">
        <v>0.34200000000000003</v>
      </c>
      <c r="AI172" s="67">
        <f t="shared" si="45"/>
        <v>484.71567767396294</v>
      </c>
      <c r="AP172" s="71">
        <f t="shared" si="46"/>
        <v>8.2432810623248046E-2</v>
      </c>
      <c r="AQ172" s="67">
        <f t="shared" si="47"/>
        <v>5584.5307211193804</v>
      </c>
      <c r="AR172" s="67">
        <f t="shared" si="48"/>
        <v>7.5186491072569226E-3</v>
      </c>
      <c r="AT172" s="67">
        <f t="shared" si="49"/>
        <v>0.99858690532265659</v>
      </c>
      <c r="AW172" s="67" t="s">
        <v>1003</v>
      </c>
    </row>
    <row r="173" spans="1:49" ht="30" customHeight="1" x14ac:dyDescent="0.25">
      <c r="A173" s="77" t="s">
        <v>70</v>
      </c>
      <c r="B173" s="72" t="s">
        <v>207</v>
      </c>
      <c r="C173" s="77" t="s">
        <v>70</v>
      </c>
      <c r="D173" s="67">
        <v>17</v>
      </c>
      <c r="E173" s="67" t="s">
        <v>568</v>
      </c>
      <c r="F173" s="76" t="s">
        <v>240</v>
      </c>
      <c r="G173" s="68" t="s">
        <v>578</v>
      </c>
      <c r="H173" s="67">
        <v>1</v>
      </c>
      <c r="I173" s="67">
        <v>6</v>
      </c>
      <c r="J173" s="67">
        <v>1</v>
      </c>
      <c r="K173" s="68" t="s">
        <v>678</v>
      </c>
      <c r="L173" s="67" t="s">
        <v>240</v>
      </c>
      <c r="M173" s="68" t="s">
        <v>570</v>
      </c>
      <c r="N173" s="67" t="s">
        <v>240</v>
      </c>
      <c r="O173" s="95">
        <f t="shared" si="41"/>
        <v>0.1604671280276817</v>
      </c>
      <c r="P173" s="94">
        <f t="shared" si="42"/>
        <v>-2.0110200877506146E-2</v>
      </c>
      <c r="Q173" s="67" t="s">
        <v>240</v>
      </c>
      <c r="R173" s="67" t="s">
        <v>679</v>
      </c>
      <c r="S173" s="67">
        <f t="shared" si="43"/>
        <v>1941</v>
      </c>
      <c r="T173" s="67">
        <v>988</v>
      </c>
      <c r="U173" s="67">
        <v>953</v>
      </c>
      <c r="V173" s="67">
        <v>-4.2999999999999997E-2</v>
      </c>
      <c r="AB173" s="67">
        <v>56.5</v>
      </c>
      <c r="AC173" s="67">
        <v>60.8</v>
      </c>
      <c r="AF173" s="67">
        <f t="shared" si="44"/>
        <v>2.0448946593246822</v>
      </c>
      <c r="AH173" s="70">
        <v>4.1000000000000002E-2</v>
      </c>
      <c r="AI173" s="67">
        <f t="shared" si="45"/>
        <v>2.1027978044698189E-2</v>
      </c>
    </row>
    <row r="174" spans="1:49" ht="30" customHeight="1" x14ac:dyDescent="0.25">
      <c r="A174" s="77" t="s">
        <v>70</v>
      </c>
      <c r="B174" s="72" t="s">
        <v>207</v>
      </c>
      <c r="C174" s="77" t="s">
        <v>70</v>
      </c>
      <c r="D174" s="67">
        <v>18</v>
      </c>
      <c r="E174" s="67" t="s">
        <v>568</v>
      </c>
      <c r="F174" s="76" t="s">
        <v>240</v>
      </c>
      <c r="G174" s="68" t="s">
        <v>578</v>
      </c>
      <c r="H174" s="67">
        <v>1</v>
      </c>
      <c r="I174" s="67">
        <v>18</v>
      </c>
      <c r="J174" s="67">
        <v>1</v>
      </c>
      <c r="K174" s="68" t="s">
        <v>678</v>
      </c>
      <c r="L174" s="67" t="s">
        <v>240</v>
      </c>
      <c r="M174" s="68" t="s">
        <v>570</v>
      </c>
      <c r="N174" s="67" t="s">
        <v>240</v>
      </c>
      <c r="O174" s="95">
        <f t="shared" si="41"/>
        <v>0.1604671280276817</v>
      </c>
      <c r="P174" s="94">
        <f t="shared" si="42"/>
        <v>-2.0110200877506146E-2</v>
      </c>
      <c r="Q174" s="67" t="s">
        <v>240</v>
      </c>
      <c r="R174" s="67" t="s">
        <v>679</v>
      </c>
      <c r="S174" s="67">
        <f t="shared" si="43"/>
        <v>1941</v>
      </c>
      <c r="T174" s="67">
        <v>988</v>
      </c>
      <c r="U174" s="67">
        <v>953</v>
      </c>
      <c r="V174" s="67">
        <v>3.5000000000000003E-2</v>
      </c>
      <c r="AB174" s="67">
        <v>71</v>
      </c>
      <c r="AC174" s="67">
        <v>67.5</v>
      </c>
      <c r="AF174" s="67">
        <f t="shared" si="44"/>
        <v>1.7938053599410924</v>
      </c>
      <c r="AH174" s="70">
        <v>7.2999999999999995E-2</v>
      </c>
      <c r="AI174" s="67">
        <f t="shared" si="45"/>
        <v>1.9511592941805784E-2</v>
      </c>
    </row>
    <row r="175" spans="1:49" ht="30" customHeight="1" x14ac:dyDescent="0.25">
      <c r="A175" s="77" t="s">
        <v>70</v>
      </c>
      <c r="B175" s="72" t="s">
        <v>207</v>
      </c>
      <c r="C175" s="77" t="s">
        <v>70</v>
      </c>
      <c r="D175" s="67">
        <v>19</v>
      </c>
      <c r="E175" s="67" t="s">
        <v>568</v>
      </c>
      <c r="F175" s="76" t="s">
        <v>240</v>
      </c>
      <c r="G175" s="68" t="s">
        <v>578</v>
      </c>
      <c r="H175" s="67">
        <v>1</v>
      </c>
      <c r="I175" s="67">
        <v>30</v>
      </c>
      <c r="J175" s="67">
        <v>1</v>
      </c>
      <c r="K175" s="68" t="s">
        <v>678</v>
      </c>
      <c r="L175" s="67" t="s">
        <v>240</v>
      </c>
      <c r="M175" s="68" t="s">
        <v>570</v>
      </c>
      <c r="N175" s="67" t="s">
        <v>240</v>
      </c>
      <c r="O175" s="95">
        <f t="shared" si="41"/>
        <v>0.1604671280276817</v>
      </c>
      <c r="P175" s="94">
        <f t="shared" si="42"/>
        <v>-2.0110200877506146E-2</v>
      </c>
      <c r="Q175" s="67" t="s">
        <v>240</v>
      </c>
      <c r="R175" s="67" t="s">
        <v>679</v>
      </c>
      <c r="S175" s="67">
        <f t="shared" si="43"/>
        <v>1941</v>
      </c>
      <c r="T175" s="67">
        <v>988</v>
      </c>
      <c r="U175" s="67">
        <v>953</v>
      </c>
      <c r="V175" s="67">
        <v>3.0000000000000001E-3</v>
      </c>
      <c r="AB175" s="67">
        <v>61.8</v>
      </c>
      <c r="AC175" s="67">
        <v>61.5</v>
      </c>
      <c r="AF175" s="67">
        <f t="shared" si="44"/>
        <v>0.17003544472968951</v>
      </c>
      <c r="AH175" s="70">
        <v>0.86499999999999999</v>
      </c>
      <c r="AI175" s="67">
        <f t="shared" si="45"/>
        <v>1.7643380206810354E-2</v>
      </c>
    </row>
    <row r="176" spans="1:49" ht="30" customHeight="1" x14ac:dyDescent="0.25">
      <c r="A176" s="77" t="s">
        <v>70</v>
      </c>
      <c r="B176" s="72" t="s">
        <v>207</v>
      </c>
      <c r="C176" s="77" t="s">
        <v>70</v>
      </c>
      <c r="D176" s="67">
        <v>20</v>
      </c>
      <c r="E176" s="67" t="s">
        <v>568</v>
      </c>
      <c r="F176" s="76" t="s">
        <v>240</v>
      </c>
      <c r="G176" s="68" t="s">
        <v>578</v>
      </c>
      <c r="H176" s="67">
        <v>1</v>
      </c>
      <c r="I176" s="67">
        <v>42</v>
      </c>
      <c r="J176" s="67">
        <v>1</v>
      </c>
      <c r="K176" s="68" t="s">
        <v>678</v>
      </c>
      <c r="L176" s="67" t="s">
        <v>240</v>
      </c>
      <c r="M176" s="68" t="s">
        <v>570</v>
      </c>
      <c r="N176" s="67" t="s">
        <v>240</v>
      </c>
      <c r="O176" s="95">
        <f t="shared" si="41"/>
        <v>0.1604671280276817</v>
      </c>
      <c r="P176" s="94">
        <f t="shared" si="42"/>
        <v>-2.0110200877506146E-2</v>
      </c>
      <c r="Q176" s="67" t="s">
        <v>240</v>
      </c>
      <c r="R176" s="67" t="s">
        <v>679</v>
      </c>
      <c r="S176" s="67">
        <f t="shared" si="43"/>
        <v>1941</v>
      </c>
      <c r="T176" s="67">
        <v>988</v>
      </c>
      <c r="U176" s="67">
        <v>953</v>
      </c>
      <c r="V176" s="67">
        <v>1.2999999999999999E-2</v>
      </c>
      <c r="AB176" s="67">
        <v>65.7</v>
      </c>
      <c r="AC176" s="67">
        <v>64.5</v>
      </c>
      <c r="AF176" s="67">
        <f t="shared" si="44"/>
        <v>0.61898341122009659</v>
      </c>
      <c r="AH176" s="70">
        <v>0.53600000000000003</v>
      </c>
      <c r="AI176" s="67">
        <f t="shared" si="45"/>
        <v>2.1002178353011616E-2</v>
      </c>
    </row>
    <row r="177" spans="1:49" ht="30" customHeight="1" x14ac:dyDescent="0.25">
      <c r="A177" s="77" t="s">
        <v>70</v>
      </c>
      <c r="B177" s="72" t="s">
        <v>207</v>
      </c>
      <c r="C177" s="77" t="s">
        <v>70</v>
      </c>
      <c r="D177" s="67">
        <v>21</v>
      </c>
      <c r="E177" s="67" t="s">
        <v>644</v>
      </c>
      <c r="F177" s="76" t="s">
        <v>240</v>
      </c>
      <c r="G177" s="68" t="s">
        <v>676</v>
      </c>
      <c r="H177" s="67">
        <v>1</v>
      </c>
      <c r="I177" s="67">
        <v>6</v>
      </c>
      <c r="J177" s="67">
        <v>1</v>
      </c>
      <c r="K177" s="68" t="s">
        <v>678</v>
      </c>
      <c r="L177" s="67" t="s">
        <v>240</v>
      </c>
      <c r="M177" s="68" t="s">
        <v>570</v>
      </c>
      <c r="N177" s="67" t="s">
        <v>240</v>
      </c>
      <c r="O177" s="95">
        <f t="shared" si="41"/>
        <v>0.1604671280276817</v>
      </c>
      <c r="P177" s="94">
        <f t="shared" si="42"/>
        <v>-2.0110200877506146E-2</v>
      </c>
      <c r="Q177" s="67" t="s">
        <v>240</v>
      </c>
      <c r="R177" s="67" t="s">
        <v>680</v>
      </c>
      <c r="S177" s="67">
        <f t="shared" si="43"/>
        <v>508</v>
      </c>
      <c r="T177" s="67">
        <v>257</v>
      </c>
      <c r="U177" s="67">
        <v>251</v>
      </c>
      <c r="V177" s="67">
        <v>2.1999999999999999E-2</v>
      </c>
      <c r="AB177" s="67">
        <v>41</v>
      </c>
      <c r="AC177" s="67">
        <v>38.799999999999997</v>
      </c>
      <c r="AF177" s="67">
        <f t="shared" si="44"/>
        <v>0.50183766549017961</v>
      </c>
      <c r="AH177" s="70">
        <v>0.61599999999999999</v>
      </c>
      <c r="AI177" s="67">
        <f t="shared" si="45"/>
        <v>4.3838877614957569E-2</v>
      </c>
    </row>
    <row r="178" spans="1:49" ht="30" customHeight="1" x14ac:dyDescent="0.25">
      <c r="A178" s="77" t="s">
        <v>70</v>
      </c>
      <c r="B178" s="72" t="s">
        <v>207</v>
      </c>
      <c r="C178" s="77" t="s">
        <v>70</v>
      </c>
      <c r="D178" s="67">
        <v>22</v>
      </c>
      <c r="E178" s="67" t="s">
        <v>644</v>
      </c>
      <c r="F178" s="76" t="s">
        <v>240</v>
      </c>
      <c r="G178" s="68" t="s">
        <v>676</v>
      </c>
      <c r="H178" s="67">
        <v>1</v>
      </c>
      <c r="I178" s="67">
        <v>18</v>
      </c>
      <c r="J178" s="67">
        <v>1</v>
      </c>
      <c r="K178" s="68" t="s">
        <v>678</v>
      </c>
      <c r="L178" s="67" t="s">
        <v>240</v>
      </c>
      <c r="M178" s="68" t="s">
        <v>570</v>
      </c>
      <c r="N178" s="67" t="s">
        <v>240</v>
      </c>
      <c r="O178" s="95">
        <f t="shared" si="41"/>
        <v>0.1604671280276817</v>
      </c>
      <c r="P178" s="94">
        <f t="shared" si="42"/>
        <v>-2.0110200877506146E-2</v>
      </c>
      <c r="Q178" s="67" t="s">
        <v>240</v>
      </c>
      <c r="R178" s="67" t="s">
        <v>680</v>
      </c>
      <c r="S178" s="67">
        <f t="shared" si="43"/>
        <v>508</v>
      </c>
      <c r="T178" s="67">
        <v>257</v>
      </c>
      <c r="U178" s="67">
        <v>251</v>
      </c>
      <c r="V178" s="67">
        <v>7.8E-2</v>
      </c>
      <c r="AB178" s="67">
        <v>53.2</v>
      </c>
      <c r="AC178" s="67">
        <v>45.5</v>
      </c>
      <c r="AF178" s="67">
        <f t="shared" si="44"/>
        <v>1.7659929491592892</v>
      </c>
      <c r="AH178" s="70">
        <v>7.8E-2</v>
      </c>
      <c r="AI178" s="67">
        <f t="shared" si="45"/>
        <v>4.4167786761058328E-2</v>
      </c>
    </row>
    <row r="179" spans="1:49" ht="30" customHeight="1" x14ac:dyDescent="0.25">
      <c r="A179" s="77" t="s">
        <v>70</v>
      </c>
      <c r="B179" s="72" t="s">
        <v>207</v>
      </c>
      <c r="C179" s="77" t="s">
        <v>70</v>
      </c>
      <c r="D179" s="67">
        <v>23</v>
      </c>
      <c r="E179" s="67" t="s">
        <v>644</v>
      </c>
      <c r="F179" s="76" t="s">
        <v>240</v>
      </c>
      <c r="G179" s="68" t="s">
        <v>676</v>
      </c>
      <c r="H179" s="67">
        <v>1</v>
      </c>
      <c r="I179" s="67">
        <v>30</v>
      </c>
      <c r="J179" s="67">
        <v>1</v>
      </c>
      <c r="K179" s="68" t="s">
        <v>678</v>
      </c>
      <c r="L179" s="67" t="s">
        <v>240</v>
      </c>
      <c r="M179" s="68" t="s">
        <v>570</v>
      </c>
      <c r="N179" s="67" t="s">
        <v>240</v>
      </c>
      <c r="O179" s="95">
        <f t="shared" si="41"/>
        <v>0.1604671280276817</v>
      </c>
      <c r="P179" s="94">
        <f t="shared" si="42"/>
        <v>-2.0110200877506146E-2</v>
      </c>
      <c r="Q179" s="67" t="s">
        <v>240</v>
      </c>
      <c r="R179" s="67" t="s">
        <v>680</v>
      </c>
      <c r="S179" s="67">
        <f t="shared" si="43"/>
        <v>508</v>
      </c>
      <c r="T179" s="67">
        <v>257</v>
      </c>
      <c r="U179" s="67">
        <v>251</v>
      </c>
      <c r="V179" s="67">
        <v>1.4999999999999999E-2</v>
      </c>
      <c r="AB179" s="67">
        <v>42.7</v>
      </c>
      <c r="AC179" s="67">
        <v>41.2</v>
      </c>
      <c r="AF179" s="67">
        <f t="shared" si="44"/>
        <v>0.33203542689841803</v>
      </c>
      <c r="AH179" s="70">
        <v>0.74</v>
      </c>
      <c r="AI179" s="67">
        <f t="shared" si="45"/>
        <v>4.5175902282827959E-2</v>
      </c>
    </row>
    <row r="180" spans="1:49" ht="30" customHeight="1" x14ac:dyDescent="0.25">
      <c r="A180" s="77" t="s">
        <v>70</v>
      </c>
      <c r="B180" s="72" t="s">
        <v>207</v>
      </c>
      <c r="C180" s="77" t="s">
        <v>70</v>
      </c>
      <c r="D180" s="67">
        <v>24</v>
      </c>
      <c r="E180" s="67" t="s">
        <v>644</v>
      </c>
      <c r="F180" s="76" t="s">
        <v>240</v>
      </c>
      <c r="G180" s="68" t="s">
        <v>676</v>
      </c>
      <c r="H180" s="67">
        <v>1</v>
      </c>
      <c r="I180" s="67">
        <v>42</v>
      </c>
      <c r="J180" s="67">
        <v>1</v>
      </c>
      <c r="K180" s="68" t="s">
        <v>678</v>
      </c>
      <c r="L180" s="67" t="s">
        <v>240</v>
      </c>
      <c r="M180" s="68" t="s">
        <v>570</v>
      </c>
      <c r="N180" s="67" t="s">
        <v>240</v>
      </c>
      <c r="O180" s="95">
        <f t="shared" si="41"/>
        <v>0.1604671280276817</v>
      </c>
      <c r="P180" s="94">
        <f t="shared" si="42"/>
        <v>-2.0110200877506146E-2</v>
      </c>
      <c r="Q180" s="67" t="s">
        <v>240</v>
      </c>
      <c r="R180" s="67" t="s">
        <v>680</v>
      </c>
      <c r="S180" s="67">
        <f t="shared" si="43"/>
        <v>508</v>
      </c>
      <c r="T180" s="67">
        <v>257</v>
      </c>
      <c r="U180" s="67">
        <v>251</v>
      </c>
      <c r="V180" s="67">
        <v>-2E-3</v>
      </c>
      <c r="AB180" s="67">
        <v>49.1</v>
      </c>
      <c r="AC180" s="67">
        <v>49.3</v>
      </c>
      <c r="AF180" s="67">
        <f t="shared" si="44"/>
        <v>5.3945345794751014E-2</v>
      </c>
      <c r="AH180" s="70">
        <v>0.95699999999999996</v>
      </c>
      <c r="AI180" s="67">
        <f t="shared" si="45"/>
        <v>3.7074560752831505E-2</v>
      </c>
    </row>
    <row r="181" spans="1:49" ht="30" customHeight="1" x14ac:dyDescent="0.25">
      <c r="A181" s="77" t="s">
        <v>70</v>
      </c>
      <c r="B181" s="72" t="s">
        <v>207</v>
      </c>
      <c r="C181" s="77" t="s">
        <v>70</v>
      </c>
      <c r="D181" s="67">
        <v>25</v>
      </c>
      <c r="E181" s="67" t="s">
        <v>644</v>
      </c>
      <c r="F181" s="76" t="s">
        <v>240</v>
      </c>
      <c r="G181" s="68" t="s">
        <v>677</v>
      </c>
      <c r="H181" s="67">
        <v>1</v>
      </c>
      <c r="I181" s="67">
        <v>6</v>
      </c>
      <c r="J181" s="67">
        <v>1</v>
      </c>
      <c r="K181" s="68" t="s">
        <v>678</v>
      </c>
      <c r="L181" s="67" t="s">
        <v>240</v>
      </c>
      <c r="M181" s="68" t="s">
        <v>570</v>
      </c>
      <c r="N181" s="67" t="s">
        <v>240</v>
      </c>
      <c r="O181" s="95">
        <f t="shared" si="41"/>
        <v>0.1604671280276817</v>
      </c>
      <c r="P181" s="94">
        <f t="shared" si="42"/>
        <v>-2.0110200877506146E-2</v>
      </c>
      <c r="Q181" s="67" t="s">
        <v>240</v>
      </c>
      <c r="R181" s="67" t="s">
        <v>681</v>
      </c>
      <c r="S181" s="67">
        <f t="shared" si="43"/>
        <v>533</v>
      </c>
      <c r="T181" s="67">
        <v>283</v>
      </c>
      <c r="U181" s="67">
        <v>250</v>
      </c>
      <c r="V181" s="67">
        <v>-2.1999999999999999E-2</v>
      </c>
      <c r="AB181" s="67">
        <v>55.6</v>
      </c>
      <c r="AC181" s="67">
        <v>57.8</v>
      </c>
      <c r="AF181" s="67">
        <f t="shared" si="44"/>
        <v>0.51896695565008311</v>
      </c>
      <c r="AH181" s="70">
        <v>0.60399999999999998</v>
      </c>
      <c r="AI181" s="67">
        <f t="shared" si="45"/>
        <v>4.2391909081073834E-2</v>
      </c>
    </row>
    <row r="182" spans="1:49" ht="30" customHeight="1" x14ac:dyDescent="0.25">
      <c r="A182" s="77" t="s">
        <v>70</v>
      </c>
      <c r="B182" s="72" t="s">
        <v>207</v>
      </c>
      <c r="C182" s="77" t="s">
        <v>70</v>
      </c>
      <c r="D182" s="67">
        <v>26</v>
      </c>
      <c r="E182" s="67" t="s">
        <v>644</v>
      </c>
      <c r="F182" s="76" t="s">
        <v>240</v>
      </c>
      <c r="G182" s="68" t="s">
        <v>677</v>
      </c>
      <c r="H182" s="67">
        <v>1</v>
      </c>
      <c r="I182" s="67">
        <v>18</v>
      </c>
      <c r="J182" s="67">
        <v>1</v>
      </c>
      <c r="K182" s="68" t="s">
        <v>678</v>
      </c>
      <c r="L182" s="67" t="s">
        <v>240</v>
      </c>
      <c r="M182" s="68" t="s">
        <v>570</v>
      </c>
      <c r="N182" s="67" t="s">
        <v>240</v>
      </c>
      <c r="O182" s="95">
        <f t="shared" si="41"/>
        <v>0.1604671280276817</v>
      </c>
      <c r="P182" s="94">
        <f t="shared" si="42"/>
        <v>-2.0110200877506146E-2</v>
      </c>
      <c r="Q182" s="67" t="s">
        <v>240</v>
      </c>
      <c r="R182" s="67" t="s">
        <v>681</v>
      </c>
      <c r="S182" s="67">
        <f t="shared" si="43"/>
        <v>533</v>
      </c>
      <c r="T182" s="67">
        <v>283</v>
      </c>
      <c r="U182" s="67">
        <v>250</v>
      </c>
      <c r="V182" s="67">
        <v>6.0999999999999999E-2</v>
      </c>
      <c r="AB182" s="67">
        <v>68.5</v>
      </c>
      <c r="AC182" s="67">
        <v>62.4</v>
      </c>
      <c r="AF182" s="67">
        <f t="shared" si="44"/>
        <v>1.4855183314906764</v>
      </c>
      <c r="AH182" s="70">
        <v>0.13800000000000001</v>
      </c>
      <c r="AI182" s="67">
        <f t="shared" si="45"/>
        <v>4.1063108214079186E-2</v>
      </c>
    </row>
    <row r="183" spans="1:49" ht="30" customHeight="1" x14ac:dyDescent="0.25">
      <c r="A183" s="77" t="s">
        <v>70</v>
      </c>
      <c r="B183" s="72" t="s">
        <v>207</v>
      </c>
      <c r="C183" s="77" t="s">
        <v>70</v>
      </c>
      <c r="D183" s="67">
        <v>27</v>
      </c>
      <c r="E183" s="67" t="s">
        <v>644</v>
      </c>
      <c r="F183" s="76" t="s">
        <v>240</v>
      </c>
      <c r="G183" s="68" t="s">
        <v>677</v>
      </c>
      <c r="H183" s="67">
        <v>1</v>
      </c>
      <c r="I183" s="67">
        <v>30</v>
      </c>
      <c r="J183" s="67">
        <v>1</v>
      </c>
      <c r="K183" s="68" t="s">
        <v>678</v>
      </c>
      <c r="L183" s="67" t="s">
        <v>240</v>
      </c>
      <c r="M183" s="68" t="s">
        <v>570</v>
      </c>
      <c r="N183" s="67" t="s">
        <v>240</v>
      </c>
      <c r="O183" s="95">
        <f t="shared" si="41"/>
        <v>0.1604671280276817</v>
      </c>
      <c r="P183" s="94">
        <f t="shared" si="42"/>
        <v>-2.0110200877506146E-2</v>
      </c>
      <c r="Q183" s="67" t="s">
        <v>240</v>
      </c>
      <c r="R183" s="67" t="s">
        <v>681</v>
      </c>
      <c r="S183" s="67">
        <f t="shared" si="43"/>
        <v>533</v>
      </c>
      <c r="T183" s="67">
        <v>283</v>
      </c>
      <c r="U183" s="67">
        <v>250</v>
      </c>
      <c r="V183" s="67">
        <v>8.0000000000000002E-3</v>
      </c>
      <c r="AB183" s="67">
        <v>55.4</v>
      </c>
      <c r="AC183" s="67">
        <v>54.5</v>
      </c>
      <c r="AF183" s="67">
        <f t="shared" si="44"/>
        <v>0.18921067457810498</v>
      </c>
      <c r="AH183" s="70">
        <v>0.85</v>
      </c>
      <c r="AI183" s="67">
        <f t="shared" si="45"/>
        <v>4.2280912627356289E-2</v>
      </c>
    </row>
    <row r="184" spans="1:49" ht="30" customHeight="1" x14ac:dyDescent="0.25">
      <c r="A184" s="77" t="s">
        <v>70</v>
      </c>
      <c r="B184" s="72" t="s">
        <v>207</v>
      </c>
      <c r="C184" s="77" t="s">
        <v>70</v>
      </c>
      <c r="D184" s="67">
        <v>28</v>
      </c>
      <c r="E184" s="67" t="s">
        <v>644</v>
      </c>
      <c r="F184" s="76" t="s">
        <v>240</v>
      </c>
      <c r="G184" s="68" t="s">
        <v>677</v>
      </c>
      <c r="H184" s="67">
        <v>1</v>
      </c>
      <c r="I184" s="67">
        <v>42</v>
      </c>
      <c r="J184" s="67">
        <v>1</v>
      </c>
      <c r="K184" s="68" t="s">
        <v>678</v>
      </c>
      <c r="L184" s="67" t="s">
        <v>240</v>
      </c>
      <c r="M184" s="68" t="s">
        <v>570</v>
      </c>
      <c r="N184" s="67" t="s">
        <v>240</v>
      </c>
      <c r="O184" s="95">
        <f t="shared" si="41"/>
        <v>0.1604671280276817</v>
      </c>
      <c r="P184" s="94">
        <f t="shared" si="42"/>
        <v>-2.0110200877506146E-2</v>
      </c>
      <c r="Q184" s="67" t="s">
        <v>240</v>
      </c>
      <c r="R184" s="67" t="s">
        <v>681</v>
      </c>
      <c r="S184" s="67">
        <f t="shared" si="43"/>
        <v>533</v>
      </c>
      <c r="T184" s="67">
        <v>283</v>
      </c>
      <c r="U184" s="67">
        <v>250</v>
      </c>
      <c r="V184" s="67">
        <v>3.5000000000000003E-2</v>
      </c>
      <c r="AB184" s="67">
        <v>60.7</v>
      </c>
      <c r="AC184" s="67">
        <v>57.2</v>
      </c>
      <c r="AF184" s="67">
        <f t="shared" si="44"/>
        <v>0.8316151776294276</v>
      </c>
      <c r="AH184" s="70">
        <v>0.40600000000000003</v>
      </c>
      <c r="AI184" s="67">
        <f t="shared" si="45"/>
        <v>4.2086773956879611E-2</v>
      </c>
    </row>
    <row r="185" spans="1:49" ht="30" customHeight="1" x14ac:dyDescent="0.25">
      <c r="A185" s="77" t="s">
        <v>70</v>
      </c>
      <c r="B185" s="72" t="s">
        <v>207</v>
      </c>
      <c r="C185" s="77" t="s">
        <v>70</v>
      </c>
      <c r="D185" s="67">
        <v>29</v>
      </c>
      <c r="E185" s="67" t="s">
        <v>646</v>
      </c>
      <c r="F185" s="76" t="s">
        <v>240</v>
      </c>
      <c r="G185" s="68" t="s">
        <v>578</v>
      </c>
      <c r="H185" s="67">
        <v>1</v>
      </c>
      <c r="I185" s="67">
        <v>6</v>
      </c>
      <c r="J185" s="67">
        <v>1</v>
      </c>
      <c r="K185" s="68" t="s">
        <v>678</v>
      </c>
      <c r="L185" s="67" t="s">
        <v>240</v>
      </c>
      <c r="M185" s="68" t="s">
        <v>570</v>
      </c>
      <c r="N185" s="67" t="s">
        <v>240</v>
      </c>
      <c r="O185" s="95">
        <f t="shared" si="41"/>
        <v>0.1604671280276817</v>
      </c>
      <c r="P185" s="94">
        <f t="shared" si="42"/>
        <v>-2.0110200877506146E-2</v>
      </c>
      <c r="Q185" s="67" t="s">
        <v>240</v>
      </c>
      <c r="R185" s="67" t="s">
        <v>682</v>
      </c>
      <c r="S185" s="67">
        <f t="shared" si="43"/>
        <v>900</v>
      </c>
      <c r="T185" s="67">
        <v>448</v>
      </c>
      <c r="U185" s="67">
        <v>452</v>
      </c>
      <c r="V185" s="67">
        <v>-9.1999999999999998E-2</v>
      </c>
      <c r="AB185" s="67">
        <v>65.7</v>
      </c>
      <c r="AC185" s="67">
        <v>74.900000000000006</v>
      </c>
      <c r="AF185" s="67">
        <f t="shared" si="44"/>
        <v>3.0993326438447157</v>
      </c>
      <c r="AH185" s="70">
        <v>2E-3</v>
      </c>
      <c r="AI185" s="67">
        <f t="shared" si="45"/>
        <v>2.9683809571945202E-2</v>
      </c>
    </row>
    <row r="186" spans="1:49" ht="30" customHeight="1" x14ac:dyDescent="0.25">
      <c r="A186" s="77" t="s">
        <v>70</v>
      </c>
      <c r="B186" s="72" t="s">
        <v>207</v>
      </c>
      <c r="C186" s="77" t="s">
        <v>70</v>
      </c>
      <c r="D186" s="67">
        <v>30</v>
      </c>
      <c r="E186" s="67" t="s">
        <v>646</v>
      </c>
      <c r="F186" s="76" t="s">
        <v>240</v>
      </c>
      <c r="G186" s="68" t="s">
        <v>578</v>
      </c>
      <c r="H186" s="67">
        <v>1</v>
      </c>
      <c r="I186" s="67">
        <v>18</v>
      </c>
      <c r="J186" s="67">
        <v>1</v>
      </c>
      <c r="K186" s="68" t="s">
        <v>678</v>
      </c>
      <c r="L186" s="67" t="s">
        <v>240</v>
      </c>
      <c r="M186" s="68" t="s">
        <v>570</v>
      </c>
      <c r="N186" s="67" t="s">
        <v>240</v>
      </c>
      <c r="O186" s="95">
        <f t="shared" si="41"/>
        <v>0.1604671280276817</v>
      </c>
      <c r="P186" s="94">
        <f t="shared" si="42"/>
        <v>-2.0110200877506146E-2</v>
      </c>
      <c r="Q186" s="67" t="s">
        <v>240</v>
      </c>
      <c r="R186" s="67" t="s">
        <v>682</v>
      </c>
      <c r="S186" s="67">
        <f t="shared" si="43"/>
        <v>900</v>
      </c>
      <c r="T186" s="67">
        <v>448</v>
      </c>
      <c r="U186" s="67">
        <v>452</v>
      </c>
      <c r="V186" s="67">
        <v>7.0000000000000001E-3</v>
      </c>
      <c r="AB186" s="67">
        <v>83</v>
      </c>
      <c r="AC186" s="67">
        <v>82.3</v>
      </c>
      <c r="AF186" s="67">
        <f t="shared" si="44"/>
        <v>0.28984726265469057</v>
      </c>
      <c r="AH186" s="70">
        <v>0.77200000000000002</v>
      </c>
      <c r="AI186" s="67">
        <f t="shared" si="45"/>
        <v>2.415065071130048E-2</v>
      </c>
    </row>
    <row r="187" spans="1:49" ht="30" customHeight="1" x14ac:dyDescent="0.25">
      <c r="A187" s="77" t="s">
        <v>70</v>
      </c>
      <c r="B187" s="72" t="s">
        <v>207</v>
      </c>
      <c r="C187" s="77" t="s">
        <v>70</v>
      </c>
      <c r="D187" s="67">
        <v>31</v>
      </c>
      <c r="E187" s="67" t="s">
        <v>646</v>
      </c>
      <c r="F187" s="76" t="s">
        <v>240</v>
      </c>
      <c r="G187" s="68" t="s">
        <v>578</v>
      </c>
      <c r="H187" s="67">
        <v>1</v>
      </c>
      <c r="I187" s="67">
        <v>30</v>
      </c>
      <c r="J187" s="67">
        <v>1</v>
      </c>
      <c r="K187" s="68" t="s">
        <v>678</v>
      </c>
      <c r="L187" s="67" t="s">
        <v>240</v>
      </c>
      <c r="M187" s="68" t="s">
        <v>570</v>
      </c>
      <c r="N187" s="67" t="s">
        <v>240</v>
      </c>
      <c r="O187" s="95">
        <f t="shared" si="41"/>
        <v>0.1604671280276817</v>
      </c>
      <c r="P187" s="94">
        <f t="shared" si="42"/>
        <v>-2.0110200877506146E-2</v>
      </c>
      <c r="Q187" s="67" t="s">
        <v>240</v>
      </c>
      <c r="R187" s="67" t="s">
        <v>682</v>
      </c>
      <c r="S187" s="67">
        <f t="shared" si="43"/>
        <v>900</v>
      </c>
      <c r="T187" s="67">
        <v>448</v>
      </c>
      <c r="U187" s="67">
        <v>452</v>
      </c>
      <c r="V187" s="67">
        <v>-3.0000000000000001E-3</v>
      </c>
      <c r="AB187" s="67">
        <v>76.599999999999994</v>
      </c>
      <c r="AC187" s="67">
        <v>76.900000000000006</v>
      </c>
      <c r="AF187" s="67">
        <f t="shared" si="44"/>
        <v>0.10550331623386075</v>
      </c>
      <c r="AH187" s="70">
        <v>0.91600000000000004</v>
      </c>
      <c r="AI187" s="67">
        <f t="shared" si="45"/>
        <v>2.8435125141944736E-2</v>
      </c>
      <c r="AJ187" s="67"/>
    </row>
    <row r="188" spans="1:49" ht="30" customHeight="1" x14ac:dyDescent="0.25">
      <c r="A188" s="77" t="s">
        <v>70</v>
      </c>
      <c r="B188" s="72" t="s">
        <v>207</v>
      </c>
      <c r="C188" s="77" t="s">
        <v>70</v>
      </c>
      <c r="D188" s="67">
        <v>32</v>
      </c>
      <c r="E188" s="67" t="s">
        <v>646</v>
      </c>
      <c r="F188" s="76" t="s">
        <v>240</v>
      </c>
      <c r="G188" s="68" t="s">
        <v>578</v>
      </c>
      <c r="H188" s="67">
        <v>1</v>
      </c>
      <c r="I188" s="67">
        <v>42</v>
      </c>
      <c r="J188" s="67">
        <v>1</v>
      </c>
      <c r="K188" s="68" t="s">
        <v>678</v>
      </c>
      <c r="L188" s="67" t="s">
        <v>240</v>
      </c>
      <c r="M188" s="68" t="s">
        <v>570</v>
      </c>
      <c r="N188" s="67" t="s">
        <v>240</v>
      </c>
      <c r="O188" s="95">
        <f t="shared" si="41"/>
        <v>0.1604671280276817</v>
      </c>
      <c r="P188" s="94">
        <f t="shared" si="42"/>
        <v>-2.0110200877506146E-2</v>
      </c>
      <c r="Q188" s="67" t="s">
        <v>240</v>
      </c>
      <c r="R188" s="67" t="s">
        <v>682</v>
      </c>
      <c r="S188" s="67">
        <f t="shared" si="43"/>
        <v>900</v>
      </c>
      <c r="T188" s="67">
        <v>448</v>
      </c>
      <c r="U188" s="67">
        <v>452</v>
      </c>
      <c r="V188" s="67">
        <v>0.02</v>
      </c>
      <c r="AB188" s="67">
        <v>78.599999999999994</v>
      </c>
      <c r="AC188" s="67">
        <v>76.7</v>
      </c>
      <c r="AF188" s="67">
        <f t="shared" si="44"/>
        <v>0.72604560150143516</v>
      </c>
      <c r="AH188" s="70">
        <v>0.46800000000000003</v>
      </c>
      <c r="AI188" s="67">
        <f t="shared" si="45"/>
        <v>2.7546479117345726E-2</v>
      </c>
    </row>
    <row r="189" spans="1:49" ht="30" customHeight="1" x14ac:dyDescent="0.25">
      <c r="A189" s="77" t="s">
        <v>70</v>
      </c>
      <c r="B189" s="72" t="s">
        <v>293</v>
      </c>
      <c r="C189" s="77" t="s">
        <v>70</v>
      </c>
      <c r="D189" s="67">
        <f t="shared" ref="D189:D200" si="50">D188+1</f>
        <v>33</v>
      </c>
      <c r="E189" s="67" t="s">
        <v>577</v>
      </c>
      <c r="F189" s="76" t="s">
        <v>240</v>
      </c>
      <c r="G189" s="68" t="s">
        <v>683</v>
      </c>
      <c r="H189" s="67">
        <v>1</v>
      </c>
      <c r="I189" s="67">
        <v>6</v>
      </c>
      <c r="J189" s="67">
        <v>6</v>
      </c>
      <c r="K189" s="68" t="s">
        <v>684</v>
      </c>
      <c r="L189" s="67" t="s">
        <v>638</v>
      </c>
      <c r="M189" s="68" t="s">
        <v>570</v>
      </c>
      <c r="N189" s="67" t="s">
        <v>240</v>
      </c>
      <c r="O189" s="95">
        <f t="shared" si="41"/>
        <v>0.1604671280276817</v>
      </c>
      <c r="P189" s="94">
        <f t="shared" si="42"/>
        <v>-2.0110200877506146E-2</v>
      </c>
      <c r="R189" s="67" t="s">
        <v>685</v>
      </c>
      <c r="S189" s="67">
        <f t="shared" ref="S189:S215" si="51">T189+U189</f>
        <v>203</v>
      </c>
      <c r="T189" s="67">
        <v>107</v>
      </c>
      <c r="U189" s="67">
        <v>96</v>
      </c>
      <c r="V189" s="67">
        <v>0.14000000000000001</v>
      </c>
      <c r="AB189" s="67">
        <v>4.1399999999999997</v>
      </c>
      <c r="AC189" s="67">
        <v>4</v>
      </c>
      <c r="AF189" s="67">
        <f t="shared" si="44"/>
        <v>0.56603703793544824</v>
      </c>
      <c r="AH189" s="70">
        <v>0.57199999999999995</v>
      </c>
      <c r="AI189" s="67">
        <f t="shared" si="45"/>
        <v>0.24733363829093782</v>
      </c>
      <c r="AL189" s="68" t="s">
        <v>686</v>
      </c>
      <c r="AM189" s="67" t="s">
        <v>30</v>
      </c>
      <c r="AP189" s="71">
        <f t="shared" ref="AP189:AP200" si="52">+(V189/AQ189)*AT189</f>
        <v>3.7595193259114007E-2</v>
      </c>
      <c r="AQ189" s="67">
        <f t="shared" ref="AQ189:AQ200" si="53">+AI189*SQRT(T188*U188/S188)</f>
        <v>3.70996793216263</v>
      </c>
      <c r="AR189" s="67">
        <f t="shared" ref="AR189:AR200" si="54">+AT189^2*(S189/(T189*U189)+(AP189^2)/(2*S189))</f>
        <v>1.9618527494669111E-2</v>
      </c>
      <c r="AT189" s="67">
        <f t="shared" ref="AT189:AT200" si="55">+(1-3/(4*(S189-2)-1))</f>
        <v>0.99626400996264008</v>
      </c>
      <c r="AW189" s="67" t="s">
        <v>1003</v>
      </c>
    </row>
    <row r="190" spans="1:49" ht="30" customHeight="1" x14ac:dyDescent="0.25">
      <c r="A190" s="77" t="s">
        <v>70</v>
      </c>
      <c r="B190" s="72" t="s">
        <v>293</v>
      </c>
      <c r="C190" s="77" t="s">
        <v>70</v>
      </c>
      <c r="D190" s="67">
        <f t="shared" si="50"/>
        <v>34</v>
      </c>
      <c r="E190" s="67" t="s">
        <v>577</v>
      </c>
      <c r="F190" s="76" t="s">
        <v>240</v>
      </c>
      <c r="G190" s="68" t="s">
        <v>683</v>
      </c>
      <c r="H190" s="67">
        <v>1</v>
      </c>
      <c r="I190" s="67">
        <v>18</v>
      </c>
      <c r="J190" s="67">
        <v>6</v>
      </c>
      <c r="K190" s="68" t="s">
        <v>684</v>
      </c>
      <c r="L190" s="67" t="s">
        <v>638</v>
      </c>
      <c r="M190" s="68" t="s">
        <v>570</v>
      </c>
      <c r="N190" s="67" t="s">
        <v>240</v>
      </c>
      <c r="O190" s="95">
        <f t="shared" si="41"/>
        <v>0.1604671280276817</v>
      </c>
      <c r="P190" s="94">
        <f t="shared" si="42"/>
        <v>-2.0110200877506146E-2</v>
      </c>
      <c r="R190" s="67" t="s">
        <v>685</v>
      </c>
      <c r="S190" s="67">
        <f t="shared" si="51"/>
        <v>251</v>
      </c>
      <c r="T190" s="67">
        <v>137</v>
      </c>
      <c r="U190" s="67">
        <v>114</v>
      </c>
      <c r="V190" s="67">
        <v>0.08</v>
      </c>
      <c r="AB190" s="67">
        <v>4.63</v>
      </c>
      <c r="AC190" s="67">
        <v>4.55</v>
      </c>
      <c r="AF190" s="67">
        <f t="shared" si="44"/>
        <v>0.18931520859020817</v>
      </c>
      <c r="AH190" s="70">
        <v>0.85</v>
      </c>
      <c r="AI190" s="67">
        <f t="shared" si="45"/>
        <v>0.42257566413044001</v>
      </c>
      <c r="AL190" s="68" t="s">
        <v>686</v>
      </c>
      <c r="AM190" s="67" t="s">
        <v>30</v>
      </c>
      <c r="AP190" s="71">
        <f t="shared" si="52"/>
        <v>2.6533504173889697E-2</v>
      </c>
      <c r="AQ190" s="67">
        <f t="shared" si="53"/>
        <v>3.0059653428036812</v>
      </c>
      <c r="AR190" s="67">
        <f t="shared" si="54"/>
        <v>1.5975828237218607E-2</v>
      </c>
      <c r="AT190" s="67">
        <f t="shared" si="55"/>
        <v>0.99698492462311561</v>
      </c>
      <c r="AW190" s="67" t="s">
        <v>1003</v>
      </c>
    </row>
    <row r="191" spans="1:49" ht="30" customHeight="1" x14ac:dyDescent="0.25">
      <c r="A191" s="77" t="s">
        <v>70</v>
      </c>
      <c r="B191" s="72" t="s">
        <v>293</v>
      </c>
      <c r="C191" s="77" t="s">
        <v>70</v>
      </c>
      <c r="D191" s="67">
        <f t="shared" si="50"/>
        <v>35</v>
      </c>
      <c r="E191" s="67" t="s">
        <v>577</v>
      </c>
      <c r="F191" s="76" t="s">
        <v>240</v>
      </c>
      <c r="G191" s="68" t="s">
        <v>683</v>
      </c>
      <c r="H191" s="67">
        <v>1</v>
      </c>
      <c r="I191" s="67">
        <v>30</v>
      </c>
      <c r="J191" s="67">
        <v>6</v>
      </c>
      <c r="K191" s="68" t="s">
        <v>684</v>
      </c>
      <c r="L191" s="67" t="s">
        <v>638</v>
      </c>
      <c r="M191" s="68" t="s">
        <v>570</v>
      </c>
      <c r="N191" s="67" t="s">
        <v>240</v>
      </c>
      <c r="O191" s="95">
        <f t="shared" si="41"/>
        <v>0.1604671280276817</v>
      </c>
      <c r="P191" s="94">
        <f t="shared" si="42"/>
        <v>-2.0110200877506146E-2</v>
      </c>
      <c r="R191" s="67" t="s">
        <v>685</v>
      </c>
      <c r="S191" s="67">
        <f t="shared" si="51"/>
        <v>213</v>
      </c>
      <c r="T191" s="67">
        <v>109</v>
      </c>
      <c r="U191" s="67">
        <v>104</v>
      </c>
      <c r="V191" s="67">
        <v>0.01</v>
      </c>
      <c r="AB191" s="67">
        <v>5.0999999999999996</v>
      </c>
      <c r="AC191" s="67">
        <v>5.09</v>
      </c>
      <c r="AF191" s="67">
        <f t="shared" si="44"/>
        <v>2.7609123372843311E-2</v>
      </c>
      <c r="AH191" s="70">
        <v>0.97799999999999998</v>
      </c>
      <c r="AI191" s="67">
        <f t="shared" si="45"/>
        <v>0.36219911313215142</v>
      </c>
      <c r="AL191" s="68" t="s">
        <v>686</v>
      </c>
      <c r="AM191" s="67" t="s">
        <v>30</v>
      </c>
      <c r="AP191" s="71">
        <f t="shared" si="52"/>
        <v>3.4876145461361979E-3</v>
      </c>
      <c r="AQ191" s="67">
        <f t="shared" si="53"/>
        <v>2.8570854604408948</v>
      </c>
      <c r="AR191" s="67">
        <f t="shared" si="54"/>
        <v>1.8656228358615388E-2</v>
      </c>
      <c r="AT191" s="67">
        <f t="shared" si="55"/>
        <v>0.99644128113879005</v>
      </c>
      <c r="AW191" s="67" t="s">
        <v>1003</v>
      </c>
    </row>
    <row r="192" spans="1:49" ht="30" customHeight="1" x14ac:dyDescent="0.25">
      <c r="A192" s="77" t="s">
        <v>70</v>
      </c>
      <c r="B192" s="72" t="s">
        <v>293</v>
      </c>
      <c r="C192" s="77" t="s">
        <v>70</v>
      </c>
      <c r="D192" s="67">
        <f t="shared" si="50"/>
        <v>36</v>
      </c>
      <c r="E192" s="67" t="s">
        <v>577</v>
      </c>
      <c r="F192" s="76" t="s">
        <v>240</v>
      </c>
      <c r="G192" s="68" t="s">
        <v>683</v>
      </c>
      <c r="H192" s="67">
        <v>1</v>
      </c>
      <c r="I192" s="67">
        <v>42</v>
      </c>
      <c r="J192" s="67">
        <v>6</v>
      </c>
      <c r="K192" s="68" t="s">
        <v>684</v>
      </c>
      <c r="L192" s="67" t="s">
        <v>638</v>
      </c>
      <c r="M192" s="68" t="s">
        <v>570</v>
      </c>
      <c r="N192" s="67" t="s">
        <v>240</v>
      </c>
      <c r="O192" s="95">
        <f t="shared" si="41"/>
        <v>0.1604671280276817</v>
      </c>
      <c r="P192" s="94">
        <f t="shared" si="42"/>
        <v>-2.0110200877506146E-2</v>
      </c>
      <c r="R192" s="67" t="s">
        <v>685</v>
      </c>
      <c r="S192" s="67">
        <f t="shared" si="51"/>
        <v>250</v>
      </c>
      <c r="T192" s="67">
        <v>125</v>
      </c>
      <c r="U192" s="67">
        <v>125</v>
      </c>
      <c r="V192" s="67">
        <v>0.08</v>
      </c>
      <c r="AB192" s="67">
        <v>5.45</v>
      </c>
      <c r="AC192" s="67">
        <v>5.37</v>
      </c>
      <c r="AF192" s="67">
        <f t="shared" si="44"/>
        <v>0.2966264276739467</v>
      </c>
      <c r="AH192" s="70">
        <v>0.76700000000000002</v>
      </c>
      <c r="AI192" s="67">
        <f t="shared" si="45"/>
        <v>0.26969950259434206</v>
      </c>
      <c r="AL192" s="68" t="s">
        <v>686</v>
      </c>
      <c r="AM192" s="67" t="s">
        <v>30</v>
      </c>
      <c r="AP192" s="71">
        <f t="shared" si="52"/>
        <v>4.0537131587077189E-2</v>
      </c>
      <c r="AQ192" s="67">
        <f t="shared" si="53"/>
        <v>1.9675250137549698</v>
      </c>
      <c r="AR192" s="67">
        <f t="shared" si="54"/>
        <v>1.5906541430797897E-2</v>
      </c>
      <c r="AT192" s="67">
        <f t="shared" si="55"/>
        <v>0.99697275479313829</v>
      </c>
      <c r="AW192" s="67" t="s">
        <v>1003</v>
      </c>
    </row>
    <row r="193" spans="1:49" ht="30" customHeight="1" x14ac:dyDescent="0.25">
      <c r="A193" s="77" t="s">
        <v>70</v>
      </c>
      <c r="B193" s="72" t="s">
        <v>293</v>
      </c>
      <c r="C193" s="77" t="s">
        <v>70</v>
      </c>
      <c r="D193" s="67">
        <f t="shared" si="50"/>
        <v>37</v>
      </c>
      <c r="E193" s="67" t="s">
        <v>577</v>
      </c>
      <c r="F193" s="76" t="s">
        <v>240</v>
      </c>
      <c r="G193" s="68" t="s">
        <v>687</v>
      </c>
      <c r="H193" s="67">
        <v>1</v>
      </c>
      <c r="I193" s="67">
        <v>6</v>
      </c>
      <c r="J193" s="67">
        <v>6</v>
      </c>
      <c r="K193" s="68" t="s">
        <v>684</v>
      </c>
      <c r="L193" s="67" t="s">
        <v>638</v>
      </c>
      <c r="M193" s="68" t="s">
        <v>570</v>
      </c>
      <c r="N193" s="67" t="s">
        <v>240</v>
      </c>
      <c r="O193" s="95">
        <f t="shared" si="41"/>
        <v>0.1604671280276817</v>
      </c>
      <c r="P193" s="94">
        <f t="shared" si="42"/>
        <v>-2.0110200877506146E-2</v>
      </c>
      <c r="R193" s="67" t="s">
        <v>685</v>
      </c>
      <c r="S193" s="67">
        <f t="shared" si="51"/>
        <v>302</v>
      </c>
      <c r="T193" s="67">
        <v>158</v>
      </c>
      <c r="U193" s="67">
        <v>144</v>
      </c>
      <c r="V193" s="67">
        <v>-0.28999999999999998</v>
      </c>
      <c r="AB193" s="67">
        <v>4.1399999999999997</v>
      </c>
      <c r="AC193" s="67">
        <v>4.43</v>
      </c>
      <c r="AF193" s="67">
        <f t="shared" si="44"/>
        <v>1.7450505506361957</v>
      </c>
      <c r="AH193" s="70">
        <v>8.2000000000000003E-2</v>
      </c>
      <c r="AI193" s="67">
        <f t="shared" si="45"/>
        <v>0.16618429758053382</v>
      </c>
      <c r="AL193" s="68" t="s">
        <v>686</v>
      </c>
      <c r="AM193" s="67" t="s">
        <v>30</v>
      </c>
      <c r="AP193" s="71">
        <f t="shared" si="52"/>
        <v>-0.22018108120370578</v>
      </c>
      <c r="AQ193" s="67">
        <f t="shared" si="53"/>
        <v>1.3138022292742404</v>
      </c>
      <c r="AR193" s="67">
        <f t="shared" si="54"/>
        <v>1.3287081585976147E-2</v>
      </c>
      <c r="AT193" s="67">
        <f t="shared" si="55"/>
        <v>0.99749791492910755</v>
      </c>
      <c r="AW193" s="67" t="s">
        <v>1003</v>
      </c>
    </row>
    <row r="194" spans="1:49" ht="30" customHeight="1" x14ac:dyDescent="0.25">
      <c r="A194" s="77" t="s">
        <v>70</v>
      </c>
      <c r="B194" s="72" t="s">
        <v>293</v>
      </c>
      <c r="C194" s="77" t="s">
        <v>70</v>
      </c>
      <c r="D194" s="67">
        <f t="shared" si="50"/>
        <v>38</v>
      </c>
      <c r="E194" s="67" t="s">
        <v>577</v>
      </c>
      <c r="F194" s="76" t="s">
        <v>240</v>
      </c>
      <c r="G194" s="68" t="s">
        <v>687</v>
      </c>
      <c r="H194" s="67">
        <v>1</v>
      </c>
      <c r="I194" s="67">
        <v>18</v>
      </c>
      <c r="J194" s="67">
        <v>6</v>
      </c>
      <c r="K194" s="68" t="s">
        <v>684</v>
      </c>
      <c r="L194" s="67" t="s">
        <v>638</v>
      </c>
      <c r="M194" s="68" t="s">
        <v>570</v>
      </c>
      <c r="N194" s="67" t="s">
        <v>240</v>
      </c>
      <c r="O194" s="95">
        <f t="shared" si="41"/>
        <v>0.1604671280276817</v>
      </c>
      <c r="P194" s="94">
        <f t="shared" si="42"/>
        <v>-2.0110200877506146E-2</v>
      </c>
      <c r="R194" s="67" t="s">
        <v>685</v>
      </c>
      <c r="S194" s="67">
        <f t="shared" si="51"/>
        <v>349</v>
      </c>
      <c r="T194" s="67">
        <v>193</v>
      </c>
      <c r="U194" s="67">
        <v>156</v>
      </c>
      <c r="V194" s="67">
        <v>-0.36</v>
      </c>
      <c r="AB194" s="67">
        <v>4.55</v>
      </c>
      <c r="AC194" s="67">
        <v>4.91</v>
      </c>
      <c r="AF194" s="67">
        <f t="shared" si="44"/>
        <v>1.5977895373880155</v>
      </c>
      <c r="AH194" s="70">
        <v>0.111</v>
      </c>
      <c r="AI194" s="67">
        <f t="shared" si="45"/>
        <v>0.2253112763452623</v>
      </c>
      <c r="AL194" s="68" t="s">
        <v>686</v>
      </c>
      <c r="AM194" s="67" t="s">
        <v>30</v>
      </c>
      <c r="AP194" s="71">
        <f t="shared" si="52"/>
        <v>-0.1836846580016242</v>
      </c>
      <c r="AQ194" s="67">
        <f t="shared" si="53"/>
        <v>1.9556415050222431</v>
      </c>
      <c r="AR194" s="67">
        <f t="shared" si="54"/>
        <v>1.1589643173035425E-2</v>
      </c>
      <c r="AT194" s="67">
        <f t="shared" si="55"/>
        <v>0.99783705839942316</v>
      </c>
      <c r="AW194" s="67" t="s">
        <v>1003</v>
      </c>
    </row>
    <row r="195" spans="1:49" ht="30" customHeight="1" x14ac:dyDescent="0.25">
      <c r="A195" s="77" t="s">
        <v>70</v>
      </c>
      <c r="B195" s="72" t="s">
        <v>293</v>
      </c>
      <c r="C195" s="77" t="s">
        <v>70</v>
      </c>
      <c r="D195" s="67">
        <f t="shared" si="50"/>
        <v>39</v>
      </c>
      <c r="E195" s="67" t="s">
        <v>577</v>
      </c>
      <c r="F195" s="76" t="s">
        <v>240</v>
      </c>
      <c r="G195" s="68" t="s">
        <v>687</v>
      </c>
      <c r="H195" s="67">
        <v>1</v>
      </c>
      <c r="I195" s="67">
        <v>30</v>
      </c>
      <c r="J195" s="67">
        <v>6</v>
      </c>
      <c r="K195" s="68" t="s">
        <v>684</v>
      </c>
      <c r="L195" s="67" t="s">
        <v>638</v>
      </c>
      <c r="M195" s="68" t="s">
        <v>570</v>
      </c>
      <c r="N195" s="67" t="s">
        <v>240</v>
      </c>
      <c r="O195" s="95">
        <f t="shared" si="41"/>
        <v>0.1604671280276817</v>
      </c>
      <c r="P195" s="94">
        <f t="shared" si="42"/>
        <v>-2.0110200877506146E-2</v>
      </c>
      <c r="R195" s="67" t="s">
        <v>685</v>
      </c>
      <c r="S195" s="67">
        <f t="shared" si="51"/>
        <v>293</v>
      </c>
      <c r="T195" s="67">
        <v>156</v>
      </c>
      <c r="U195" s="67">
        <v>137</v>
      </c>
      <c r="V195" s="67">
        <v>0.34</v>
      </c>
      <c r="AB195" s="67">
        <v>5.54</v>
      </c>
      <c r="AC195" s="67">
        <v>5.2</v>
      </c>
      <c r="AF195" s="67">
        <f t="shared" si="44"/>
        <v>1.4798314396250876</v>
      </c>
      <c r="AH195" s="70">
        <v>0.14000000000000001</v>
      </c>
      <c r="AI195" s="67">
        <f t="shared" si="45"/>
        <v>0.22975589712172784</v>
      </c>
      <c r="AL195" s="68" t="s">
        <v>686</v>
      </c>
      <c r="AM195" s="67" t="s">
        <v>30</v>
      </c>
      <c r="AP195" s="71">
        <f t="shared" si="52"/>
        <v>0.15891404566299641</v>
      </c>
      <c r="AQ195" s="67">
        <f t="shared" si="53"/>
        <v>2.1340024190608697</v>
      </c>
      <c r="AR195" s="67">
        <f t="shared" si="54"/>
        <v>1.3681762244170895E-2</v>
      </c>
      <c r="AT195" s="67">
        <f t="shared" si="55"/>
        <v>0.99742046431642306</v>
      </c>
      <c r="AW195" s="67" t="s">
        <v>1003</v>
      </c>
    </row>
    <row r="196" spans="1:49" ht="30" customHeight="1" x14ac:dyDescent="0.25">
      <c r="A196" s="77" t="s">
        <v>70</v>
      </c>
      <c r="B196" s="72" t="s">
        <v>293</v>
      </c>
      <c r="C196" s="77" t="s">
        <v>70</v>
      </c>
      <c r="D196" s="67">
        <f t="shared" si="50"/>
        <v>40</v>
      </c>
      <c r="E196" s="67" t="s">
        <v>577</v>
      </c>
      <c r="F196" s="76" t="s">
        <v>240</v>
      </c>
      <c r="G196" s="68" t="s">
        <v>687</v>
      </c>
      <c r="H196" s="67">
        <v>1</v>
      </c>
      <c r="I196" s="67">
        <v>42</v>
      </c>
      <c r="J196" s="67">
        <v>6</v>
      </c>
      <c r="K196" s="68" t="s">
        <v>684</v>
      </c>
      <c r="L196" s="67" t="s">
        <v>638</v>
      </c>
      <c r="M196" s="68" t="s">
        <v>570</v>
      </c>
      <c r="N196" s="67" t="s">
        <v>240</v>
      </c>
      <c r="O196" s="95">
        <f t="shared" si="41"/>
        <v>0.1604671280276817</v>
      </c>
      <c r="P196" s="94">
        <f t="shared" si="42"/>
        <v>-2.0110200877506146E-2</v>
      </c>
      <c r="R196" s="67" t="s">
        <v>685</v>
      </c>
      <c r="S196" s="67">
        <f t="shared" si="51"/>
        <v>315</v>
      </c>
      <c r="T196" s="67">
        <v>171</v>
      </c>
      <c r="U196" s="67">
        <v>144</v>
      </c>
      <c r="V196" s="67">
        <v>0.77</v>
      </c>
      <c r="AB196" s="67">
        <v>5.7</v>
      </c>
      <c r="AC196" s="67">
        <v>4.93</v>
      </c>
      <c r="AF196" s="67">
        <f t="shared" si="44"/>
        <v>2.6691896479251902</v>
      </c>
      <c r="AH196" s="70">
        <v>8.0000000000000002E-3</v>
      </c>
      <c r="AI196" s="67">
        <f t="shared" si="45"/>
        <v>0.28847706666273604</v>
      </c>
      <c r="AL196" s="68" t="s">
        <v>686</v>
      </c>
      <c r="AM196" s="67" t="s">
        <v>30</v>
      </c>
      <c r="AP196" s="71">
        <f t="shared" si="52"/>
        <v>0.31177977184756489</v>
      </c>
      <c r="AQ196" s="67">
        <f t="shared" si="53"/>
        <v>2.4637694506806889</v>
      </c>
      <c r="AR196" s="67">
        <f t="shared" si="54"/>
        <v>1.2884673891438252E-2</v>
      </c>
      <c r="AT196" s="67">
        <f t="shared" si="55"/>
        <v>0.99760191846522783</v>
      </c>
      <c r="AW196" s="67" t="s">
        <v>1003</v>
      </c>
    </row>
    <row r="197" spans="1:49" ht="30" customHeight="1" x14ac:dyDescent="0.25">
      <c r="A197" s="77" t="s">
        <v>70</v>
      </c>
      <c r="B197" s="72" t="s">
        <v>293</v>
      </c>
      <c r="C197" s="77" t="s">
        <v>70</v>
      </c>
      <c r="D197" s="67">
        <f t="shared" si="50"/>
        <v>41</v>
      </c>
      <c r="E197" s="67" t="s">
        <v>583</v>
      </c>
      <c r="F197" s="76" t="s">
        <v>240</v>
      </c>
      <c r="G197" s="68" t="s">
        <v>578</v>
      </c>
      <c r="H197" s="67">
        <v>1</v>
      </c>
      <c r="I197" s="67">
        <v>6</v>
      </c>
      <c r="J197" s="67">
        <v>6</v>
      </c>
      <c r="K197" s="68" t="s">
        <v>684</v>
      </c>
      <c r="L197" s="67" t="s">
        <v>638</v>
      </c>
      <c r="M197" s="68" t="s">
        <v>570</v>
      </c>
      <c r="N197" s="67" t="s">
        <v>240</v>
      </c>
      <c r="O197" s="95">
        <f t="shared" si="41"/>
        <v>0.1604671280276817</v>
      </c>
      <c r="P197" s="94">
        <f t="shared" si="42"/>
        <v>-2.0110200877506146E-2</v>
      </c>
      <c r="R197" s="67" t="s">
        <v>685</v>
      </c>
      <c r="S197" s="67">
        <f t="shared" si="51"/>
        <v>632</v>
      </c>
      <c r="T197" s="67">
        <v>293</v>
      </c>
      <c r="U197" s="67">
        <v>339</v>
      </c>
      <c r="V197" s="67">
        <v>0.22</v>
      </c>
      <c r="AB197" s="67">
        <v>4.91</v>
      </c>
      <c r="AC197" s="67">
        <v>4.6900000000000004</v>
      </c>
      <c r="AF197" s="67">
        <f t="shared" si="44"/>
        <v>0.80521397401315165</v>
      </c>
      <c r="AH197" s="70">
        <v>0.42099999999999999</v>
      </c>
      <c r="AI197" s="67">
        <f t="shared" si="45"/>
        <v>0.2732193020738693</v>
      </c>
      <c r="AL197" s="68" t="s">
        <v>686</v>
      </c>
      <c r="AM197" s="67" t="s">
        <v>30</v>
      </c>
      <c r="AP197" s="71">
        <f t="shared" si="52"/>
        <v>9.0964041599473924E-2</v>
      </c>
      <c r="AQ197" s="67">
        <f t="shared" si="53"/>
        <v>2.4156577412634044</v>
      </c>
      <c r="AR197" s="67">
        <f t="shared" si="54"/>
        <v>6.3542058899146731E-3</v>
      </c>
      <c r="AT197" s="67">
        <f t="shared" si="55"/>
        <v>0.99880905121079788</v>
      </c>
      <c r="AW197" s="67" t="s">
        <v>1003</v>
      </c>
    </row>
    <row r="198" spans="1:49" ht="30" customHeight="1" x14ac:dyDescent="0.25">
      <c r="A198" s="77" t="s">
        <v>70</v>
      </c>
      <c r="B198" s="72" t="s">
        <v>293</v>
      </c>
      <c r="C198" s="77" t="s">
        <v>70</v>
      </c>
      <c r="D198" s="67">
        <f t="shared" si="50"/>
        <v>42</v>
      </c>
      <c r="E198" s="67" t="s">
        <v>583</v>
      </c>
      <c r="F198" s="76" t="s">
        <v>240</v>
      </c>
      <c r="G198" s="68" t="s">
        <v>578</v>
      </c>
      <c r="H198" s="67">
        <v>1</v>
      </c>
      <c r="I198" s="67">
        <v>18</v>
      </c>
      <c r="J198" s="67">
        <v>6</v>
      </c>
      <c r="K198" s="68" t="s">
        <v>684</v>
      </c>
      <c r="L198" s="67" t="s">
        <v>638</v>
      </c>
      <c r="M198" s="68" t="s">
        <v>570</v>
      </c>
      <c r="N198" s="67" t="s">
        <v>240</v>
      </c>
      <c r="O198" s="95">
        <f t="shared" si="41"/>
        <v>0.1604671280276817</v>
      </c>
      <c r="P198" s="94">
        <f t="shared" si="42"/>
        <v>-2.0110200877506146E-2</v>
      </c>
      <c r="R198" s="67" t="s">
        <v>685</v>
      </c>
      <c r="S198" s="67">
        <f t="shared" si="51"/>
        <v>742</v>
      </c>
      <c r="T198" s="67">
        <v>369</v>
      </c>
      <c r="U198" s="67">
        <v>373</v>
      </c>
      <c r="V198" s="67">
        <v>-7.0000000000000007E-2</v>
      </c>
      <c r="AB198" s="67">
        <v>5.13</v>
      </c>
      <c r="AC198" s="67">
        <v>5.2</v>
      </c>
      <c r="AF198" s="67">
        <f t="shared" si="44"/>
        <v>0.51887936519881339</v>
      </c>
      <c r="AH198" s="70">
        <v>0.60399999999999998</v>
      </c>
      <c r="AI198" s="67">
        <f t="shared" si="45"/>
        <v>0.13490611632470462</v>
      </c>
      <c r="AL198" s="68" t="s">
        <v>686</v>
      </c>
      <c r="AM198" s="67" t="s">
        <v>30</v>
      </c>
      <c r="AP198" s="71">
        <f t="shared" si="52"/>
        <v>-4.1347641720637381E-2</v>
      </c>
      <c r="AQ198" s="67">
        <f t="shared" si="53"/>
        <v>1.6912459131333257</v>
      </c>
      <c r="AR198" s="67">
        <f t="shared" si="54"/>
        <v>5.3812161143811463E-3</v>
      </c>
      <c r="AT198" s="67">
        <f t="shared" si="55"/>
        <v>0.99898614396755658</v>
      </c>
      <c r="AW198" s="67" t="s">
        <v>1003</v>
      </c>
    </row>
    <row r="199" spans="1:49" ht="30" customHeight="1" x14ac:dyDescent="0.25">
      <c r="A199" s="77" t="s">
        <v>70</v>
      </c>
      <c r="B199" s="72" t="s">
        <v>293</v>
      </c>
      <c r="C199" s="77" t="s">
        <v>70</v>
      </c>
      <c r="D199" s="67">
        <f t="shared" si="50"/>
        <v>43</v>
      </c>
      <c r="E199" s="67" t="s">
        <v>583</v>
      </c>
      <c r="F199" s="76" t="s">
        <v>240</v>
      </c>
      <c r="G199" s="68" t="s">
        <v>578</v>
      </c>
      <c r="H199" s="67">
        <v>1</v>
      </c>
      <c r="I199" s="67">
        <v>30</v>
      </c>
      <c r="J199" s="67">
        <v>6</v>
      </c>
      <c r="K199" s="68" t="s">
        <v>684</v>
      </c>
      <c r="L199" s="67" t="s">
        <v>638</v>
      </c>
      <c r="M199" s="68" t="s">
        <v>570</v>
      </c>
      <c r="N199" s="67" t="s">
        <v>240</v>
      </c>
      <c r="O199" s="95">
        <f t="shared" si="41"/>
        <v>0.1604671280276817</v>
      </c>
      <c r="P199" s="94">
        <f t="shared" si="42"/>
        <v>-2.0110200877506146E-2</v>
      </c>
      <c r="R199" s="67" t="s">
        <v>685</v>
      </c>
      <c r="S199" s="67">
        <f t="shared" si="51"/>
        <v>691</v>
      </c>
      <c r="T199" s="67">
        <v>343</v>
      </c>
      <c r="U199" s="67">
        <v>348</v>
      </c>
      <c r="V199" s="67">
        <v>0.03</v>
      </c>
      <c r="AB199" s="67">
        <v>5.86</v>
      </c>
      <c r="AC199" s="67">
        <v>5.83</v>
      </c>
      <c r="AF199" s="67">
        <f t="shared" si="44"/>
        <v>0.16499031390895691</v>
      </c>
      <c r="AH199" s="70">
        <v>0.86899999999999999</v>
      </c>
      <c r="AI199" s="67">
        <f t="shared" si="45"/>
        <v>0.18182885582334402</v>
      </c>
      <c r="AL199" s="68" t="s">
        <v>686</v>
      </c>
      <c r="AM199" s="67" t="s">
        <v>30</v>
      </c>
      <c r="AP199" s="71">
        <f t="shared" si="52"/>
        <v>1.2100954524372575E-2</v>
      </c>
      <c r="AQ199" s="67">
        <f t="shared" si="53"/>
        <v>2.4764436609570484</v>
      </c>
      <c r="AR199" s="67">
        <f t="shared" si="54"/>
        <v>5.7765200491836297E-3</v>
      </c>
      <c r="AT199" s="67">
        <f t="shared" si="55"/>
        <v>0.99891107078039931</v>
      </c>
      <c r="AW199" s="67" t="s">
        <v>1003</v>
      </c>
    </row>
    <row r="200" spans="1:49" ht="30" customHeight="1" x14ac:dyDescent="0.25">
      <c r="A200" s="77" t="s">
        <v>70</v>
      </c>
      <c r="B200" s="72" t="s">
        <v>293</v>
      </c>
      <c r="C200" s="77" t="s">
        <v>70</v>
      </c>
      <c r="D200" s="67">
        <f t="shared" si="50"/>
        <v>44</v>
      </c>
      <c r="E200" s="67" t="s">
        <v>583</v>
      </c>
      <c r="F200" s="76" t="s">
        <v>240</v>
      </c>
      <c r="G200" s="68" t="s">
        <v>578</v>
      </c>
      <c r="H200" s="67">
        <v>1</v>
      </c>
      <c r="I200" s="67">
        <v>42</v>
      </c>
      <c r="J200" s="67">
        <v>6</v>
      </c>
      <c r="K200" s="68" t="s">
        <v>684</v>
      </c>
      <c r="L200" s="67" t="s">
        <v>638</v>
      </c>
      <c r="M200" s="68" t="s">
        <v>570</v>
      </c>
      <c r="N200" s="67" t="s">
        <v>240</v>
      </c>
      <c r="O200" s="95">
        <f t="shared" si="41"/>
        <v>0.1604671280276817</v>
      </c>
      <c r="P200" s="94">
        <f t="shared" si="42"/>
        <v>-2.0110200877506146E-2</v>
      </c>
      <c r="R200" s="67" t="s">
        <v>685</v>
      </c>
      <c r="S200" s="67">
        <f t="shared" si="51"/>
        <v>699</v>
      </c>
      <c r="T200" s="67">
        <v>352</v>
      </c>
      <c r="U200" s="67">
        <v>347</v>
      </c>
      <c r="V200" s="67">
        <v>7.0000000000000007E-2</v>
      </c>
      <c r="AB200" s="67">
        <v>5.89</v>
      </c>
      <c r="AC200" s="67">
        <v>5.82</v>
      </c>
      <c r="AF200" s="67">
        <f t="shared" si="44"/>
        <v>0.46371042822559216</v>
      </c>
      <c r="AH200" s="70">
        <v>0.64300000000000002</v>
      </c>
      <c r="AI200" s="67">
        <f t="shared" si="45"/>
        <v>0.15095627732129727</v>
      </c>
      <c r="AL200" s="68" t="s">
        <v>686</v>
      </c>
      <c r="AM200" s="68" t="s">
        <v>30</v>
      </c>
      <c r="AP200" s="71">
        <f t="shared" si="52"/>
        <v>3.5243697632115628E-2</v>
      </c>
      <c r="AQ200" s="67">
        <f t="shared" si="53"/>
        <v>1.9840327451267625</v>
      </c>
      <c r="AR200" s="67">
        <f t="shared" si="54"/>
        <v>5.7113264427530175E-3</v>
      </c>
      <c r="AT200" s="67">
        <f t="shared" si="55"/>
        <v>0.99892357373519913</v>
      </c>
      <c r="AW200" s="67" t="s">
        <v>1003</v>
      </c>
    </row>
    <row r="201" spans="1:49" ht="30" customHeight="1" x14ac:dyDescent="0.25">
      <c r="A201" s="73" t="s">
        <v>111</v>
      </c>
      <c r="B201" s="67" t="s">
        <v>273</v>
      </c>
      <c r="C201" s="73" t="s">
        <v>122</v>
      </c>
      <c r="D201" s="67">
        <v>1</v>
      </c>
      <c r="E201" s="67" t="s">
        <v>605</v>
      </c>
      <c r="F201" s="73" t="s">
        <v>240</v>
      </c>
      <c r="G201" s="73" t="s">
        <v>627</v>
      </c>
      <c r="H201" s="67">
        <v>0</v>
      </c>
      <c r="I201" s="67" t="s">
        <v>688</v>
      </c>
      <c r="J201" s="67">
        <v>1</v>
      </c>
      <c r="K201" s="68" t="s">
        <v>689</v>
      </c>
      <c r="L201" s="68" t="s">
        <v>240</v>
      </c>
      <c r="M201" s="68" t="s">
        <v>570</v>
      </c>
      <c r="N201" s="67" t="s">
        <v>240</v>
      </c>
      <c r="O201" s="69">
        <f t="shared" ref="O201:O215" si="56" xml:space="preserve"> (   (1-0.885)*1377 +  (1-0.894)*1419  + (1-0.894)*1306   )/(1377 + 1419 + 1306)</f>
        <v>0.10902120916626036</v>
      </c>
      <c r="P201" s="74">
        <v>-5.1999999999999998E-2</v>
      </c>
      <c r="Q201" s="67">
        <v>5.6000000000000001E-2</v>
      </c>
      <c r="R201" s="67" t="s">
        <v>580</v>
      </c>
      <c r="S201" s="67">
        <f t="shared" si="51"/>
        <v>4677</v>
      </c>
      <c r="T201" s="67">
        <v>3465</v>
      </c>
      <c r="U201" s="67">
        <v>1212</v>
      </c>
      <c r="V201" s="67">
        <v>9.2999999999999999E-2</v>
      </c>
      <c r="W201" s="67">
        <v>2.1999999999999999E-2</v>
      </c>
      <c r="Y201" s="67">
        <v>0.61199999999999999</v>
      </c>
      <c r="Z201" s="67">
        <v>0.48699999999999999</v>
      </c>
      <c r="AI201" s="70">
        <f t="shared" ref="AI201:AI232" si="57">+W201</f>
        <v>2.1999999999999999E-2</v>
      </c>
      <c r="AL201" s="68" t="s">
        <v>690</v>
      </c>
    </row>
    <row r="202" spans="1:49" ht="30" customHeight="1" x14ac:dyDescent="0.25">
      <c r="A202" s="73" t="s">
        <v>111</v>
      </c>
      <c r="B202" s="67" t="s">
        <v>273</v>
      </c>
      <c r="C202" s="73" t="s">
        <v>122</v>
      </c>
      <c r="D202" s="67">
        <f t="shared" ref="D202:D215" si="58">D201+1</f>
        <v>2</v>
      </c>
      <c r="E202" s="67" t="s">
        <v>605</v>
      </c>
      <c r="F202" s="73" t="s">
        <v>240</v>
      </c>
      <c r="G202" s="73" t="s">
        <v>627</v>
      </c>
      <c r="H202" s="67">
        <v>0</v>
      </c>
      <c r="I202" s="67" t="s">
        <v>688</v>
      </c>
      <c r="J202" s="67">
        <v>2</v>
      </c>
      <c r="K202" s="68" t="s">
        <v>611</v>
      </c>
      <c r="L202" s="68" t="s">
        <v>691</v>
      </c>
      <c r="M202" s="68" t="s">
        <v>570</v>
      </c>
      <c r="N202" s="67" t="s">
        <v>240</v>
      </c>
      <c r="O202" s="69">
        <f t="shared" si="56"/>
        <v>0.10902120916626036</v>
      </c>
      <c r="P202" s="74">
        <v>-5.1999999999999998E-2</v>
      </c>
      <c r="Q202" s="67">
        <v>5.6000000000000001E-2</v>
      </c>
      <c r="R202" s="67" t="s">
        <v>580</v>
      </c>
      <c r="S202" s="67">
        <f t="shared" si="51"/>
        <v>4677</v>
      </c>
      <c r="T202" s="67">
        <v>3465</v>
      </c>
      <c r="U202" s="67">
        <v>1212</v>
      </c>
      <c r="V202" s="67">
        <v>921.32299999999998</v>
      </c>
      <c r="W202" s="67">
        <v>159.517</v>
      </c>
      <c r="Y202" s="67">
        <v>1271.5419999999999</v>
      </c>
      <c r="Z202" s="67">
        <v>2197.6689999999999</v>
      </c>
      <c r="AI202" s="70">
        <f t="shared" si="57"/>
        <v>159.517</v>
      </c>
      <c r="AL202" s="68" t="s">
        <v>690</v>
      </c>
      <c r="AP202" s="67">
        <f>+V202/AQ202</f>
        <v>0.19274614256843367</v>
      </c>
      <c r="AQ202" s="67">
        <f>+W202*SQRT(T202*U202/S202)</f>
        <v>4779.9815224467502</v>
      </c>
      <c r="AS202" s="67">
        <f>+AP202^2/(AU202-2)*(AU202/(V202/AI202)^2+AU202*AV202^2-AU202+2)</f>
        <v>1.1300597530984359E-3</v>
      </c>
      <c r="AU202" s="67">
        <f>+S202-2</f>
        <v>4675</v>
      </c>
      <c r="AV202" s="67">
        <f>IFERROR(1/(SQRT(AU202/2)*_xlfn.GAMMA(AU202/2-0.5)/_xlfn.GAMMA(AU202/2)),1)</f>
        <v>1</v>
      </c>
      <c r="AW202" s="67" t="s">
        <v>1350</v>
      </c>
    </row>
    <row r="203" spans="1:49" ht="30" customHeight="1" x14ac:dyDescent="0.25">
      <c r="A203" s="73" t="s">
        <v>111</v>
      </c>
      <c r="B203" s="67" t="s">
        <v>273</v>
      </c>
      <c r="C203" s="73" t="s">
        <v>122</v>
      </c>
      <c r="D203" s="67">
        <f t="shared" si="58"/>
        <v>3</v>
      </c>
      <c r="E203" s="67" t="s">
        <v>605</v>
      </c>
      <c r="F203" s="73" t="s">
        <v>240</v>
      </c>
      <c r="G203" s="73" t="s">
        <v>627</v>
      </c>
      <c r="H203" s="67">
        <v>0</v>
      </c>
      <c r="I203" s="67" t="s">
        <v>688</v>
      </c>
      <c r="J203" s="67">
        <v>5</v>
      </c>
      <c r="K203" s="68" t="s">
        <v>692</v>
      </c>
      <c r="L203" s="68" t="s">
        <v>691</v>
      </c>
      <c r="M203" s="68" t="s">
        <v>570</v>
      </c>
      <c r="N203" s="67" t="s">
        <v>240</v>
      </c>
      <c r="O203" s="69">
        <f t="shared" si="56"/>
        <v>0.10902120916626036</v>
      </c>
      <c r="P203" s="74">
        <v>-5.1999999999999998E-2</v>
      </c>
      <c r="Q203" s="67">
        <v>5.6000000000000001E-2</v>
      </c>
      <c r="R203" s="67" t="s">
        <v>580</v>
      </c>
      <c r="S203" s="67">
        <f t="shared" si="51"/>
        <v>4677</v>
      </c>
      <c r="T203" s="67">
        <v>3465</v>
      </c>
      <c r="U203" s="67">
        <v>1212</v>
      </c>
      <c r="V203" s="67">
        <v>1.2090000000000001</v>
      </c>
      <c r="W203" s="67">
        <v>0.20300000000000001</v>
      </c>
      <c r="Y203" s="67">
        <v>3.2909999999999999</v>
      </c>
      <c r="Z203" s="67">
        <v>3.8170000000000002</v>
      </c>
      <c r="AI203" s="70">
        <f t="shared" si="57"/>
        <v>0.20300000000000001</v>
      </c>
      <c r="AL203" s="68" t="s">
        <v>690</v>
      </c>
      <c r="AP203" s="67">
        <f>+V203/AQ203</f>
        <v>0.1987517761883929</v>
      </c>
      <c r="AQ203" s="67">
        <f>+W203*SQRT(T203*U203/S203)</f>
        <v>6.082964505705915</v>
      </c>
      <c r="AS203" s="67">
        <f>+AP203^2/(AU203-2)*(AU203/(V203/AI203)^2+AU203*AV203^2-AU203+2)</f>
        <v>1.1310660415910659E-3</v>
      </c>
      <c r="AU203" s="67">
        <f>+S203-2</f>
        <v>4675</v>
      </c>
      <c r="AV203" s="67">
        <f>IFERROR(1/(SQRT(AU203/2)*_xlfn.GAMMA(AU203/2-0.5)/_xlfn.GAMMA(AU203/2)),1)</f>
        <v>1</v>
      </c>
      <c r="AW203" s="67" t="s">
        <v>1350</v>
      </c>
    </row>
    <row r="204" spans="1:49" ht="30" customHeight="1" x14ac:dyDescent="0.25">
      <c r="A204" s="73" t="s">
        <v>111</v>
      </c>
      <c r="B204" s="67" t="s">
        <v>273</v>
      </c>
      <c r="C204" s="73" t="s">
        <v>122</v>
      </c>
      <c r="D204" s="67">
        <f t="shared" si="58"/>
        <v>4</v>
      </c>
      <c r="E204" s="67" t="s">
        <v>583</v>
      </c>
      <c r="F204" s="73" t="s">
        <v>240</v>
      </c>
      <c r="G204" s="73" t="s">
        <v>627</v>
      </c>
      <c r="H204" s="67">
        <v>0</v>
      </c>
      <c r="I204" s="67" t="s">
        <v>688</v>
      </c>
      <c r="J204" s="67">
        <v>1</v>
      </c>
      <c r="K204" s="68" t="s">
        <v>689</v>
      </c>
      <c r="L204" s="68" t="s">
        <v>240</v>
      </c>
      <c r="M204" s="68" t="s">
        <v>570</v>
      </c>
      <c r="N204" s="67" t="s">
        <v>240</v>
      </c>
      <c r="O204" s="69">
        <f t="shared" si="56"/>
        <v>0.10902120916626036</v>
      </c>
      <c r="P204" s="74">
        <v>-5.1999999999999998E-2</v>
      </c>
      <c r="Q204" s="67">
        <v>5.6000000000000001E-2</v>
      </c>
      <c r="R204" s="67" t="s">
        <v>693</v>
      </c>
      <c r="S204" s="67">
        <f t="shared" si="51"/>
        <v>1863</v>
      </c>
      <c r="T204" s="67">
        <v>1383</v>
      </c>
      <c r="U204" s="67">
        <v>480</v>
      </c>
      <c r="V204" s="67">
        <v>2.5000000000000001E-2</v>
      </c>
      <c r="W204" s="67">
        <v>3.5000000000000003E-2</v>
      </c>
      <c r="Y204" s="67">
        <v>0.77400000000000002</v>
      </c>
      <c r="Z204" s="67">
        <v>0.41799999999999998</v>
      </c>
      <c r="AI204" s="70">
        <f t="shared" si="57"/>
        <v>3.5000000000000003E-2</v>
      </c>
      <c r="AL204" s="68" t="s">
        <v>690</v>
      </c>
    </row>
    <row r="205" spans="1:49" ht="30" customHeight="1" x14ac:dyDescent="0.25">
      <c r="A205" s="73" t="s">
        <v>111</v>
      </c>
      <c r="B205" s="67" t="s">
        <v>273</v>
      </c>
      <c r="C205" s="73" t="s">
        <v>122</v>
      </c>
      <c r="D205" s="67">
        <f t="shared" si="58"/>
        <v>5</v>
      </c>
      <c r="E205" s="67" t="s">
        <v>583</v>
      </c>
      <c r="F205" s="73" t="s">
        <v>240</v>
      </c>
      <c r="G205" s="73" t="s">
        <v>627</v>
      </c>
      <c r="H205" s="67">
        <v>0</v>
      </c>
      <c r="I205" s="67" t="s">
        <v>688</v>
      </c>
      <c r="J205" s="67">
        <v>2</v>
      </c>
      <c r="K205" s="68" t="s">
        <v>611</v>
      </c>
      <c r="L205" s="68" t="s">
        <v>691</v>
      </c>
      <c r="M205" s="68" t="s">
        <v>570</v>
      </c>
      <c r="N205" s="67" t="s">
        <v>240</v>
      </c>
      <c r="O205" s="69">
        <f t="shared" si="56"/>
        <v>0.10902120916626036</v>
      </c>
      <c r="P205" s="74">
        <v>-5.1999999999999998E-2</v>
      </c>
      <c r="Q205" s="67">
        <v>5.6000000000000001E-2</v>
      </c>
      <c r="R205" s="67" t="s">
        <v>693</v>
      </c>
      <c r="S205" s="67">
        <f t="shared" si="51"/>
        <v>1863</v>
      </c>
      <c r="T205" s="67">
        <v>1383</v>
      </c>
      <c r="U205" s="67">
        <v>480</v>
      </c>
      <c r="V205" s="67">
        <v>681.69799999999998</v>
      </c>
      <c r="W205" s="67">
        <v>300.488</v>
      </c>
      <c r="Y205" s="67">
        <v>2137.9470000000001</v>
      </c>
      <c r="Z205" s="67">
        <v>2539.4789999999998</v>
      </c>
      <c r="AI205" s="70">
        <f t="shared" si="57"/>
        <v>300.488</v>
      </c>
      <c r="AL205" s="68" t="s">
        <v>690</v>
      </c>
      <c r="AP205" s="67">
        <f>+V205/AQ205</f>
        <v>0.12018204937282982</v>
      </c>
      <c r="AQ205" s="67">
        <f>+W205*SQRT(T205*U205/S205)</f>
        <v>5672.2114788143645</v>
      </c>
      <c r="AS205" s="67">
        <f>+AP205^2/(AU205-2)*(AU205/(V205/AI205)^2+AU205*AV205^2-AU205+2)</f>
        <v>2.8249576305714704E-3</v>
      </c>
      <c r="AU205" s="67">
        <f>+S205-2</f>
        <v>1861</v>
      </c>
      <c r="AV205" s="67">
        <f>IFERROR(1/(SQRT(AU205/2)*_xlfn.GAMMA(AU205/2-0.5)/_xlfn.GAMMA(AU205/2)),1)</f>
        <v>1</v>
      </c>
      <c r="AW205" s="67" t="s">
        <v>1350</v>
      </c>
    </row>
    <row r="206" spans="1:49" ht="30" customHeight="1" x14ac:dyDescent="0.25">
      <c r="A206" s="73" t="s">
        <v>111</v>
      </c>
      <c r="B206" s="67" t="s">
        <v>273</v>
      </c>
      <c r="C206" s="73" t="s">
        <v>122</v>
      </c>
      <c r="D206" s="67">
        <f t="shared" si="58"/>
        <v>6</v>
      </c>
      <c r="E206" s="67" t="s">
        <v>583</v>
      </c>
      <c r="F206" s="73" t="s">
        <v>240</v>
      </c>
      <c r="G206" s="73" t="s">
        <v>627</v>
      </c>
      <c r="H206" s="67">
        <v>0</v>
      </c>
      <c r="I206" s="67" t="s">
        <v>688</v>
      </c>
      <c r="J206" s="67">
        <v>5</v>
      </c>
      <c r="K206" s="68" t="s">
        <v>692</v>
      </c>
      <c r="L206" s="68" t="s">
        <v>691</v>
      </c>
      <c r="M206" s="68" t="s">
        <v>570</v>
      </c>
      <c r="N206" s="67" t="s">
        <v>240</v>
      </c>
      <c r="O206" s="69">
        <f t="shared" si="56"/>
        <v>0.10902120916626036</v>
      </c>
      <c r="P206" s="74">
        <v>-5.1999999999999998E-2</v>
      </c>
      <c r="Q206" s="67">
        <v>5.6000000000000001E-2</v>
      </c>
      <c r="R206" s="67" t="s">
        <v>693</v>
      </c>
      <c r="S206" s="67">
        <f t="shared" si="51"/>
        <v>1863</v>
      </c>
      <c r="T206" s="67">
        <v>1383</v>
      </c>
      <c r="U206" s="67">
        <v>480</v>
      </c>
      <c r="V206" s="67">
        <v>0.28100000000000003</v>
      </c>
      <c r="W206" s="67">
        <v>0.34100000000000003</v>
      </c>
      <c r="Y206" s="67">
        <v>4.7960000000000003</v>
      </c>
      <c r="Z206" s="67">
        <v>3.9169999999999998</v>
      </c>
      <c r="AI206" s="70">
        <f t="shared" si="57"/>
        <v>0.34100000000000003</v>
      </c>
      <c r="AL206" s="68" t="s">
        <v>690</v>
      </c>
      <c r="AP206" s="67">
        <f>+V206/AQ206</f>
        <v>4.3654262904078658E-2</v>
      </c>
      <c r="AQ206" s="67">
        <f>+W206*SQRT(T206*U206/S206)</f>
        <v>6.4369429537142855</v>
      </c>
      <c r="AS206" s="67">
        <f>+AP206^2/(AU206-2)*(AU206/(V206/AI206)^2+AU206*AV206^2-AU206+2)</f>
        <v>2.8114686253839991E-3</v>
      </c>
      <c r="AU206" s="67">
        <f>+S206-2</f>
        <v>1861</v>
      </c>
      <c r="AV206" s="67">
        <f>IFERROR(1/(SQRT(AU206/2)*_xlfn.GAMMA(AU206/2-0.5)/_xlfn.GAMMA(AU206/2)),1)</f>
        <v>1</v>
      </c>
      <c r="AW206" s="67" t="s">
        <v>1350</v>
      </c>
    </row>
    <row r="207" spans="1:49" ht="30" customHeight="1" x14ac:dyDescent="0.25">
      <c r="A207" s="73" t="s">
        <v>111</v>
      </c>
      <c r="B207" s="67" t="s">
        <v>273</v>
      </c>
      <c r="C207" s="73" t="s">
        <v>122</v>
      </c>
      <c r="D207" s="67">
        <f t="shared" si="58"/>
        <v>7</v>
      </c>
      <c r="E207" s="67" t="s">
        <v>577</v>
      </c>
      <c r="F207" s="73" t="s">
        <v>240</v>
      </c>
      <c r="G207" s="73" t="s">
        <v>627</v>
      </c>
      <c r="H207" s="67">
        <v>0</v>
      </c>
      <c r="I207" s="67" t="s">
        <v>688</v>
      </c>
      <c r="J207" s="67">
        <v>1</v>
      </c>
      <c r="K207" s="68" t="s">
        <v>689</v>
      </c>
      <c r="L207" s="68" t="s">
        <v>240</v>
      </c>
      <c r="M207" s="68" t="s">
        <v>570</v>
      </c>
      <c r="N207" s="67" t="s">
        <v>240</v>
      </c>
      <c r="O207" s="69">
        <f t="shared" si="56"/>
        <v>0.10902120916626036</v>
      </c>
      <c r="P207" s="74">
        <v>-5.1999999999999998E-2</v>
      </c>
      <c r="Q207" s="67">
        <v>5.6000000000000001E-2</v>
      </c>
      <c r="R207" s="67" t="s">
        <v>693</v>
      </c>
      <c r="S207" s="67">
        <f t="shared" si="51"/>
        <v>2814</v>
      </c>
      <c r="T207" s="67">
        <v>2082</v>
      </c>
      <c r="U207" s="67">
        <v>732</v>
      </c>
      <c r="V207" s="67">
        <v>0.13</v>
      </c>
      <c r="W207" s="67">
        <v>2.8000000000000001E-2</v>
      </c>
      <c r="Y207" s="67">
        <v>0.51800000000000002</v>
      </c>
      <c r="Z207" s="67">
        <v>0.5</v>
      </c>
      <c r="AI207" s="70">
        <f t="shared" si="57"/>
        <v>2.8000000000000001E-2</v>
      </c>
      <c r="AL207" s="68" t="s">
        <v>690</v>
      </c>
    </row>
    <row r="208" spans="1:49" ht="30" customHeight="1" x14ac:dyDescent="0.25">
      <c r="A208" s="73" t="s">
        <v>111</v>
      </c>
      <c r="B208" s="67" t="s">
        <v>273</v>
      </c>
      <c r="C208" s="73" t="s">
        <v>122</v>
      </c>
      <c r="D208" s="67">
        <f t="shared" si="58"/>
        <v>8</v>
      </c>
      <c r="E208" s="67" t="s">
        <v>577</v>
      </c>
      <c r="F208" s="73" t="s">
        <v>240</v>
      </c>
      <c r="G208" s="73" t="s">
        <v>627</v>
      </c>
      <c r="H208" s="67">
        <v>0</v>
      </c>
      <c r="I208" s="67" t="s">
        <v>688</v>
      </c>
      <c r="J208" s="67">
        <v>2</v>
      </c>
      <c r="K208" s="68" t="s">
        <v>611</v>
      </c>
      <c r="L208" s="68" t="s">
        <v>691</v>
      </c>
      <c r="M208" s="68" t="s">
        <v>570</v>
      </c>
      <c r="N208" s="67" t="s">
        <v>240</v>
      </c>
      <c r="O208" s="69">
        <f t="shared" si="56"/>
        <v>0.10902120916626036</v>
      </c>
      <c r="P208" s="74">
        <v>-5.1999999999999998E-2</v>
      </c>
      <c r="Q208" s="67">
        <v>5.6000000000000001E-2</v>
      </c>
      <c r="R208" s="67" t="s">
        <v>693</v>
      </c>
      <c r="S208" s="67">
        <f t="shared" si="51"/>
        <v>2814</v>
      </c>
      <c r="T208" s="67">
        <v>2082</v>
      </c>
      <c r="U208" s="67">
        <v>732</v>
      </c>
      <c r="V208" s="67">
        <v>1036.088</v>
      </c>
      <c r="W208" s="67">
        <v>173.214</v>
      </c>
      <c r="Y208" s="67">
        <v>774.68299999999999</v>
      </c>
      <c r="Z208" s="67">
        <v>1796.0250000000001</v>
      </c>
      <c r="AI208" s="70">
        <f t="shared" si="57"/>
        <v>173.214</v>
      </c>
      <c r="AL208" s="68" t="s">
        <v>690</v>
      </c>
      <c r="AP208" s="67">
        <f>+V208/AQ208</f>
        <v>0.25702762085847042</v>
      </c>
      <c r="AQ208" s="67">
        <f>+W208*SQRT(T208*U208/S208)</f>
        <v>4031.0375847524615</v>
      </c>
      <c r="AS208" s="67">
        <f>+AP208^2/(AU208-2)*(AU208/(V208/AI208)^2+AU208*AV208^2-AU208+2)</f>
        <v>1.8947618683376815E-3</v>
      </c>
      <c r="AU208" s="67">
        <f>+S208-2</f>
        <v>2812</v>
      </c>
      <c r="AV208" s="67">
        <f>IFERROR(1/(SQRT(AU208/2)*_xlfn.GAMMA(AU208/2-0.5)/_xlfn.GAMMA(AU208/2)),1)</f>
        <v>1</v>
      </c>
      <c r="AW208" s="67" t="s">
        <v>1350</v>
      </c>
    </row>
    <row r="209" spans="1:49" ht="30" customHeight="1" x14ac:dyDescent="0.25">
      <c r="A209" s="73" t="s">
        <v>111</v>
      </c>
      <c r="B209" s="67" t="s">
        <v>273</v>
      </c>
      <c r="C209" s="73" t="s">
        <v>122</v>
      </c>
      <c r="D209" s="67">
        <f t="shared" si="58"/>
        <v>9</v>
      </c>
      <c r="E209" s="67" t="s">
        <v>577</v>
      </c>
      <c r="F209" s="73" t="s">
        <v>240</v>
      </c>
      <c r="G209" s="73" t="s">
        <v>627</v>
      </c>
      <c r="H209" s="67">
        <v>0</v>
      </c>
      <c r="I209" s="67" t="s">
        <v>688</v>
      </c>
      <c r="J209" s="67">
        <v>5</v>
      </c>
      <c r="K209" s="68" t="s">
        <v>692</v>
      </c>
      <c r="L209" s="68" t="s">
        <v>691</v>
      </c>
      <c r="M209" s="68" t="s">
        <v>570</v>
      </c>
      <c r="N209" s="67" t="s">
        <v>240</v>
      </c>
      <c r="O209" s="69">
        <f t="shared" si="56"/>
        <v>0.10902120916626036</v>
      </c>
      <c r="P209" s="74">
        <v>-5.1999999999999998E-2</v>
      </c>
      <c r="Q209" s="67">
        <v>5.6000000000000001E-2</v>
      </c>
      <c r="R209" s="67" t="s">
        <v>693</v>
      </c>
      <c r="S209" s="67">
        <f t="shared" si="51"/>
        <v>2814</v>
      </c>
      <c r="T209" s="67">
        <v>2082</v>
      </c>
      <c r="U209" s="67">
        <v>732</v>
      </c>
      <c r="V209" s="67">
        <v>1.6879999999999999</v>
      </c>
      <c r="W209" s="67">
        <v>0.23699999999999999</v>
      </c>
      <c r="Y209" s="67">
        <v>2.4279999999999999</v>
      </c>
      <c r="Z209" s="67">
        <v>3.476</v>
      </c>
      <c r="AI209" s="70">
        <f t="shared" si="57"/>
        <v>0.23699999999999999</v>
      </c>
      <c r="AL209" s="68" t="s">
        <v>690</v>
      </c>
      <c r="AP209" s="67">
        <f>+V209/AQ209</f>
        <v>0.30604848902719306</v>
      </c>
      <c r="AQ209" s="67">
        <f>+W209*SQRT(T209*U209/S209)</f>
        <v>5.5154658837411139</v>
      </c>
      <c r="AS209" s="67">
        <f>+AP209^2/(AU209-2)*(AU209/(V209/AI209)^2+AU209*AV209^2-AU209+2)</f>
        <v>1.9144077613993679E-3</v>
      </c>
      <c r="AU209" s="67">
        <f>+S209-2</f>
        <v>2812</v>
      </c>
      <c r="AV209" s="67">
        <f>IFERROR(1/(SQRT(AU209/2)*_xlfn.GAMMA(AU209/2-0.5)/_xlfn.GAMMA(AU209/2)),1)</f>
        <v>1</v>
      </c>
      <c r="AW209" s="67" t="s">
        <v>1350</v>
      </c>
    </row>
    <row r="210" spans="1:49" ht="30" customHeight="1" x14ac:dyDescent="0.25">
      <c r="A210" s="73" t="s">
        <v>111</v>
      </c>
      <c r="B210" s="67" t="s">
        <v>273</v>
      </c>
      <c r="C210" s="73" t="s">
        <v>122</v>
      </c>
      <c r="D210" s="67">
        <f t="shared" si="58"/>
        <v>10</v>
      </c>
      <c r="E210" s="67" t="s">
        <v>577</v>
      </c>
      <c r="F210" s="73" t="s">
        <v>295</v>
      </c>
      <c r="G210" s="73" t="s">
        <v>627</v>
      </c>
      <c r="H210" s="67">
        <v>0</v>
      </c>
      <c r="I210" s="67" t="s">
        <v>688</v>
      </c>
      <c r="J210" s="67">
        <v>1</v>
      </c>
      <c r="K210" s="68" t="s">
        <v>689</v>
      </c>
      <c r="L210" s="68" t="s">
        <v>240</v>
      </c>
      <c r="M210" s="68" t="s">
        <v>570</v>
      </c>
      <c r="N210" s="67" t="s">
        <v>240</v>
      </c>
      <c r="O210" s="69">
        <f t="shared" si="56"/>
        <v>0.10902120916626036</v>
      </c>
      <c r="P210" s="74">
        <v>-5.1999999999999998E-2</v>
      </c>
      <c r="Q210" s="67">
        <v>5.6000000000000001E-2</v>
      </c>
      <c r="R210" s="67" t="s">
        <v>694</v>
      </c>
      <c r="S210" s="67">
        <f t="shared" si="51"/>
        <v>933.06000000000006</v>
      </c>
      <c r="T210" s="67">
        <f>2082*0.336</f>
        <v>699.55200000000002</v>
      </c>
      <c r="U210" s="67">
        <f>732*0.319</f>
        <v>233.50800000000001</v>
      </c>
      <c r="V210" s="67">
        <v>0.14000000000000001</v>
      </c>
      <c r="W210" s="67">
        <v>0.04</v>
      </c>
      <c r="Y210" s="67">
        <v>0.5</v>
      </c>
      <c r="Z210" s="67">
        <v>0.5</v>
      </c>
      <c r="AI210" s="70">
        <f t="shared" si="57"/>
        <v>0.04</v>
      </c>
      <c r="AL210" s="68" t="s">
        <v>690</v>
      </c>
    </row>
    <row r="211" spans="1:49" ht="30" customHeight="1" x14ac:dyDescent="0.25">
      <c r="A211" s="73" t="s">
        <v>111</v>
      </c>
      <c r="B211" s="67" t="s">
        <v>273</v>
      </c>
      <c r="C211" s="73" t="s">
        <v>122</v>
      </c>
      <c r="D211" s="67">
        <f t="shared" si="58"/>
        <v>11</v>
      </c>
      <c r="E211" s="67" t="s">
        <v>577</v>
      </c>
      <c r="F211" s="73" t="s">
        <v>295</v>
      </c>
      <c r="G211" s="73" t="s">
        <v>627</v>
      </c>
      <c r="H211" s="67">
        <v>0</v>
      </c>
      <c r="I211" s="67" t="s">
        <v>688</v>
      </c>
      <c r="J211" s="67">
        <v>2</v>
      </c>
      <c r="K211" s="68" t="s">
        <v>611</v>
      </c>
      <c r="L211" s="68" t="s">
        <v>691</v>
      </c>
      <c r="M211" s="68" t="s">
        <v>570</v>
      </c>
      <c r="N211" s="67" t="s">
        <v>240</v>
      </c>
      <c r="O211" s="69">
        <f t="shared" si="56"/>
        <v>0.10902120916626036</v>
      </c>
      <c r="P211" s="74">
        <v>-5.1999999999999998E-2</v>
      </c>
      <c r="Q211" s="67">
        <v>5.6000000000000001E-2</v>
      </c>
      <c r="R211" s="67" t="s">
        <v>694</v>
      </c>
      <c r="S211" s="67">
        <f t="shared" si="51"/>
        <v>933.06000000000006</v>
      </c>
      <c r="T211" s="67">
        <f>2082*0.336</f>
        <v>699.55200000000002</v>
      </c>
      <c r="U211" s="67">
        <f>732*0.319</f>
        <v>233.50800000000001</v>
      </c>
      <c r="V211" s="67">
        <v>834.16800000000001</v>
      </c>
      <c r="W211" s="67">
        <v>183.91800000000001</v>
      </c>
      <c r="Y211" s="67">
        <v>560.53700000000003</v>
      </c>
      <c r="Z211" s="67">
        <v>1438.98</v>
      </c>
      <c r="AI211" s="70">
        <f t="shared" si="57"/>
        <v>183.91800000000001</v>
      </c>
      <c r="AL211" s="68" t="s">
        <v>690</v>
      </c>
      <c r="AP211" s="67">
        <f>+V211/AQ211</f>
        <v>0.34278609180568714</v>
      </c>
      <c r="AQ211" s="67">
        <f>+W211*SQRT(T211*U211/S211)</f>
        <v>2433.4942984584663</v>
      </c>
      <c r="AS211" s="67">
        <f>+AP211^2/(AU211-2)*(AU211/(V211/AI211)^2+AU211*AV211^2-AU211+2)</f>
        <v>5.9772399074739411E-3</v>
      </c>
      <c r="AU211" s="67">
        <f>+S211-2</f>
        <v>931.06000000000006</v>
      </c>
      <c r="AV211" s="67">
        <f>IFERROR(1/(SQRT(AU211/2)*_xlfn.GAMMA(AU211/2-0.5)/_xlfn.GAMMA(AU211/2)),1)</f>
        <v>1</v>
      </c>
      <c r="AW211" s="67" t="s">
        <v>1350</v>
      </c>
    </row>
    <row r="212" spans="1:49" ht="30" customHeight="1" x14ac:dyDescent="0.25">
      <c r="A212" s="73" t="s">
        <v>111</v>
      </c>
      <c r="B212" s="67" t="s">
        <v>273</v>
      </c>
      <c r="C212" s="73" t="s">
        <v>122</v>
      </c>
      <c r="D212" s="67">
        <f t="shared" si="58"/>
        <v>12</v>
      </c>
      <c r="E212" s="67" t="s">
        <v>577</v>
      </c>
      <c r="F212" s="73" t="s">
        <v>295</v>
      </c>
      <c r="G212" s="73" t="s">
        <v>627</v>
      </c>
      <c r="H212" s="67">
        <v>0</v>
      </c>
      <c r="I212" s="67" t="s">
        <v>688</v>
      </c>
      <c r="J212" s="67">
        <v>5</v>
      </c>
      <c r="K212" s="68" t="s">
        <v>692</v>
      </c>
      <c r="L212" s="68" t="s">
        <v>691</v>
      </c>
      <c r="M212" s="68" t="s">
        <v>570</v>
      </c>
      <c r="N212" s="67" t="s">
        <v>240</v>
      </c>
      <c r="O212" s="69">
        <f t="shared" si="56"/>
        <v>0.10902120916626036</v>
      </c>
      <c r="P212" s="74">
        <v>-5.1999999999999998E-2</v>
      </c>
      <c r="Q212" s="67">
        <v>5.6000000000000001E-2</v>
      </c>
      <c r="R212" s="67" t="s">
        <v>694</v>
      </c>
      <c r="S212" s="67">
        <f t="shared" si="51"/>
        <v>933.06000000000006</v>
      </c>
      <c r="T212" s="67">
        <f>2082*0.336</f>
        <v>699.55200000000002</v>
      </c>
      <c r="U212" s="67">
        <f>732*0.319</f>
        <v>233.50800000000001</v>
      </c>
      <c r="V212" s="67">
        <v>1.633</v>
      </c>
      <c r="W212" s="67">
        <v>0.32900000000000001</v>
      </c>
      <c r="Y212" s="67">
        <v>2.0630000000000002</v>
      </c>
      <c r="Z212" s="67">
        <v>3.2639999999999998</v>
      </c>
      <c r="AI212" s="70">
        <f t="shared" si="57"/>
        <v>0.32900000000000001</v>
      </c>
      <c r="AL212" s="68" t="s">
        <v>690</v>
      </c>
      <c r="AP212" s="67">
        <f>+V212/AQ212</f>
        <v>0.37513206637021085</v>
      </c>
      <c r="AQ212" s="67">
        <f>+W212*SQRT(T212*U212/S212)</f>
        <v>4.353133593192811</v>
      </c>
      <c r="AS212" s="67">
        <f>+AP212^2/(AU212-2)*(AU212/(V212/AI212)^2+AU212*AV212^2-AU212+2)</f>
        <v>6.0272297089588086E-3</v>
      </c>
      <c r="AU212" s="67">
        <f>+S212-2</f>
        <v>931.06000000000006</v>
      </c>
      <c r="AV212" s="67">
        <f>IFERROR(1/(SQRT(AU212/2)*_xlfn.GAMMA(AU212/2-0.5)/_xlfn.GAMMA(AU212/2)),1)</f>
        <v>1</v>
      </c>
      <c r="AW212" s="67" t="s">
        <v>1350</v>
      </c>
    </row>
    <row r="213" spans="1:49" ht="30" customHeight="1" x14ac:dyDescent="0.25">
      <c r="A213" s="73" t="s">
        <v>111</v>
      </c>
      <c r="B213" s="67" t="s">
        <v>273</v>
      </c>
      <c r="C213" s="73" t="s">
        <v>122</v>
      </c>
      <c r="D213" s="67">
        <f t="shared" si="58"/>
        <v>13</v>
      </c>
      <c r="E213" s="67" t="s">
        <v>577</v>
      </c>
      <c r="F213" s="73" t="s">
        <v>695</v>
      </c>
      <c r="G213" s="73" t="s">
        <v>627</v>
      </c>
      <c r="H213" s="67">
        <v>0</v>
      </c>
      <c r="I213" s="67" t="s">
        <v>688</v>
      </c>
      <c r="J213" s="67">
        <v>1</v>
      </c>
      <c r="K213" s="68" t="s">
        <v>689</v>
      </c>
      <c r="L213" s="68" t="s">
        <v>240</v>
      </c>
      <c r="M213" s="68" t="s">
        <v>570</v>
      </c>
      <c r="N213" s="67" t="s">
        <v>240</v>
      </c>
      <c r="O213" s="69">
        <f t="shared" si="56"/>
        <v>0.10902120916626036</v>
      </c>
      <c r="P213" s="74">
        <v>-5.1999999999999998E-2</v>
      </c>
      <c r="Q213" s="67">
        <v>5.6000000000000001E-2</v>
      </c>
      <c r="R213" s="67" t="s">
        <v>694</v>
      </c>
      <c r="S213" s="67">
        <f t="shared" si="51"/>
        <v>1880.9399999999998</v>
      </c>
      <c r="T213" s="67">
        <f>2082*(1-0.336)</f>
        <v>1382.4479999999999</v>
      </c>
      <c r="U213" s="67">
        <f>732*(1-0.319)</f>
        <v>498.49200000000002</v>
      </c>
      <c r="V213" s="67">
        <v>0.127</v>
      </c>
      <c r="W213" s="67">
        <v>4.1000000000000002E-2</v>
      </c>
      <c r="Y213" s="67">
        <v>0.54300000000000004</v>
      </c>
      <c r="Z213" s="67">
        <v>0.498</v>
      </c>
      <c r="AI213" s="70">
        <f t="shared" si="57"/>
        <v>4.1000000000000002E-2</v>
      </c>
      <c r="AL213" s="68" t="s">
        <v>690</v>
      </c>
    </row>
    <row r="214" spans="1:49" ht="30" customHeight="1" x14ac:dyDescent="0.25">
      <c r="A214" s="73" t="s">
        <v>111</v>
      </c>
      <c r="B214" s="67" t="s">
        <v>273</v>
      </c>
      <c r="C214" s="73" t="s">
        <v>122</v>
      </c>
      <c r="D214" s="67">
        <f t="shared" si="58"/>
        <v>14</v>
      </c>
      <c r="E214" s="67" t="s">
        <v>577</v>
      </c>
      <c r="F214" s="73" t="s">
        <v>695</v>
      </c>
      <c r="G214" s="73" t="s">
        <v>627</v>
      </c>
      <c r="H214" s="67">
        <v>0</v>
      </c>
      <c r="I214" s="67" t="s">
        <v>688</v>
      </c>
      <c r="J214" s="67">
        <v>2</v>
      </c>
      <c r="K214" s="68" t="s">
        <v>611</v>
      </c>
      <c r="L214" s="68" t="s">
        <v>691</v>
      </c>
      <c r="M214" s="68" t="s">
        <v>570</v>
      </c>
      <c r="N214" s="67" t="s">
        <v>240</v>
      </c>
      <c r="O214" s="69">
        <f t="shared" si="56"/>
        <v>0.10902120916626036</v>
      </c>
      <c r="P214" s="74">
        <v>-5.1999999999999998E-2</v>
      </c>
      <c r="Q214" s="67">
        <v>5.6000000000000001E-2</v>
      </c>
      <c r="R214" s="67" t="s">
        <v>694</v>
      </c>
      <c r="S214" s="67">
        <f t="shared" si="51"/>
        <v>1880.9399999999998</v>
      </c>
      <c r="T214" s="67">
        <f>2082*(1-0.336)</f>
        <v>1382.4479999999999</v>
      </c>
      <c r="U214" s="67">
        <f>732*(1-0.319)</f>
        <v>498.49200000000002</v>
      </c>
      <c r="V214" s="67">
        <v>1283.4259999999999</v>
      </c>
      <c r="W214" s="67">
        <v>283.99299999999999</v>
      </c>
      <c r="Y214" s="67">
        <v>1026.5329999999999</v>
      </c>
      <c r="Z214" s="67">
        <v>2113.3409999999999</v>
      </c>
      <c r="AI214" s="70">
        <f t="shared" si="57"/>
        <v>283.99299999999999</v>
      </c>
      <c r="AL214" s="68" t="s">
        <v>690</v>
      </c>
      <c r="AP214" s="67">
        <f>+V214/AQ214</f>
        <v>0.23610064307907636</v>
      </c>
      <c r="AQ214" s="67">
        <f>+W214*SQRT(T214*U214/S214)</f>
        <v>5435.9275911423356</v>
      </c>
      <c r="AS214" s="67">
        <f>+AP214^2/(AU214-2)*(AU214/(V214/AI214)^2+AU214*AV214^2-AU214+2)</f>
        <v>2.7917114070745508E-3</v>
      </c>
      <c r="AU214" s="67">
        <f>+S214-2</f>
        <v>1878.9399999999998</v>
      </c>
      <c r="AV214" s="67">
        <f>IFERROR(1/(SQRT(AU214/2)*_xlfn.GAMMA(AU214/2-0.5)/_xlfn.GAMMA(AU214/2)),1)</f>
        <v>1</v>
      </c>
      <c r="AW214" s="67" t="s">
        <v>1350</v>
      </c>
    </row>
    <row r="215" spans="1:49" ht="30" customHeight="1" x14ac:dyDescent="0.25">
      <c r="A215" s="73" t="s">
        <v>111</v>
      </c>
      <c r="B215" s="67" t="s">
        <v>273</v>
      </c>
      <c r="C215" s="73" t="s">
        <v>122</v>
      </c>
      <c r="D215" s="67">
        <f t="shared" si="58"/>
        <v>15</v>
      </c>
      <c r="E215" s="67" t="s">
        <v>577</v>
      </c>
      <c r="F215" s="73" t="s">
        <v>695</v>
      </c>
      <c r="G215" s="73" t="s">
        <v>627</v>
      </c>
      <c r="H215" s="67">
        <v>0</v>
      </c>
      <c r="I215" s="67" t="s">
        <v>688</v>
      </c>
      <c r="J215" s="67">
        <v>5</v>
      </c>
      <c r="K215" s="68" t="s">
        <v>692</v>
      </c>
      <c r="L215" s="68" t="s">
        <v>691</v>
      </c>
      <c r="M215" s="68" t="s">
        <v>570</v>
      </c>
      <c r="N215" s="67" t="s">
        <v>240</v>
      </c>
      <c r="O215" s="69">
        <f t="shared" si="56"/>
        <v>0.10902120916626036</v>
      </c>
      <c r="P215" s="74">
        <v>-5.1999999999999998E-2</v>
      </c>
      <c r="Q215" s="67">
        <v>5.6000000000000001E-2</v>
      </c>
      <c r="R215" s="67" t="s">
        <v>694</v>
      </c>
      <c r="S215" s="67">
        <f t="shared" si="51"/>
        <v>1880.9399999999998</v>
      </c>
      <c r="T215" s="67">
        <f>2082*(1-0.336)</f>
        <v>1382.4479999999999</v>
      </c>
      <c r="U215" s="67">
        <f>732*(1-0.319)</f>
        <v>498.49200000000002</v>
      </c>
      <c r="V215" s="67">
        <v>1.7909999999999999</v>
      </c>
      <c r="W215" s="67">
        <v>0.36599999999999999</v>
      </c>
      <c r="Y215" s="67">
        <v>2.8570000000000002</v>
      </c>
      <c r="Z215" s="67">
        <v>3.665</v>
      </c>
      <c r="AI215" s="70">
        <f t="shared" si="57"/>
        <v>0.36599999999999999</v>
      </c>
      <c r="AL215" s="68" t="s">
        <v>690</v>
      </c>
      <c r="AP215" s="67">
        <f>+V215/AQ215</f>
        <v>0.2556515751026831</v>
      </c>
      <c r="AQ215" s="67">
        <f>+W215*SQRT(T215*U215/S215)</f>
        <v>7.0056286540798354</v>
      </c>
      <c r="AS215" s="67">
        <f>+AP215^2/(AU215-2)*(AU215/(V215/AI215)^2+AU215*AV215^2-AU215+2)</f>
        <v>2.8019559691704423E-3</v>
      </c>
      <c r="AU215" s="67">
        <f>+S215-2</f>
        <v>1878.9399999999998</v>
      </c>
      <c r="AV215" s="67">
        <f>IFERROR(1/(SQRT(AU215/2)*_xlfn.GAMMA(AU215/2-0.5)/_xlfn.GAMMA(AU215/2)),1)</f>
        <v>1</v>
      </c>
      <c r="AW215" s="67" t="s">
        <v>1350</v>
      </c>
    </row>
    <row r="216" spans="1:49" ht="30" customHeight="1" x14ac:dyDescent="0.25">
      <c r="A216" s="72" t="s">
        <v>131</v>
      </c>
      <c r="B216" s="67" t="s">
        <v>344</v>
      </c>
      <c r="C216" s="72" t="s">
        <v>131</v>
      </c>
      <c r="D216" s="67">
        <v>1</v>
      </c>
      <c r="E216" s="67" t="s">
        <v>568</v>
      </c>
      <c r="F216" s="67" t="s">
        <v>240</v>
      </c>
      <c r="G216" s="68" t="s">
        <v>578</v>
      </c>
      <c r="H216" s="67">
        <v>1</v>
      </c>
      <c r="I216" s="67">
        <v>5</v>
      </c>
      <c r="J216" s="68">
        <v>1</v>
      </c>
      <c r="K216" s="68" t="s">
        <v>696</v>
      </c>
      <c r="L216" s="67" t="s">
        <v>240</v>
      </c>
      <c r="M216" s="68" t="s">
        <v>570</v>
      </c>
      <c r="N216" s="67" t="s">
        <v>240</v>
      </c>
      <c r="O216" s="95" t="s">
        <v>240</v>
      </c>
      <c r="P216" s="79" t="s">
        <v>240</v>
      </c>
      <c r="Q216" s="67" t="s">
        <v>240</v>
      </c>
      <c r="R216" s="67" t="s">
        <v>697</v>
      </c>
      <c r="S216" s="67">
        <f t="shared" ref="S216:S233" si="59">+T216+U216</f>
        <v>6195</v>
      </c>
      <c r="T216" s="78">
        <v>3810</v>
      </c>
      <c r="U216" s="78">
        <v>2385</v>
      </c>
      <c r="V216" s="67">
        <v>-4.0000000000000001E-3</v>
      </c>
      <c r="W216" s="67">
        <v>1.2E-2</v>
      </c>
      <c r="AC216" s="67">
        <v>0.63</v>
      </c>
      <c r="AI216" s="70">
        <f t="shared" si="57"/>
        <v>1.2E-2</v>
      </c>
      <c r="AL216" s="68" t="s">
        <v>698</v>
      </c>
    </row>
    <row r="217" spans="1:49" ht="30" customHeight="1" x14ac:dyDescent="0.25">
      <c r="A217" s="72" t="s">
        <v>131</v>
      </c>
      <c r="B217" s="67" t="s">
        <v>344</v>
      </c>
      <c r="C217" s="72" t="s">
        <v>131</v>
      </c>
      <c r="D217" s="67">
        <v>2</v>
      </c>
      <c r="E217" s="67" t="s">
        <v>568</v>
      </c>
      <c r="F217" s="67" t="s">
        <v>240</v>
      </c>
      <c r="G217" s="68" t="s">
        <v>578</v>
      </c>
      <c r="H217" s="67">
        <v>1</v>
      </c>
      <c r="I217" s="67">
        <v>12</v>
      </c>
      <c r="J217" s="68">
        <v>1</v>
      </c>
      <c r="K217" s="68" t="s">
        <v>696</v>
      </c>
      <c r="L217" s="67" t="s">
        <v>240</v>
      </c>
      <c r="M217" s="68" t="s">
        <v>570</v>
      </c>
      <c r="N217" s="67" t="s">
        <v>240</v>
      </c>
      <c r="O217" s="95" t="s">
        <v>240</v>
      </c>
      <c r="P217" s="79" t="s">
        <v>240</v>
      </c>
      <c r="Q217" s="67" t="s">
        <v>240</v>
      </c>
      <c r="R217" s="67" t="s">
        <v>697</v>
      </c>
      <c r="S217" s="67">
        <f t="shared" si="59"/>
        <v>6195</v>
      </c>
      <c r="T217" s="78">
        <v>3810</v>
      </c>
      <c r="U217" s="78">
        <v>2385</v>
      </c>
      <c r="V217" s="67">
        <v>-1E-3</v>
      </c>
      <c r="W217" s="67">
        <v>1.0999999999999999E-2</v>
      </c>
      <c r="AC217" s="67">
        <v>0.73</v>
      </c>
      <c r="AI217" s="70">
        <f t="shared" si="57"/>
        <v>1.0999999999999999E-2</v>
      </c>
      <c r="AL217" s="68" t="s">
        <v>699</v>
      </c>
    </row>
    <row r="218" spans="1:49" ht="30" customHeight="1" x14ac:dyDescent="0.25">
      <c r="A218" s="72" t="s">
        <v>131</v>
      </c>
      <c r="B218" s="67" t="s">
        <v>344</v>
      </c>
      <c r="C218" s="72" t="s">
        <v>131</v>
      </c>
      <c r="D218" s="67">
        <v>3</v>
      </c>
      <c r="E218" s="67" t="s">
        <v>568</v>
      </c>
      <c r="F218" s="67" t="s">
        <v>240</v>
      </c>
      <c r="G218" s="68" t="s">
        <v>578</v>
      </c>
      <c r="H218" s="67">
        <v>1</v>
      </c>
      <c r="I218" s="67">
        <v>24</v>
      </c>
      <c r="J218" s="68">
        <v>1</v>
      </c>
      <c r="K218" s="68" t="s">
        <v>696</v>
      </c>
      <c r="L218" s="67" t="s">
        <v>240</v>
      </c>
      <c r="M218" s="68" t="s">
        <v>570</v>
      </c>
      <c r="N218" s="67" t="s">
        <v>240</v>
      </c>
      <c r="O218" s="95" t="s">
        <v>240</v>
      </c>
      <c r="P218" s="79" t="s">
        <v>240</v>
      </c>
      <c r="Q218" s="67" t="s">
        <v>240</v>
      </c>
      <c r="R218" s="67" t="s">
        <v>697</v>
      </c>
      <c r="S218" s="67">
        <f t="shared" si="59"/>
        <v>6195</v>
      </c>
      <c r="T218" s="78">
        <v>3810</v>
      </c>
      <c r="U218" s="78">
        <v>2385</v>
      </c>
      <c r="V218" s="67">
        <v>-2E-3</v>
      </c>
      <c r="W218" s="67">
        <v>1.2E-2</v>
      </c>
      <c r="AC218" s="67">
        <v>0.69</v>
      </c>
      <c r="AI218" s="70">
        <f t="shared" si="57"/>
        <v>1.2E-2</v>
      </c>
      <c r="AL218" s="68" t="s">
        <v>699</v>
      </c>
    </row>
    <row r="219" spans="1:49" ht="30" customHeight="1" x14ac:dyDescent="0.25">
      <c r="A219" s="72" t="s">
        <v>131</v>
      </c>
      <c r="B219" s="67" t="s">
        <v>344</v>
      </c>
      <c r="C219" s="72" t="s">
        <v>131</v>
      </c>
      <c r="D219" s="67">
        <v>4</v>
      </c>
      <c r="E219" s="67" t="s">
        <v>568</v>
      </c>
      <c r="F219" s="67" t="s">
        <v>240</v>
      </c>
      <c r="G219" s="68" t="s">
        <v>578</v>
      </c>
      <c r="H219" s="67">
        <v>1</v>
      </c>
      <c r="I219" s="67">
        <v>36</v>
      </c>
      <c r="J219" s="68">
        <v>1</v>
      </c>
      <c r="K219" s="68" t="s">
        <v>696</v>
      </c>
      <c r="L219" s="67" t="s">
        <v>240</v>
      </c>
      <c r="M219" s="68" t="s">
        <v>570</v>
      </c>
      <c r="N219" s="67" t="s">
        <v>240</v>
      </c>
      <c r="O219" s="95" t="s">
        <v>240</v>
      </c>
      <c r="P219" s="79" t="s">
        <v>240</v>
      </c>
      <c r="Q219" s="67" t="s">
        <v>240</v>
      </c>
      <c r="R219" s="67" t="s">
        <v>697</v>
      </c>
      <c r="S219" s="67">
        <f t="shared" si="59"/>
        <v>6195</v>
      </c>
      <c r="T219" s="78">
        <v>3810</v>
      </c>
      <c r="U219" s="78">
        <v>2385</v>
      </c>
      <c r="V219" s="67">
        <v>0</v>
      </c>
      <c r="W219" s="67">
        <v>1.2E-2</v>
      </c>
      <c r="AC219" s="67">
        <v>0.64</v>
      </c>
      <c r="AI219" s="70">
        <f t="shared" si="57"/>
        <v>1.2E-2</v>
      </c>
      <c r="AL219" s="68" t="s">
        <v>699</v>
      </c>
    </row>
    <row r="220" spans="1:49" ht="30" customHeight="1" x14ac:dyDescent="0.25">
      <c r="A220" s="72" t="s">
        <v>131</v>
      </c>
      <c r="B220" s="67" t="s">
        <v>344</v>
      </c>
      <c r="C220" s="72" t="s">
        <v>131</v>
      </c>
      <c r="D220" s="67">
        <v>5</v>
      </c>
      <c r="E220" s="67" t="s">
        <v>568</v>
      </c>
      <c r="F220" s="67" t="s">
        <v>240</v>
      </c>
      <c r="G220" s="68" t="s">
        <v>578</v>
      </c>
      <c r="H220" s="67">
        <v>1</v>
      </c>
      <c r="I220" s="67">
        <v>48</v>
      </c>
      <c r="J220" s="68">
        <v>1</v>
      </c>
      <c r="K220" s="68" t="s">
        <v>696</v>
      </c>
      <c r="L220" s="67" t="s">
        <v>240</v>
      </c>
      <c r="M220" s="68" t="s">
        <v>570</v>
      </c>
      <c r="N220" s="67" t="s">
        <v>240</v>
      </c>
      <c r="O220" s="95" t="s">
        <v>240</v>
      </c>
      <c r="P220" s="79" t="s">
        <v>240</v>
      </c>
      <c r="Q220" s="67" t="s">
        <v>240</v>
      </c>
      <c r="R220" s="67" t="s">
        <v>697</v>
      </c>
      <c r="S220" s="67">
        <f t="shared" si="59"/>
        <v>6195</v>
      </c>
      <c r="T220" s="78">
        <v>3810</v>
      </c>
      <c r="U220" s="78">
        <v>2385</v>
      </c>
      <c r="V220" s="67">
        <v>8.0000000000000002E-3</v>
      </c>
      <c r="W220" s="67">
        <v>1.2E-2</v>
      </c>
      <c r="AC220" s="67">
        <v>0.59</v>
      </c>
      <c r="AI220" s="70">
        <f t="shared" si="57"/>
        <v>1.2E-2</v>
      </c>
      <c r="AL220" s="68" t="s">
        <v>699</v>
      </c>
    </row>
    <row r="221" spans="1:49" ht="30" customHeight="1" x14ac:dyDescent="0.25">
      <c r="A221" s="72" t="s">
        <v>131</v>
      </c>
      <c r="B221" s="67" t="s">
        <v>344</v>
      </c>
      <c r="C221" s="72" t="s">
        <v>131</v>
      </c>
      <c r="D221" s="67">
        <v>6</v>
      </c>
      <c r="E221" s="67" t="s">
        <v>568</v>
      </c>
      <c r="F221" s="67" t="s">
        <v>240</v>
      </c>
      <c r="G221" s="68" t="s">
        <v>578</v>
      </c>
      <c r="H221" s="67">
        <v>1</v>
      </c>
      <c r="I221" s="67">
        <v>60</v>
      </c>
      <c r="J221" s="68">
        <v>1</v>
      </c>
      <c r="K221" s="68" t="s">
        <v>696</v>
      </c>
      <c r="L221" s="67" t="s">
        <v>240</v>
      </c>
      <c r="M221" s="68" t="s">
        <v>570</v>
      </c>
      <c r="N221" s="67" t="s">
        <v>240</v>
      </c>
      <c r="O221" s="95" t="s">
        <v>240</v>
      </c>
      <c r="P221" s="79" t="s">
        <v>240</v>
      </c>
      <c r="Q221" s="67" t="s">
        <v>240</v>
      </c>
      <c r="R221" s="67" t="s">
        <v>697</v>
      </c>
      <c r="S221" s="67">
        <f t="shared" si="59"/>
        <v>6195</v>
      </c>
      <c r="T221" s="78">
        <v>3810</v>
      </c>
      <c r="U221" s="78">
        <v>2385</v>
      </c>
      <c r="V221" s="67">
        <v>8.9999999999999993E-3</v>
      </c>
      <c r="W221" s="67">
        <v>1.2E-2</v>
      </c>
      <c r="AC221" s="67">
        <v>0.55000000000000004</v>
      </c>
      <c r="AI221" s="70">
        <f t="shared" si="57"/>
        <v>1.2E-2</v>
      </c>
      <c r="AL221" s="68" t="s">
        <v>699</v>
      </c>
    </row>
    <row r="222" spans="1:49" ht="30" customHeight="1" x14ac:dyDescent="0.25">
      <c r="A222" s="72" t="s">
        <v>131</v>
      </c>
      <c r="B222" s="67" t="s">
        <v>344</v>
      </c>
      <c r="C222" s="72" t="s">
        <v>131</v>
      </c>
      <c r="D222" s="67">
        <v>7</v>
      </c>
      <c r="E222" s="67" t="s">
        <v>568</v>
      </c>
      <c r="F222" s="67" t="s">
        <v>240</v>
      </c>
      <c r="G222" s="68" t="s">
        <v>578</v>
      </c>
      <c r="H222" s="67">
        <v>1</v>
      </c>
      <c r="I222" s="67">
        <v>5</v>
      </c>
      <c r="J222" s="68">
        <v>2</v>
      </c>
      <c r="K222" s="68" t="s">
        <v>700</v>
      </c>
      <c r="L222" s="67" t="s">
        <v>701</v>
      </c>
      <c r="M222" s="68" t="s">
        <v>570</v>
      </c>
      <c r="N222" s="67" t="s">
        <v>240</v>
      </c>
      <c r="O222" s="95" t="s">
        <v>240</v>
      </c>
      <c r="P222" s="79" t="s">
        <v>240</v>
      </c>
      <c r="Q222" s="67" t="s">
        <v>240</v>
      </c>
      <c r="R222" s="67" t="s">
        <v>702</v>
      </c>
      <c r="S222" s="67">
        <f t="shared" si="59"/>
        <v>6195</v>
      </c>
      <c r="T222" s="78">
        <v>3810</v>
      </c>
      <c r="U222" s="78">
        <v>2385</v>
      </c>
      <c r="V222" s="67">
        <v>28</v>
      </c>
      <c r="W222" s="67">
        <v>77</v>
      </c>
      <c r="AC222" s="67">
        <v>2517</v>
      </c>
      <c r="AI222" s="70">
        <f t="shared" si="57"/>
        <v>77</v>
      </c>
      <c r="AL222" s="68" t="s">
        <v>698</v>
      </c>
      <c r="AP222" s="67">
        <f t="shared" ref="AP222:AP233" si="60">+V222/AQ222</f>
        <v>9.4947007636132265E-3</v>
      </c>
      <c r="AQ222" s="67">
        <f t="shared" ref="AQ222:AQ233" si="61">+W222*SQRT(T222*U222/S222)</f>
        <v>2949.0134230775425</v>
      </c>
      <c r="AS222" s="67">
        <f t="shared" ref="AS222:AS233" si="62">+AP222^2/(AU222-2)*(AU222/(V222/AI222)^2+AU222*AV222^2-AU222+2)</f>
        <v>6.8200376652827687E-4</v>
      </c>
      <c r="AU222" s="67">
        <f t="shared" ref="AU222:AU233" si="63">+S222-2</f>
        <v>6193</v>
      </c>
      <c r="AV222" s="67">
        <f t="shared" ref="AV222:AV233" si="64">IFERROR(1/(SQRT(AU222/2)*_xlfn.GAMMA(AU222/2-0.5)/_xlfn.GAMMA(AU222/2)),1)</f>
        <v>1</v>
      </c>
      <c r="AW222" s="67" t="s">
        <v>1350</v>
      </c>
    </row>
    <row r="223" spans="1:49" ht="30" customHeight="1" x14ac:dyDescent="0.25">
      <c r="A223" s="72" t="s">
        <v>131</v>
      </c>
      <c r="B223" s="67" t="s">
        <v>344</v>
      </c>
      <c r="C223" s="72" t="s">
        <v>131</v>
      </c>
      <c r="D223" s="67">
        <v>8</v>
      </c>
      <c r="E223" s="67" t="s">
        <v>568</v>
      </c>
      <c r="F223" s="67" t="s">
        <v>240</v>
      </c>
      <c r="G223" s="68" t="s">
        <v>578</v>
      </c>
      <c r="H223" s="67">
        <v>1</v>
      </c>
      <c r="I223" s="67">
        <v>12</v>
      </c>
      <c r="J223" s="68">
        <v>2</v>
      </c>
      <c r="K223" s="68" t="s">
        <v>706</v>
      </c>
      <c r="L223" s="67" t="s">
        <v>701</v>
      </c>
      <c r="M223" s="68" t="s">
        <v>570</v>
      </c>
      <c r="N223" s="67" t="s">
        <v>240</v>
      </c>
      <c r="O223" s="95" t="s">
        <v>240</v>
      </c>
      <c r="P223" s="79" t="s">
        <v>240</v>
      </c>
      <c r="Q223" s="67" t="s">
        <v>240</v>
      </c>
      <c r="R223" s="67" t="s">
        <v>702</v>
      </c>
      <c r="S223" s="67">
        <f t="shared" si="59"/>
        <v>6195</v>
      </c>
      <c r="T223" s="78">
        <v>3810</v>
      </c>
      <c r="U223" s="78">
        <v>2385</v>
      </c>
      <c r="V223" s="67">
        <v>-149</v>
      </c>
      <c r="W223" s="67">
        <v>296</v>
      </c>
      <c r="AC223" s="67">
        <v>11253</v>
      </c>
      <c r="AI223" s="70">
        <f t="shared" si="57"/>
        <v>296</v>
      </c>
      <c r="AL223" s="68" t="s">
        <v>699</v>
      </c>
      <c r="AP223" s="67">
        <f t="shared" si="60"/>
        <v>-1.3143424452332837E-2</v>
      </c>
      <c r="AQ223" s="67">
        <f t="shared" si="61"/>
        <v>11336.467184817566</v>
      </c>
      <c r="AS223" s="67">
        <f t="shared" si="62"/>
        <v>6.8203045050945713E-4</v>
      </c>
      <c r="AU223" s="67">
        <f t="shared" si="63"/>
        <v>6193</v>
      </c>
      <c r="AV223" s="67">
        <f t="shared" si="64"/>
        <v>1</v>
      </c>
      <c r="AW223" s="67" t="s">
        <v>1350</v>
      </c>
    </row>
    <row r="224" spans="1:49" ht="30" customHeight="1" x14ac:dyDescent="0.25">
      <c r="A224" s="72" t="s">
        <v>131</v>
      </c>
      <c r="B224" s="67" t="s">
        <v>344</v>
      </c>
      <c r="C224" s="72" t="s">
        <v>131</v>
      </c>
      <c r="D224" s="67">
        <v>9</v>
      </c>
      <c r="E224" s="67" t="s">
        <v>568</v>
      </c>
      <c r="F224" s="67" t="s">
        <v>240</v>
      </c>
      <c r="G224" s="68" t="s">
        <v>578</v>
      </c>
      <c r="H224" s="67">
        <v>1</v>
      </c>
      <c r="I224" s="67">
        <v>24</v>
      </c>
      <c r="J224" s="68">
        <v>2</v>
      </c>
      <c r="K224" s="68" t="s">
        <v>706</v>
      </c>
      <c r="L224" s="67" t="s">
        <v>701</v>
      </c>
      <c r="M224" s="68" t="s">
        <v>570</v>
      </c>
      <c r="N224" s="67" t="s">
        <v>240</v>
      </c>
      <c r="O224" s="95" t="s">
        <v>240</v>
      </c>
      <c r="P224" s="79" t="s">
        <v>240</v>
      </c>
      <c r="Q224" s="67" t="s">
        <v>240</v>
      </c>
      <c r="R224" s="67" t="s">
        <v>702</v>
      </c>
      <c r="S224" s="67">
        <f t="shared" si="59"/>
        <v>6195</v>
      </c>
      <c r="T224" s="78">
        <v>3810</v>
      </c>
      <c r="U224" s="78">
        <v>2385</v>
      </c>
      <c r="V224" s="67">
        <v>-2</v>
      </c>
      <c r="W224" s="67">
        <v>328</v>
      </c>
      <c r="AC224" s="67">
        <v>11831</v>
      </c>
      <c r="AI224" s="70">
        <f t="shared" si="57"/>
        <v>328</v>
      </c>
      <c r="AL224" s="68" t="s">
        <v>699</v>
      </c>
      <c r="AP224" s="67">
        <f t="shared" si="60"/>
        <v>-1.5920992134107545E-4</v>
      </c>
      <c r="AQ224" s="67">
        <f t="shared" si="61"/>
        <v>12562.031204797844</v>
      </c>
      <c r="AS224" s="67">
        <f t="shared" si="62"/>
        <v>6.819746520088806E-4</v>
      </c>
      <c r="AU224" s="67">
        <f t="shared" si="63"/>
        <v>6193</v>
      </c>
      <c r="AV224" s="67">
        <f t="shared" si="64"/>
        <v>1</v>
      </c>
      <c r="AW224" s="67" t="s">
        <v>1350</v>
      </c>
    </row>
    <row r="225" spans="1:49" ht="30" customHeight="1" x14ac:dyDescent="0.25">
      <c r="A225" s="72" t="s">
        <v>131</v>
      </c>
      <c r="B225" s="67" t="s">
        <v>344</v>
      </c>
      <c r="C225" s="72" t="s">
        <v>131</v>
      </c>
      <c r="D225" s="67">
        <v>10</v>
      </c>
      <c r="E225" s="67" t="s">
        <v>568</v>
      </c>
      <c r="F225" s="67" t="s">
        <v>240</v>
      </c>
      <c r="G225" s="68" t="s">
        <v>578</v>
      </c>
      <c r="H225" s="67">
        <v>1</v>
      </c>
      <c r="I225" s="67">
        <v>36</v>
      </c>
      <c r="J225" s="68">
        <v>2</v>
      </c>
      <c r="K225" s="68" t="s">
        <v>706</v>
      </c>
      <c r="L225" s="67" t="s">
        <v>701</v>
      </c>
      <c r="M225" s="68" t="s">
        <v>570</v>
      </c>
      <c r="N225" s="67" t="s">
        <v>240</v>
      </c>
      <c r="O225" s="95" t="s">
        <v>240</v>
      </c>
      <c r="P225" s="79" t="s">
        <v>240</v>
      </c>
      <c r="Q225" s="67" t="s">
        <v>240</v>
      </c>
      <c r="R225" s="67" t="s">
        <v>702</v>
      </c>
      <c r="S225" s="67">
        <f t="shared" si="59"/>
        <v>6195</v>
      </c>
      <c r="T225" s="78">
        <v>3810</v>
      </c>
      <c r="U225" s="78">
        <v>2385</v>
      </c>
      <c r="V225" s="67">
        <v>57</v>
      </c>
      <c r="W225" s="67">
        <v>341</v>
      </c>
      <c r="AC225" s="67">
        <v>11679</v>
      </c>
      <c r="AI225" s="70">
        <f t="shared" si="57"/>
        <v>341</v>
      </c>
      <c r="AL225" s="68" t="s">
        <v>699</v>
      </c>
      <c r="AP225" s="67">
        <f t="shared" si="60"/>
        <v>4.3644995445641446E-3</v>
      </c>
      <c r="AQ225" s="67">
        <f t="shared" si="61"/>
        <v>13059.916587914831</v>
      </c>
      <c r="AS225" s="67">
        <f t="shared" si="62"/>
        <v>6.8198079754545817E-4</v>
      </c>
      <c r="AU225" s="67">
        <f t="shared" si="63"/>
        <v>6193</v>
      </c>
      <c r="AV225" s="67">
        <f t="shared" si="64"/>
        <v>1</v>
      </c>
      <c r="AW225" s="67" t="s">
        <v>1350</v>
      </c>
    </row>
    <row r="226" spans="1:49" ht="30" customHeight="1" x14ac:dyDescent="0.25">
      <c r="A226" s="72" t="s">
        <v>131</v>
      </c>
      <c r="B226" s="67" t="s">
        <v>344</v>
      </c>
      <c r="C226" s="72" t="s">
        <v>131</v>
      </c>
      <c r="D226" s="67">
        <v>11</v>
      </c>
      <c r="E226" s="67" t="s">
        <v>568</v>
      </c>
      <c r="F226" s="67" t="s">
        <v>240</v>
      </c>
      <c r="G226" s="68" t="s">
        <v>578</v>
      </c>
      <c r="H226" s="67">
        <v>1</v>
      </c>
      <c r="I226" s="67">
        <v>48</v>
      </c>
      <c r="J226" s="68">
        <v>2</v>
      </c>
      <c r="K226" s="68" t="s">
        <v>706</v>
      </c>
      <c r="L226" s="67" t="s">
        <v>701</v>
      </c>
      <c r="M226" s="68" t="s">
        <v>570</v>
      </c>
      <c r="N226" s="67" t="s">
        <v>240</v>
      </c>
      <c r="O226" s="95" t="s">
        <v>240</v>
      </c>
      <c r="P226" s="79" t="s">
        <v>240</v>
      </c>
      <c r="Q226" s="67" t="s">
        <v>240</v>
      </c>
      <c r="R226" s="67" t="s">
        <v>702</v>
      </c>
      <c r="S226" s="67">
        <f t="shared" si="59"/>
        <v>6195</v>
      </c>
      <c r="T226" s="78">
        <v>3810</v>
      </c>
      <c r="U226" s="78">
        <v>2385</v>
      </c>
      <c r="V226" s="67">
        <v>-67</v>
      </c>
      <c r="W226" s="67">
        <v>362</v>
      </c>
      <c r="AC226" s="67">
        <v>11647</v>
      </c>
      <c r="AI226" s="70">
        <f t="shared" si="57"/>
        <v>362</v>
      </c>
      <c r="AL226" s="68" t="s">
        <v>699</v>
      </c>
      <c r="AP226" s="67">
        <f t="shared" si="60"/>
        <v>-4.8325928610379477E-3</v>
      </c>
      <c r="AQ226" s="67">
        <f t="shared" si="61"/>
        <v>13864.192976026889</v>
      </c>
      <c r="AS226" s="67">
        <f t="shared" si="62"/>
        <v>6.819821883054276E-4</v>
      </c>
      <c r="AU226" s="67">
        <f t="shared" si="63"/>
        <v>6193</v>
      </c>
      <c r="AV226" s="67">
        <f t="shared" si="64"/>
        <v>1</v>
      </c>
      <c r="AW226" s="67" t="s">
        <v>1350</v>
      </c>
    </row>
    <row r="227" spans="1:49" ht="30" customHeight="1" x14ac:dyDescent="0.25">
      <c r="A227" s="72" t="s">
        <v>131</v>
      </c>
      <c r="B227" s="67" t="s">
        <v>344</v>
      </c>
      <c r="C227" s="72" t="s">
        <v>131</v>
      </c>
      <c r="D227" s="67">
        <v>12</v>
      </c>
      <c r="E227" s="67" t="s">
        <v>568</v>
      </c>
      <c r="F227" s="67" t="s">
        <v>240</v>
      </c>
      <c r="G227" s="68" t="s">
        <v>578</v>
      </c>
      <c r="H227" s="67">
        <v>1</v>
      </c>
      <c r="I227" s="67">
        <v>60</v>
      </c>
      <c r="J227" s="68">
        <v>2</v>
      </c>
      <c r="K227" s="68" t="s">
        <v>706</v>
      </c>
      <c r="L227" s="67" t="s">
        <v>701</v>
      </c>
      <c r="M227" s="68" t="s">
        <v>570</v>
      </c>
      <c r="N227" s="67" t="s">
        <v>240</v>
      </c>
      <c r="O227" s="95" t="s">
        <v>240</v>
      </c>
      <c r="P227" s="79" t="s">
        <v>240</v>
      </c>
      <c r="Q227" s="67" t="s">
        <v>240</v>
      </c>
      <c r="R227" s="67" t="s">
        <v>702</v>
      </c>
      <c r="S227" s="67">
        <f t="shared" si="59"/>
        <v>6195</v>
      </c>
      <c r="T227" s="78">
        <v>3810</v>
      </c>
      <c r="U227" s="78">
        <v>2385</v>
      </c>
      <c r="V227" s="67">
        <v>283</v>
      </c>
      <c r="W227" s="67">
        <v>373</v>
      </c>
      <c r="AC227" s="67">
        <v>11188</v>
      </c>
      <c r="AI227" s="70">
        <f t="shared" si="57"/>
        <v>373</v>
      </c>
      <c r="AL227" s="68" t="s">
        <v>699</v>
      </c>
      <c r="AP227" s="67">
        <f t="shared" si="60"/>
        <v>1.9810324046332425E-2</v>
      </c>
      <c r="AQ227" s="67">
        <f t="shared" si="61"/>
        <v>14285.480607895108</v>
      </c>
      <c r="AS227" s="67">
        <f t="shared" si="62"/>
        <v>6.8210142428832589E-4</v>
      </c>
      <c r="AU227" s="67">
        <f t="shared" si="63"/>
        <v>6193</v>
      </c>
      <c r="AV227" s="67">
        <f t="shared" si="64"/>
        <v>1</v>
      </c>
      <c r="AW227" s="67" t="s">
        <v>1350</v>
      </c>
    </row>
    <row r="228" spans="1:49" ht="30" customHeight="1" x14ac:dyDescent="0.25">
      <c r="A228" s="72" t="s">
        <v>131</v>
      </c>
      <c r="B228" s="67" t="s">
        <v>344</v>
      </c>
      <c r="C228" s="72" t="s">
        <v>131</v>
      </c>
      <c r="D228" s="67">
        <v>13</v>
      </c>
      <c r="E228" s="67" t="s">
        <v>568</v>
      </c>
      <c r="F228" s="67" t="s">
        <v>240</v>
      </c>
      <c r="G228" s="68" t="s">
        <v>578</v>
      </c>
      <c r="H228" s="67">
        <v>0</v>
      </c>
      <c r="I228" s="67">
        <v>5</v>
      </c>
      <c r="J228" s="68">
        <v>2</v>
      </c>
      <c r="K228" s="68" t="s">
        <v>700</v>
      </c>
      <c r="L228" s="67" t="s">
        <v>701</v>
      </c>
      <c r="M228" s="68" t="s">
        <v>570</v>
      </c>
      <c r="N228" s="67" t="s">
        <v>240</v>
      </c>
      <c r="O228" s="95" t="s">
        <v>240</v>
      </c>
      <c r="P228" s="79" t="s">
        <v>240</v>
      </c>
      <c r="Q228" s="67" t="s">
        <v>240</v>
      </c>
      <c r="R228" s="67" t="s">
        <v>703</v>
      </c>
      <c r="S228" s="67">
        <f t="shared" si="59"/>
        <v>2699</v>
      </c>
      <c r="T228" s="78">
        <v>314</v>
      </c>
      <c r="U228" s="78">
        <v>2385</v>
      </c>
      <c r="V228" s="67">
        <v>2442</v>
      </c>
      <c r="W228" s="67">
        <v>2616</v>
      </c>
      <c r="X228" s="67">
        <v>4662</v>
      </c>
      <c r="Z228" s="67">
        <v>2382</v>
      </c>
      <c r="AA228" s="67" t="s">
        <v>704</v>
      </c>
      <c r="AI228" s="70">
        <f t="shared" si="57"/>
        <v>2616</v>
      </c>
      <c r="AL228" s="68" t="s">
        <v>705</v>
      </c>
      <c r="AM228" s="67" t="s">
        <v>308</v>
      </c>
      <c r="AP228" s="67">
        <f t="shared" si="60"/>
        <v>5.6040286449222716E-2</v>
      </c>
      <c r="AQ228" s="67">
        <f t="shared" si="61"/>
        <v>43575.794392354874</v>
      </c>
      <c r="AS228" s="67">
        <f t="shared" si="62"/>
        <v>3.6090057929483526E-3</v>
      </c>
      <c r="AU228" s="67">
        <f t="shared" si="63"/>
        <v>2697</v>
      </c>
      <c r="AV228" s="67">
        <f t="shared" si="64"/>
        <v>1</v>
      </c>
      <c r="AW228" s="67" t="s">
        <v>1350</v>
      </c>
    </row>
    <row r="229" spans="1:49" ht="30" customHeight="1" x14ac:dyDescent="0.25">
      <c r="A229" s="72" t="s">
        <v>131</v>
      </c>
      <c r="B229" s="67" t="s">
        <v>344</v>
      </c>
      <c r="C229" s="72" t="s">
        <v>131</v>
      </c>
      <c r="D229" s="67">
        <v>14</v>
      </c>
      <c r="E229" s="67" t="s">
        <v>568</v>
      </c>
      <c r="F229" s="67" t="s">
        <v>240</v>
      </c>
      <c r="G229" s="68" t="s">
        <v>578</v>
      </c>
      <c r="H229" s="67">
        <v>0</v>
      </c>
      <c r="I229" s="67">
        <v>12</v>
      </c>
      <c r="J229" s="68">
        <v>2</v>
      </c>
      <c r="K229" s="68" t="s">
        <v>706</v>
      </c>
      <c r="L229" s="67" t="s">
        <v>701</v>
      </c>
      <c r="M229" s="68" t="s">
        <v>570</v>
      </c>
      <c r="N229" s="67" t="s">
        <v>240</v>
      </c>
      <c r="O229" s="95" t="s">
        <v>240</v>
      </c>
      <c r="P229" s="79" t="s">
        <v>240</v>
      </c>
      <c r="Q229" s="67" t="s">
        <v>240</v>
      </c>
      <c r="R229" s="67" t="s">
        <v>703</v>
      </c>
      <c r="S229" s="67">
        <f t="shared" si="59"/>
        <v>2699</v>
      </c>
      <c r="T229" s="78">
        <v>314</v>
      </c>
      <c r="U229" s="78">
        <v>2385</v>
      </c>
      <c r="V229" s="67">
        <v>11601</v>
      </c>
      <c r="W229" s="67">
        <v>10257</v>
      </c>
      <c r="X229" s="81">
        <f>4662*4</f>
        <v>18648</v>
      </c>
      <c r="Z229" s="81">
        <f>2382*4</f>
        <v>9528</v>
      </c>
      <c r="AI229" s="70">
        <f t="shared" si="57"/>
        <v>10257</v>
      </c>
      <c r="AL229" s="68" t="s">
        <v>1373</v>
      </c>
      <c r="AM229" s="67" t="s">
        <v>308</v>
      </c>
      <c r="AP229" s="67">
        <f t="shared" si="60"/>
        <v>6.7899644088086228E-2</v>
      </c>
      <c r="AQ229" s="67">
        <f t="shared" si="61"/>
        <v>170855.09292140059</v>
      </c>
      <c r="AS229" s="67">
        <f t="shared" si="62"/>
        <v>3.6100965892095615E-3</v>
      </c>
      <c r="AU229" s="67">
        <f t="shared" si="63"/>
        <v>2697</v>
      </c>
      <c r="AV229" s="67">
        <f t="shared" si="64"/>
        <v>1</v>
      </c>
      <c r="AW229" s="67" t="s">
        <v>1350</v>
      </c>
    </row>
    <row r="230" spans="1:49" ht="30" customHeight="1" x14ac:dyDescent="0.25">
      <c r="A230" s="72" t="s">
        <v>131</v>
      </c>
      <c r="B230" s="67" t="s">
        <v>344</v>
      </c>
      <c r="C230" s="72" t="s">
        <v>131</v>
      </c>
      <c r="D230" s="67">
        <v>15</v>
      </c>
      <c r="E230" s="67" t="s">
        <v>568</v>
      </c>
      <c r="F230" s="67" t="s">
        <v>240</v>
      </c>
      <c r="G230" s="68" t="s">
        <v>578</v>
      </c>
      <c r="H230" s="67">
        <v>0</v>
      </c>
      <c r="I230" s="67">
        <v>24</v>
      </c>
      <c r="J230" s="68">
        <v>2</v>
      </c>
      <c r="K230" s="68" t="s">
        <v>706</v>
      </c>
      <c r="L230" s="67" t="s">
        <v>701</v>
      </c>
      <c r="M230" s="68" t="s">
        <v>570</v>
      </c>
      <c r="N230" s="67" t="s">
        <v>240</v>
      </c>
      <c r="O230" s="95" t="s">
        <v>240</v>
      </c>
      <c r="P230" s="79" t="s">
        <v>240</v>
      </c>
      <c r="Q230" s="67" t="s">
        <v>240</v>
      </c>
      <c r="R230" s="67" t="s">
        <v>703</v>
      </c>
      <c r="S230" s="67">
        <f t="shared" si="59"/>
        <v>2699</v>
      </c>
      <c r="T230" s="78">
        <v>314</v>
      </c>
      <c r="U230" s="78">
        <v>2385</v>
      </c>
      <c r="V230" s="67">
        <v>12678</v>
      </c>
      <c r="W230" s="67">
        <v>11872</v>
      </c>
      <c r="X230" s="81">
        <f>4662*4</f>
        <v>18648</v>
      </c>
      <c r="Z230" s="81">
        <f>2382*4</f>
        <v>9528</v>
      </c>
      <c r="AI230" s="70">
        <f t="shared" si="57"/>
        <v>11872</v>
      </c>
      <c r="AL230" s="68" t="s">
        <v>1373</v>
      </c>
      <c r="AM230" s="67" t="s">
        <v>308</v>
      </c>
      <c r="AP230" s="67">
        <f t="shared" si="60"/>
        <v>6.4109041839203573E-2</v>
      </c>
      <c r="AQ230" s="67">
        <f t="shared" si="61"/>
        <v>197756.81614145148</v>
      </c>
      <c r="AS230" s="67">
        <f t="shared" si="62"/>
        <v>3.6097252404735701E-3</v>
      </c>
      <c r="AU230" s="67">
        <f t="shared" si="63"/>
        <v>2697</v>
      </c>
      <c r="AV230" s="67">
        <f t="shared" si="64"/>
        <v>1</v>
      </c>
      <c r="AW230" s="67" t="s">
        <v>1350</v>
      </c>
    </row>
    <row r="231" spans="1:49" ht="30" customHeight="1" x14ac:dyDescent="0.25">
      <c r="A231" s="72" t="s">
        <v>131</v>
      </c>
      <c r="B231" s="67" t="s">
        <v>344</v>
      </c>
      <c r="C231" s="72" t="s">
        <v>131</v>
      </c>
      <c r="D231" s="67">
        <v>16</v>
      </c>
      <c r="E231" s="67" t="s">
        <v>568</v>
      </c>
      <c r="F231" s="67" t="s">
        <v>240</v>
      </c>
      <c r="G231" s="68" t="s">
        <v>578</v>
      </c>
      <c r="H231" s="67">
        <v>0</v>
      </c>
      <c r="I231" s="67">
        <v>36</v>
      </c>
      <c r="J231" s="68">
        <v>2</v>
      </c>
      <c r="K231" s="68" t="s">
        <v>706</v>
      </c>
      <c r="L231" s="67" t="s">
        <v>701</v>
      </c>
      <c r="M231" s="68" t="s">
        <v>570</v>
      </c>
      <c r="N231" s="67" t="s">
        <v>240</v>
      </c>
      <c r="O231" s="95" t="s">
        <v>240</v>
      </c>
      <c r="P231" s="79" t="s">
        <v>240</v>
      </c>
      <c r="Q231" s="67" t="s">
        <v>240</v>
      </c>
      <c r="R231" s="67" t="s">
        <v>703</v>
      </c>
      <c r="S231" s="67">
        <f t="shared" si="59"/>
        <v>2699</v>
      </c>
      <c r="T231" s="78">
        <v>314</v>
      </c>
      <c r="U231" s="78">
        <v>2385</v>
      </c>
      <c r="V231" s="67">
        <v>12444</v>
      </c>
      <c r="W231" s="67">
        <v>12340</v>
      </c>
      <c r="X231" s="81">
        <f>4662*4</f>
        <v>18648</v>
      </c>
      <c r="Z231" s="81">
        <f>2382*4</f>
        <v>9528</v>
      </c>
      <c r="AI231" s="70">
        <f t="shared" si="57"/>
        <v>12340</v>
      </c>
      <c r="AL231" s="68" t="s">
        <v>1373</v>
      </c>
      <c r="AM231" s="67" t="s">
        <v>308</v>
      </c>
      <c r="AP231" s="67">
        <f t="shared" si="60"/>
        <v>6.0539282474508016E-2</v>
      </c>
      <c r="AQ231" s="67">
        <f t="shared" si="61"/>
        <v>205552.48578045075</v>
      </c>
      <c r="AS231" s="67">
        <f t="shared" si="62"/>
        <v>3.6093950256141901E-3</v>
      </c>
      <c r="AU231" s="67">
        <f t="shared" si="63"/>
        <v>2697</v>
      </c>
      <c r="AV231" s="67">
        <f t="shared" si="64"/>
        <v>1</v>
      </c>
      <c r="AW231" s="67" t="s">
        <v>1350</v>
      </c>
    </row>
    <row r="232" spans="1:49" ht="30" customHeight="1" x14ac:dyDescent="0.25">
      <c r="A232" s="72" t="s">
        <v>131</v>
      </c>
      <c r="B232" s="67" t="s">
        <v>344</v>
      </c>
      <c r="C232" s="72" t="s">
        <v>131</v>
      </c>
      <c r="D232" s="67">
        <v>17</v>
      </c>
      <c r="E232" s="67" t="s">
        <v>568</v>
      </c>
      <c r="F232" s="67" t="s">
        <v>240</v>
      </c>
      <c r="G232" s="68" t="s">
        <v>578</v>
      </c>
      <c r="H232" s="67">
        <v>0</v>
      </c>
      <c r="I232" s="67">
        <v>48</v>
      </c>
      <c r="J232" s="68">
        <v>2</v>
      </c>
      <c r="K232" s="68" t="s">
        <v>706</v>
      </c>
      <c r="L232" s="67" t="s">
        <v>701</v>
      </c>
      <c r="M232" s="68" t="s">
        <v>570</v>
      </c>
      <c r="N232" s="67" t="s">
        <v>240</v>
      </c>
      <c r="O232" s="95" t="s">
        <v>240</v>
      </c>
      <c r="P232" s="79" t="s">
        <v>240</v>
      </c>
      <c r="Q232" s="67" t="s">
        <v>240</v>
      </c>
      <c r="R232" s="67" t="s">
        <v>703</v>
      </c>
      <c r="S232" s="67">
        <f t="shared" si="59"/>
        <v>2699</v>
      </c>
      <c r="T232" s="78">
        <v>314</v>
      </c>
      <c r="U232" s="78">
        <v>2385</v>
      </c>
      <c r="V232" s="67">
        <v>12184</v>
      </c>
      <c r="W232" s="67">
        <v>13003</v>
      </c>
      <c r="X232" s="81">
        <f>4662*4</f>
        <v>18648</v>
      </c>
      <c r="Z232" s="81">
        <f>2382*4</f>
        <v>9528</v>
      </c>
      <c r="AI232" s="70">
        <f t="shared" si="57"/>
        <v>13003</v>
      </c>
      <c r="AL232" s="68" t="s">
        <v>1373</v>
      </c>
      <c r="AM232" s="67" t="s">
        <v>308</v>
      </c>
      <c r="AP232" s="67">
        <f t="shared" si="60"/>
        <v>5.6252101838233072E-2</v>
      </c>
      <c r="AQ232" s="67">
        <f t="shared" si="61"/>
        <v>216596.35110236637</v>
      </c>
      <c r="AS232" s="67">
        <f t="shared" si="62"/>
        <v>3.6090234443442023E-3</v>
      </c>
      <c r="AU232" s="67">
        <f t="shared" si="63"/>
        <v>2697</v>
      </c>
      <c r="AV232" s="67">
        <f t="shared" si="64"/>
        <v>1</v>
      </c>
      <c r="AW232" s="67" t="s">
        <v>1350</v>
      </c>
    </row>
    <row r="233" spans="1:49" ht="30" customHeight="1" x14ac:dyDescent="0.25">
      <c r="A233" s="72" t="s">
        <v>131</v>
      </c>
      <c r="B233" s="67" t="s">
        <v>344</v>
      </c>
      <c r="C233" s="72" t="s">
        <v>131</v>
      </c>
      <c r="D233" s="67">
        <v>18</v>
      </c>
      <c r="E233" s="67" t="s">
        <v>568</v>
      </c>
      <c r="F233" s="67" t="s">
        <v>240</v>
      </c>
      <c r="G233" s="68" t="s">
        <v>578</v>
      </c>
      <c r="H233" s="67">
        <v>0</v>
      </c>
      <c r="I233" s="67">
        <v>60</v>
      </c>
      <c r="J233" s="68">
        <v>2</v>
      </c>
      <c r="K233" s="68" t="s">
        <v>706</v>
      </c>
      <c r="L233" s="67" t="s">
        <v>701</v>
      </c>
      <c r="M233" s="68" t="s">
        <v>570</v>
      </c>
      <c r="N233" s="67" t="s">
        <v>240</v>
      </c>
      <c r="O233" s="95" t="s">
        <v>240</v>
      </c>
      <c r="P233" s="79" t="s">
        <v>240</v>
      </c>
      <c r="Q233" s="67" t="s">
        <v>240</v>
      </c>
      <c r="R233" s="67" t="s">
        <v>703</v>
      </c>
      <c r="S233" s="67">
        <f t="shared" si="59"/>
        <v>2699</v>
      </c>
      <c r="T233" s="78">
        <v>314</v>
      </c>
      <c r="U233" s="78">
        <v>2385</v>
      </c>
      <c r="V233" s="67">
        <v>11996</v>
      </c>
      <c r="W233" s="67">
        <v>13613</v>
      </c>
      <c r="X233" s="81">
        <f>4662*4</f>
        <v>18648</v>
      </c>
      <c r="Z233" s="81">
        <f>2382*4</f>
        <v>9528</v>
      </c>
      <c r="AI233" s="70">
        <f t="shared" ref="AI233:AI264" si="65">+W233</f>
        <v>13613</v>
      </c>
      <c r="AL233" s="68" t="s">
        <v>1373</v>
      </c>
      <c r="AM233" s="67" t="s">
        <v>308</v>
      </c>
      <c r="AP233" s="67">
        <f t="shared" si="60"/>
        <v>5.2902359094666125E-2</v>
      </c>
      <c r="AQ233" s="67">
        <f t="shared" si="61"/>
        <v>226757.37349507908</v>
      </c>
      <c r="AS233" s="67">
        <f t="shared" si="62"/>
        <v>3.6087520978778302E-3</v>
      </c>
      <c r="AU233" s="67">
        <f t="shared" si="63"/>
        <v>2697</v>
      </c>
      <c r="AV233" s="67">
        <f t="shared" si="64"/>
        <v>1</v>
      </c>
      <c r="AW233" s="67" t="s">
        <v>1350</v>
      </c>
    </row>
    <row r="234" spans="1:49" ht="30" customHeight="1" x14ac:dyDescent="0.25">
      <c r="A234" s="67" t="s">
        <v>133</v>
      </c>
      <c r="B234" s="67" t="s">
        <v>293</v>
      </c>
      <c r="C234" s="67" t="s">
        <v>133</v>
      </c>
      <c r="D234" s="67">
        <v>1</v>
      </c>
      <c r="E234" s="67" t="s">
        <v>605</v>
      </c>
      <c r="F234" s="67" t="s">
        <v>240</v>
      </c>
      <c r="G234" s="68" t="s">
        <v>578</v>
      </c>
      <c r="H234" s="67">
        <v>1</v>
      </c>
      <c r="I234" s="67">
        <v>6</v>
      </c>
      <c r="J234" s="67">
        <v>3</v>
      </c>
      <c r="K234" s="68" t="s">
        <v>707</v>
      </c>
      <c r="L234" s="67" t="s">
        <v>240</v>
      </c>
      <c r="M234" s="68" t="s">
        <v>570</v>
      </c>
      <c r="N234" s="67" t="s">
        <v>240</v>
      </c>
      <c r="O234" s="79">
        <f>(0.0745+0.0778)/2</f>
        <v>7.6149999999999995E-2</v>
      </c>
      <c r="P234" s="79">
        <v>-8.4600000000000005E-3</v>
      </c>
      <c r="Q234" s="79">
        <v>1.06E-2</v>
      </c>
      <c r="R234" s="67" t="s">
        <v>430</v>
      </c>
      <c r="S234" s="67">
        <v>2946</v>
      </c>
      <c r="T234" s="67">
        <f t="shared" ref="T234:T239" si="66">S234/2</f>
        <v>1473</v>
      </c>
      <c r="U234" s="67">
        <f t="shared" ref="U234:U239" si="67">S234/2</f>
        <v>1473</v>
      </c>
      <c r="V234" s="67">
        <v>0.11600000000000001</v>
      </c>
      <c r="W234" s="67">
        <v>2.5600000000000001E-2</v>
      </c>
      <c r="AC234" s="67">
        <v>0.26</v>
      </c>
      <c r="AI234" s="70">
        <f t="shared" si="65"/>
        <v>2.5600000000000001E-2</v>
      </c>
    </row>
    <row r="235" spans="1:49" ht="30" customHeight="1" x14ac:dyDescent="0.25">
      <c r="A235" s="67" t="s">
        <v>133</v>
      </c>
      <c r="B235" s="67" t="s">
        <v>293</v>
      </c>
      <c r="C235" s="67" t="s">
        <v>133</v>
      </c>
      <c r="D235" s="67">
        <f>D234+1</f>
        <v>2</v>
      </c>
      <c r="E235" s="67" t="s">
        <v>605</v>
      </c>
      <c r="F235" s="67" t="s">
        <v>240</v>
      </c>
      <c r="G235" s="68" t="s">
        <v>578</v>
      </c>
      <c r="H235" s="67">
        <v>1</v>
      </c>
      <c r="I235" s="67">
        <v>6</v>
      </c>
      <c r="J235" s="67">
        <v>1</v>
      </c>
      <c r="K235" s="68" t="s">
        <v>647</v>
      </c>
      <c r="L235" s="67" t="s">
        <v>240</v>
      </c>
      <c r="M235" s="68" t="s">
        <v>570</v>
      </c>
      <c r="N235" s="67" t="s">
        <v>240</v>
      </c>
      <c r="O235" s="79">
        <f>(0.0745+0.0778)/2</f>
        <v>7.6149999999999995E-2</v>
      </c>
      <c r="P235" s="79">
        <v>-8.4600000000000005E-3</v>
      </c>
      <c r="Q235" s="79">
        <v>1.06E-2</v>
      </c>
      <c r="R235" s="67" t="s">
        <v>430</v>
      </c>
      <c r="S235" s="67">
        <v>2946</v>
      </c>
      <c r="T235" s="67">
        <f t="shared" si="66"/>
        <v>1473</v>
      </c>
      <c r="U235" s="67">
        <f t="shared" si="67"/>
        <v>1473</v>
      </c>
      <c r="V235" s="67">
        <v>0.14299999999999999</v>
      </c>
      <c r="W235" s="67">
        <v>2.69E-2</v>
      </c>
      <c r="AC235" s="67">
        <v>0.38</v>
      </c>
      <c r="AI235" s="70">
        <f t="shared" si="65"/>
        <v>2.69E-2</v>
      </c>
    </row>
    <row r="236" spans="1:49" ht="30" customHeight="1" x14ac:dyDescent="0.25">
      <c r="A236" s="67" t="s">
        <v>133</v>
      </c>
      <c r="B236" s="67" t="s">
        <v>293</v>
      </c>
      <c r="C236" s="67" t="s">
        <v>133</v>
      </c>
      <c r="D236" s="67">
        <f>D235+1</f>
        <v>3</v>
      </c>
      <c r="E236" s="67" t="s">
        <v>605</v>
      </c>
      <c r="F236" s="67" t="s">
        <v>240</v>
      </c>
      <c r="G236" s="68" t="s">
        <v>578</v>
      </c>
      <c r="H236" s="67">
        <v>1</v>
      </c>
      <c r="I236" s="67">
        <v>6</v>
      </c>
      <c r="J236" s="67">
        <v>6</v>
      </c>
      <c r="K236" s="68" t="s">
        <v>708</v>
      </c>
      <c r="L236" s="67" t="s">
        <v>709</v>
      </c>
      <c r="M236" s="68" t="s">
        <v>570</v>
      </c>
      <c r="N236" s="67" t="s">
        <v>240</v>
      </c>
      <c r="O236" s="79">
        <f>(0.0745+0.0778)/2</f>
        <v>7.6149999999999995E-2</v>
      </c>
      <c r="P236" s="79">
        <v>-8.4600000000000005E-3</v>
      </c>
      <c r="Q236" s="79">
        <v>1.06E-2</v>
      </c>
      <c r="R236" s="67" t="s">
        <v>430</v>
      </c>
      <c r="S236" s="67">
        <v>2946</v>
      </c>
      <c r="T236" s="67">
        <f t="shared" si="66"/>
        <v>1473</v>
      </c>
      <c r="U236" s="67">
        <f t="shared" si="67"/>
        <v>1473</v>
      </c>
      <c r="V236" s="67">
        <v>265.10000000000002</v>
      </c>
      <c r="W236" s="67">
        <v>187</v>
      </c>
      <c r="AC236" s="67">
        <v>1369</v>
      </c>
      <c r="AI236" s="70">
        <f t="shared" si="65"/>
        <v>187</v>
      </c>
      <c r="AP236" s="67">
        <f>+V236/AQ236</f>
        <v>5.223742319511155E-2</v>
      </c>
      <c r="AQ236" s="67">
        <f>+W236*SQRT(T236*U236/S236)</f>
        <v>5074.905762671855</v>
      </c>
      <c r="AS236" s="67">
        <f>+AP236^2/(AU236-2)*(AU236/(V236/AI236)^2+AU236*AV236^2-AU236+2)</f>
        <v>1.3605513087220924E-3</v>
      </c>
      <c r="AU236" s="67">
        <f>+S236-2</f>
        <v>2944</v>
      </c>
      <c r="AV236" s="67">
        <f>IFERROR(1/(SQRT(AU236/2)*_xlfn.GAMMA(AU236/2-0.5)/_xlfn.GAMMA(AU236/2)),1)</f>
        <v>1</v>
      </c>
      <c r="AW236" s="67" t="s">
        <v>1350</v>
      </c>
    </row>
    <row r="237" spans="1:49" ht="30" customHeight="1" x14ac:dyDescent="0.25">
      <c r="A237" s="67" t="s">
        <v>133</v>
      </c>
      <c r="B237" s="67" t="s">
        <v>293</v>
      </c>
      <c r="C237" s="67" t="s">
        <v>133</v>
      </c>
      <c r="D237" s="67">
        <f>D236+1</f>
        <v>4</v>
      </c>
      <c r="E237" s="67" t="s">
        <v>605</v>
      </c>
      <c r="F237" s="67" t="s">
        <v>240</v>
      </c>
      <c r="G237" s="68" t="s">
        <v>578</v>
      </c>
      <c r="H237" s="67">
        <v>1</v>
      </c>
      <c r="I237" s="67">
        <v>6</v>
      </c>
      <c r="J237" s="67">
        <v>2</v>
      </c>
      <c r="K237" s="68" t="s">
        <v>710</v>
      </c>
      <c r="L237" s="67" t="s">
        <v>709</v>
      </c>
      <c r="M237" s="68" t="s">
        <v>570</v>
      </c>
      <c r="N237" s="67" t="s">
        <v>240</v>
      </c>
      <c r="O237" s="79">
        <f>(0.0745+0.0778)/2</f>
        <v>7.6149999999999995E-2</v>
      </c>
      <c r="P237" s="79">
        <v>-8.4600000000000005E-3</v>
      </c>
      <c r="Q237" s="79">
        <v>1.06E-2</v>
      </c>
      <c r="R237" s="67" t="s">
        <v>430</v>
      </c>
      <c r="S237" s="67">
        <v>2946</v>
      </c>
      <c r="T237" s="67">
        <f t="shared" si="66"/>
        <v>1473</v>
      </c>
      <c r="U237" s="67">
        <f t="shared" si="67"/>
        <v>1473</v>
      </c>
      <c r="V237" s="67">
        <v>181.7</v>
      </c>
      <c r="W237" s="67">
        <v>190.7</v>
      </c>
      <c r="AC237" s="67">
        <v>1789</v>
      </c>
      <c r="AI237" s="70">
        <f t="shared" si="65"/>
        <v>190.7</v>
      </c>
      <c r="AP237" s="67">
        <f>+V237/AQ237</f>
        <v>3.5108951407977179E-2</v>
      </c>
      <c r="AQ237" s="67">
        <f>+W237*SQRT(T237*U237/S237)</f>
        <v>5175.3183365856821</v>
      </c>
      <c r="AS237" s="67">
        <f>+AP237^2/(AU237-2)*(AU237/(V237/AI237)^2+AU237*AV237^2-AU237+2)</f>
        <v>1.3595342387607758E-3</v>
      </c>
      <c r="AU237" s="67">
        <f>+S237-2</f>
        <v>2944</v>
      </c>
      <c r="AV237" s="67">
        <f>IFERROR(1/(SQRT(AU237/2)*_xlfn.GAMMA(AU237/2-0.5)/_xlfn.GAMMA(AU237/2)),1)</f>
        <v>1</v>
      </c>
      <c r="AW237" s="67" t="s">
        <v>1350</v>
      </c>
    </row>
    <row r="238" spans="1:49" ht="30" customHeight="1" x14ac:dyDescent="0.25">
      <c r="A238" s="10" t="s">
        <v>136</v>
      </c>
      <c r="B238" s="67" t="s">
        <v>293</v>
      </c>
      <c r="C238" s="10" t="s">
        <v>136</v>
      </c>
      <c r="D238" s="67">
        <v>1</v>
      </c>
      <c r="E238" s="67" t="s">
        <v>583</v>
      </c>
      <c r="F238" s="67" t="s">
        <v>240</v>
      </c>
      <c r="G238" s="68" t="s">
        <v>578</v>
      </c>
      <c r="H238" s="67">
        <v>1</v>
      </c>
      <c r="I238" s="67">
        <v>12</v>
      </c>
      <c r="J238" s="67">
        <v>5</v>
      </c>
      <c r="K238" s="68" t="s">
        <v>711</v>
      </c>
      <c r="L238" s="67" t="s">
        <v>240</v>
      </c>
      <c r="M238" s="68" t="s">
        <v>570</v>
      </c>
      <c r="N238" s="67" t="s">
        <v>240</v>
      </c>
      <c r="O238" s="69">
        <f>1-0.87</f>
        <v>0.13</v>
      </c>
      <c r="P238" s="69">
        <v>-2E-3</v>
      </c>
      <c r="Q238" s="69">
        <v>1.6E-2</v>
      </c>
      <c r="R238" s="67" t="s">
        <v>712</v>
      </c>
      <c r="S238" s="67">
        <v>868</v>
      </c>
      <c r="T238" s="67">
        <f t="shared" si="66"/>
        <v>434</v>
      </c>
      <c r="U238" s="67">
        <f t="shared" si="67"/>
        <v>434</v>
      </c>
      <c r="V238" s="67">
        <v>-0.38400000000000001</v>
      </c>
      <c r="W238" s="67">
        <v>0.34699999999999998</v>
      </c>
      <c r="AI238" s="70">
        <f t="shared" si="65"/>
        <v>0.34699999999999998</v>
      </c>
      <c r="AM238" s="68" t="s">
        <v>308</v>
      </c>
      <c r="AN238" s="68" t="s">
        <v>713</v>
      </c>
      <c r="AP238" s="67">
        <f>+V238/AQ238</f>
        <v>-7.5122820054183928E-2</v>
      </c>
      <c r="AQ238" s="67">
        <f>+W238*SQRT(T238*U238/S238)</f>
        <v>5.111629192341713</v>
      </c>
      <c r="AS238" s="67">
        <f>+AP238^2/(AU238-2)*(AU238/(V238/AI238)^2+AU238*AV238^2-AU238+2)</f>
        <v>4.632025794356523E-3</v>
      </c>
      <c r="AU238" s="67">
        <f>+S238-2</f>
        <v>866</v>
      </c>
      <c r="AV238" s="67">
        <f>IFERROR(1/(SQRT(AU238/2)*_xlfn.GAMMA(AU238/2-0.5)/_xlfn.GAMMA(AU238/2)),1)</f>
        <v>1</v>
      </c>
      <c r="AW238" s="67" t="s">
        <v>1350</v>
      </c>
    </row>
    <row r="239" spans="1:49" ht="30" customHeight="1" x14ac:dyDescent="0.25">
      <c r="A239" s="10" t="s">
        <v>136</v>
      </c>
      <c r="B239" s="67" t="s">
        <v>293</v>
      </c>
      <c r="C239" s="10" t="s">
        <v>136</v>
      </c>
      <c r="D239" s="67">
        <v>2</v>
      </c>
      <c r="E239" s="67" t="s">
        <v>577</v>
      </c>
      <c r="F239" s="67" t="s">
        <v>240</v>
      </c>
      <c r="G239" s="68" t="s">
        <v>578</v>
      </c>
      <c r="H239" s="67">
        <v>1</v>
      </c>
      <c r="I239" s="67">
        <v>12</v>
      </c>
      <c r="J239" s="67">
        <v>5</v>
      </c>
      <c r="K239" s="68" t="s">
        <v>711</v>
      </c>
      <c r="L239" s="67" t="s">
        <v>240</v>
      </c>
      <c r="M239" s="68" t="s">
        <v>570</v>
      </c>
      <c r="N239" s="67" t="s">
        <v>240</v>
      </c>
      <c r="O239" s="69">
        <f>1-0.87</f>
        <v>0.13</v>
      </c>
      <c r="P239" s="69">
        <v>-2E-3</v>
      </c>
      <c r="Q239" s="69">
        <v>1.6E-2</v>
      </c>
      <c r="R239" s="67" t="s">
        <v>712</v>
      </c>
      <c r="S239" s="67">
        <v>805</v>
      </c>
      <c r="T239" s="78">
        <f t="shared" si="66"/>
        <v>402.5</v>
      </c>
      <c r="U239" s="78">
        <f t="shared" si="67"/>
        <v>402.5</v>
      </c>
      <c r="V239" s="67">
        <v>0.35699999999999998</v>
      </c>
      <c r="W239" s="67">
        <v>0.4</v>
      </c>
      <c r="AI239" s="70">
        <f t="shared" si="65"/>
        <v>0.4</v>
      </c>
      <c r="AM239" s="68" t="s">
        <v>308</v>
      </c>
      <c r="AN239" s="68" t="s">
        <v>713</v>
      </c>
      <c r="AP239" s="67">
        <f>+V239/AQ239</f>
        <v>6.2912983383884041E-2</v>
      </c>
      <c r="AQ239" s="67">
        <f>+W239*SQRT(T239*U239/S239)</f>
        <v>5.6745043836444431</v>
      </c>
      <c r="AS239" s="67">
        <f>+AP239^2/(AU239-2)*(AU239/(V239/AI239)^2+AU239*AV239^2-AU239+2)</f>
        <v>4.9912337063143129E-3</v>
      </c>
      <c r="AU239" s="67">
        <f>+S239-2</f>
        <v>803</v>
      </c>
      <c r="AV239" s="67">
        <f>IFERROR(1/(SQRT(AU239/2)*_xlfn.GAMMA(AU239/2-0.5)/_xlfn.GAMMA(AU239/2)),1)</f>
        <v>1</v>
      </c>
      <c r="AW239" s="67" t="s">
        <v>1350</v>
      </c>
    </row>
    <row r="240" spans="1:49" ht="30" customHeight="1" x14ac:dyDescent="0.25">
      <c r="A240" s="67" t="s">
        <v>124</v>
      </c>
      <c r="B240" s="67" t="s">
        <v>221</v>
      </c>
      <c r="C240" s="67" t="s">
        <v>365</v>
      </c>
      <c r="D240" s="67">
        <v>1</v>
      </c>
      <c r="E240" s="67" t="s">
        <v>605</v>
      </c>
      <c r="F240" s="67" t="s">
        <v>240</v>
      </c>
      <c r="G240" s="68" t="s">
        <v>714</v>
      </c>
      <c r="H240" s="67">
        <v>1</v>
      </c>
      <c r="I240" s="67">
        <v>6</v>
      </c>
      <c r="J240" s="67">
        <v>1</v>
      </c>
      <c r="K240" s="68" t="s">
        <v>634</v>
      </c>
      <c r="L240" s="67" t="s">
        <v>240</v>
      </c>
      <c r="M240" s="68" t="s">
        <v>570</v>
      </c>
      <c r="N240" s="67" t="s">
        <v>240</v>
      </c>
      <c r="O240" s="67" t="s">
        <v>240</v>
      </c>
      <c r="P240" s="67" t="s">
        <v>240</v>
      </c>
      <c r="Q240" s="67" t="s">
        <v>240</v>
      </c>
      <c r="R240" s="67" t="s">
        <v>338</v>
      </c>
      <c r="S240" s="67">
        <v>7302</v>
      </c>
      <c r="T240" s="67">
        <v>3651</v>
      </c>
      <c r="U240" s="67">
        <v>3651</v>
      </c>
      <c r="V240" s="67">
        <v>0.03</v>
      </c>
      <c r="W240" s="67">
        <v>0.03</v>
      </c>
      <c r="X240" s="67">
        <v>0.628</v>
      </c>
      <c r="Y240" s="67">
        <v>0.60899999999999999</v>
      </c>
      <c r="AB240" s="67">
        <v>0.66700000000000004</v>
      </c>
      <c r="AC240" s="67">
        <v>0.63100000000000001</v>
      </c>
      <c r="AI240" s="70">
        <f t="shared" si="65"/>
        <v>0.03</v>
      </c>
      <c r="AL240" s="68" t="s">
        <v>1372</v>
      </c>
    </row>
    <row r="241" spans="1:38" ht="30" customHeight="1" x14ac:dyDescent="0.25">
      <c r="A241" s="67" t="s">
        <v>124</v>
      </c>
      <c r="B241" s="67" t="s">
        <v>221</v>
      </c>
      <c r="C241" s="67" t="s">
        <v>365</v>
      </c>
      <c r="D241" s="67">
        <f t="shared" ref="D241:D272" si="68">D240+1</f>
        <v>2</v>
      </c>
      <c r="E241" s="67" t="s">
        <v>605</v>
      </c>
      <c r="F241" s="67" t="s">
        <v>240</v>
      </c>
      <c r="G241" s="68" t="s">
        <v>714</v>
      </c>
      <c r="H241" s="67">
        <v>1</v>
      </c>
      <c r="I241" s="67">
        <v>12</v>
      </c>
      <c r="J241" s="67">
        <v>1</v>
      </c>
      <c r="K241" s="68" t="s">
        <v>634</v>
      </c>
      <c r="L241" s="67" t="s">
        <v>240</v>
      </c>
      <c r="M241" s="68" t="s">
        <v>570</v>
      </c>
      <c r="N241" s="67" t="s">
        <v>240</v>
      </c>
      <c r="O241" s="67" t="s">
        <v>240</v>
      </c>
      <c r="P241" s="67" t="s">
        <v>240</v>
      </c>
      <c r="Q241" s="67" t="s">
        <v>240</v>
      </c>
      <c r="R241" s="67" t="s">
        <v>338</v>
      </c>
      <c r="S241" s="67">
        <v>7302</v>
      </c>
      <c r="T241" s="67">
        <v>3651</v>
      </c>
      <c r="U241" s="67">
        <v>3651</v>
      </c>
      <c r="V241" s="67">
        <v>-0.02</v>
      </c>
      <c r="W241" s="67">
        <v>0.03</v>
      </c>
      <c r="X241" s="67">
        <v>0.628</v>
      </c>
      <c r="Y241" s="67">
        <v>0.60899999999999999</v>
      </c>
      <c r="AB241" s="67">
        <v>0.66400000000000003</v>
      </c>
      <c r="AC241" s="67">
        <v>0.67600000000000005</v>
      </c>
      <c r="AI241" s="70">
        <f t="shared" si="65"/>
        <v>0.03</v>
      </c>
      <c r="AL241" s="68" t="s">
        <v>1372</v>
      </c>
    </row>
    <row r="242" spans="1:38" ht="30" customHeight="1" x14ac:dyDescent="0.25">
      <c r="A242" s="67" t="s">
        <v>124</v>
      </c>
      <c r="B242" s="67" t="s">
        <v>221</v>
      </c>
      <c r="C242" s="67" t="s">
        <v>365</v>
      </c>
      <c r="D242" s="67">
        <f t="shared" si="68"/>
        <v>3</v>
      </c>
      <c r="E242" s="67" t="s">
        <v>605</v>
      </c>
      <c r="F242" s="67" t="s">
        <v>240</v>
      </c>
      <c r="G242" s="68" t="s">
        <v>714</v>
      </c>
      <c r="H242" s="67">
        <v>1</v>
      </c>
      <c r="I242" s="67">
        <v>18</v>
      </c>
      <c r="J242" s="67">
        <v>1</v>
      </c>
      <c r="K242" s="68" t="s">
        <v>634</v>
      </c>
      <c r="L242" s="67" t="s">
        <v>240</v>
      </c>
      <c r="M242" s="68" t="s">
        <v>570</v>
      </c>
      <c r="N242" s="67" t="s">
        <v>240</v>
      </c>
      <c r="O242" s="67" t="s">
        <v>240</v>
      </c>
      <c r="P242" s="67" t="s">
        <v>240</v>
      </c>
      <c r="Q242" s="67" t="s">
        <v>240</v>
      </c>
      <c r="R242" s="67" t="s">
        <v>338</v>
      </c>
      <c r="S242" s="67">
        <v>7302</v>
      </c>
      <c r="T242" s="67">
        <v>3651</v>
      </c>
      <c r="U242" s="67">
        <v>3651</v>
      </c>
      <c r="V242" s="67">
        <v>0.02</v>
      </c>
      <c r="W242" s="67">
        <v>0.03</v>
      </c>
      <c r="X242" s="67">
        <v>0.628</v>
      </c>
      <c r="Y242" s="67">
        <v>0.60899999999999999</v>
      </c>
      <c r="AB242" s="67">
        <v>0.68</v>
      </c>
      <c r="AC242" s="67">
        <v>0.65600000000000003</v>
      </c>
      <c r="AI242" s="70">
        <f t="shared" si="65"/>
        <v>0.03</v>
      </c>
      <c r="AL242" s="68" t="s">
        <v>1372</v>
      </c>
    </row>
    <row r="243" spans="1:38" ht="30" customHeight="1" x14ac:dyDescent="0.25">
      <c r="A243" s="67" t="s">
        <v>124</v>
      </c>
      <c r="B243" s="67" t="s">
        <v>221</v>
      </c>
      <c r="C243" s="67" t="s">
        <v>365</v>
      </c>
      <c r="D243" s="67">
        <f t="shared" si="68"/>
        <v>4</v>
      </c>
      <c r="E243" s="67" t="s">
        <v>583</v>
      </c>
      <c r="F243" s="67" t="s">
        <v>240</v>
      </c>
      <c r="G243" s="68" t="s">
        <v>714</v>
      </c>
      <c r="H243" s="67">
        <v>1</v>
      </c>
      <c r="I243" s="67">
        <v>6</v>
      </c>
      <c r="J243" s="67">
        <v>1</v>
      </c>
      <c r="K243" s="68" t="s">
        <v>634</v>
      </c>
      <c r="L243" s="67" t="s">
        <v>240</v>
      </c>
      <c r="M243" s="68" t="s">
        <v>570</v>
      </c>
      <c r="N243" s="67" t="s">
        <v>240</v>
      </c>
      <c r="O243" s="67" t="s">
        <v>240</v>
      </c>
      <c r="P243" s="67" t="s">
        <v>240</v>
      </c>
      <c r="Q243" s="67" t="s">
        <v>240</v>
      </c>
      <c r="R243" s="67" t="s">
        <v>338</v>
      </c>
      <c r="S243" s="67">
        <v>3504</v>
      </c>
      <c r="T243" s="67">
        <v>1752</v>
      </c>
      <c r="U243" s="67">
        <v>1752</v>
      </c>
      <c r="V243" s="67">
        <v>-0.02</v>
      </c>
      <c r="W243" s="67">
        <v>0.04</v>
      </c>
      <c r="AI243" s="70">
        <f t="shared" si="65"/>
        <v>0.04</v>
      </c>
      <c r="AL243" s="68" t="s">
        <v>1371</v>
      </c>
    </row>
    <row r="244" spans="1:38" ht="30" customHeight="1" x14ac:dyDescent="0.25">
      <c r="A244" s="67" t="s">
        <v>124</v>
      </c>
      <c r="B244" s="67" t="s">
        <v>221</v>
      </c>
      <c r="C244" s="67" t="s">
        <v>365</v>
      </c>
      <c r="D244" s="67">
        <f t="shared" si="68"/>
        <v>5</v>
      </c>
      <c r="E244" s="67" t="s">
        <v>583</v>
      </c>
      <c r="F244" s="67" t="s">
        <v>240</v>
      </c>
      <c r="G244" s="68" t="s">
        <v>714</v>
      </c>
      <c r="H244" s="67">
        <v>1</v>
      </c>
      <c r="I244" s="67">
        <v>12</v>
      </c>
      <c r="J244" s="67">
        <v>1</v>
      </c>
      <c r="K244" s="68" t="s">
        <v>634</v>
      </c>
      <c r="L244" s="67" t="s">
        <v>240</v>
      </c>
      <c r="M244" s="68" t="s">
        <v>570</v>
      </c>
      <c r="N244" s="67" t="s">
        <v>240</v>
      </c>
      <c r="O244" s="67" t="s">
        <v>240</v>
      </c>
      <c r="P244" s="67" t="s">
        <v>240</v>
      </c>
      <c r="Q244" s="67" t="s">
        <v>240</v>
      </c>
      <c r="R244" s="67" t="s">
        <v>338</v>
      </c>
      <c r="S244" s="67">
        <v>3504</v>
      </c>
      <c r="T244" s="67">
        <v>1752</v>
      </c>
      <c r="U244" s="67">
        <v>1752</v>
      </c>
      <c r="V244" s="67">
        <v>-7.0000000000000007E-2</v>
      </c>
      <c r="W244" s="67">
        <v>0.04</v>
      </c>
      <c r="AI244" s="70">
        <f t="shared" si="65"/>
        <v>0.04</v>
      </c>
      <c r="AL244" s="68" t="s">
        <v>1371</v>
      </c>
    </row>
    <row r="245" spans="1:38" ht="30" customHeight="1" x14ac:dyDescent="0.25">
      <c r="A245" s="67" t="s">
        <v>124</v>
      </c>
      <c r="B245" s="67" t="s">
        <v>221</v>
      </c>
      <c r="C245" s="67" t="s">
        <v>365</v>
      </c>
      <c r="D245" s="67">
        <f t="shared" si="68"/>
        <v>6</v>
      </c>
      <c r="E245" s="67" t="s">
        <v>583</v>
      </c>
      <c r="F245" s="67" t="s">
        <v>240</v>
      </c>
      <c r="G245" s="68" t="s">
        <v>714</v>
      </c>
      <c r="H245" s="67">
        <v>1</v>
      </c>
      <c r="I245" s="67">
        <v>18</v>
      </c>
      <c r="J245" s="67">
        <v>1</v>
      </c>
      <c r="K245" s="68" t="s">
        <v>634</v>
      </c>
      <c r="L245" s="67" t="s">
        <v>240</v>
      </c>
      <c r="M245" s="68" t="s">
        <v>570</v>
      </c>
      <c r="N245" s="67" t="s">
        <v>240</v>
      </c>
      <c r="O245" s="67" t="s">
        <v>240</v>
      </c>
      <c r="P245" s="67" t="s">
        <v>240</v>
      </c>
      <c r="Q245" s="67" t="s">
        <v>240</v>
      </c>
      <c r="R245" s="67" t="s">
        <v>338</v>
      </c>
      <c r="S245" s="67">
        <v>3504</v>
      </c>
      <c r="T245" s="67">
        <v>1752</v>
      </c>
      <c r="U245" s="67">
        <v>1752</v>
      </c>
      <c r="V245" s="67">
        <v>-7.0000000000000007E-2</v>
      </c>
      <c r="W245" s="67">
        <v>0.03</v>
      </c>
      <c r="AI245" s="70">
        <f t="shared" si="65"/>
        <v>0.03</v>
      </c>
      <c r="AL245" s="68" t="s">
        <v>1371</v>
      </c>
    </row>
    <row r="246" spans="1:38" ht="30" customHeight="1" x14ac:dyDescent="0.25">
      <c r="A246" s="67" t="s">
        <v>124</v>
      </c>
      <c r="B246" s="67" t="s">
        <v>221</v>
      </c>
      <c r="C246" s="67" t="s">
        <v>365</v>
      </c>
      <c r="D246" s="67">
        <f t="shared" si="68"/>
        <v>7</v>
      </c>
      <c r="E246" s="67" t="s">
        <v>577</v>
      </c>
      <c r="F246" s="67" t="s">
        <v>240</v>
      </c>
      <c r="G246" s="68" t="s">
        <v>714</v>
      </c>
      <c r="H246" s="67">
        <v>1</v>
      </c>
      <c r="I246" s="67">
        <v>6</v>
      </c>
      <c r="J246" s="67">
        <v>1</v>
      </c>
      <c r="K246" s="68" t="s">
        <v>634</v>
      </c>
      <c r="L246" s="67" t="s">
        <v>240</v>
      </c>
      <c r="M246" s="68" t="s">
        <v>570</v>
      </c>
      <c r="N246" s="67" t="s">
        <v>240</v>
      </c>
      <c r="O246" s="67" t="s">
        <v>240</v>
      </c>
      <c r="P246" s="67" t="s">
        <v>240</v>
      </c>
      <c r="Q246" s="67" t="s">
        <v>240</v>
      </c>
      <c r="R246" s="67" t="s">
        <v>338</v>
      </c>
      <c r="S246" s="67">
        <v>3798</v>
      </c>
      <c r="T246" s="67">
        <v>1899</v>
      </c>
      <c r="U246" s="67">
        <v>1899</v>
      </c>
      <c r="V246" s="67">
        <v>0.08</v>
      </c>
      <c r="W246" s="67">
        <v>0.04</v>
      </c>
      <c r="AI246" s="70">
        <f t="shared" si="65"/>
        <v>0.04</v>
      </c>
      <c r="AL246" s="68" t="s">
        <v>1370</v>
      </c>
    </row>
    <row r="247" spans="1:38" ht="30" customHeight="1" x14ac:dyDescent="0.25">
      <c r="A247" s="67" t="s">
        <v>124</v>
      </c>
      <c r="B247" s="67" t="s">
        <v>221</v>
      </c>
      <c r="C247" s="67" t="s">
        <v>365</v>
      </c>
      <c r="D247" s="67">
        <f t="shared" si="68"/>
        <v>8</v>
      </c>
      <c r="E247" s="67" t="s">
        <v>577</v>
      </c>
      <c r="F247" s="67" t="s">
        <v>240</v>
      </c>
      <c r="G247" s="68" t="s">
        <v>714</v>
      </c>
      <c r="H247" s="67">
        <v>1</v>
      </c>
      <c r="I247" s="67">
        <v>12</v>
      </c>
      <c r="J247" s="67">
        <v>1</v>
      </c>
      <c r="K247" s="68" t="s">
        <v>634</v>
      </c>
      <c r="L247" s="67" t="s">
        <v>240</v>
      </c>
      <c r="M247" s="68" t="s">
        <v>570</v>
      </c>
      <c r="N247" s="67" t="s">
        <v>240</v>
      </c>
      <c r="O247" s="67" t="s">
        <v>240</v>
      </c>
      <c r="P247" s="67" t="s">
        <v>240</v>
      </c>
      <c r="Q247" s="67" t="s">
        <v>240</v>
      </c>
      <c r="R247" s="67" t="s">
        <v>338</v>
      </c>
      <c r="S247" s="67">
        <v>3798</v>
      </c>
      <c r="T247" s="67">
        <v>1899</v>
      </c>
      <c r="U247" s="67">
        <v>1899</v>
      </c>
      <c r="V247" s="67">
        <v>0.03</v>
      </c>
      <c r="W247" s="67">
        <v>0.04</v>
      </c>
      <c r="AI247" s="70">
        <f t="shared" si="65"/>
        <v>0.04</v>
      </c>
      <c r="AL247" s="68" t="s">
        <v>1370</v>
      </c>
    </row>
    <row r="248" spans="1:38" ht="30" customHeight="1" x14ac:dyDescent="0.25">
      <c r="A248" s="67" t="s">
        <v>124</v>
      </c>
      <c r="B248" s="67" t="s">
        <v>221</v>
      </c>
      <c r="C248" s="67" t="s">
        <v>365</v>
      </c>
      <c r="D248" s="67">
        <f t="shared" si="68"/>
        <v>9</v>
      </c>
      <c r="E248" s="67" t="s">
        <v>577</v>
      </c>
      <c r="F248" s="67" t="s">
        <v>240</v>
      </c>
      <c r="G248" s="68" t="s">
        <v>714</v>
      </c>
      <c r="H248" s="67">
        <v>1</v>
      </c>
      <c r="I248" s="67">
        <v>18</v>
      </c>
      <c r="J248" s="67">
        <v>1</v>
      </c>
      <c r="K248" s="68" t="s">
        <v>634</v>
      </c>
      <c r="L248" s="67" t="s">
        <v>240</v>
      </c>
      <c r="M248" s="68" t="s">
        <v>570</v>
      </c>
      <c r="N248" s="67" t="s">
        <v>240</v>
      </c>
      <c r="O248" s="67" t="s">
        <v>240</v>
      </c>
      <c r="P248" s="67" t="s">
        <v>240</v>
      </c>
      <c r="Q248" s="67" t="s">
        <v>240</v>
      </c>
      <c r="R248" s="67" t="s">
        <v>338</v>
      </c>
      <c r="S248" s="67">
        <v>3798</v>
      </c>
      <c r="T248" s="67">
        <v>1899</v>
      </c>
      <c r="U248" s="67">
        <v>1899</v>
      </c>
      <c r="V248" s="67">
        <v>0.1</v>
      </c>
      <c r="W248" s="67">
        <v>0.04</v>
      </c>
      <c r="AI248" s="70">
        <f t="shared" si="65"/>
        <v>0.04</v>
      </c>
      <c r="AL248" s="68" t="s">
        <v>1370</v>
      </c>
    </row>
    <row r="249" spans="1:38" ht="30" customHeight="1" x14ac:dyDescent="0.25">
      <c r="A249" s="67" t="s">
        <v>124</v>
      </c>
      <c r="B249" s="67" t="s">
        <v>221</v>
      </c>
      <c r="C249" s="67" t="s">
        <v>365</v>
      </c>
      <c r="D249" s="67">
        <f t="shared" si="68"/>
        <v>10</v>
      </c>
      <c r="E249" s="67" t="s">
        <v>605</v>
      </c>
      <c r="F249" s="67" t="s">
        <v>718</v>
      </c>
      <c r="G249" s="68" t="s">
        <v>714</v>
      </c>
      <c r="H249" s="67">
        <v>1</v>
      </c>
      <c r="I249" s="67">
        <v>6</v>
      </c>
      <c r="J249" s="67">
        <v>1</v>
      </c>
      <c r="K249" s="68" t="s">
        <v>634</v>
      </c>
      <c r="L249" s="67" t="s">
        <v>240</v>
      </c>
      <c r="M249" s="68" t="s">
        <v>570</v>
      </c>
      <c r="N249" s="67" t="s">
        <v>240</v>
      </c>
      <c r="O249" s="67" t="s">
        <v>240</v>
      </c>
      <c r="P249" s="67" t="s">
        <v>240</v>
      </c>
      <c r="Q249" s="67" t="s">
        <v>240</v>
      </c>
      <c r="R249" s="67" t="s">
        <v>338</v>
      </c>
      <c r="S249" s="67" t="s">
        <v>240</v>
      </c>
      <c r="T249" s="67" t="s">
        <v>240</v>
      </c>
      <c r="U249" s="67" t="s">
        <v>240</v>
      </c>
      <c r="V249" s="67">
        <v>0.04</v>
      </c>
      <c r="W249" s="67">
        <v>0.03</v>
      </c>
      <c r="AI249" s="70">
        <f t="shared" si="65"/>
        <v>0.03</v>
      </c>
      <c r="AL249" s="68" t="s">
        <v>1369</v>
      </c>
    </row>
    <row r="250" spans="1:38" ht="30" customHeight="1" x14ac:dyDescent="0.25">
      <c r="A250" s="67" t="s">
        <v>124</v>
      </c>
      <c r="B250" s="67" t="s">
        <v>221</v>
      </c>
      <c r="C250" s="67" t="s">
        <v>365</v>
      </c>
      <c r="D250" s="67">
        <f t="shared" si="68"/>
        <v>11</v>
      </c>
      <c r="E250" s="67" t="s">
        <v>605</v>
      </c>
      <c r="F250" s="67" t="s">
        <v>718</v>
      </c>
      <c r="G250" s="68" t="s">
        <v>714</v>
      </c>
      <c r="H250" s="67">
        <v>1</v>
      </c>
      <c r="I250" s="67">
        <v>12</v>
      </c>
      <c r="J250" s="67">
        <v>1</v>
      </c>
      <c r="K250" s="68" t="s">
        <v>634</v>
      </c>
      <c r="L250" s="67" t="s">
        <v>240</v>
      </c>
      <c r="M250" s="68" t="s">
        <v>570</v>
      </c>
      <c r="N250" s="67" t="s">
        <v>240</v>
      </c>
      <c r="O250" s="67" t="s">
        <v>240</v>
      </c>
      <c r="P250" s="67" t="s">
        <v>240</v>
      </c>
      <c r="Q250" s="67" t="s">
        <v>240</v>
      </c>
      <c r="R250" s="67" t="s">
        <v>338</v>
      </c>
      <c r="S250" s="67" t="s">
        <v>240</v>
      </c>
      <c r="T250" s="67" t="s">
        <v>240</v>
      </c>
      <c r="U250" s="67" t="s">
        <v>240</v>
      </c>
      <c r="V250" s="67">
        <v>-0.03</v>
      </c>
      <c r="W250" s="67">
        <v>0.04</v>
      </c>
      <c r="AI250" s="70">
        <f t="shared" si="65"/>
        <v>0.04</v>
      </c>
      <c r="AL250" s="68" t="s">
        <v>1369</v>
      </c>
    </row>
    <row r="251" spans="1:38" ht="30" customHeight="1" x14ac:dyDescent="0.25">
      <c r="A251" s="67" t="s">
        <v>124</v>
      </c>
      <c r="B251" s="67" t="s">
        <v>221</v>
      </c>
      <c r="C251" s="67" t="s">
        <v>365</v>
      </c>
      <c r="D251" s="67">
        <f t="shared" si="68"/>
        <v>12</v>
      </c>
      <c r="E251" s="67" t="s">
        <v>605</v>
      </c>
      <c r="F251" s="67" t="s">
        <v>718</v>
      </c>
      <c r="G251" s="68" t="s">
        <v>714</v>
      </c>
      <c r="H251" s="67">
        <v>1</v>
      </c>
      <c r="I251" s="67">
        <v>18</v>
      </c>
      <c r="J251" s="67">
        <v>1</v>
      </c>
      <c r="K251" s="68" t="s">
        <v>634</v>
      </c>
      <c r="L251" s="67" t="s">
        <v>240</v>
      </c>
      <c r="M251" s="68" t="s">
        <v>570</v>
      </c>
      <c r="N251" s="67" t="s">
        <v>240</v>
      </c>
      <c r="O251" s="67" t="s">
        <v>240</v>
      </c>
      <c r="P251" s="67" t="s">
        <v>240</v>
      </c>
      <c r="Q251" s="67" t="s">
        <v>240</v>
      </c>
      <c r="R251" s="67" t="s">
        <v>338</v>
      </c>
      <c r="S251" s="67" t="s">
        <v>240</v>
      </c>
      <c r="T251" s="67" t="s">
        <v>240</v>
      </c>
      <c r="U251" s="67" t="s">
        <v>240</v>
      </c>
      <c r="V251" s="67">
        <v>0.01</v>
      </c>
      <c r="W251" s="67">
        <v>0.04</v>
      </c>
      <c r="AI251" s="70">
        <f t="shared" si="65"/>
        <v>0.04</v>
      </c>
      <c r="AL251" s="68" t="s">
        <v>1369</v>
      </c>
    </row>
    <row r="252" spans="1:38" ht="30" customHeight="1" x14ac:dyDescent="0.25">
      <c r="A252" s="67" t="s">
        <v>124</v>
      </c>
      <c r="B252" s="67" t="s">
        <v>221</v>
      </c>
      <c r="C252" s="67" t="s">
        <v>365</v>
      </c>
      <c r="D252" s="67">
        <f t="shared" si="68"/>
        <v>13</v>
      </c>
      <c r="E252" s="67" t="s">
        <v>605</v>
      </c>
      <c r="F252" s="67" t="s">
        <v>720</v>
      </c>
      <c r="G252" s="68" t="s">
        <v>714</v>
      </c>
      <c r="H252" s="67">
        <v>1</v>
      </c>
      <c r="I252" s="67">
        <v>6</v>
      </c>
      <c r="J252" s="67">
        <v>1</v>
      </c>
      <c r="K252" s="68" t="s">
        <v>634</v>
      </c>
      <c r="L252" s="67" t="s">
        <v>240</v>
      </c>
      <c r="M252" s="68" t="s">
        <v>570</v>
      </c>
      <c r="N252" s="67" t="s">
        <v>240</v>
      </c>
      <c r="O252" s="67" t="s">
        <v>240</v>
      </c>
      <c r="P252" s="67" t="s">
        <v>240</v>
      </c>
      <c r="Q252" s="67" t="s">
        <v>240</v>
      </c>
      <c r="R252" s="67" t="s">
        <v>338</v>
      </c>
      <c r="S252" s="67" t="s">
        <v>240</v>
      </c>
      <c r="T252" s="67" t="s">
        <v>240</v>
      </c>
      <c r="U252" s="67" t="s">
        <v>240</v>
      </c>
      <c r="V252" s="67">
        <v>0</v>
      </c>
      <c r="W252" s="67">
        <v>0.04</v>
      </c>
      <c r="AI252" s="70">
        <f t="shared" si="65"/>
        <v>0.04</v>
      </c>
      <c r="AL252" s="68" t="s">
        <v>1369</v>
      </c>
    </row>
    <row r="253" spans="1:38" ht="30" customHeight="1" x14ac:dyDescent="0.25">
      <c r="A253" s="67" t="s">
        <v>124</v>
      </c>
      <c r="B253" s="67" t="s">
        <v>221</v>
      </c>
      <c r="C253" s="67" t="s">
        <v>365</v>
      </c>
      <c r="D253" s="67">
        <f t="shared" si="68"/>
        <v>14</v>
      </c>
      <c r="E253" s="67" t="s">
        <v>605</v>
      </c>
      <c r="F253" s="67" t="s">
        <v>720</v>
      </c>
      <c r="G253" s="68" t="s">
        <v>714</v>
      </c>
      <c r="H253" s="67">
        <v>1</v>
      </c>
      <c r="I253" s="67">
        <v>12</v>
      </c>
      <c r="J253" s="67">
        <v>1</v>
      </c>
      <c r="K253" s="68" t="s">
        <v>634</v>
      </c>
      <c r="L253" s="67" t="s">
        <v>240</v>
      </c>
      <c r="M253" s="68" t="s">
        <v>570</v>
      </c>
      <c r="N253" s="67" t="s">
        <v>240</v>
      </c>
      <c r="O253" s="67" t="s">
        <v>240</v>
      </c>
      <c r="P253" s="67" t="s">
        <v>240</v>
      </c>
      <c r="Q253" s="67" t="s">
        <v>240</v>
      </c>
      <c r="R253" s="67" t="s">
        <v>338</v>
      </c>
      <c r="S253" s="67" t="s">
        <v>240</v>
      </c>
      <c r="T253" s="67" t="s">
        <v>240</v>
      </c>
      <c r="U253" s="67" t="s">
        <v>240</v>
      </c>
      <c r="V253" s="67">
        <v>-0.01</v>
      </c>
      <c r="W253" s="67">
        <v>0.04</v>
      </c>
      <c r="AI253" s="70">
        <f t="shared" si="65"/>
        <v>0.04</v>
      </c>
      <c r="AL253" s="68" t="s">
        <v>1369</v>
      </c>
    </row>
    <row r="254" spans="1:38" ht="30" customHeight="1" x14ac:dyDescent="0.25">
      <c r="A254" s="67" t="s">
        <v>124</v>
      </c>
      <c r="B254" s="67" t="s">
        <v>221</v>
      </c>
      <c r="C254" s="67" t="s">
        <v>365</v>
      </c>
      <c r="D254" s="67">
        <f t="shared" si="68"/>
        <v>15</v>
      </c>
      <c r="E254" s="67" t="s">
        <v>605</v>
      </c>
      <c r="F254" s="67" t="s">
        <v>720</v>
      </c>
      <c r="G254" s="68" t="s">
        <v>714</v>
      </c>
      <c r="H254" s="67">
        <v>1</v>
      </c>
      <c r="I254" s="67">
        <v>18</v>
      </c>
      <c r="J254" s="67">
        <v>1</v>
      </c>
      <c r="K254" s="68" t="s">
        <v>634</v>
      </c>
      <c r="L254" s="67" t="s">
        <v>240</v>
      </c>
      <c r="M254" s="68" t="s">
        <v>570</v>
      </c>
      <c r="N254" s="67" t="s">
        <v>240</v>
      </c>
      <c r="O254" s="67" t="s">
        <v>240</v>
      </c>
      <c r="P254" s="67" t="s">
        <v>240</v>
      </c>
      <c r="Q254" s="67" t="s">
        <v>240</v>
      </c>
      <c r="R254" s="67" t="s">
        <v>338</v>
      </c>
      <c r="S254" s="67" t="s">
        <v>240</v>
      </c>
      <c r="T254" s="67" t="s">
        <v>240</v>
      </c>
      <c r="U254" s="67" t="s">
        <v>240</v>
      </c>
      <c r="V254" s="67">
        <v>0.03</v>
      </c>
      <c r="W254" s="67">
        <v>0.04</v>
      </c>
      <c r="AI254" s="70">
        <f t="shared" si="65"/>
        <v>0.04</v>
      </c>
      <c r="AL254" s="68" t="s">
        <v>1369</v>
      </c>
    </row>
    <row r="255" spans="1:38" ht="30" customHeight="1" x14ac:dyDescent="0.25">
      <c r="A255" s="67" t="s">
        <v>124</v>
      </c>
      <c r="B255" s="67" t="s">
        <v>221</v>
      </c>
      <c r="C255" s="67" t="s">
        <v>365</v>
      </c>
      <c r="D255" s="67">
        <f t="shared" si="68"/>
        <v>16</v>
      </c>
      <c r="E255" s="67" t="s">
        <v>605</v>
      </c>
      <c r="F255" s="67" t="s">
        <v>240</v>
      </c>
      <c r="G255" s="68" t="s">
        <v>714</v>
      </c>
      <c r="H255" s="67">
        <v>1</v>
      </c>
      <c r="I255" s="67">
        <v>6</v>
      </c>
      <c r="J255" s="67">
        <v>3</v>
      </c>
      <c r="K255" s="68" t="s">
        <v>606</v>
      </c>
      <c r="L255" s="67" t="s">
        <v>240</v>
      </c>
      <c r="M255" s="68" t="s">
        <v>570</v>
      </c>
      <c r="N255" s="67" t="s">
        <v>240</v>
      </c>
      <c r="O255" s="67" t="s">
        <v>240</v>
      </c>
      <c r="P255" s="67" t="s">
        <v>240</v>
      </c>
      <c r="Q255" s="67" t="s">
        <v>240</v>
      </c>
      <c r="R255" s="67" t="s">
        <v>712</v>
      </c>
      <c r="S255" s="67">
        <v>7302</v>
      </c>
      <c r="T255" s="67">
        <v>3651</v>
      </c>
      <c r="U255" s="67">
        <v>3651</v>
      </c>
      <c r="V255" s="67">
        <v>0.14000000000000001</v>
      </c>
      <c r="W255" s="67">
        <v>0.02</v>
      </c>
      <c r="X255" s="67">
        <v>0.115</v>
      </c>
      <c r="Y255" s="67">
        <v>0.152</v>
      </c>
      <c r="AB255" s="67">
        <v>0.307</v>
      </c>
      <c r="AC255" s="67">
        <v>0.19700000000000001</v>
      </c>
      <c r="AI255" s="70">
        <f t="shared" si="65"/>
        <v>0.02</v>
      </c>
      <c r="AL255" s="68" t="s">
        <v>715</v>
      </c>
    </row>
    <row r="256" spans="1:38" ht="30" customHeight="1" x14ac:dyDescent="0.25">
      <c r="A256" s="67" t="s">
        <v>124</v>
      </c>
      <c r="B256" s="67" t="s">
        <v>221</v>
      </c>
      <c r="C256" s="67" t="s">
        <v>365</v>
      </c>
      <c r="D256" s="67">
        <f t="shared" si="68"/>
        <v>17</v>
      </c>
      <c r="E256" s="67" t="s">
        <v>605</v>
      </c>
      <c r="F256" s="67" t="s">
        <v>240</v>
      </c>
      <c r="G256" s="68" t="s">
        <v>714</v>
      </c>
      <c r="H256" s="67">
        <v>1</v>
      </c>
      <c r="I256" s="67">
        <v>12</v>
      </c>
      <c r="J256" s="67">
        <v>3</v>
      </c>
      <c r="K256" s="68" t="s">
        <v>606</v>
      </c>
      <c r="L256" s="67" t="s">
        <v>240</v>
      </c>
      <c r="M256" s="68" t="s">
        <v>570</v>
      </c>
      <c r="N256" s="67" t="s">
        <v>240</v>
      </c>
      <c r="O256" s="67" t="s">
        <v>240</v>
      </c>
      <c r="P256" s="67" t="s">
        <v>240</v>
      </c>
      <c r="Q256" s="67" t="s">
        <v>240</v>
      </c>
      <c r="R256" s="67" t="s">
        <v>712</v>
      </c>
      <c r="S256" s="67">
        <v>7302</v>
      </c>
      <c r="T256" s="67">
        <v>3651</v>
      </c>
      <c r="U256" s="67">
        <v>3651</v>
      </c>
      <c r="V256" s="67">
        <v>0.11</v>
      </c>
      <c r="W256" s="67">
        <v>0.02</v>
      </c>
      <c r="X256" s="67">
        <v>0.115</v>
      </c>
      <c r="Y256" s="67">
        <v>0.152</v>
      </c>
      <c r="AB256" s="67">
        <v>0.31900000000000001</v>
      </c>
      <c r="AC256" s="67">
        <v>0.24299999999999999</v>
      </c>
      <c r="AI256" s="70">
        <f t="shared" si="65"/>
        <v>0.02</v>
      </c>
      <c r="AL256" s="68" t="s">
        <v>715</v>
      </c>
    </row>
    <row r="257" spans="1:49" ht="30" customHeight="1" x14ac:dyDescent="0.25">
      <c r="A257" s="67" t="s">
        <v>124</v>
      </c>
      <c r="B257" s="67" t="s">
        <v>221</v>
      </c>
      <c r="C257" s="67" t="s">
        <v>365</v>
      </c>
      <c r="D257" s="67">
        <f t="shared" si="68"/>
        <v>18</v>
      </c>
      <c r="E257" s="67" t="s">
        <v>605</v>
      </c>
      <c r="F257" s="67" t="s">
        <v>240</v>
      </c>
      <c r="G257" s="68" t="s">
        <v>714</v>
      </c>
      <c r="H257" s="67">
        <v>1</v>
      </c>
      <c r="I257" s="67">
        <v>18</v>
      </c>
      <c r="J257" s="67">
        <v>3</v>
      </c>
      <c r="K257" s="68" t="s">
        <v>606</v>
      </c>
      <c r="L257" s="67" t="s">
        <v>240</v>
      </c>
      <c r="M257" s="68" t="s">
        <v>570</v>
      </c>
      <c r="N257" s="67" t="s">
        <v>240</v>
      </c>
      <c r="O257" s="67" t="s">
        <v>240</v>
      </c>
      <c r="P257" s="67" t="s">
        <v>240</v>
      </c>
      <c r="Q257" s="67" t="s">
        <v>240</v>
      </c>
      <c r="R257" s="67" t="s">
        <v>712</v>
      </c>
      <c r="S257" s="67">
        <v>7302</v>
      </c>
      <c r="T257" s="67">
        <v>3651</v>
      </c>
      <c r="U257" s="67">
        <v>3651</v>
      </c>
      <c r="V257" s="67">
        <v>0.11</v>
      </c>
      <c r="W257" s="67">
        <v>0.02</v>
      </c>
      <c r="X257" s="67">
        <v>0.115</v>
      </c>
      <c r="Y257" s="67">
        <v>0.152</v>
      </c>
      <c r="AB257" s="67">
        <v>0.317</v>
      </c>
      <c r="AC257" s="67">
        <v>0.24299999999999999</v>
      </c>
      <c r="AI257" s="70">
        <f t="shared" si="65"/>
        <v>0.02</v>
      </c>
      <c r="AL257" s="68" t="s">
        <v>715</v>
      </c>
    </row>
    <row r="258" spans="1:49" ht="30" customHeight="1" x14ac:dyDescent="0.25">
      <c r="A258" s="67" t="s">
        <v>124</v>
      </c>
      <c r="B258" s="67" t="s">
        <v>221</v>
      </c>
      <c r="C258" s="67" t="s">
        <v>365</v>
      </c>
      <c r="D258" s="67">
        <f t="shared" si="68"/>
        <v>19</v>
      </c>
      <c r="E258" s="67" t="s">
        <v>583</v>
      </c>
      <c r="F258" s="67" t="s">
        <v>240</v>
      </c>
      <c r="G258" s="68" t="s">
        <v>714</v>
      </c>
      <c r="H258" s="67">
        <v>1</v>
      </c>
      <c r="I258" s="67">
        <v>6</v>
      </c>
      <c r="J258" s="67">
        <v>3</v>
      </c>
      <c r="K258" s="68" t="s">
        <v>606</v>
      </c>
      <c r="L258" s="67" t="s">
        <v>240</v>
      </c>
      <c r="M258" s="68" t="s">
        <v>570</v>
      </c>
      <c r="N258" s="67" t="s">
        <v>240</v>
      </c>
      <c r="O258" s="67" t="s">
        <v>240</v>
      </c>
      <c r="P258" s="67" t="s">
        <v>240</v>
      </c>
      <c r="Q258" s="67" t="s">
        <v>240</v>
      </c>
      <c r="R258" s="67" t="s">
        <v>712</v>
      </c>
      <c r="S258" s="67">
        <v>3504</v>
      </c>
      <c r="T258" s="67">
        <v>1752</v>
      </c>
      <c r="U258" s="67">
        <v>1752</v>
      </c>
      <c r="V258" s="67">
        <v>0.09</v>
      </c>
      <c r="W258" s="67">
        <v>0.03</v>
      </c>
      <c r="AI258" s="70">
        <f t="shared" si="65"/>
        <v>0.03</v>
      </c>
      <c r="AL258" s="68" t="s">
        <v>716</v>
      </c>
    </row>
    <row r="259" spans="1:49" ht="30" customHeight="1" x14ac:dyDescent="0.25">
      <c r="A259" s="67" t="s">
        <v>124</v>
      </c>
      <c r="B259" s="67" t="s">
        <v>221</v>
      </c>
      <c r="C259" s="67" t="s">
        <v>365</v>
      </c>
      <c r="D259" s="67">
        <f t="shared" si="68"/>
        <v>20</v>
      </c>
      <c r="E259" s="67" t="s">
        <v>583</v>
      </c>
      <c r="F259" s="67" t="s">
        <v>240</v>
      </c>
      <c r="G259" s="68" t="s">
        <v>714</v>
      </c>
      <c r="H259" s="67">
        <v>1</v>
      </c>
      <c r="I259" s="67">
        <v>12</v>
      </c>
      <c r="J259" s="67">
        <v>3</v>
      </c>
      <c r="K259" s="68" t="s">
        <v>606</v>
      </c>
      <c r="L259" s="67" t="s">
        <v>240</v>
      </c>
      <c r="M259" s="68" t="s">
        <v>570</v>
      </c>
      <c r="N259" s="67" t="s">
        <v>240</v>
      </c>
      <c r="O259" s="67" t="s">
        <v>240</v>
      </c>
      <c r="P259" s="67" t="s">
        <v>240</v>
      </c>
      <c r="Q259" s="67" t="s">
        <v>240</v>
      </c>
      <c r="R259" s="67" t="s">
        <v>712</v>
      </c>
      <c r="S259" s="67">
        <v>3504</v>
      </c>
      <c r="T259" s="67">
        <v>1752</v>
      </c>
      <c r="U259" s="67">
        <v>1752</v>
      </c>
      <c r="V259" s="67">
        <v>0.06</v>
      </c>
      <c r="W259" s="67">
        <v>0.04</v>
      </c>
      <c r="AI259" s="70">
        <f t="shared" si="65"/>
        <v>0.04</v>
      </c>
      <c r="AL259" s="68" t="s">
        <v>716</v>
      </c>
    </row>
    <row r="260" spans="1:49" ht="30" customHeight="1" x14ac:dyDescent="0.25">
      <c r="A260" s="67" t="s">
        <v>124</v>
      </c>
      <c r="B260" s="67" t="s">
        <v>221</v>
      </c>
      <c r="C260" s="67" t="s">
        <v>365</v>
      </c>
      <c r="D260" s="67">
        <f t="shared" si="68"/>
        <v>21</v>
      </c>
      <c r="E260" s="67" t="s">
        <v>583</v>
      </c>
      <c r="F260" s="67" t="s">
        <v>240</v>
      </c>
      <c r="G260" s="68" t="s">
        <v>714</v>
      </c>
      <c r="H260" s="67">
        <v>1</v>
      </c>
      <c r="I260" s="67">
        <v>18</v>
      </c>
      <c r="J260" s="67">
        <v>3</v>
      </c>
      <c r="K260" s="68" t="s">
        <v>606</v>
      </c>
      <c r="L260" s="67" t="s">
        <v>240</v>
      </c>
      <c r="M260" s="68" t="s">
        <v>570</v>
      </c>
      <c r="N260" s="67" t="s">
        <v>240</v>
      </c>
      <c r="O260" s="67" t="s">
        <v>240</v>
      </c>
      <c r="P260" s="67" t="s">
        <v>240</v>
      </c>
      <c r="Q260" s="67" t="s">
        <v>240</v>
      </c>
      <c r="R260" s="67" t="s">
        <v>712</v>
      </c>
      <c r="S260" s="67">
        <v>3504</v>
      </c>
      <c r="T260" s="67">
        <v>1752</v>
      </c>
      <c r="U260" s="67">
        <v>1752</v>
      </c>
      <c r="V260" s="67">
        <v>0.06</v>
      </c>
      <c r="W260" s="67">
        <v>0.04</v>
      </c>
      <c r="AI260" s="70">
        <f t="shared" si="65"/>
        <v>0.04</v>
      </c>
      <c r="AL260" s="68" t="s">
        <v>716</v>
      </c>
    </row>
    <row r="261" spans="1:49" ht="30" customHeight="1" x14ac:dyDescent="0.25">
      <c r="A261" s="67" t="s">
        <v>124</v>
      </c>
      <c r="B261" s="67" t="s">
        <v>221</v>
      </c>
      <c r="C261" s="67" t="s">
        <v>365</v>
      </c>
      <c r="D261" s="67">
        <f t="shared" si="68"/>
        <v>22</v>
      </c>
      <c r="E261" s="67" t="s">
        <v>577</v>
      </c>
      <c r="F261" s="67" t="s">
        <v>240</v>
      </c>
      <c r="G261" s="68" t="s">
        <v>714</v>
      </c>
      <c r="H261" s="67">
        <v>1</v>
      </c>
      <c r="I261" s="67">
        <v>6</v>
      </c>
      <c r="J261" s="67">
        <v>3</v>
      </c>
      <c r="K261" s="68" t="s">
        <v>606</v>
      </c>
      <c r="L261" s="67" t="s">
        <v>240</v>
      </c>
      <c r="M261" s="68" t="s">
        <v>570</v>
      </c>
      <c r="N261" s="67" t="s">
        <v>240</v>
      </c>
      <c r="O261" s="67" t="s">
        <v>240</v>
      </c>
      <c r="P261" s="67" t="s">
        <v>240</v>
      </c>
      <c r="Q261" s="67" t="s">
        <v>240</v>
      </c>
      <c r="R261" s="67" t="s">
        <v>712</v>
      </c>
      <c r="S261" s="67">
        <v>3798</v>
      </c>
      <c r="T261" s="67">
        <v>1899</v>
      </c>
      <c r="U261" s="67">
        <v>1899</v>
      </c>
      <c r="V261" s="67">
        <v>0.19</v>
      </c>
      <c r="W261" s="67">
        <v>0.03</v>
      </c>
      <c r="AI261" s="70">
        <f t="shared" si="65"/>
        <v>0.03</v>
      </c>
      <c r="AL261" s="68" t="s">
        <v>717</v>
      </c>
    </row>
    <row r="262" spans="1:49" ht="30" customHeight="1" x14ac:dyDescent="0.25">
      <c r="A262" s="67" t="s">
        <v>124</v>
      </c>
      <c r="B262" s="67" t="s">
        <v>221</v>
      </c>
      <c r="C262" s="67" t="s">
        <v>365</v>
      </c>
      <c r="D262" s="67">
        <f t="shared" si="68"/>
        <v>23</v>
      </c>
      <c r="E262" s="67" t="s">
        <v>577</v>
      </c>
      <c r="F262" s="67" t="s">
        <v>240</v>
      </c>
      <c r="G262" s="68" t="s">
        <v>714</v>
      </c>
      <c r="H262" s="67">
        <v>1</v>
      </c>
      <c r="I262" s="67">
        <v>12</v>
      </c>
      <c r="J262" s="67">
        <v>3</v>
      </c>
      <c r="K262" s="68" t="s">
        <v>606</v>
      </c>
      <c r="L262" s="67" t="s">
        <v>240</v>
      </c>
      <c r="M262" s="68" t="s">
        <v>570</v>
      </c>
      <c r="N262" s="67" t="s">
        <v>240</v>
      </c>
      <c r="O262" s="67" t="s">
        <v>240</v>
      </c>
      <c r="P262" s="67" t="s">
        <v>240</v>
      </c>
      <c r="Q262" s="67" t="s">
        <v>240</v>
      </c>
      <c r="R262" s="67" t="s">
        <v>712</v>
      </c>
      <c r="S262" s="67">
        <v>3798</v>
      </c>
      <c r="T262" s="67">
        <v>1899</v>
      </c>
      <c r="U262" s="67">
        <v>1899</v>
      </c>
      <c r="V262" s="67">
        <v>0.15</v>
      </c>
      <c r="W262" s="67">
        <v>0.03</v>
      </c>
      <c r="AI262" s="70">
        <f t="shared" si="65"/>
        <v>0.03</v>
      </c>
      <c r="AL262" s="68" t="s">
        <v>717</v>
      </c>
    </row>
    <row r="263" spans="1:49" ht="30" customHeight="1" x14ac:dyDescent="0.25">
      <c r="A263" s="67" t="s">
        <v>124</v>
      </c>
      <c r="B263" s="67" t="s">
        <v>221</v>
      </c>
      <c r="C263" s="67" t="s">
        <v>365</v>
      </c>
      <c r="D263" s="67">
        <f t="shared" si="68"/>
        <v>24</v>
      </c>
      <c r="E263" s="67" t="s">
        <v>577</v>
      </c>
      <c r="F263" s="67" t="s">
        <v>240</v>
      </c>
      <c r="G263" s="68" t="s">
        <v>714</v>
      </c>
      <c r="H263" s="67">
        <v>1</v>
      </c>
      <c r="I263" s="67">
        <v>18</v>
      </c>
      <c r="J263" s="67">
        <v>3</v>
      </c>
      <c r="K263" s="68" t="s">
        <v>606</v>
      </c>
      <c r="L263" s="67" t="s">
        <v>240</v>
      </c>
      <c r="M263" s="68" t="s">
        <v>570</v>
      </c>
      <c r="N263" s="67" t="s">
        <v>240</v>
      </c>
      <c r="O263" s="67" t="s">
        <v>240</v>
      </c>
      <c r="P263" s="67" t="s">
        <v>240</v>
      </c>
      <c r="Q263" s="67" t="s">
        <v>240</v>
      </c>
      <c r="R263" s="67" t="s">
        <v>712</v>
      </c>
      <c r="S263" s="67">
        <v>3798</v>
      </c>
      <c r="T263" s="67">
        <v>1899</v>
      </c>
      <c r="U263" s="67">
        <v>1899</v>
      </c>
      <c r="V263" s="67">
        <v>0.16</v>
      </c>
      <c r="W263" s="67">
        <v>0.03</v>
      </c>
      <c r="AI263" s="70">
        <f t="shared" si="65"/>
        <v>0.03</v>
      </c>
      <c r="AL263" s="68" t="s">
        <v>717</v>
      </c>
    </row>
    <row r="264" spans="1:49" ht="30" customHeight="1" x14ac:dyDescent="0.25">
      <c r="A264" s="67" t="s">
        <v>124</v>
      </c>
      <c r="B264" s="67" t="s">
        <v>221</v>
      </c>
      <c r="C264" s="67" t="s">
        <v>365</v>
      </c>
      <c r="D264" s="67">
        <f t="shared" si="68"/>
        <v>25</v>
      </c>
      <c r="E264" s="67" t="s">
        <v>605</v>
      </c>
      <c r="F264" s="67" t="s">
        <v>718</v>
      </c>
      <c r="G264" s="68" t="s">
        <v>714</v>
      </c>
      <c r="H264" s="67">
        <v>1</v>
      </c>
      <c r="I264" s="67">
        <v>6</v>
      </c>
      <c r="J264" s="67">
        <v>3</v>
      </c>
      <c r="K264" s="68" t="s">
        <v>606</v>
      </c>
      <c r="L264" s="67" t="s">
        <v>240</v>
      </c>
      <c r="M264" s="68" t="s">
        <v>570</v>
      </c>
      <c r="N264" s="67" t="s">
        <v>240</v>
      </c>
      <c r="O264" s="67" t="s">
        <v>240</v>
      </c>
      <c r="P264" s="67" t="s">
        <v>240</v>
      </c>
      <c r="Q264" s="67" t="s">
        <v>240</v>
      </c>
      <c r="R264" s="67" t="s">
        <v>712</v>
      </c>
      <c r="S264" s="67" t="s">
        <v>240</v>
      </c>
      <c r="T264" s="67" t="s">
        <v>240</v>
      </c>
      <c r="U264" s="67" t="s">
        <v>240</v>
      </c>
      <c r="V264" s="67">
        <v>0.12</v>
      </c>
      <c r="W264" s="67">
        <v>0.03</v>
      </c>
      <c r="AI264" s="70">
        <f t="shared" si="65"/>
        <v>0.03</v>
      </c>
      <c r="AL264" s="68" t="s">
        <v>719</v>
      </c>
    </row>
    <row r="265" spans="1:49" ht="30" customHeight="1" x14ac:dyDescent="0.25">
      <c r="A265" s="67" t="s">
        <v>124</v>
      </c>
      <c r="B265" s="67" t="s">
        <v>221</v>
      </c>
      <c r="C265" s="67" t="s">
        <v>365</v>
      </c>
      <c r="D265" s="67">
        <f t="shared" si="68"/>
        <v>26</v>
      </c>
      <c r="E265" s="67" t="s">
        <v>605</v>
      </c>
      <c r="F265" s="67" t="s">
        <v>718</v>
      </c>
      <c r="G265" s="68" t="s">
        <v>714</v>
      </c>
      <c r="H265" s="67">
        <v>1</v>
      </c>
      <c r="I265" s="67">
        <v>12</v>
      </c>
      <c r="J265" s="67">
        <v>3</v>
      </c>
      <c r="K265" s="68" t="s">
        <v>606</v>
      </c>
      <c r="L265" s="67" t="s">
        <v>240</v>
      </c>
      <c r="M265" s="68" t="s">
        <v>570</v>
      </c>
      <c r="N265" s="67" t="s">
        <v>240</v>
      </c>
      <c r="O265" s="67" t="s">
        <v>240</v>
      </c>
      <c r="P265" s="67" t="s">
        <v>240</v>
      </c>
      <c r="Q265" s="67" t="s">
        <v>240</v>
      </c>
      <c r="R265" s="67" t="s">
        <v>712</v>
      </c>
      <c r="S265" s="67" t="s">
        <v>240</v>
      </c>
      <c r="T265" s="67" t="s">
        <v>240</v>
      </c>
      <c r="U265" s="67" t="s">
        <v>240</v>
      </c>
      <c r="V265" s="67">
        <v>0.1</v>
      </c>
      <c r="W265" s="67">
        <v>0.03</v>
      </c>
      <c r="AI265" s="70">
        <f t="shared" ref="AI265:AI296" si="69">+W265</f>
        <v>0.03</v>
      </c>
      <c r="AL265" s="68" t="s">
        <v>719</v>
      </c>
    </row>
    <row r="266" spans="1:49" ht="30" customHeight="1" x14ac:dyDescent="0.25">
      <c r="A266" s="67" t="s">
        <v>124</v>
      </c>
      <c r="B266" s="67" t="s">
        <v>221</v>
      </c>
      <c r="C266" s="67" t="s">
        <v>365</v>
      </c>
      <c r="D266" s="67">
        <f t="shared" si="68"/>
        <v>27</v>
      </c>
      <c r="E266" s="67" t="s">
        <v>605</v>
      </c>
      <c r="F266" s="67" t="s">
        <v>718</v>
      </c>
      <c r="G266" s="68" t="s">
        <v>714</v>
      </c>
      <c r="H266" s="67">
        <v>1</v>
      </c>
      <c r="I266" s="67">
        <v>18</v>
      </c>
      <c r="J266" s="67">
        <v>3</v>
      </c>
      <c r="K266" s="68" t="s">
        <v>606</v>
      </c>
      <c r="L266" s="67" t="s">
        <v>240</v>
      </c>
      <c r="M266" s="68" t="s">
        <v>570</v>
      </c>
      <c r="N266" s="67" t="s">
        <v>240</v>
      </c>
      <c r="O266" s="67" t="s">
        <v>240</v>
      </c>
      <c r="P266" s="67" t="s">
        <v>240</v>
      </c>
      <c r="Q266" s="67" t="s">
        <v>240</v>
      </c>
      <c r="R266" s="67" t="s">
        <v>712</v>
      </c>
      <c r="S266" s="67" t="s">
        <v>240</v>
      </c>
      <c r="T266" s="67" t="s">
        <v>240</v>
      </c>
      <c r="U266" s="67" t="s">
        <v>240</v>
      </c>
      <c r="V266" s="67">
        <v>0.09</v>
      </c>
      <c r="W266" s="67">
        <v>0.03</v>
      </c>
      <c r="AI266" s="70">
        <f t="shared" si="69"/>
        <v>0.03</v>
      </c>
      <c r="AL266" s="68" t="s">
        <v>719</v>
      </c>
    </row>
    <row r="267" spans="1:49" ht="30" customHeight="1" x14ac:dyDescent="0.25">
      <c r="A267" s="67" t="s">
        <v>124</v>
      </c>
      <c r="B267" s="67" t="s">
        <v>221</v>
      </c>
      <c r="C267" s="67" t="s">
        <v>365</v>
      </c>
      <c r="D267" s="67">
        <f t="shared" si="68"/>
        <v>28</v>
      </c>
      <c r="E267" s="67" t="s">
        <v>605</v>
      </c>
      <c r="F267" s="67" t="s">
        <v>720</v>
      </c>
      <c r="G267" s="68" t="s">
        <v>714</v>
      </c>
      <c r="H267" s="67">
        <v>1</v>
      </c>
      <c r="I267" s="67">
        <v>6</v>
      </c>
      <c r="J267" s="67">
        <v>3</v>
      </c>
      <c r="K267" s="68" t="s">
        <v>606</v>
      </c>
      <c r="L267" s="67" t="s">
        <v>240</v>
      </c>
      <c r="M267" s="68" t="s">
        <v>570</v>
      </c>
      <c r="N267" s="67" t="s">
        <v>240</v>
      </c>
      <c r="O267" s="67" t="s">
        <v>240</v>
      </c>
      <c r="P267" s="67" t="s">
        <v>240</v>
      </c>
      <c r="Q267" s="67" t="s">
        <v>240</v>
      </c>
      <c r="R267" s="67" t="s">
        <v>712</v>
      </c>
      <c r="S267" s="67" t="s">
        <v>240</v>
      </c>
      <c r="T267" s="67" t="s">
        <v>240</v>
      </c>
      <c r="U267" s="67" t="s">
        <v>240</v>
      </c>
      <c r="V267" s="67">
        <v>0.17</v>
      </c>
      <c r="W267" s="67">
        <v>0.04</v>
      </c>
      <c r="AI267" s="70">
        <f t="shared" si="69"/>
        <v>0.04</v>
      </c>
      <c r="AL267" s="68" t="s">
        <v>719</v>
      </c>
    </row>
    <row r="268" spans="1:49" ht="30" customHeight="1" x14ac:dyDescent="0.25">
      <c r="A268" s="67" t="s">
        <v>124</v>
      </c>
      <c r="B268" s="67" t="s">
        <v>221</v>
      </c>
      <c r="C268" s="67" t="s">
        <v>365</v>
      </c>
      <c r="D268" s="67">
        <f t="shared" si="68"/>
        <v>29</v>
      </c>
      <c r="E268" s="67" t="s">
        <v>605</v>
      </c>
      <c r="F268" s="67" t="s">
        <v>720</v>
      </c>
      <c r="G268" s="68" t="s">
        <v>714</v>
      </c>
      <c r="H268" s="67">
        <v>1</v>
      </c>
      <c r="I268" s="67">
        <v>12</v>
      </c>
      <c r="J268" s="67">
        <v>3</v>
      </c>
      <c r="K268" s="68" t="s">
        <v>606</v>
      </c>
      <c r="L268" s="67" t="s">
        <v>240</v>
      </c>
      <c r="M268" s="68" t="s">
        <v>570</v>
      </c>
      <c r="N268" s="67" t="s">
        <v>240</v>
      </c>
      <c r="O268" s="67" t="s">
        <v>240</v>
      </c>
      <c r="P268" s="67" t="s">
        <v>240</v>
      </c>
      <c r="Q268" s="67" t="s">
        <v>240</v>
      </c>
      <c r="R268" s="67" t="s">
        <v>712</v>
      </c>
      <c r="S268" s="67" t="s">
        <v>240</v>
      </c>
      <c r="T268" s="67" t="s">
        <v>240</v>
      </c>
      <c r="U268" s="67" t="s">
        <v>240</v>
      </c>
      <c r="V268" s="67">
        <v>0.13</v>
      </c>
      <c r="W268" s="67">
        <v>0.04</v>
      </c>
      <c r="AI268" s="70">
        <f t="shared" si="69"/>
        <v>0.04</v>
      </c>
      <c r="AL268" s="68" t="s">
        <v>719</v>
      </c>
    </row>
    <row r="269" spans="1:49" ht="30" customHeight="1" x14ac:dyDescent="0.25">
      <c r="A269" s="67" t="s">
        <v>124</v>
      </c>
      <c r="B269" s="67" t="s">
        <v>221</v>
      </c>
      <c r="C269" s="67" t="s">
        <v>365</v>
      </c>
      <c r="D269" s="67">
        <f t="shared" si="68"/>
        <v>30</v>
      </c>
      <c r="E269" s="67" t="s">
        <v>605</v>
      </c>
      <c r="F269" s="67" t="s">
        <v>720</v>
      </c>
      <c r="G269" s="68" t="s">
        <v>714</v>
      </c>
      <c r="H269" s="67">
        <v>1</v>
      </c>
      <c r="I269" s="67">
        <v>18</v>
      </c>
      <c r="J269" s="67">
        <v>3</v>
      </c>
      <c r="K269" s="68" t="s">
        <v>606</v>
      </c>
      <c r="L269" s="67" t="s">
        <v>240</v>
      </c>
      <c r="M269" s="68" t="s">
        <v>570</v>
      </c>
      <c r="N269" s="67" t="s">
        <v>240</v>
      </c>
      <c r="O269" s="67" t="s">
        <v>240</v>
      </c>
      <c r="P269" s="67" t="s">
        <v>240</v>
      </c>
      <c r="Q269" s="67" t="s">
        <v>240</v>
      </c>
      <c r="R269" s="67" t="s">
        <v>712</v>
      </c>
      <c r="S269" s="67" t="s">
        <v>240</v>
      </c>
      <c r="T269" s="67" t="s">
        <v>240</v>
      </c>
      <c r="U269" s="67" t="s">
        <v>240</v>
      </c>
      <c r="V269" s="67">
        <v>0.15</v>
      </c>
      <c r="W269" s="67">
        <v>0.04</v>
      </c>
      <c r="AI269" s="70">
        <f t="shared" si="69"/>
        <v>0.04</v>
      </c>
      <c r="AL269" s="68" t="s">
        <v>719</v>
      </c>
    </row>
    <row r="270" spans="1:49" ht="30" customHeight="1" x14ac:dyDescent="0.25">
      <c r="A270" s="67" t="s">
        <v>124</v>
      </c>
      <c r="B270" s="67" t="s">
        <v>221</v>
      </c>
      <c r="C270" s="67" t="s">
        <v>365</v>
      </c>
      <c r="D270" s="67">
        <f t="shared" si="68"/>
        <v>31</v>
      </c>
      <c r="E270" s="67" t="s">
        <v>605</v>
      </c>
      <c r="F270" s="67" t="s">
        <v>240</v>
      </c>
      <c r="G270" s="68" t="s">
        <v>714</v>
      </c>
      <c r="H270" s="67">
        <v>1</v>
      </c>
      <c r="I270" s="67">
        <v>6</v>
      </c>
      <c r="J270" s="67">
        <v>4</v>
      </c>
      <c r="K270" s="68" t="s">
        <v>611</v>
      </c>
      <c r="L270" s="67" t="s">
        <v>721</v>
      </c>
      <c r="M270" s="68" t="s">
        <v>570</v>
      </c>
      <c r="N270" s="67" t="s">
        <v>240</v>
      </c>
      <c r="O270" s="67" t="s">
        <v>240</v>
      </c>
      <c r="P270" s="67" t="s">
        <v>240</v>
      </c>
      <c r="Q270" s="67" t="s">
        <v>240</v>
      </c>
      <c r="R270" s="67" t="s">
        <v>722</v>
      </c>
      <c r="S270" s="67">
        <v>7302</v>
      </c>
      <c r="T270" s="67">
        <v>3651</v>
      </c>
      <c r="U270" s="67">
        <v>3651</v>
      </c>
      <c r="V270" s="67">
        <v>66.400000000000006</v>
      </c>
      <c r="W270" s="67">
        <v>23</v>
      </c>
      <c r="X270" s="67">
        <v>238.3</v>
      </c>
      <c r="Y270" s="67">
        <v>315.89999999999998</v>
      </c>
      <c r="AB270" s="67">
        <v>406.9</v>
      </c>
      <c r="AC270" s="67">
        <v>416.2</v>
      </c>
      <c r="AI270" s="70">
        <f t="shared" si="69"/>
        <v>23</v>
      </c>
      <c r="AK270" s="68" t="s">
        <v>723</v>
      </c>
      <c r="AL270" s="68" t="s">
        <v>715</v>
      </c>
      <c r="AP270" s="67">
        <f t="shared" ref="AP270:AP314" si="70">+V270/AQ270</f>
        <v>6.756928520936302E-2</v>
      </c>
      <c r="AQ270" s="67">
        <f t="shared" ref="AQ270:AQ314" si="71">+W270*SQRT(T270*U270/S270)</f>
        <v>982.69501881305985</v>
      </c>
      <c r="AS270" s="67">
        <f t="shared" ref="AS270:AS314" si="72">+AP270^2/(AU270-2)*(AU270/(V270/AI270)^2+AU270*AV270^2-AU270+2)</f>
        <v>5.4919644099180064E-4</v>
      </c>
      <c r="AU270" s="67">
        <f t="shared" ref="AU270:AU314" si="73">+S270-2</f>
        <v>7300</v>
      </c>
      <c r="AV270" s="67">
        <f t="shared" ref="AV270:AV314" si="74">IFERROR(1/(SQRT(AU270/2)*_xlfn.GAMMA(AU270/2-0.5)/_xlfn.GAMMA(AU270/2)),1)</f>
        <v>1</v>
      </c>
      <c r="AW270" s="67" t="s">
        <v>1350</v>
      </c>
    </row>
    <row r="271" spans="1:49" ht="30" customHeight="1" x14ac:dyDescent="0.25">
      <c r="A271" s="67" t="s">
        <v>124</v>
      </c>
      <c r="B271" s="67" t="s">
        <v>221</v>
      </c>
      <c r="C271" s="67" t="s">
        <v>365</v>
      </c>
      <c r="D271" s="67">
        <f t="shared" si="68"/>
        <v>32</v>
      </c>
      <c r="E271" s="67" t="s">
        <v>605</v>
      </c>
      <c r="F271" s="67" t="s">
        <v>240</v>
      </c>
      <c r="G271" s="68" t="s">
        <v>714</v>
      </c>
      <c r="H271" s="67">
        <v>1</v>
      </c>
      <c r="I271" s="67">
        <v>12</v>
      </c>
      <c r="J271" s="67">
        <v>4</v>
      </c>
      <c r="K271" s="68" t="s">
        <v>611</v>
      </c>
      <c r="L271" s="67" t="s">
        <v>721</v>
      </c>
      <c r="M271" s="68" t="s">
        <v>570</v>
      </c>
      <c r="N271" s="67" t="s">
        <v>240</v>
      </c>
      <c r="O271" s="67" t="s">
        <v>240</v>
      </c>
      <c r="P271" s="67" t="s">
        <v>240</v>
      </c>
      <c r="Q271" s="67" t="s">
        <v>240</v>
      </c>
      <c r="R271" s="67" t="s">
        <v>722</v>
      </c>
      <c r="S271" s="67">
        <v>7302</v>
      </c>
      <c r="T271" s="67">
        <v>3651</v>
      </c>
      <c r="U271" s="67">
        <v>3651</v>
      </c>
      <c r="V271" s="67">
        <v>95.4</v>
      </c>
      <c r="W271" s="67">
        <v>17.100000000000001</v>
      </c>
      <c r="X271" s="67">
        <v>238.3</v>
      </c>
      <c r="Y271" s="67">
        <v>315.89999999999998</v>
      </c>
      <c r="AB271" s="67">
        <v>308.2</v>
      </c>
      <c r="AC271" s="67">
        <v>289.2</v>
      </c>
      <c r="AI271" s="70">
        <f t="shared" si="69"/>
        <v>17.100000000000001</v>
      </c>
      <c r="AK271" s="68" t="s">
        <v>724</v>
      </c>
      <c r="AL271" s="68" t="s">
        <v>715</v>
      </c>
      <c r="AP271" s="67">
        <f t="shared" si="70"/>
        <v>0.13057539421403538</v>
      </c>
      <c r="AQ271" s="67">
        <f t="shared" si="71"/>
        <v>730.61238355231842</v>
      </c>
      <c r="AS271" s="67">
        <f t="shared" si="72"/>
        <v>5.5261774142217792E-4</v>
      </c>
      <c r="AU271" s="67">
        <f t="shared" si="73"/>
        <v>7300</v>
      </c>
      <c r="AV271" s="67">
        <f t="shared" si="74"/>
        <v>1</v>
      </c>
      <c r="AW271" s="67" t="s">
        <v>1350</v>
      </c>
    </row>
    <row r="272" spans="1:49" ht="30" customHeight="1" x14ac:dyDescent="0.25">
      <c r="A272" s="67" t="s">
        <v>124</v>
      </c>
      <c r="B272" s="67" t="s">
        <v>221</v>
      </c>
      <c r="C272" s="67" t="s">
        <v>365</v>
      </c>
      <c r="D272" s="67">
        <f t="shared" si="68"/>
        <v>33</v>
      </c>
      <c r="E272" s="67" t="s">
        <v>605</v>
      </c>
      <c r="F272" s="67" t="s">
        <v>240</v>
      </c>
      <c r="G272" s="68" t="s">
        <v>714</v>
      </c>
      <c r="H272" s="67">
        <v>1</v>
      </c>
      <c r="I272" s="67">
        <v>18</v>
      </c>
      <c r="J272" s="67">
        <v>4</v>
      </c>
      <c r="K272" s="68" t="s">
        <v>611</v>
      </c>
      <c r="L272" s="67" t="s">
        <v>721</v>
      </c>
      <c r="M272" s="68" t="s">
        <v>570</v>
      </c>
      <c r="N272" s="67" t="s">
        <v>240</v>
      </c>
      <c r="O272" s="67" t="s">
        <v>240</v>
      </c>
      <c r="P272" s="67" t="s">
        <v>240</v>
      </c>
      <c r="Q272" s="67" t="s">
        <v>240</v>
      </c>
      <c r="R272" s="67" t="s">
        <v>722</v>
      </c>
      <c r="S272" s="67">
        <v>7302</v>
      </c>
      <c r="T272" s="67">
        <v>3651</v>
      </c>
      <c r="U272" s="67">
        <v>3651</v>
      </c>
      <c r="V272" s="67">
        <v>99.2</v>
      </c>
      <c r="W272" s="67">
        <v>16</v>
      </c>
      <c r="X272" s="67">
        <v>238.3</v>
      </c>
      <c r="Y272" s="67">
        <v>315.89999999999998</v>
      </c>
      <c r="AB272" s="67">
        <v>319.2</v>
      </c>
      <c r="AC272" s="67">
        <v>296.10000000000002</v>
      </c>
      <c r="AI272" s="70">
        <f t="shared" si="69"/>
        <v>16</v>
      </c>
      <c r="AK272" s="68" t="s">
        <v>725</v>
      </c>
      <c r="AL272" s="68" t="s">
        <v>715</v>
      </c>
      <c r="AP272" s="67">
        <f t="shared" si="70"/>
        <v>0.14511114564540914</v>
      </c>
      <c r="AQ272" s="67">
        <f t="shared" si="71"/>
        <v>683.61392613082421</v>
      </c>
      <c r="AS272" s="67">
        <f t="shared" si="72"/>
        <v>5.5371593572647372E-4</v>
      </c>
      <c r="AU272" s="67">
        <f t="shared" si="73"/>
        <v>7300</v>
      </c>
      <c r="AV272" s="67">
        <f t="shared" si="74"/>
        <v>1</v>
      </c>
      <c r="AW272" s="67" t="s">
        <v>1350</v>
      </c>
    </row>
    <row r="273" spans="1:49" ht="30" customHeight="1" x14ac:dyDescent="0.25">
      <c r="A273" s="67" t="s">
        <v>124</v>
      </c>
      <c r="B273" s="67" t="s">
        <v>221</v>
      </c>
      <c r="C273" s="67" t="s">
        <v>365</v>
      </c>
      <c r="D273" s="67">
        <f t="shared" ref="D273:D304" si="75">D272+1</f>
        <v>34</v>
      </c>
      <c r="E273" s="67" t="s">
        <v>583</v>
      </c>
      <c r="F273" s="67" t="s">
        <v>240</v>
      </c>
      <c r="G273" s="68" t="s">
        <v>714</v>
      </c>
      <c r="H273" s="67">
        <v>1</v>
      </c>
      <c r="I273" s="67">
        <v>6</v>
      </c>
      <c r="J273" s="67">
        <v>4</v>
      </c>
      <c r="K273" s="68" t="s">
        <v>611</v>
      </c>
      <c r="L273" s="67" t="s">
        <v>721</v>
      </c>
      <c r="M273" s="68" t="s">
        <v>570</v>
      </c>
      <c r="N273" s="67" t="s">
        <v>240</v>
      </c>
      <c r="O273" s="67" t="s">
        <v>240</v>
      </c>
      <c r="P273" s="67" t="s">
        <v>240</v>
      </c>
      <c r="Q273" s="67" t="s">
        <v>240</v>
      </c>
      <c r="R273" s="67" t="s">
        <v>722</v>
      </c>
      <c r="S273" s="67">
        <v>3504</v>
      </c>
      <c r="T273" s="67">
        <v>1752</v>
      </c>
      <c r="U273" s="67">
        <v>1752</v>
      </c>
      <c r="V273" s="67">
        <v>50.1</v>
      </c>
      <c r="W273" s="67">
        <v>28</v>
      </c>
      <c r="AI273" s="70">
        <f t="shared" si="69"/>
        <v>28</v>
      </c>
      <c r="AK273" s="68" t="s">
        <v>726</v>
      </c>
      <c r="AL273" s="68" t="s">
        <v>716</v>
      </c>
      <c r="AP273" s="67">
        <f t="shared" si="70"/>
        <v>6.0454361888954013E-2</v>
      </c>
      <c r="AQ273" s="67">
        <f t="shared" si="71"/>
        <v>828.72432086912954</v>
      </c>
      <c r="AS273" s="67">
        <f t="shared" si="72"/>
        <v>1.1442932442057054E-3</v>
      </c>
      <c r="AU273" s="67">
        <f t="shared" si="73"/>
        <v>3502</v>
      </c>
      <c r="AV273" s="67">
        <f t="shared" si="74"/>
        <v>1</v>
      </c>
      <c r="AW273" s="67" t="s">
        <v>1350</v>
      </c>
    </row>
    <row r="274" spans="1:49" ht="30" customHeight="1" x14ac:dyDescent="0.25">
      <c r="A274" s="67" t="s">
        <v>124</v>
      </c>
      <c r="B274" s="67" t="s">
        <v>221</v>
      </c>
      <c r="C274" s="67" t="s">
        <v>365</v>
      </c>
      <c r="D274" s="67">
        <f t="shared" si="75"/>
        <v>35</v>
      </c>
      <c r="E274" s="67" t="s">
        <v>583</v>
      </c>
      <c r="F274" s="67" t="s">
        <v>240</v>
      </c>
      <c r="G274" s="68" t="s">
        <v>714</v>
      </c>
      <c r="H274" s="67">
        <v>1</v>
      </c>
      <c r="I274" s="67">
        <v>12</v>
      </c>
      <c r="J274" s="67">
        <v>4</v>
      </c>
      <c r="K274" s="68" t="s">
        <v>611</v>
      </c>
      <c r="L274" s="67" t="s">
        <v>721</v>
      </c>
      <c r="M274" s="68" t="s">
        <v>570</v>
      </c>
      <c r="N274" s="67" t="s">
        <v>240</v>
      </c>
      <c r="O274" s="67" t="s">
        <v>240</v>
      </c>
      <c r="P274" s="67" t="s">
        <v>240</v>
      </c>
      <c r="Q274" s="67" t="s">
        <v>240</v>
      </c>
      <c r="R274" s="67" t="s">
        <v>722</v>
      </c>
      <c r="S274" s="67">
        <v>3504</v>
      </c>
      <c r="T274" s="67">
        <v>1752</v>
      </c>
      <c r="U274" s="67">
        <v>1752</v>
      </c>
      <c r="V274" s="67">
        <v>95.9</v>
      </c>
      <c r="W274" s="67">
        <v>21.7</v>
      </c>
      <c r="AI274" s="70">
        <f t="shared" si="69"/>
        <v>21.7</v>
      </c>
      <c r="AK274" s="68" t="s">
        <v>727</v>
      </c>
      <c r="AL274" s="68" t="s">
        <v>716</v>
      </c>
      <c r="AP274" s="67">
        <f t="shared" si="70"/>
        <v>0.14931616264633804</v>
      </c>
      <c r="AQ274" s="67">
        <f t="shared" si="71"/>
        <v>642.26134867357541</v>
      </c>
      <c r="AS274" s="67">
        <f t="shared" si="72"/>
        <v>1.1549450079520068E-3</v>
      </c>
      <c r="AU274" s="67">
        <f t="shared" si="73"/>
        <v>3502</v>
      </c>
      <c r="AV274" s="67">
        <f t="shared" si="74"/>
        <v>1</v>
      </c>
      <c r="AW274" s="67" t="s">
        <v>1350</v>
      </c>
    </row>
    <row r="275" spans="1:49" ht="30" customHeight="1" x14ac:dyDescent="0.25">
      <c r="A275" s="67" t="s">
        <v>124</v>
      </c>
      <c r="B275" s="67" t="s">
        <v>221</v>
      </c>
      <c r="C275" s="67" t="s">
        <v>365</v>
      </c>
      <c r="D275" s="67">
        <f t="shared" si="75"/>
        <v>36</v>
      </c>
      <c r="E275" s="67" t="s">
        <v>583</v>
      </c>
      <c r="F275" s="67" t="s">
        <v>240</v>
      </c>
      <c r="G275" s="68" t="s">
        <v>714</v>
      </c>
      <c r="H275" s="67">
        <v>1</v>
      </c>
      <c r="I275" s="67">
        <v>18</v>
      </c>
      <c r="J275" s="67">
        <v>4</v>
      </c>
      <c r="K275" s="68" t="s">
        <v>611</v>
      </c>
      <c r="L275" s="67" t="s">
        <v>721</v>
      </c>
      <c r="M275" s="68" t="s">
        <v>570</v>
      </c>
      <c r="N275" s="67" t="s">
        <v>240</v>
      </c>
      <c r="O275" s="67" t="s">
        <v>240</v>
      </c>
      <c r="P275" s="67" t="s">
        <v>240</v>
      </c>
      <c r="Q275" s="67" t="s">
        <v>240</v>
      </c>
      <c r="R275" s="67" t="s">
        <v>722</v>
      </c>
      <c r="S275" s="67">
        <v>3504</v>
      </c>
      <c r="T275" s="67">
        <v>1752</v>
      </c>
      <c r="U275" s="67">
        <v>1752</v>
      </c>
      <c r="V275" s="67">
        <v>100</v>
      </c>
      <c r="W275" s="67">
        <v>20.399999999999999</v>
      </c>
      <c r="AI275" s="70">
        <f t="shared" si="69"/>
        <v>20.399999999999999</v>
      </c>
      <c r="AK275" s="68" t="s">
        <v>728</v>
      </c>
      <c r="AL275" s="68" t="s">
        <v>716</v>
      </c>
      <c r="AP275" s="67">
        <f t="shared" si="70"/>
        <v>0.16562190647046227</v>
      </c>
      <c r="AQ275" s="67">
        <f t="shared" si="71"/>
        <v>603.78486234750858</v>
      </c>
      <c r="AS275" s="67">
        <f t="shared" si="72"/>
        <v>1.1578794647951396E-3</v>
      </c>
      <c r="AU275" s="67">
        <f t="shared" si="73"/>
        <v>3502</v>
      </c>
      <c r="AV275" s="67">
        <f t="shared" si="74"/>
        <v>1</v>
      </c>
      <c r="AW275" s="67" t="s">
        <v>1350</v>
      </c>
    </row>
    <row r="276" spans="1:49" ht="30" customHeight="1" x14ac:dyDescent="0.25">
      <c r="A276" s="67" t="s">
        <v>124</v>
      </c>
      <c r="B276" s="67" t="s">
        <v>221</v>
      </c>
      <c r="C276" s="67" t="s">
        <v>365</v>
      </c>
      <c r="D276" s="67">
        <f t="shared" si="75"/>
        <v>37</v>
      </c>
      <c r="E276" s="67" t="s">
        <v>577</v>
      </c>
      <c r="F276" s="67" t="s">
        <v>240</v>
      </c>
      <c r="G276" s="68" t="s">
        <v>714</v>
      </c>
      <c r="H276" s="67">
        <v>1</v>
      </c>
      <c r="I276" s="67">
        <v>6</v>
      </c>
      <c r="J276" s="67">
        <v>4</v>
      </c>
      <c r="K276" s="68" t="s">
        <v>611</v>
      </c>
      <c r="L276" s="67" t="s">
        <v>721</v>
      </c>
      <c r="M276" s="68" t="s">
        <v>570</v>
      </c>
      <c r="N276" s="67" t="s">
        <v>240</v>
      </c>
      <c r="O276" s="67" t="s">
        <v>240</v>
      </c>
      <c r="P276" s="67" t="s">
        <v>240</v>
      </c>
      <c r="Q276" s="67" t="s">
        <v>240</v>
      </c>
      <c r="R276" s="67" t="s">
        <v>722</v>
      </c>
      <c r="S276" s="67">
        <v>3798</v>
      </c>
      <c r="T276" s="67">
        <v>1899</v>
      </c>
      <c r="U276" s="67">
        <v>1899</v>
      </c>
      <c r="V276" s="67">
        <v>90.9</v>
      </c>
      <c r="W276" s="67">
        <v>34.799999999999997</v>
      </c>
      <c r="AI276" s="70">
        <f t="shared" si="69"/>
        <v>34.799999999999997</v>
      </c>
      <c r="AK276" s="68" t="s">
        <v>729</v>
      </c>
      <c r="AL276" s="68" t="s">
        <v>717</v>
      </c>
      <c r="AP276" s="67">
        <f t="shared" si="70"/>
        <v>8.4769018507991012E-2</v>
      </c>
      <c r="AQ276" s="67">
        <f t="shared" si="71"/>
        <v>1072.3257340938899</v>
      </c>
      <c r="AS276" s="67">
        <f t="shared" si="72"/>
        <v>1.0575290461842374E-3</v>
      </c>
      <c r="AU276" s="67">
        <f t="shared" si="73"/>
        <v>3796</v>
      </c>
      <c r="AV276" s="67">
        <f t="shared" si="74"/>
        <v>1</v>
      </c>
      <c r="AW276" s="67" t="s">
        <v>1350</v>
      </c>
    </row>
    <row r="277" spans="1:49" ht="30" customHeight="1" x14ac:dyDescent="0.25">
      <c r="A277" s="67" t="s">
        <v>124</v>
      </c>
      <c r="B277" s="67" t="s">
        <v>221</v>
      </c>
      <c r="C277" s="67" t="s">
        <v>365</v>
      </c>
      <c r="D277" s="67">
        <f t="shared" si="75"/>
        <v>38</v>
      </c>
      <c r="E277" s="67" t="s">
        <v>577</v>
      </c>
      <c r="F277" s="67" t="s">
        <v>240</v>
      </c>
      <c r="G277" s="68" t="s">
        <v>714</v>
      </c>
      <c r="H277" s="67">
        <v>1</v>
      </c>
      <c r="I277" s="67">
        <v>12</v>
      </c>
      <c r="J277" s="67">
        <v>4</v>
      </c>
      <c r="K277" s="68" t="s">
        <v>611</v>
      </c>
      <c r="L277" s="67" t="s">
        <v>721</v>
      </c>
      <c r="M277" s="68" t="s">
        <v>570</v>
      </c>
      <c r="N277" s="67" t="s">
        <v>240</v>
      </c>
      <c r="O277" s="67" t="s">
        <v>240</v>
      </c>
      <c r="P277" s="67" t="s">
        <v>240</v>
      </c>
      <c r="Q277" s="67" t="s">
        <v>240</v>
      </c>
      <c r="R277" s="67" t="s">
        <v>722</v>
      </c>
      <c r="S277" s="67">
        <v>3798</v>
      </c>
      <c r="T277" s="67">
        <v>1899</v>
      </c>
      <c r="U277" s="67">
        <v>1899</v>
      </c>
      <c r="V277" s="67">
        <v>97.1</v>
      </c>
      <c r="W277" s="67">
        <v>23.4</v>
      </c>
      <c r="AI277" s="70">
        <f t="shared" si="69"/>
        <v>23.4</v>
      </c>
      <c r="AK277" s="68" t="s">
        <v>730</v>
      </c>
      <c r="AL277" s="68" t="s">
        <v>717</v>
      </c>
      <c r="AP277" s="67">
        <f t="shared" si="70"/>
        <v>0.13466535737590019</v>
      </c>
      <c r="AQ277" s="67">
        <f t="shared" si="71"/>
        <v>721.04661430451222</v>
      </c>
      <c r="AS277" s="67">
        <f t="shared" si="72"/>
        <v>1.0633007762729928E-3</v>
      </c>
      <c r="AU277" s="67">
        <f t="shared" si="73"/>
        <v>3796</v>
      </c>
      <c r="AV277" s="67">
        <f t="shared" si="74"/>
        <v>1</v>
      </c>
      <c r="AW277" s="67" t="s">
        <v>1350</v>
      </c>
    </row>
    <row r="278" spans="1:49" ht="30" customHeight="1" x14ac:dyDescent="0.25">
      <c r="A278" s="67" t="s">
        <v>124</v>
      </c>
      <c r="B278" s="67" t="s">
        <v>221</v>
      </c>
      <c r="C278" s="67" t="s">
        <v>365</v>
      </c>
      <c r="D278" s="67">
        <f t="shared" si="75"/>
        <v>39</v>
      </c>
      <c r="E278" s="67" t="s">
        <v>577</v>
      </c>
      <c r="F278" s="67" t="s">
        <v>240</v>
      </c>
      <c r="G278" s="68" t="s">
        <v>714</v>
      </c>
      <c r="H278" s="67">
        <v>1</v>
      </c>
      <c r="I278" s="67">
        <v>18</v>
      </c>
      <c r="J278" s="67">
        <v>4</v>
      </c>
      <c r="K278" s="68" t="s">
        <v>611</v>
      </c>
      <c r="L278" s="67" t="s">
        <v>721</v>
      </c>
      <c r="M278" s="68" t="s">
        <v>570</v>
      </c>
      <c r="N278" s="67" t="s">
        <v>240</v>
      </c>
      <c r="O278" s="67" t="s">
        <v>240</v>
      </c>
      <c r="P278" s="67" t="s">
        <v>240</v>
      </c>
      <c r="Q278" s="67" t="s">
        <v>240</v>
      </c>
      <c r="R278" s="67" t="s">
        <v>722</v>
      </c>
      <c r="S278" s="67">
        <v>3798</v>
      </c>
      <c r="T278" s="67">
        <v>1899</v>
      </c>
      <c r="U278" s="67">
        <v>1899</v>
      </c>
      <c r="V278" s="67">
        <v>110</v>
      </c>
      <c r="W278" s="67">
        <v>25.3</v>
      </c>
      <c r="AI278" s="70">
        <f t="shared" si="69"/>
        <v>25.3</v>
      </c>
      <c r="AK278" s="68" t="s">
        <v>731</v>
      </c>
      <c r="AL278" s="68" t="s">
        <v>717</v>
      </c>
      <c r="AP278" s="67">
        <f t="shared" si="70"/>
        <v>0.14109924159745954</v>
      </c>
      <c r="AQ278" s="67">
        <f t="shared" si="71"/>
        <v>779.59313426940855</v>
      </c>
      <c r="AS278" s="67">
        <f t="shared" si="72"/>
        <v>1.0642360622520124E-3</v>
      </c>
      <c r="AU278" s="67">
        <f t="shared" si="73"/>
        <v>3796</v>
      </c>
      <c r="AV278" s="67">
        <f t="shared" si="74"/>
        <v>1</v>
      </c>
      <c r="AW278" s="67" t="s">
        <v>1350</v>
      </c>
    </row>
    <row r="279" spans="1:49" ht="30" customHeight="1" x14ac:dyDescent="0.25">
      <c r="A279" s="67" t="s">
        <v>124</v>
      </c>
      <c r="B279" s="67" t="s">
        <v>221</v>
      </c>
      <c r="C279" s="67" t="s">
        <v>365</v>
      </c>
      <c r="D279" s="67">
        <f t="shared" si="75"/>
        <v>40</v>
      </c>
      <c r="E279" s="67" t="s">
        <v>605</v>
      </c>
      <c r="F279" s="67" t="s">
        <v>718</v>
      </c>
      <c r="G279" s="68" t="s">
        <v>714</v>
      </c>
      <c r="H279" s="67">
        <v>1</v>
      </c>
      <c r="I279" s="67">
        <v>6</v>
      </c>
      <c r="J279" s="67">
        <v>4</v>
      </c>
      <c r="K279" s="68" t="s">
        <v>611</v>
      </c>
      <c r="L279" s="67" t="s">
        <v>721</v>
      </c>
      <c r="M279" s="68" t="s">
        <v>570</v>
      </c>
      <c r="N279" s="67" t="s">
        <v>240</v>
      </c>
      <c r="O279" s="67" t="s">
        <v>240</v>
      </c>
      <c r="P279" s="67" t="s">
        <v>240</v>
      </c>
      <c r="Q279" s="67" t="s">
        <v>240</v>
      </c>
      <c r="R279" s="67" t="s">
        <v>722</v>
      </c>
      <c r="S279" s="67">
        <f t="shared" ref="S279:U284" si="76">+S$272/2</f>
        <v>3651</v>
      </c>
      <c r="T279" s="67">
        <f t="shared" si="76"/>
        <v>1825.5</v>
      </c>
      <c r="U279" s="67">
        <f t="shared" si="76"/>
        <v>1825.5</v>
      </c>
      <c r="V279" s="67">
        <v>87.7</v>
      </c>
      <c r="W279" s="67">
        <v>27</v>
      </c>
      <c r="AI279" s="70">
        <f t="shared" si="69"/>
        <v>27</v>
      </c>
      <c r="AK279" s="68" t="s">
        <v>732</v>
      </c>
      <c r="AL279" s="68" t="s">
        <v>719</v>
      </c>
      <c r="AP279" s="67">
        <f t="shared" si="70"/>
        <v>0.1075127346151596</v>
      </c>
      <c r="AQ279" s="67">
        <f t="shared" si="71"/>
        <v>815.71732236112291</v>
      </c>
      <c r="AS279" s="67">
        <f t="shared" si="72"/>
        <v>1.1025299686620135E-3</v>
      </c>
      <c r="AU279" s="67">
        <f t="shared" si="73"/>
        <v>3649</v>
      </c>
      <c r="AV279" s="67">
        <f t="shared" si="74"/>
        <v>1</v>
      </c>
      <c r="AW279" s="67" t="s">
        <v>1350</v>
      </c>
    </row>
    <row r="280" spans="1:49" ht="30" customHeight="1" x14ac:dyDescent="0.25">
      <c r="A280" s="67" t="s">
        <v>124</v>
      </c>
      <c r="B280" s="67" t="s">
        <v>221</v>
      </c>
      <c r="C280" s="67" t="s">
        <v>365</v>
      </c>
      <c r="D280" s="67">
        <f t="shared" si="75"/>
        <v>41</v>
      </c>
      <c r="E280" s="67" t="s">
        <v>605</v>
      </c>
      <c r="F280" s="67" t="s">
        <v>718</v>
      </c>
      <c r="G280" s="68" t="s">
        <v>714</v>
      </c>
      <c r="H280" s="67">
        <v>1</v>
      </c>
      <c r="I280" s="67">
        <v>12</v>
      </c>
      <c r="J280" s="67">
        <v>4</v>
      </c>
      <c r="K280" s="68" t="s">
        <v>611</v>
      </c>
      <c r="L280" s="67" t="s">
        <v>721</v>
      </c>
      <c r="M280" s="68" t="s">
        <v>570</v>
      </c>
      <c r="N280" s="67" t="s">
        <v>240</v>
      </c>
      <c r="O280" s="67" t="s">
        <v>240</v>
      </c>
      <c r="P280" s="67" t="s">
        <v>240</v>
      </c>
      <c r="Q280" s="67" t="s">
        <v>240</v>
      </c>
      <c r="R280" s="67" t="s">
        <v>722</v>
      </c>
      <c r="S280" s="67">
        <f t="shared" si="76"/>
        <v>3651</v>
      </c>
      <c r="T280" s="67">
        <f t="shared" si="76"/>
        <v>1825.5</v>
      </c>
      <c r="U280" s="67">
        <f t="shared" si="76"/>
        <v>1825.5</v>
      </c>
      <c r="V280" s="67">
        <v>100</v>
      </c>
      <c r="W280" s="67">
        <v>19.399999999999999</v>
      </c>
      <c r="AI280" s="70">
        <f t="shared" si="69"/>
        <v>19.399999999999999</v>
      </c>
      <c r="AK280" s="68" t="s">
        <v>733</v>
      </c>
      <c r="AL280" s="68" t="s">
        <v>719</v>
      </c>
      <c r="AP280" s="67">
        <f t="shared" si="70"/>
        <v>0.1706170188088087</v>
      </c>
      <c r="AQ280" s="67">
        <f t="shared" si="71"/>
        <v>586.10800199280675</v>
      </c>
      <c r="AS280" s="67">
        <f t="shared" si="72"/>
        <v>1.1121549640021706E-3</v>
      </c>
      <c r="AU280" s="67">
        <f t="shared" si="73"/>
        <v>3649</v>
      </c>
      <c r="AV280" s="67">
        <f t="shared" si="74"/>
        <v>1</v>
      </c>
      <c r="AW280" s="67" t="s">
        <v>1350</v>
      </c>
    </row>
    <row r="281" spans="1:49" ht="30" customHeight="1" x14ac:dyDescent="0.25">
      <c r="A281" s="67" t="s">
        <v>124</v>
      </c>
      <c r="B281" s="67" t="s">
        <v>221</v>
      </c>
      <c r="C281" s="67" t="s">
        <v>365</v>
      </c>
      <c r="D281" s="67">
        <f t="shared" si="75"/>
        <v>42</v>
      </c>
      <c r="E281" s="67" t="s">
        <v>605</v>
      </c>
      <c r="F281" s="67" t="s">
        <v>718</v>
      </c>
      <c r="G281" s="68" t="s">
        <v>714</v>
      </c>
      <c r="H281" s="67">
        <v>1</v>
      </c>
      <c r="I281" s="67">
        <v>18</v>
      </c>
      <c r="J281" s="67">
        <v>4</v>
      </c>
      <c r="K281" s="68" t="s">
        <v>611</v>
      </c>
      <c r="L281" s="67" t="s">
        <v>721</v>
      </c>
      <c r="M281" s="68" t="s">
        <v>570</v>
      </c>
      <c r="N281" s="67" t="s">
        <v>240</v>
      </c>
      <c r="O281" s="67" t="s">
        <v>240</v>
      </c>
      <c r="P281" s="67" t="s">
        <v>240</v>
      </c>
      <c r="Q281" s="67" t="s">
        <v>240</v>
      </c>
      <c r="R281" s="67" t="s">
        <v>722</v>
      </c>
      <c r="S281" s="67">
        <f t="shared" si="76"/>
        <v>3651</v>
      </c>
      <c r="T281" s="67">
        <f t="shared" si="76"/>
        <v>1825.5</v>
      </c>
      <c r="U281" s="67">
        <f t="shared" si="76"/>
        <v>1825.5</v>
      </c>
      <c r="V281" s="67">
        <v>79.2</v>
      </c>
      <c r="W281" s="67">
        <v>19.2</v>
      </c>
      <c r="AI281" s="70">
        <f t="shared" si="69"/>
        <v>19.2</v>
      </c>
      <c r="AK281" s="68" t="s">
        <v>734</v>
      </c>
      <c r="AL281" s="68" t="s">
        <v>719</v>
      </c>
      <c r="AP281" s="67">
        <f t="shared" si="70"/>
        <v>0.13653626930174917</v>
      </c>
      <c r="AQ281" s="67">
        <f t="shared" si="71"/>
        <v>580.06565145679849</v>
      </c>
      <c r="AS281" s="67">
        <f t="shared" si="72"/>
        <v>1.1064143474557673E-3</v>
      </c>
      <c r="AU281" s="67">
        <f t="shared" si="73"/>
        <v>3649</v>
      </c>
      <c r="AV281" s="67">
        <f t="shared" si="74"/>
        <v>1</v>
      </c>
      <c r="AW281" s="67" t="s">
        <v>1350</v>
      </c>
    </row>
    <row r="282" spans="1:49" ht="30" customHeight="1" x14ac:dyDescent="0.25">
      <c r="A282" s="67" t="s">
        <v>124</v>
      </c>
      <c r="B282" s="67" t="s">
        <v>221</v>
      </c>
      <c r="C282" s="67" t="s">
        <v>365</v>
      </c>
      <c r="D282" s="67">
        <f t="shared" si="75"/>
        <v>43</v>
      </c>
      <c r="E282" s="67" t="s">
        <v>605</v>
      </c>
      <c r="F282" s="67" t="s">
        <v>720</v>
      </c>
      <c r="G282" s="68" t="s">
        <v>714</v>
      </c>
      <c r="H282" s="67">
        <v>1</v>
      </c>
      <c r="I282" s="67">
        <v>6</v>
      </c>
      <c r="J282" s="67">
        <v>4</v>
      </c>
      <c r="K282" s="68" t="s">
        <v>611</v>
      </c>
      <c r="L282" s="67" t="s">
        <v>721</v>
      </c>
      <c r="M282" s="68" t="s">
        <v>570</v>
      </c>
      <c r="N282" s="67" t="s">
        <v>240</v>
      </c>
      <c r="O282" s="67" t="s">
        <v>240</v>
      </c>
      <c r="P282" s="67" t="s">
        <v>240</v>
      </c>
      <c r="Q282" s="67" t="s">
        <v>240</v>
      </c>
      <c r="R282" s="67" t="s">
        <v>722</v>
      </c>
      <c r="S282" s="67">
        <f t="shared" si="76"/>
        <v>3651</v>
      </c>
      <c r="T282" s="67">
        <f t="shared" si="76"/>
        <v>1825.5</v>
      </c>
      <c r="U282" s="67">
        <f t="shared" si="76"/>
        <v>1825.5</v>
      </c>
      <c r="V282" s="67">
        <v>28.6</v>
      </c>
      <c r="W282" s="67">
        <v>34</v>
      </c>
      <c r="AI282" s="70">
        <f t="shared" si="69"/>
        <v>34</v>
      </c>
      <c r="AK282" s="68" t="s">
        <v>735</v>
      </c>
      <c r="AL282" s="68" t="s">
        <v>719</v>
      </c>
      <c r="AP282" s="67">
        <f t="shared" si="70"/>
        <v>2.7842690210552769E-2</v>
      </c>
      <c r="AQ282" s="67">
        <f t="shared" si="71"/>
        <v>1027.199591121414</v>
      </c>
      <c r="AS282" s="67">
        <f t="shared" si="72"/>
        <v>1.0966161914718476E-3</v>
      </c>
      <c r="AU282" s="67">
        <f t="shared" si="73"/>
        <v>3649</v>
      </c>
      <c r="AV282" s="67">
        <f t="shared" si="74"/>
        <v>1</v>
      </c>
      <c r="AW282" s="67" t="s">
        <v>1350</v>
      </c>
    </row>
    <row r="283" spans="1:49" ht="30" customHeight="1" x14ac:dyDescent="0.25">
      <c r="A283" s="67" t="s">
        <v>124</v>
      </c>
      <c r="B283" s="67" t="s">
        <v>221</v>
      </c>
      <c r="C283" s="67" t="s">
        <v>365</v>
      </c>
      <c r="D283" s="67">
        <f t="shared" si="75"/>
        <v>44</v>
      </c>
      <c r="E283" s="67" t="s">
        <v>605</v>
      </c>
      <c r="F283" s="67" t="s">
        <v>720</v>
      </c>
      <c r="G283" s="68" t="s">
        <v>714</v>
      </c>
      <c r="H283" s="67">
        <v>1</v>
      </c>
      <c r="I283" s="67">
        <v>12</v>
      </c>
      <c r="J283" s="67">
        <v>4</v>
      </c>
      <c r="K283" s="68" t="s">
        <v>611</v>
      </c>
      <c r="L283" s="67" t="s">
        <v>721</v>
      </c>
      <c r="M283" s="68" t="s">
        <v>570</v>
      </c>
      <c r="N283" s="67" t="s">
        <v>240</v>
      </c>
      <c r="O283" s="67" t="s">
        <v>240</v>
      </c>
      <c r="P283" s="67" t="s">
        <v>240</v>
      </c>
      <c r="Q283" s="67" t="s">
        <v>240</v>
      </c>
      <c r="R283" s="67" t="s">
        <v>722</v>
      </c>
      <c r="S283" s="67">
        <f t="shared" si="76"/>
        <v>3651</v>
      </c>
      <c r="T283" s="67">
        <f t="shared" si="76"/>
        <v>1825.5</v>
      </c>
      <c r="U283" s="67">
        <f t="shared" si="76"/>
        <v>1825.5</v>
      </c>
      <c r="V283" s="67">
        <v>84.4</v>
      </c>
      <c r="W283" s="67">
        <v>26.7</v>
      </c>
      <c r="AI283" s="70">
        <f t="shared" si="69"/>
        <v>26.7</v>
      </c>
      <c r="AK283" s="68" t="s">
        <v>736</v>
      </c>
      <c r="AL283" s="68" t="s">
        <v>719</v>
      </c>
      <c r="AP283" s="67">
        <f t="shared" si="70"/>
        <v>0.10462976850816144</v>
      </c>
      <c r="AQ283" s="67">
        <f t="shared" si="71"/>
        <v>806.65379655711035</v>
      </c>
      <c r="AS283" s="67">
        <f t="shared" si="72"/>
        <v>1.1021945698979027E-3</v>
      </c>
      <c r="AU283" s="67">
        <f t="shared" si="73"/>
        <v>3649</v>
      </c>
      <c r="AV283" s="67">
        <f t="shared" si="74"/>
        <v>1</v>
      </c>
      <c r="AW283" s="67" t="s">
        <v>1350</v>
      </c>
    </row>
    <row r="284" spans="1:49" ht="30" customHeight="1" x14ac:dyDescent="0.25">
      <c r="A284" s="67" t="s">
        <v>124</v>
      </c>
      <c r="B284" s="67" t="s">
        <v>221</v>
      </c>
      <c r="C284" s="67" t="s">
        <v>365</v>
      </c>
      <c r="D284" s="67">
        <f t="shared" si="75"/>
        <v>45</v>
      </c>
      <c r="E284" s="67" t="s">
        <v>605</v>
      </c>
      <c r="F284" s="67" t="s">
        <v>720</v>
      </c>
      <c r="G284" s="68" t="s">
        <v>714</v>
      </c>
      <c r="H284" s="67">
        <v>1</v>
      </c>
      <c r="I284" s="67">
        <v>18</v>
      </c>
      <c r="J284" s="67">
        <v>4</v>
      </c>
      <c r="K284" s="68" t="s">
        <v>611</v>
      </c>
      <c r="L284" s="67" t="s">
        <v>721</v>
      </c>
      <c r="M284" s="68" t="s">
        <v>570</v>
      </c>
      <c r="N284" s="67" t="s">
        <v>240</v>
      </c>
      <c r="O284" s="67" t="s">
        <v>240</v>
      </c>
      <c r="P284" s="67" t="s">
        <v>240</v>
      </c>
      <c r="Q284" s="67" t="s">
        <v>240</v>
      </c>
      <c r="R284" s="67" t="s">
        <v>722</v>
      </c>
      <c r="S284" s="67">
        <f t="shared" si="76"/>
        <v>3651</v>
      </c>
      <c r="T284" s="67">
        <f t="shared" si="76"/>
        <v>1825.5</v>
      </c>
      <c r="U284" s="67">
        <f t="shared" si="76"/>
        <v>1825.5</v>
      </c>
      <c r="V284" s="67">
        <v>125.7</v>
      </c>
      <c r="W284" s="67">
        <v>25.2</v>
      </c>
      <c r="AI284" s="70">
        <f t="shared" si="69"/>
        <v>25.2</v>
      </c>
      <c r="AK284" s="68" t="s">
        <v>737</v>
      </c>
      <c r="AL284" s="68" t="s">
        <v>719</v>
      </c>
      <c r="AP284" s="67">
        <f t="shared" si="70"/>
        <v>0.16510446417729552</v>
      </c>
      <c r="AQ284" s="67">
        <f t="shared" si="71"/>
        <v>761.33616753704803</v>
      </c>
      <c r="AS284" s="67">
        <f t="shared" si="72"/>
        <v>1.111140056946546E-3</v>
      </c>
      <c r="AU284" s="67">
        <f t="shared" si="73"/>
        <v>3649</v>
      </c>
      <c r="AV284" s="67">
        <f t="shared" si="74"/>
        <v>1</v>
      </c>
      <c r="AW284" s="67" t="s">
        <v>1350</v>
      </c>
    </row>
    <row r="285" spans="1:49" ht="30" customHeight="1" x14ac:dyDescent="0.25">
      <c r="A285" s="67" t="s">
        <v>124</v>
      </c>
      <c r="B285" s="67" t="s">
        <v>221</v>
      </c>
      <c r="C285" s="67" t="s">
        <v>365</v>
      </c>
      <c r="D285" s="67">
        <f t="shared" si="75"/>
        <v>46</v>
      </c>
      <c r="E285" s="67" t="s">
        <v>605</v>
      </c>
      <c r="F285" s="67" t="s">
        <v>240</v>
      </c>
      <c r="G285" s="68" t="s">
        <v>714</v>
      </c>
      <c r="H285" s="67">
        <v>1</v>
      </c>
      <c r="I285" s="67">
        <v>6</v>
      </c>
      <c r="J285" s="67">
        <v>2</v>
      </c>
      <c r="K285" s="68" t="s">
        <v>611</v>
      </c>
      <c r="L285" s="67" t="s">
        <v>721</v>
      </c>
      <c r="M285" s="68" t="s">
        <v>570</v>
      </c>
      <c r="N285" s="67" t="s">
        <v>240</v>
      </c>
      <c r="O285" s="67" t="s">
        <v>240</v>
      </c>
      <c r="P285" s="67" t="s">
        <v>240</v>
      </c>
      <c r="Q285" s="67" t="s">
        <v>240</v>
      </c>
      <c r="R285" s="67" t="s">
        <v>580</v>
      </c>
      <c r="S285" s="67">
        <v>7302</v>
      </c>
      <c r="T285" s="67">
        <v>3651</v>
      </c>
      <c r="U285" s="67">
        <v>3651</v>
      </c>
      <c r="V285" s="67">
        <v>59.5</v>
      </c>
      <c r="W285" s="67">
        <v>14.8</v>
      </c>
      <c r="X285" s="67">
        <v>124.1</v>
      </c>
      <c r="Y285" s="67">
        <v>180.4</v>
      </c>
      <c r="AB285" s="67">
        <v>256</v>
      </c>
      <c r="AC285" s="67">
        <v>250.4</v>
      </c>
      <c r="AI285" s="70">
        <f t="shared" si="69"/>
        <v>14.8</v>
      </c>
      <c r="AK285" s="68" t="s">
        <v>738</v>
      </c>
      <c r="AL285" s="68" t="s">
        <v>715</v>
      </c>
      <c r="AP285" s="67">
        <f t="shared" si="70"/>
        <v>9.4094520116628638E-2</v>
      </c>
      <c r="AQ285" s="67">
        <f t="shared" si="71"/>
        <v>632.34288167101238</v>
      </c>
      <c r="AS285" s="67">
        <f t="shared" si="72"/>
        <v>5.5037160416315529E-4</v>
      </c>
      <c r="AU285" s="67">
        <f t="shared" si="73"/>
        <v>7300</v>
      </c>
      <c r="AV285" s="67">
        <f t="shared" si="74"/>
        <v>1</v>
      </c>
      <c r="AW285" s="67" t="s">
        <v>1350</v>
      </c>
    </row>
    <row r="286" spans="1:49" ht="30" customHeight="1" x14ac:dyDescent="0.25">
      <c r="A286" s="67" t="s">
        <v>124</v>
      </c>
      <c r="B286" s="67" t="s">
        <v>221</v>
      </c>
      <c r="C286" s="67" t="s">
        <v>365</v>
      </c>
      <c r="D286" s="67">
        <f t="shared" si="75"/>
        <v>47</v>
      </c>
      <c r="E286" s="67" t="s">
        <v>605</v>
      </c>
      <c r="F286" s="67" t="s">
        <v>240</v>
      </c>
      <c r="G286" s="68" t="s">
        <v>714</v>
      </c>
      <c r="H286" s="67">
        <v>1</v>
      </c>
      <c r="I286" s="67">
        <v>12</v>
      </c>
      <c r="J286" s="67">
        <v>2</v>
      </c>
      <c r="K286" s="68" t="s">
        <v>611</v>
      </c>
      <c r="L286" s="67" t="s">
        <v>721</v>
      </c>
      <c r="M286" s="68" t="s">
        <v>570</v>
      </c>
      <c r="N286" s="67" t="s">
        <v>240</v>
      </c>
      <c r="O286" s="67" t="s">
        <v>240</v>
      </c>
      <c r="P286" s="67" t="s">
        <v>240</v>
      </c>
      <c r="Q286" s="67" t="s">
        <v>240</v>
      </c>
      <c r="R286" s="67" t="s">
        <v>580</v>
      </c>
      <c r="S286" s="67">
        <v>7302</v>
      </c>
      <c r="T286" s="67">
        <v>3651</v>
      </c>
      <c r="U286" s="67">
        <v>3651</v>
      </c>
      <c r="V286" s="67">
        <v>59.5</v>
      </c>
      <c r="W286" s="67">
        <v>12.9</v>
      </c>
      <c r="X286" s="67">
        <v>124.1</v>
      </c>
      <c r="Y286" s="67">
        <v>180.4</v>
      </c>
      <c r="AB286" s="67">
        <v>192.1</v>
      </c>
      <c r="AC286" s="67">
        <v>187.7</v>
      </c>
      <c r="AI286" s="70">
        <f t="shared" si="69"/>
        <v>12.9</v>
      </c>
      <c r="AK286" s="68" t="s">
        <v>738</v>
      </c>
      <c r="AL286" s="68" t="s">
        <v>715</v>
      </c>
      <c r="AP286" s="67">
        <f t="shared" si="70"/>
        <v>0.10795340292450417</v>
      </c>
      <c r="AQ286" s="67">
        <f t="shared" si="71"/>
        <v>551.16372794297706</v>
      </c>
      <c r="AS286" s="67">
        <f t="shared" si="72"/>
        <v>5.5113898111218309E-4</v>
      </c>
      <c r="AU286" s="67">
        <f t="shared" si="73"/>
        <v>7300</v>
      </c>
      <c r="AV286" s="67">
        <f t="shared" si="74"/>
        <v>1</v>
      </c>
      <c r="AW286" s="67" t="s">
        <v>1350</v>
      </c>
    </row>
    <row r="287" spans="1:49" ht="30" customHeight="1" x14ac:dyDescent="0.25">
      <c r="A287" s="67" t="s">
        <v>124</v>
      </c>
      <c r="B287" s="67" t="s">
        <v>221</v>
      </c>
      <c r="C287" s="67" t="s">
        <v>365</v>
      </c>
      <c r="D287" s="67">
        <f t="shared" si="75"/>
        <v>48</v>
      </c>
      <c r="E287" s="67" t="s">
        <v>605</v>
      </c>
      <c r="F287" s="67" t="s">
        <v>240</v>
      </c>
      <c r="G287" s="68" t="s">
        <v>714</v>
      </c>
      <c r="H287" s="67">
        <v>1</v>
      </c>
      <c r="I287" s="67">
        <v>18</v>
      </c>
      <c r="J287" s="67">
        <v>2</v>
      </c>
      <c r="K287" s="68" t="s">
        <v>611</v>
      </c>
      <c r="L287" s="67" t="s">
        <v>721</v>
      </c>
      <c r="M287" s="68" t="s">
        <v>570</v>
      </c>
      <c r="N287" s="67" t="s">
        <v>240</v>
      </c>
      <c r="O287" s="67" t="s">
        <v>240</v>
      </c>
      <c r="P287" s="67" t="s">
        <v>240</v>
      </c>
      <c r="Q287" s="67" t="s">
        <v>240</v>
      </c>
      <c r="R287" s="67" t="s">
        <v>580</v>
      </c>
      <c r="S287" s="67">
        <v>7302</v>
      </c>
      <c r="T287" s="67">
        <v>3651</v>
      </c>
      <c r="U287" s="67">
        <v>3651</v>
      </c>
      <c r="V287" s="67">
        <v>80.099999999999994</v>
      </c>
      <c r="W287" s="67">
        <v>13.1</v>
      </c>
      <c r="X287" s="67">
        <v>124.1</v>
      </c>
      <c r="Y287" s="67">
        <v>180.4</v>
      </c>
      <c r="AB287" s="67">
        <v>204.7</v>
      </c>
      <c r="AC287" s="67">
        <v>182.2</v>
      </c>
      <c r="AI287" s="70">
        <f t="shared" si="69"/>
        <v>13.1</v>
      </c>
      <c r="AK287" s="68" t="s">
        <v>739</v>
      </c>
      <c r="AL287" s="68" t="s">
        <v>715</v>
      </c>
      <c r="AP287" s="67">
        <f t="shared" si="70"/>
        <v>0.14311010546906269</v>
      </c>
      <c r="AQ287" s="67">
        <f t="shared" si="71"/>
        <v>559.70890201961231</v>
      </c>
      <c r="AS287" s="67">
        <f t="shared" si="72"/>
        <v>5.5355788083385647E-4</v>
      </c>
      <c r="AU287" s="67">
        <f t="shared" si="73"/>
        <v>7300</v>
      </c>
      <c r="AV287" s="67">
        <f t="shared" si="74"/>
        <v>1</v>
      </c>
      <c r="AW287" s="67" t="s">
        <v>1350</v>
      </c>
    </row>
    <row r="288" spans="1:49" ht="30" customHeight="1" x14ac:dyDescent="0.25">
      <c r="A288" s="67" t="s">
        <v>124</v>
      </c>
      <c r="B288" s="67" t="s">
        <v>221</v>
      </c>
      <c r="C288" s="67" t="s">
        <v>365</v>
      </c>
      <c r="D288" s="67">
        <f t="shared" si="75"/>
        <v>49</v>
      </c>
      <c r="E288" s="67" t="s">
        <v>583</v>
      </c>
      <c r="F288" s="67" t="s">
        <v>240</v>
      </c>
      <c r="G288" s="68" t="s">
        <v>714</v>
      </c>
      <c r="H288" s="67">
        <v>1</v>
      </c>
      <c r="I288" s="67">
        <v>6</v>
      </c>
      <c r="J288" s="67">
        <v>2</v>
      </c>
      <c r="K288" s="68" t="s">
        <v>611</v>
      </c>
      <c r="L288" s="67" t="s">
        <v>721</v>
      </c>
      <c r="M288" s="68" t="s">
        <v>570</v>
      </c>
      <c r="N288" s="67" t="s">
        <v>240</v>
      </c>
      <c r="O288" s="67" t="s">
        <v>240</v>
      </c>
      <c r="P288" s="67" t="s">
        <v>240</v>
      </c>
      <c r="Q288" s="67" t="s">
        <v>240</v>
      </c>
      <c r="R288" s="67" t="s">
        <v>580</v>
      </c>
      <c r="S288" s="67">
        <v>3504</v>
      </c>
      <c r="T288" s="67">
        <v>1752</v>
      </c>
      <c r="U288" s="67">
        <v>1752</v>
      </c>
      <c r="V288" s="67">
        <v>30.7</v>
      </c>
      <c r="W288" s="67">
        <v>25.6</v>
      </c>
      <c r="AI288" s="70">
        <f t="shared" si="69"/>
        <v>25.6</v>
      </c>
      <c r="AK288" s="68" t="s">
        <v>740</v>
      </c>
      <c r="AL288" s="68" t="s">
        <v>716</v>
      </c>
      <c r="AP288" s="67">
        <f t="shared" si="70"/>
        <v>4.051784671262542E-2</v>
      </c>
      <c r="AQ288" s="67">
        <f t="shared" si="71"/>
        <v>757.69080765177569</v>
      </c>
      <c r="AS288" s="67">
        <f t="shared" si="72"/>
        <v>1.1431429390804638E-3</v>
      </c>
      <c r="AU288" s="67">
        <f t="shared" si="73"/>
        <v>3502</v>
      </c>
      <c r="AV288" s="67">
        <f t="shared" si="74"/>
        <v>1</v>
      </c>
      <c r="AW288" s="67" t="s">
        <v>1350</v>
      </c>
    </row>
    <row r="289" spans="1:49" ht="30" customHeight="1" x14ac:dyDescent="0.25">
      <c r="A289" s="67" t="s">
        <v>124</v>
      </c>
      <c r="B289" s="67" t="s">
        <v>221</v>
      </c>
      <c r="C289" s="67" t="s">
        <v>365</v>
      </c>
      <c r="D289" s="67">
        <f t="shared" si="75"/>
        <v>50</v>
      </c>
      <c r="E289" s="67" t="s">
        <v>583</v>
      </c>
      <c r="F289" s="67" t="s">
        <v>240</v>
      </c>
      <c r="G289" s="68" t="s">
        <v>714</v>
      </c>
      <c r="H289" s="67">
        <v>1</v>
      </c>
      <c r="I289" s="67">
        <v>12</v>
      </c>
      <c r="J289" s="67">
        <v>2</v>
      </c>
      <c r="K289" s="68" t="s">
        <v>611</v>
      </c>
      <c r="L289" s="67" t="s">
        <v>721</v>
      </c>
      <c r="M289" s="68" t="s">
        <v>570</v>
      </c>
      <c r="N289" s="67" t="s">
        <v>240</v>
      </c>
      <c r="O289" s="67" t="s">
        <v>240</v>
      </c>
      <c r="P289" s="67" t="s">
        <v>240</v>
      </c>
      <c r="Q289" s="67" t="s">
        <v>240</v>
      </c>
      <c r="R289" s="67" t="s">
        <v>580</v>
      </c>
      <c r="S289" s="67">
        <v>3504</v>
      </c>
      <c r="T289" s="67">
        <v>1752</v>
      </c>
      <c r="U289" s="67">
        <v>1752</v>
      </c>
      <c r="V289" s="67">
        <v>50.6</v>
      </c>
      <c r="W289" s="67">
        <v>20</v>
      </c>
      <c r="AI289" s="70">
        <f t="shared" si="69"/>
        <v>20</v>
      </c>
      <c r="AK289" s="68" t="s">
        <v>741</v>
      </c>
      <c r="AL289" s="68" t="s">
        <v>716</v>
      </c>
      <c r="AP289" s="67">
        <f t="shared" si="70"/>
        <v>8.5480778367534982E-2</v>
      </c>
      <c r="AQ289" s="67">
        <f t="shared" si="71"/>
        <v>591.94594347794964</v>
      </c>
      <c r="AS289" s="67">
        <f t="shared" si="72"/>
        <v>1.1463802348336595E-3</v>
      </c>
      <c r="AU289" s="67">
        <f t="shared" si="73"/>
        <v>3502</v>
      </c>
      <c r="AV289" s="67">
        <f t="shared" si="74"/>
        <v>1</v>
      </c>
      <c r="AW289" s="67" t="s">
        <v>1350</v>
      </c>
    </row>
    <row r="290" spans="1:49" ht="30" customHeight="1" x14ac:dyDescent="0.25">
      <c r="A290" s="67" t="s">
        <v>124</v>
      </c>
      <c r="B290" s="67" t="s">
        <v>221</v>
      </c>
      <c r="C290" s="67" t="s">
        <v>365</v>
      </c>
      <c r="D290" s="67">
        <f t="shared" si="75"/>
        <v>51</v>
      </c>
      <c r="E290" s="67" t="s">
        <v>583</v>
      </c>
      <c r="F290" s="67" t="s">
        <v>240</v>
      </c>
      <c r="G290" s="68" t="s">
        <v>714</v>
      </c>
      <c r="H290" s="67">
        <v>1</v>
      </c>
      <c r="I290" s="67">
        <v>18</v>
      </c>
      <c r="J290" s="67">
        <v>2</v>
      </c>
      <c r="K290" s="68" t="s">
        <v>611</v>
      </c>
      <c r="L290" s="67" t="s">
        <v>721</v>
      </c>
      <c r="M290" s="68" t="s">
        <v>570</v>
      </c>
      <c r="N290" s="67" t="s">
        <v>240</v>
      </c>
      <c r="O290" s="67" t="s">
        <v>240</v>
      </c>
      <c r="P290" s="67" t="s">
        <v>240</v>
      </c>
      <c r="Q290" s="67" t="s">
        <v>240</v>
      </c>
      <c r="R290" s="67" t="s">
        <v>580</v>
      </c>
      <c r="S290" s="67">
        <v>3504</v>
      </c>
      <c r="T290" s="67">
        <v>1752</v>
      </c>
      <c r="U290" s="67">
        <v>1752</v>
      </c>
      <c r="V290" s="67">
        <v>57.5</v>
      </c>
      <c r="W290" s="67">
        <v>18.5</v>
      </c>
      <c r="AI290" s="70">
        <f t="shared" si="69"/>
        <v>18.5</v>
      </c>
      <c r="AK290" s="68" t="s">
        <v>742</v>
      </c>
      <c r="AL290" s="68" t="s">
        <v>716</v>
      </c>
      <c r="AP290" s="67">
        <f t="shared" si="70"/>
        <v>0.10501324123775795</v>
      </c>
      <c r="AQ290" s="67">
        <f t="shared" si="71"/>
        <v>547.54999771710345</v>
      </c>
      <c r="AS290" s="67">
        <f t="shared" si="72"/>
        <v>1.1485064161850542E-3</v>
      </c>
      <c r="AU290" s="67">
        <f t="shared" si="73"/>
        <v>3502</v>
      </c>
      <c r="AV290" s="67">
        <f t="shared" si="74"/>
        <v>1</v>
      </c>
      <c r="AW290" s="67" t="s">
        <v>1350</v>
      </c>
    </row>
    <row r="291" spans="1:49" ht="30" customHeight="1" x14ac:dyDescent="0.25">
      <c r="A291" s="67" t="s">
        <v>124</v>
      </c>
      <c r="B291" s="67" t="s">
        <v>221</v>
      </c>
      <c r="C291" s="67" t="s">
        <v>365</v>
      </c>
      <c r="D291" s="67">
        <f t="shared" si="75"/>
        <v>52</v>
      </c>
      <c r="E291" s="67" t="s">
        <v>577</v>
      </c>
      <c r="F291" s="67" t="s">
        <v>240</v>
      </c>
      <c r="G291" s="68" t="s">
        <v>714</v>
      </c>
      <c r="H291" s="67">
        <v>1</v>
      </c>
      <c r="I291" s="67">
        <v>6</v>
      </c>
      <c r="J291" s="67">
        <v>2</v>
      </c>
      <c r="K291" s="68" t="s">
        <v>611</v>
      </c>
      <c r="L291" s="67" t="s">
        <v>721</v>
      </c>
      <c r="M291" s="68" t="s">
        <v>570</v>
      </c>
      <c r="N291" s="67" t="s">
        <v>240</v>
      </c>
      <c r="O291" s="67" t="s">
        <v>240</v>
      </c>
      <c r="P291" s="67" t="s">
        <v>240</v>
      </c>
      <c r="Q291" s="67" t="s">
        <v>240</v>
      </c>
      <c r="R291" s="67" t="s">
        <v>580</v>
      </c>
      <c r="S291" s="67">
        <v>3798</v>
      </c>
      <c r="T291" s="67">
        <v>1899</v>
      </c>
      <c r="U291" s="67">
        <v>1899</v>
      </c>
      <c r="V291" s="67">
        <v>83.8</v>
      </c>
      <c r="W291" s="67">
        <v>20.9</v>
      </c>
      <c r="AI291" s="70">
        <f t="shared" si="69"/>
        <v>20.9</v>
      </c>
      <c r="AK291" s="68" t="s">
        <v>743</v>
      </c>
      <c r="AL291" s="68" t="s">
        <v>717</v>
      </c>
      <c r="AP291" s="67">
        <f t="shared" si="70"/>
        <v>0.13012185562437489</v>
      </c>
      <c r="AQ291" s="67">
        <f t="shared" si="71"/>
        <v>644.01171961385921</v>
      </c>
      <c r="AS291" s="67">
        <f t="shared" si="72"/>
        <v>1.0626665848306903E-3</v>
      </c>
      <c r="AU291" s="67">
        <f t="shared" si="73"/>
        <v>3796</v>
      </c>
      <c r="AV291" s="67">
        <f t="shared" si="74"/>
        <v>1</v>
      </c>
      <c r="AW291" s="67" t="s">
        <v>1350</v>
      </c>
    </row>
    <row r="292" spans="1:49" ht="30" customHeight="1" x14ac:dyDescent="0.25">
      <c r="A292" s="67" t="s">
        <v>124</v>
      </c>
      <c r="B292" s="67" t="s">
        <v>221</v>
      </c>
      <c r="C292" s="67" t="s">
        <v>365</v>
      </c>
      <c r="D292" s="67">
        <f t="shared" si="75"/>
        <v>53</v>
      </c>
      <c r="E292" s="67" t="s">
        <v>577</v>
      </c>
      <c r="F292" s="67" t="s">
        <v>240</v>
      </c>
      <c r="G292" s="68" t="s">
        <v>714</v>
      </c>
      <c r="H292" s="67">
        <v>1</v>
      </c>
      <c r="I292" s="67">
        <v>12</v>
      </c>
      <c r="J292" s="67">
        <v>2</v>
      </c>
      <c r="K292" s="68" t="s">
        <v>611</v>
      </c>
      <c r="L292" s="67" t="s">
        <v>721</v>
      </c>
      <c r="M292" s="68" t="s">
        <v>570</v>
      </c>
      <c r="N292" s="67" t="s">
        <v>240</v>
      </c>
      <c r="O292" s="67" t="s">
        <v>240</v>
      </c>
      <c r="P292" s="67" t="s">
        <v>240</v>
      </c>
      <c r="Q292" s="67" t="s">
        <v>240</v>
      </c>
      <c r="R292" s="67" t="s">
        <v>580</v>
      </c>
      <c r="S292" s="67">
        <v>3798</v>
      </c>
      <c r="T292" s="67">
        <v>1899</v>
      </c>
      <c r="U292" s="67">
        <v>1899</v>
      </c>
      <c r="V292" s="67">
        <v>66.3</v>
      </c>
      <c r="W292" s="67">
        <v>15.4</v>
      </c>
      <c r="AI292" s="70">
        <f t="shared" si="69"/>
        <v>15.4</v>
      </c>
      <c r="AK292" s="68" t="s">
        <v>744</v>
      </c>
      <c r="AL292" s="68" t="s">
        <v>717</v>
      </c>
      <c r="AP292" s="67">
        <f t="shared" si="70"/>
        <v>0.13971573604673121</v>
      </c>
      <c r="AQ292" s="67">
        <f t="shared" si="71"/>
        <v>474.53495129442257</v>
      </c>
      <c r="AS292" s="67">
        <f t="shared" si="72"/>
        <v>1.0640312604173799E-3</v>
      </c>
      <c r="AU292" s="67">
        <f t="shared" si="73"/>
        <v>3796</v>
      </c>
      <c r="AV292" s="67">
        <f t="shared" si="74"/>
        <v>1</v>
      </c>
      <c r="AW292" s="67" t="s">
        <v>1350</v>
      </c>
    </row>
    <row r="293" spans="1:49" ht="30" customHeight="1" x14ac:dyDescent="0.25">
      <c r="A293" s="67" t="s">
        <v>124</v>
      </c>
      <c r="B293" s="67" t="s">
        <v>221</v>
      </c>
      <c r="C293" s="67" t="s">
        <v>365</v>
      </c>
      <c r="D293" s="67">
        <f t="shared" si="75"/>
        <v>54</v>
      </c>
      <c r="E293" s="67" t="s">
        <v>577</v>
      </c>
      <c r="F293" s="67" t="s">
        <v>240</v>
      </c>
      <c r="G293" s="68" t="s">
        <v>714</v>
      </c>
      <c r="H293" s="67">
        <v>1</v>
      </c>
      <c r="I293" s="67">
        <v>18</v>
      </c>
      <c r="J293" s="67">
        <v>2</v>
      </c>
      <c r="K293" s="68" t="s">
        <v>611</v>
      </c>
      <c r="L293" s="67" t="s">
        <v>721</v>
      </c>
      <c r="M293" s="68" t="s">
        <v>570</v>
      </c>
      <c r="N293" s="67" t="s">
        <v>240</v>
      </c>
      <c r="O293" s="67" t="s">
        <v>240</v>
      </c>
      <c r="P293" s="67" t="s">
        <v>240</v>
      </c>
      <c r="Q293" s="67" t="s">
        <v>240</v>
      </c>
      <c r="R293" s="67" t="s">
        <v>580</v>
      </c>
      <c r="S293" s="67">
        <v>3798</v>
      </c>
      <c r="T293" s="67">
        <v>1899</v>
      </c>
      <c r="U293" s="67">
        <v>1899</v>
      </c>
      <c r="V293" s="67">
        <v>101.3</v>
      </c>
      <c r="W293" s="67">
        <v>147</v>
      </c>
      <c r="AI293" s="70">
        <f t="shared" si="69"/>
        <v>147</v>
      </c>
      <c r="AK293" s="68" t="s">
        <v>745</v>
      </c>
      <c r="AL293" s="68" t="s">
        <v>717</v>
      </c>
      <c r="AP293" s="67">
        <f t="shared" si="70"/>
        <v>2.2363749863804152E-2</v>
      </c>
      <c r="AQ293" s="67">
        <f t="shared" si="71"/>
        <v>4529.6518078103973</v>
      </c>
      <c r="AS293" s="67">
        <f t="shared" si="72"/>
        <v>1.0540047187246502E-3</v>
      </c>
      <c r="AU293" s="67">
        <f t="shared" si="73"/>
        <v>3796</v>
      </c>
      <c r="AV293" s="67">
        <f t="shared" si="74"/>
        <v>1</v>
      </c>
      <c r="AW293" s="67" t="s">
        <v>1350</v>
      </c>
    </row>
    <row r="294" spans="1:49" ht="30" customHeight="1" x14ac:dyDescent="0.25">
      <c r="A294" s="67" t="s">
        <v>124</v>
      </c>
      <c r="B294" s="67" t="s">
        <v>221</v>
      </c>
      <c r="C294" s="67" t="s">
        <v>365</v>
      </c>
      <c r="D294" s="67">
        <f t="shared" si="75"/>
        <v>55</v>
      </c>
      <c r="E294" s="67" t="s">
        <v>605</v>
      </c>
      <c r="F294" s="67" t="s">
        <v>718</v>
      </c>
      <c r="G294" s="68" t="s">
        <v>714</v>
      </c>
      <c r="H294" s="67">
        <v>1</v>
      </c>
      <c r="I294" s="67">
        <v>6</v>
      </c>
      <c r="J294" s="67">
        <v>2</v>
      </c>
      <c r="K294" s="68" t="s">
        <v>611</v>
      </c>
      <c r="L294" s="67" t="s">
        <v>721</v>
      </c>
      <c r="M294" s="68" t="s">
        <v>570</v>
      </c>
      <c r="N294" s="67" t="s">
        <v>240</v>
      </c>
      <c r="O294" s="67" t="s">
        <v>240</v>
      </c>
      <c r="P294" s="67" t="s">
        <v>240</v>
      </c>
      <c r="Q294" s="67" t="s">
        <v>240</v>
      </c>
      <c r="R294" s="67" t="s">
        <v>580</v>
      </c>
      <c r="S294" s="67">
        <f t="shared" ref="S294:U299" si="77">0.5*S$287</f>
        <v>3651</v>
      </c>
      <c r="T294" s="67">
        <f t="shared" si="77"/>
        <v>1825.5</v>
      </c>
      <c r="U294" s="67">
        <f t="shared" si="77"/>
        <v>1825.5</v>
      </c>
      <c r="V294" s="67">
        <v>71.599999999999994</v>
      </c>
      <c r="W294" s="67">
        <v>19.7</v>
      </c>
      <c r="AI294" s="70">
        <f t="shared" si="69"/>
        <v>19.7</v>
      </c>
      <c r="AK294" s="68" t="s">
        <v>746</v>
      </c>
      <c r="AL294" s="68" t="s">
        <v>719</v>
      </c>
      <c r="AP294" s="67">
        <f t="shared" si="70"/>
        <v>0.12030145370872466</v>
      </c>
      <c r="AQ294" s="67">
        <f t="shared" si="71"/>
        <v>595.1715277968193</v>
      </c>
      <c r="AS294" s="67">
        <f t="shared" si="72"/>
        <v>1.1041276937291936E-3</v>
      </c>
      <c r="AU294" s="67">
        <f t="shared" si="73"/>
        <v>3649</v>
      </c>
      <c r="AV294" s="67">
        <f t="shared" si="74"/>
        <v>1</v>
      </c>
      <c r="AW294" s="67" t="s">
        <v>1350</v>
      </c>
    </row>
    <row r="295" spans="1:49" ht="30" customHeight="1" x14ac:dyDescent="0.25">
      <c r="A295" s="67" t="s">
        <v>124</v>
      </c>
      <c r="B295" s="67" t="s">
        <v>221</v>
      </c>
      <c r="C295" s="67" t="s">
        <v>365</v>
      </c>
      <c r="D295" s="67">
        <f t="shared" si="75"/>
        <v>56</v>
      </c>
      <c r="E295" s="67" t="s">
        <v>605</v>
      </c>
      <c r="F295" s="67" t="s">
        <v>718</v>
      </c>
      <c r="G295" s="68" t="s">
        <v>714</v>
      </c>
      <c r="H295" s="67">
        <v>1</v>
      </c>
      <c r="I295" s="67">
        <v>12</v>
      </c>
      <c r="J295" s="67">
        <v>2</v>
      </c>
      <c r="K295" s="68" t="s">
        <v>611</v>
      </c>
      <c r="L295" s="67" t="s">
        <v>721</v>
      </c>
      <c r="M295" s="68" t="s">
        <v>570</v>
      </c>
      <c r="N295" s="67" t="s">
        <v>240</v>
      </c>
      <c r="O295" s="67" t="s">
        <v>240</v>
      </c>
      <c r="P295" s="67" t="s">
        <v>240</v>
      </c>
      <c r="Q295" s="67" t="s">
        <v>240</v>
      </c>
      <c r="R295" s="67" t="s">
        <v>580</v>
      </c>
      <c r="S295" s="67">
        <f t="shared" si="77"/>
        <v>3651</v>
      </c>
      <c r="T295" s="67">
        <f t="shared" si="77"/>
        <v>1825.5</v>
      </c>
      <c r="U295" s="67">
        <f t="shared" si="77"/>
        <v>1825.5</v>
      </c>
      <c r="V295" s="67">
        <v>57.1</v>
      </c>
      <c r="W295" s="67">
        <v>13.7</v>
      </c>
      <c r="AI295" s="70">
        <f t="shared" si="69"/>
        <v>13.7</v>
      </c>
      <c r="AK295" s="68" t="s">
        <v>747</v>
      </c>
      <c r="AL295" s="68" t="s">
        <v>719</v>
      </c>
      <c r="AP295" s="67">
        <f t="shared" si="70"/>
        <v>0.13795569081406553</v>
      </c>
      <c r="AQ295" s="67">
        <f t="shared" si="71"/>
        <v>413.90101171656971</v>
      </c>
      <c r="AS295" s="67">
        <f t="shared" si="72"/>
        <v>1.1066280133692021E-3</v>
      </c>
      <c r="AU295" s="67">
        <f t="shared" si="73"/>
        <v>3649</v>
      </c>
      <c r="AV295" s="67">
        <f t="shared" si="74"/>
        <v>1</v>
      </c>
      <c r="AW295" s="67" t="s">
        <v>1350</v>
      </c>
    </row>
    <row r="296" spans="1:49" ht="30" customHeight="1" x14ac:dyDescent="0.25">
      <c r="A296" s="67" t="s">
        <v>124</v>
      </c>
      <c r="B296" s="67" t="s">
        <v>221</v>
      </c>
      <c r="C296" s="67" t="s">
        <v>365</v>
      </c>
      <c r="D296" s="67">
        <f t="shared" si="75"/>
        <v>57</v>
      </c>
      <c r="E296" s="67" t="s">
        <v>605</v>
      </c>
      <c r="F296" s="67" t="s">
        <v>718</v>
      </c>
      <c r="G296" s="68" t="s">
        <v>714</v>
      </c>
      <c r="H296" s="67">
        <v>1</v>
      </c>
      <c r="I296" s="67">
        <v>18</v>
      </c>
      <c r="J296" s="67">
        <v>2</v>
      </c>
      <c r="K296" s="68" t="s">
        <v>611</v>
      </c>
      <c r="L296" s="67" t="s">
        <v>721</v>
      </c>
      <c r="M296" s="68" t="s">
        <v>570</v>
      </c>
      <c r="N296" s="67" t="s">
        <v>240</v>
      </c>
      <c r="O296" s="67" t="s">
        <v>240</v>
      </c>
      <c r="P296" s="67" t="s">
        <v>240</v>
      </c>
      <c r="Q296" s="67" t="s">
        <v>240</v>
      </c>
      <c r="R296" s="67" t="s">
        <v>580</v>
      </c>
      <c r="S296" s="67">
        <f t="shared" si="77"/>
        <v>3651</v>
      </c>
      <c r="T296" s="67">
        <f t="shared" si="77"/>
        <v>1825.5</v>
      </c>
      <c r="U296" s="67">
        <f t="shared" si="77"/>
        <v>1825.5</v>
      </c>
      <c r="V296" s="67">
        <v>61.8</v>
      </c>
      <c r="W296" s="67">
        <v>14.7</v>
      </c>
      <c r="AI296" s="70">
        <f t="shared" si="69"/>
        <v>14.7</v>
      </c>
      <c r="AK296" s="68" t="s">
        <v>748</v>
      </c>
      <c r="AL296" s="68" t="s">
        <v>719</v>
      </c>
      <c r="AP296" s="67">
        <f t="shared" si="70"/>
        <v>0.13915384774847409</v>
      </c>
      <c r="AQ296" s="67">
        <f t="shared" si="71"/>
        <v>444.11276439661134</v>
      </c>
      <c r="AS296" s="67">
        <f t="shared" si="72"/>
        <v>1.1068100921820447E-3</v>
      </c>
      <c r="AU296" s="67">
        <f t="shared" si="73"/>
        <v>3649</v>
      </c>
      <c r="AV296" s="67">
        <f t="shared" si="74"/>
        <v>1</v>
      </c>
      <c r="AW296" s="67" t="s">
        <v>1350</v>
      </c>
    </row>
    <row r="297" spans="1:49" ht="30" customHeight="1" x14ac:dyDescent="0.25">
      <c r="A297" s="67" t="s">
        <v>124</v>
      </c>
      <c r="B297" s="67" t="s">
        <v>221</v>
      </c>
      <c r="C297" s="67" t="s">
        <v>365</v>
      </c>
      <c r="D297" s="67">
        <f t="shared" si="75"/>
        <v>58</v>
      </c>
      <c r="E297" s="67" t="s">
        <v>605</v>
      </c>
      <c r="F297" s="67" t="s">
        <v>720</v>
      </c>
      <c r="G297" s="68" t="s">
        <v>714</v>
      </c>
      <c r="H297" s="67">
        <v>1</v>
      </c>
      <c r="I297" s="67">
        <v>6</v>
      </c>
      <c r="J297" s="67">
        <v>2</v>
      </c>
      <c r="K297" s="68" t="s">
        <v>611</v>
      </c>
      <c r="L297" s="67" t="s">
        <v>721</v>
      </c>
      <c r="M297" s="68" t="s">
        <v>570</v>
      </c>
      <c r="N297" s="67" t="s">
        <v>240</v>
      </c>
      <c r="O297" s="67" t="s">
        <v>240</v>
      </c>
      <c r="P297" s="67" t="s">
        <v>240</v>
      </c>
      <c r="Q297" s="67" t="s">
        <v>240</v>
      </c>
      <c r="R297" s="67" t="s">
        <v>580</v>
      </c>
      <c r="S297" s="67">
        <f t="shared" si="77"/>
        <v>3651</v>
      </c>
      <c r="T297" s="67">
        <f t="shared" si="77"/>
        <v>1825.5</v>
      </c>
      <c r="U297" s="67">
        <f t="shared" si="77"/>
        <v>1825.5</v>
      </c>
      <c r="V297" s="67">
        <v>42</v>
      </c>
      <c r="W297" s="67">
        <v>28.3</v>
      </c>
      <c r="AI297" s="70">
        <f t="shared" ref="AI297:AI328" si="78">+W297</f>
        <v>28.3</v>
      </c>
      <c r="AK297" s="68" t="s">
        <v>749</v>
      </c>
      <c r="AL297" s="68" t="s">
        <v>719</v>
      </c>
      <c r="AP297" s="67">
        <f t="shared" si="70"/>
        <v>4.9123232129122729E-2</v>
      </c>
      <c r="AQ297" s="67">
        <f t="shared" si="71"/>
        <v>854.99260084517698</v>
      </c>
      <c r="AS297" s="67">
        <f t="shared" si="72"/>
        <v>1.0975143963178312E-3</v>
      </c>
      <c r="AU297" s="67">
        <f t="shared" si="73"/>
        <v>3649</v>
      </c>
      <c r="AV297" s="67">
        <f t="shared" si="74"/>
        <v>1</v>
      </c>
      <c r="AW297" s="67" t="s">
        <v>1350</v>
      </c>
    </row>
    <row r="298" spans="1:49" ht="30" customHeight="1" x14ac:dyDescent="0.25">
      <c r="A298" s="67" t="s">
        <v>124</v>
      </c>
      <c r="B298" s="67" t="s">
        <v>221</v>
      </c>
      <c r="C298" s="67" t="s">
        <v>365</v>
      </c>
      <c r="D298" s="67">
        <f t="shared" si="75"/>
        <v>59</v>
      </c>
      <c r="E298" s="67" t="s">
        <v>605</v>
      </c>
      <c r="F298" s="67" t="s">
        <v>720</v>
      </c>
      <c r="G298" s="68" t="s">
        <v>714</v>
      </c>
      <c r="H298" s="67">
        <v>1</v>
      </c>
      <c r="I298" s="67">
        <v>12</v>
      </c>
      <c r="J298" s="67">
        <v>2</v>
      </c>
      <c r="K298" s="68" t="s">
        <v>611</v>
      </c>
      <c r="L298" s="67" t="s">
        <v>721</v>
      </c>
      <c r="M298" s="68" t="s">
        <v>570</v>
      </c>
      <c r="N298" s="67" t="s">
        <v>240</v>
      </c>
      <c r="O298" s="67" t="s">
        <v>240</v>
      </c>
      <c r="P298" s="67" t="s">
        <v>240</v>
      </c>
      <c r="Q298" s="67" t="s">
        <v>240</v>
      </c>
      <c r="R298" s="67" t="s">
        <v>580</v>
      </c>
      <c r="S298" s="67">
        <f t="shared" si="77"/>
        <v>3651</v>
      </c>
      <c r="T298" s="67">
        <f t="shared" si="77"/>
        <v>1825.5</v>
      </c>
      <c r="U298" s="67">
        <f t="shared" si="77"/>
        <v>1825.5</v>
      </c>
      <c r="V298" s="67">
        <v>64.099999999999994</v>
      </c>
      <c r="W298" s="67">
        <v>23.4</v>
      </c>
      <c r="AI298" s="70">
        <f t="shared" si="78"/>
        <v>23.4</v>
      </c>
      <c r="AK298" s="68" t="s">
        <v>750</v>
      </c>
      <c r="AL298" s="68" t="s">
        <v>719</v>
      </c>
      <c r="AP298" s="67">
        <f t="shared" si="70"/>
        <v>9.0670550243378611E-2</v>
      </c>
      <c r="AQ298" s="67">
        <f t="shared" si="71"/>
        <v>706.95501271297314</v>
      </c>
      <c r="AS298" s="67">
        <f t="shared" si="72"/>
        <v>1.100699511067831E-3</v>
      </c>
      <c r="AU298" s="67">
        <f t="shared" si="73"/>
        <v>3649</v>
      </c>
      <c r="AV298" s="67">
        <f t="shared" si="74"/>
        <v>1</v>
      </c>
      <c r="AW298" s="67" t="s">
        <v>1350</v>
      </c>
    </row>
    <row r="299" spans="1:49" ht="30" customHeight="1" x14ac:dyDescent="0.25">
      <c r="A299" s="67" t="s">
        <v>124</v>
      </c>
      <c r="B299" s="67" t="s">
        <v>221</v>
      </c>
      <c r="C299" s="67" t="s">
        <v>365</v>
      </c>
      <c r="D299" s="67">
        <f t="shared" si="75"/>
        <v>60</v>
      </c>
      <c r="E299" s="67" t="s">
        <v>605</v>
      </c>
      <c r="F299" s="67" t="s">
        <v>720</v>
      </c>
      <c r="G299" s="68" t="s">
        <v>714</v>
      </c>
      <c r="H299" s="67">
        <v>1</v>
      </c>
      <c r="I299" s="67">
        <v>18</v>
      </c>
      <c r="J299" s="67">
        <v>2</v>
      </c>
      <c r="K299" s="68" t="s">
        <v>611</v>
      </c>
      <c r="L299" s="67" t="s">
        <v>721</v>
      </c>
      <c r="M299" s="68" t="s">
        <v>570</v>
      </c>
      <c r="N299" s="67" t="s">
        <v>240</v>
      </c>
      <c r="O299" s="67" t="s">
        <v>240</v>
      </c>
      <c r="P299" s="67" t="s">
        <v>240</v>
      </c>
      <c r="Q299" s="67" t="s">
        <v>240</v>
      </c>
      <c r="R299" s="67" t="s">
        <v>580</v>
      </c>
      <c r="S299" s="67">
        <f t="shared" si="77"/>
        <v>3651</v>
      </c>
      <c r="T299" s="67">
        <f t="shared" si="77"/>
        <v>1825.5</v>
      </c>
      <c r="U299" s="67">
        <f t="shared" si="77"/>
        <v>1825.5</v>
      </c>
      <c r="V299" s="67">
        <v>106.4</v>
      </c>
      <c r="W299" s="67">
        <v>22.3</v>
      </c>
      <c r="AI299" s="70">
        <f t="shared" si="78"/>
        <v>22.3</v>
      </c>
      <c r="AK299" s="68" t="s">
        <v>751</v>
      </c>
      <c r="AL299" s="68" t="s">
        <v>719</v>
      </c>
      <c r="AP299" s="67">
        <f t="shared" si="70"/>
        <v>0.15792862132035451</v>
      </c>
      <c r="AQ299" s="67">
        <f t="shared" si="71"/>
        <v>673.72208476492744</v>
      </c>
      <c r="AS299" s="67">
        <f t="shared" si="72"/>
        <v>1.1098688561463682E-3</v>
      </c>
      <c r="AU299" s="67">
        <f t="shared" si="73"/>
        <v>3649</v>
      </c>
      <c r="AV299" s="67">
        <f t="shared" si="74"/>
        <v>1</v>
      </c>
      <c r="AW299" s="67" t="s">
        <v>1350</v>
      </c>
    </row>
    <row r="300" spans="1:49" ht="30" customHeight="1" x14ac:dyDescent="0.25">
      <c r="A300" s="67" t="s">
        <v>124</v>
      </c>
      <c r="B300" s="67" t="s">
        <v>221</v>
      </c>
      <c r="C300" s="67" t="s">
        <v>365</v>
      </c>
      <c r="D300" s="67">
        <f t="shared" si="75"/>
        <v>61</v>
      </c>
      <c r="E300" s="67" t="s">
        <v>605</v>
      </c>
      <c r="F300" s="67" t="s">
        <v>240</v>
      </c>
      <c r="G300" s="68" t="s">
        <v>714</v>
      </c>
      <c r="H300" s="67">
        <v>1</v>
      </c>
      <c r="I300" s="67">
        <v>6</v>
      </c>
      <c r="J300" s="67">
        <v>6</v>
      </c>
      <c r="K300" s="68" t="s">
        <v>752</v>
      </c>
      <c r="L300" s="67" t="s">
        <v>721</v>
      </c>
      <c r="M300" s="68" t="s">
        <v>570</v>
      </c>
      <c r="N300" s="67" t="s">
        <v>240</v>
      </c>
      <c r="O300" s="67" t="s">
        <v>240</v>
      </c>
      <c r="P300" s="67" t="s">
        <v>240</v>
      </c>
      <c r="Q300" s="67" t="s">
        <v>240</v>
      </c>
      <c r="R300" s="67" t="s">
        <v>584</v>
      </c>
      <c r="S300" s="67">
        <v>7302</v>
      </c>
      <c r="T300" s="67">
        <v>3651</v>
      </c>
      <c r="U300" s="67">
        <v>3651</v>
      </c>
      <c r="V300" s="67">
        <v>0.3</v>
      </c>
      <c r="W300" s="67">
        <v>0.1</v>
      </c>
      <c r="X300" s="67">
        <v>1.365</v>
      </c>
      <c r="Y300" s="67">
        <v>1.7130000000000001</v>
      </c>
      <c r="AB300" s="67">
        <v>1.92</v>
      </c>
      <c r="AC300" s="67">
        <v>1.9610000000000001</v>
      </c>
      <c r="AI300" s="70">
        <f t="shared" si="78"/>
        <v>0.1</v>
      </c>
      <c r="AK300" s="68" t="s">
        <v>753</v>
      </c>
      <c r="AL300" s="68" t="s">
        <v>715</v>
      </c>
      <c r="AP300" s="67">
        <f t="shared" si="70"/>
        <v>7.0215070473585064E-2</v>
      </c>
      <c r="AQ300" s="67">
        <f t="shared" si="71"/>
        <v>4.2725870383176519</v>
      </c>
      <c r="AS300" s="67">
        <f t="shared" si="72"/>
        <v>5.4929634447711362E-4</v>
      </c>
      <c r="AU300" s="67">
        <f t="shared" si="73"/>
        <v>7300</v>
      </c>
      <c r="AV300" s="67">
        <f t="shared" si="74"/>
        <v>1</v>
      </c>
      <c r="AW300" s="67" t="s">
        <v>1350</v>
      </c>
    </row>
    <row r="301" spans="1:49" ht="30" customHeight="1" x14ac:dyDescent="0.25">
      <c r="A301" s="67" t="s">
        <v>124</v>
      </c>
      <c r="B301" s="67" t="s">
        <v>221</v>
      </c>
      <c r="C301" s="67" t="s">
        <v>365</v>
      </c>
      <c r="D301" s="67">
        <f t="shared" si="75"/>
        <v>62</v>
      </c>
      <c r="E301" s="67" t="s">
        <v>605</v>
      </c>
      <c r="F301" s="67" t="s">
        <v>240</v>
      </c>
      <c r="G301" s="68" t="s">
        <v>714</v>
      </c>
      <c r="H301" s="67">
        <v>1</v>
      </c>
      <c r="I301" s="67">
        <v>12</v>
      </c>
      <c r="J301" s="67">
        <v>6</v>
      </c>
      <c r="K301" s="68" t="s">
        <v>752</v>
      </c>
      <c r="L301" s="67" t="s">
        <v>721</v>
      </c>
      <c r="M301" s="68" t="s">
        <v>570</v>
      </c>
      <c r="N301" s="67" t="s">
        <v>240</v>
      </c>
      <c r="O301" s="67" t="s">
        <v>240</v>
      </c>
      <c r="P301" s="67" t="s">
        <v>240</v>
      </c>
      <c r="Q301" s="67" t="s">
        <v>240</v>
      </c>
      <c r="R301" s="67" t="s">
        <v>584</v>
      </c>
      <c r="S301" s="67">
        <v>7302</v>
      </c>
      <c r="T301" s="67">
        <v>3651</v>
      </c>
      <c r="U301" s="67">
        <v>3651</v>
      </c>
      <c r="V301" s="67">
        <v>0.4</v>
      </c>
      <c r="W301" s="67">
        <v>0.1</v>
      </c>
      <c r="X301" s="67">
        <v>1.365</v>
      </c>
      <c r="Y301" s="67">
        <v>1.7130000000000001</v>
      </c>
      <c r="AB301" s="67">
        <v>1.3640000000000001</v>
      </c>
      <c r="AC301" s="67">
        <v>1.3340000000000001</v>
      </c>
      <c r="AI301" s="70">
        <f t="shared" si="78"/>
        <v>0.1</v>
      </c>
      <c r="AK301" s="68" t="s">
        <v>754</v>
      </c>
      <c r="AL301" s="68" t="s">
        <v>715</v>
      </c>
      <c r="AP301" s="67">
        <f t="shared" si="70"/>
        <v>9.3620093964780091E-2</v>
      </c>
      <c r="AQ301" s="67">
        <f t="shared" si="71"/>
        <v>4.2725870383176519</v>
      </c>
      <c r="AS301" s="67">
        <f t="shared" si="72"/>
        <v>5.5034719837471929E-4</v>
      </c>
      <c r="AU301" s="67">
        <f t="shared" si="73"/>
        <v>7300</v>
      </c>
      <c r="AV301" s="67">
        <f t="shared" si="74"/>
        <v>1</v>
      </c>
      <c r="AW301" s="67" t="s">
        <v>1350</v>
      </c>
    </row>
    <row r="302" spans="1:49" ht="30" customHeight="1" x14ac:dyDescent="0.25">
      <c r="A302" s="67" t="s">
        <v>124</v>
      </c>
      <c r="B302" s="67" t="s">
        <v>221</v>
      </c>
      <c r="C302" s="67" t="s">
        <v>365</v>
      </c>
      <c r="D302" s="67">
        <f t="shared" si="75"/>
        <v>63</v>
      </c>
      <c r="E302" s="67" t="s">
        <v>605</v>
      </c>
      <c r="F302" s="67" t="s">
        <v>240</v>
      </c>
      <c r="G302" s="68" t="s">
        <v>714</v>
      </c>
      <c r="H302" s="67">
        <v>1</v>
      </c>
      <c r="I302" s="67">
        <v>18</v>
      </c>
      <c r="J302" s="67">
        <v>6</v>
      </c>
      <c r="K302" s="68" t="s">
        <v>752</v>
      </c>
      <c r="L302" s="67" t="s">
        <v>721</v>
      </c>
      <c r="M302" s="68" t="s">
        <v>570</v>
      </c>
      <c r="N302" s="67" t="s">
        <v>240</v>
      </c>
      <c r="O302" s="67" t="s">
        <v>240</v>
      </c>
      <c r="P302" s="67" t="s">
        <v>240</v>
      </c>
      <c r="Q302" s="67" t="s">
        <v>240</v>
      </c>
      <c r="R302" s="67" t="s">
        <v>584</v>
      </c>
      <c r="S302" s="67">
        <v>7302</v>
      </c>
      <c r="T302" s="67">
        <v>3651</v>
      </c>
      <c r="U302" s="67">
        <v>3651</v>
      </c>
      <c r="V302" s="67">
        <v>0.5</v>
      </c>
      <c r="W302" s="67">
        <v>0.1</v>
      </c>
      <c r="X302" s="67">
        <v>1.365</v>
      </c>
      <c r="Y302" s="67">
        <v>1.7130000000000001</v>
      </c>
      <c r="AB302" s="67">
        <v>1.4510000000000001</v>
      </c>
      <c r="AC302" s="67">
        <v>1.3380000000000001</v>
      </c>
      <c r="AI302" s="70">
        <f t="shared" si="78"/>
        <v>0.1</v>
      </c>
      <c r="AK302" s="68" t="s">
        <v>727</v>
      </c>
      <c r="AL302" s="68" t="s">
        <v>715</v>
      </c>
      <c r="AP302" s="67">
        <f t="shared" si="70"/>
        <v>0.1170251174559751</v>
      </c>
      <c r="AQ302" s="67">
        <f t="shared" si="71"/>
        <v>4.2725870383176519</v>
      </c>
      <c r="AS302" s="67">
        <f t="shared" si="72"/>
        <v>5.5169829624306956E-4</v>
      </c>
      <c r="AU302" s="67">
        <f t="shared" si="73"/>
        <v>7300</v>
      </c>
      <c r="AV302" s="67">
        <f t="shared" si="74"/>
        <v>1</v>
      </c>
      <c r="AW302" s="67" t="s">
        <v>1350</v>
      </c>
    </row>
    <row r="303" spans="1:49" ht="30" customHeight="1" x14ac:dyDescent="0.25">
      <c r="A303" s="67" t="s">
        <v>124</v>
      </c>
      <c r="B303" s="67" t="s">
        <v>221</v>
      </c>
      <c r="C303" s="67" t="s">
        <v>365</v>
      </c>
      <c r="D303" s="67">
        <f t="shared" si="75"/>
        <v>64</v>
      </c>
      <c r="E303" s="67" t="s">
        <v>583</v>
      </c>
      <c r="F303" s="67" t="s">
        <v>240</v>
      </c>
      <c r="G303" s="68" t="s">
        <v>714</v>
      </c>
      <c r="H303" s="67">
        <v>1</v>
      </c>
      <c r="I303" s="67">
        <v>6</v>
      </c>
      <c r="J303" s="67">
        <v>6</v>
      </c>
      <c r="K303" s="68" t="s">
        <v>752</v>
      </c>
      <c r="L303" s="67" t="s">
        <v>721</v>
      </c>
      <c r="M303" s="68" t="s">
        <v>570</v>
      </c>
      <c r="N303" s="67" t="s">
        <v>240</v>
      </c>
      <c r="O303" s="67" t="s">
        <v>240</v>
      </c>
      <c r="P303" s="67" t="s">
        <v>240</v>
      </c>
      <c r="Q303" s="67" t="s">
        <v>240</v>
      </c>
      <c r="R303" s="67" t="s">
        <v>584</v>
      </c>
      <c r="S303" s="67">
        <v>3504</v>
      </c>
      <c r="T303" s="67">
        <v>1752</v>
      </c>
      <c r="U303" s="67">
        <v>1752</v>
      </c>
      <c r="V303" s="67">
        <v>0.3</v>
      </c>
      <c r="W303" s="67">
        <v>0.1</v>
      </c>
      <c r="AI303" s="70">
        <f t="shared" si="78"/>
        <v>0.1</v>
      </c>
      <c r="AK303" s="68" t="s">
        <v>755</v>
      </c>
      <c r="AL303" s="68" t="s">
        <v>716</v>
      </c>
      <c r="AP303" s="67">
        <f t="shared" si="70"/>
        <v>0.10136060675992288</v>
      </c>
      <c r="AQ303" s="67">
        <f t="shared" si="71"/>
        <v>2.9597297173897488</v>
      </c>
      <c r="AS303" s="67">
        <f t="shared" si="72"/>
        <v>1.1480756686236141E-3</v>
      </c>
      <c r="AU303" s="67">
        <f t="shared" si="73"/>
        <v>3502</v>
      </c>
      <c r="AV303" s="67">
        <f t="shared" si="74"/>
        <v>1</v>
      </c>
      <c r="AW303" s="67" t="s">
        <v>1350</v>
      </c>
    </row>
    <row r="304" spans="1:49" ht="30" customHeight="1" x14ac:dyDescent="0.25">
      <c r="A304" s="67" t="s">
        <v>124</v>
      </c>
      <c r="B304" s="67" t="s">
        <v>221</v>
      </c>
      <c r="C304" s="67" t="s">
        <v>365</v>
      </c>
      <c r="D304" s="67">
        <f t="shared" si="75"/>
        <v>65</v>
      </c>
      <c r="E304" s="67" t="s">
        <v>583</v>
      </c>
      <c r="F304" s="67" t="s">
        <v>240</v>
      </c>
      <c r="G304" s="68" t="s">
        <v>714</v>
      </c>
      <c r="H304" s="67">
        <v>1</v>
      </c>
      <c r="I304" s="67">
        <v>12</v>
      </c>
      <c r="J304" s="67">
        <v>6</v>
      </c>
      <c r="K304" s="68" t="s">
        <v>752</v>
      </c>
      <c r="L304" s="67" t="s">
        <v>721</v>
      </c>
      <c r="M304" s="68" t="s">
        <v>570</v>
      </c>
      <c r="N304" s="67" t="s">
        <v>240</v>
      </c>
      <c r="O304" s="67" t="s">
        <v>240</v>
      </c>
      <c r="P304" s="67" t="s">
        <v>240</v>
      </c>
      <c r="Q304" s="67" t="s">
        <v>240</v>
      </c>
      <c r="R304" s="67" t="s">
        <v>584</v>
      </c>
      <c r="S304" s="67">
        <v>3504</v>
      </c>
      <c r="T304" s="67">
        <v>1752</v>
      </c>
      <c r="U304" s="67">
        <v>1752</v>
      </c>
      <c r="V304" s="67">
        <v>0.5</v>
      </c>
      <c r="W304" s="67">
        <v>0.1</v>
      </c>
      <c r="AI304" s="70">
        <f t="shared" si="78"/>
        <v>0.1</v>
      </c>
      <c r="AK304" s="68" t="s">
        <v>756</v>
      </c>
      <c r="AL304" s="68" t="s">
        <v>716</v>
      </c>
      <c r="AP304" s="67">
        <f t="shared" si="70"/>
        <v>0.16893434459987147</v>
      </c>
      <c r="AQ304" s="67">
        <f t="shared" si="71"/>
        <v>2.9597297173897488</v>
      </c>
      <c r="AS304" s="67">
        <f t="shared" si="72"/>
        <v>1.158512720156555E-3</v>
      </c>
      <c r="AU304" s="67">
        <f t="shared" si="73"/>
        <v>3502</v>
      </c>
      <c r="AV304" s="67">
        <f t="shared" si="74"/>
        <v>1</v>
      </c>
      <c r="AW304" s="67" t="s">
        <v>1350</v>
      </c>
    </row>
    <row r="305" spans="1:49" ht="30" customHeight="1" x14ac:dyDescent="0.25">
      <c r="A305" s="67" t="s">
        <v>124</v>
      </c>
      <c r="B305" s="67" t="s">
        <v>221</v>
      </c>
      <c r="C305" s="67" t="s">
        <v>365</v>
      </c>
      <c r="D305" s="67">
        <f t="shared" ref="D305:D314" si="79">D304+1</f>
        <v>66</v>
      </c>
      <c r="E305" s="67" t="s">
        <v>583</v>
      </c>
      <c r="F305" s="67" t="s">
        <v>240</v>
      </c>
      <c r="G305" s="68" t="s">
        <v>714</v>
      </c>
      <c r="H305" s="67">
        <v>1</v>
      </c>
      <c r="I305" s="67">
        <v>18</v>
      </c>
      <c r="J305" s="67">
        <v>6</v>
      </c>
      <c r="K305" s="68" t="s">
        <v>752</v>
      </c>
      <c r="L305" s="67" t="s">
        <v>721</v>
      </c>
      <c r="M305" s="68" t="s">
        <v>570</v>
      </c>
      <c r="N305" s="67" t="s">
        <v>240</v>
      </c>
      <c r="O305" s="67" t="s">
        <v>240</v>
      </c>
      <c r="P305" s="67" t="s">
        <v>240</v>
      </c>
      <c r="Q305" s="67" t="s">
        <v>240</v>
      </c>
      <c r="R305" s="67" t="s">
        <v>584</v>
      </c>
      <c r="S305" s="67">
        <v>3504</v>
      </c>
      <c r="T305" s="67">
        <v>1752</v>
      </c>
      <c r="U305" s="67">
        <v>1752</v>
      </c>
      <c r="V305" s="67">
        <v>0.6</v>
      </c>
      <c r="W305" s="67">
        <v>0.1</v>
      </c>
      <c r="AI305" s="70">
        <f t="shared" si="78"/>
        <v>0.1</v>
      </c>
      <c r="AK305" s="68" t="s">
        <v>757</v>
      </c>
      <c r="AL305" s="68" t="s">
        <v>716</v>
      </c>
      <c r="AP305" s="67">
        <f t="shared" si="70"/>
        <v>0.20272121351984576</v>
      </c>
      <c r="AQ305" s="67">
        <f t="shared" si="71"/>
        <v>2.9597297173897488</v>
      </c>
      <c r="AS305" s="67">
        <f t="shared" si="72"/>
        <v>1.1656881930854537E-3</v>
      </c>
      <c r="AU305" s="67">
        <f t="shared" si="73"/>
        <v>3502</v>
      </c>
      <c r="AV305" s="67">
        <f t="shared" si="74"/>
        <v>1</v>
      </c>
      <c r="AW305" s="67" t="s">
        <v>1350</v>
      </c>
    </row>
    <row r="306" spans="1:49" ht="30" customHeight="1" x14ac:dyDescent="0.25">
      <c r="A306" s="67" t="s">
        <v>124</v>
      </c>
      <c r="B306" s="67" t="s">
        <v>221</v>
      </c>
      <c r="C306" s="67" t="s">
        <v>365</v>
      </c>
      <c r="D306" s="67">
        <f t="shared" si="79"/>
        <v>67</v>
      </c>
      <c r="E306" s="67" t="s">
        <v>577</v>
      </c>
      <c r="F306" s="67" t="s">
        <v>240</v>
      </c>
      <c r="G306" s="68" t="s">
        <v>714</v>
      </c>
      <c r="H306" s="67">
        <v>1</v>
      </c>
      <c r="I306" s="67">
        <v>6</v>
      </c>
      <c r="J306" s="67">
        <v>6</v>
      </c>
      <c r="K306" s="68" t="s">
        <v>752</v>
      </c>
      <c r="L306" s="67" t="s">
        <v>721</v>
      </c>
      <c r="M306" s="68" t="s">
        <v>570</v>
      </c>
      <c r="N306" s="67" t="s">
        <v>240</v>
      </c>
      <c r="O306" s="67" t="s">
        <v>240</v>
      </c>
      <c r="P306" s="67" t="s">
        <v>240</v>
      </c>
      <c r="Q306" s="67" t="s">
        <v>240</v>
      </c>
      <c r="R306" s="67" t="s">
        <v>584</v>
      </c>
      <c r="S306" s="67">
        <v>3798</v>
      </c>
      <c r="T306" s="67">
        <v>1899</v>
      </c>
      <c r="U306" s="67">
        <v>1899</v>
      </c>
      <c r="V306" s="67">
        <v>0.3</v>
      </c>
      <c r="W306" s="67">
        <v>0.2</v>
      </c>
      <c r="AI306" s="70">
        <f t="shared" si="78"/>
        <v>0.2</v>
      </c>
      <c r="AK306" s="68" t="s">
        <v>758</v>
      </c>
      <c r="AL306" s="68" t="s">
        <v>717</v>
      </c>
      <c r="AP306" s="67">
        <f t="shared" si="70"/>
        <v>4.867923835112354E-2</v>
      </c>
      <c r="AQ306" s="67">
        <f t="shared" si="71"/>
        <v>6.1627915752522417</v>
      </c>
      <c r="AS306" s="67">
        <f t="shared" si="72"/>
        <v>1.0549902384602719E-3</v>
      </c>
      <c r="AU306" s="67">
        <f t="shared" si="73"/>
        <v>3796</v>
      </c>
      <c r="AV306" s="67">
        <f t="shared" si="74"/>
        <v>1</v>
      </c>
      <c r="AW306" s="67" t="s">
        <v>1350</v>
      </c>
    </row>
    <row r="307" spans="1:49" ht="30" customHeight="1" x14ac:dyDescent="0.25">
      <c r="A307" s="67" t="s">
        <v>124</v>
      </c>
      <c r="B307" s="67" t="s">
        <v>221</v>
      </c>
      <c r="C307" s="67" t="s">
        <v>365</v>
      </c>
      <c r="D307" s="67">
        <f t="shared" si="79"/>
        <v>68</v>
      </c>
      <c r="E307" s="67" t="s">
        <v>577</v>
      </c>
      <c r="F307" s="67" t="s">
        <v>240</v>
      </c>
      <c r="G307" s="68" t="s">
        <v>714</v>
      </c>
      <c r="H307" s="67">
        <v>1</v>
      </c>
      <c r="I307" s="67">
        <v>12</v>
      </c>
      <c r="J307" s="67">
        <v>6</v>
      </c>
      <c r="K307" s="68" t="s">
        <v>752</v>
      </c>
      <c r="L307" s="67" t="s">
        <v>721</v>
      </c>
      <c r="M307" s="68" t="s">
        <v>570</v>
      </c>
      <c r="N307" s="67" t="s">
        <v>240</v>
      </c>
      <c r="O307" s="67" t="s">
        <v>240</v>
      </c>
      <c r="P307" s="67" t="s">
        <v>240</v>
      </c>
      <c r="Q307" s="67" t="s">
        <v>240</v>
      </c>
      <c r="R307" s="67" t="s">
        <v>584</v>
      </c>
      <c r="S307" s="67">
        <v>3798</v>
      </c>
      <c r="T307" s="67">
        <v>1899</v>
      </c>
      <c r="U307" s="67">
        <v>1899</v>
      </c>
      <c r="V307" s="67">
        <v>0.2</v>
      </c>
      <c r="W307" s="67">
        <v>0.1</v>
      </c>
      <c r="AI307" s="70">
        <f t="shared" si="78"/>
        <v>0.1</v>
      </c>
      <c r="AK307" s="68" t="s">
        <v>759</v>
      </c>
      <c r="AL307" s="68" t="s">
        <v>717</v>
      </c>
      <c r="AP307" s="67">
        <f t="shared" si="70"/>
        <v>6.4905651134831391E-2</v>
      </c>
      <c r="AQ307" s="67">
        <f t="shared" si="71"/>
        <v>3.0813957876261209</v>
      </c>
      <c r="AS307" s="67">
        <f t="shared" si="72"/>
        <v>1.0559618121570515E-3</v>
      </c>
      <c r="AU307" s="67">
        <f t="shared" si="73"/>
        <v>3796</v>
      </c>
      <c r="AV307" s="67">
        <f t="shared" si="74"/>
        <v>1</v>
      </c>
      <c r="AW307" s="67" t="s">
        <v>1350</v>
      </c>
    </row>
    <row r="308" spans="1:49" ht="30" customHeight="1" x14ac:dyDescent="0.25">
      <c r="A308" s="67" t="s">
        <v>124</v>
      </c>
      <c r="B308" s="67" t="s">
        <v>221</v>
      </c>
      <c r="C308" s="67" t="s">
        <v>365</v>
      </c>
      <c r="D308" s="67">
        <f t="shared" si="79"/>
        <v>69</v>
      </c>
      <c r="E308" s="67" t="s">
        <v>577</v>
      </c>
      <c r="F308" s="67" t="s">
        <v>240</v>
      </c>
      <c r="G308" s="68" t="s">
        <v>714</v>
      </c>
      <c r="H308" s="67">
        <v>1</v>
      </c>
      <c r="I308" s="67">
        <v>18</v>
      </c>
      <c r="J308" s="67">
        <v>6</v>
      </c>
      <c r="K308" s="68" t="s">
        <v>752</v>
      </c>
      <c r="L308" s="67" t="s">
        <v>721</v>
      </c>
      <c r="M308" s="68" t="s">
        <v>570</v>
      </c>
      <c r="N308" s="67" t="s">
        <v>240</v>
      </c>
      <c r="O308" s="67" t="s">
        <v>240</v>
      </c>
      <c r="P308" s="67" t="s">
        <v>240</v>
      </c>
      <c r="Q308" s="67" t="s">
        <v>240</v>
      </c>
      <c r="R308" s="67" t="s">
        <v>584</v>
      </c>
      <c r="S308" s="67">
        <v>3798</v>
      </c>
      <c r="T308" s="67">
        <v>1899</v>
      </c>
      <c r="U308" s="67">
        <v>1899</v>
      </c>
      <c r="V308" s="67">
        <v>0.3</v>
      </c>
      <c r="W308" s="67">
        <v>0.1</v>
      </c>
      <c r="AI308" s="70">
        <f t="shared" si="78"/>
        <v>0.1</v>
      </c>
      <c r="AK308" s="68" t="s">
        <v>760</v>
      </c>
      <c r="AL308" s="68" t="s">
        <v>717</v>
      </c>
      <c r="AP308" s="67">
        <f t="shared" si="70"/>
        <v>9.7358476702247079E-2</v>
      </c>
      <c r="AQ308" s="67">
        <f t="shared" si="71"/>
        <v>3.0813957876261209</v>
      </c>
      <c r="AS308" s="67">
        <f t="shared" si="72"/>
        <v>1.0587377370049945E-3</v>
      </c>
      <c r="AU308" s="67">
        <f t="shared" si="73"/>
        <v>3796</v>
      </c>
      <c r="AV308" s="67">
        <f t="shared" si="74"/>
        <v>1</v>
      </c>
      <c r="AW308" s="67" t="s">
        <v>1350</v>
      </c>
    </row>
    <row r="309" spans="1:49" ht="30" customHeight="1" x14ac:dyDescent="0.25">
      <c r="A309" s="67" t="s">
        <v>124</v>
      </c>
      <c r="B309" s="67" t="s">
        <v>221</v>
      </c>
      <c r="C309" s="67" t="s">
        <v>365</v>
      </c>
      <c r="D309" s="67">
        <f t="shared" si="79"/>
        <v>70</v>
      </c>
      <c r="E309" s="67" t="s">
        <v>605</v>
      </c>
      <c r="F309" s="67" t="s">
        <v>718</v>
      </c>
      <c r="G309" s="68" t="s">
        <v>714</v>
      </c>
      <c r="H309" s="67">
        <v>1</v>
      </c>
      <c r="I309" s="67">
        <v>6</v>
      </c>
      <c r="J309" s="67">
        <v>6</v>
      </c>
      <c r="K309" s="68" t="s">
        <v>752</v>
      </c>
      <c r="L309" s="67" t="s">
        <v>721</v>
      </c>
      <c r="M309" s="68" t="s">
        <v>570</v>
      </c>
      <c r="N309" s="67" t="s">
        <v>240</v>
      </c>
      <c r="O309" s="67" t="s">
        <v>240</v>
      </c>
      <c r="P309" s="67" t="s">
        <v>240</v>
      </c>
      <c r="Q309" s="67" t="s">
        <v>240</v>
      </c>
      <c r="R309" s="67" t="s">
        <v>584</v>
      </c>
      <c r="S309" s="67">
        <f t="shared" ref="S309:U314" si="80">0.5*S$302</f>
        <v>3651</v>
      </c>
      <c r="T309" s="67">
        <f t="shared" si="80"/>
        <v>1825.5</v>
      </c>
      <c r="U309" s="67">
        <f t="shared" si="80"/>
        <v>1825.5</v>
      </c>
      <c r="V309" s="67">
        <v>0.4</v>
      </c>
      <c r="W309" s="67">
        <v>0.2</v>
      </c>
      <c r="AI309" s="70">
        <f t="shared" si="78"/>
        <v>0.2</v>
      </c>
      <c r="AK309" s="68" t="s">
        <v>761</v>
      </c>
      <c r="AL309" s="68" t="s">
        <v>719</v>
      </c>
      <c r="AP309" s="67">
        <f t="shared" si="70"/>
        <v>6.6199403297817774E-2</v>
      </c>
      <c r="AQ309" s="67">
        <f t="shared" si="71"/>
        <v>6.0423505360083176</v>
      </c>
      <c r="AS309" s="67">
        <f t="shared" si="72"/>
        <v>1.098594335479978E-3</v>
      </c>
      <c r="AU309" s="67">
        <f t="shared" si="73"/>
        <v>3649</v>
      </c>
      <c r="AV309" s="67">
        <f t="shared" si="74"/>
        <v>1</v>
      </c>
      <c r="AW309" s="67" t="s">
        <v>1350</v>
      </c>
    </row>
    <row r="310" spans="1:49" ht="30" customHeight="1" x14ac:dyDescent="0.25">
      <c r="A310" s="67" t="s">
        <v>124</v>
      </c>
      <c r="B310" s="67" t="s">
        <v>221</v>
      </c>
      <c r="C310" s="67" t="s">
        <v>365</v>
      </c>
      <c r="D310" s="67">
        <f t="shared" si="79"/>
        <v>71</v>
      </c>
      <c r="E310" s="67" t="s">
        <v>605</v>
      </c>
      <c r="F310" s="67" t="s">
        <v>718</v>
      </c>
      <c r="G310" s="68" t="s">
        <v>714</v>
      </c>
      <c r="H310" s="67">
        <v>1</v>
      </c>
      <c r="I310" s="67">
        <v>12</v>
      </c>
      <c r="J310" s="67">
        <v>6</v>
      </c>
      <c r="K310" s="68" t="s">
        <v>752</v>
      </c>
      <c r="L310" s="67" t="s">
        <v>721</v>
      </c>
      <c r="M310" s="68" t="s">
        <v>570</v>
      </c>
      <c r="N310" s="67" t="s">
        <v>240</v>
      </c>
      <c r="O310" s="67" t="s">
        <v>240</v>
      </c>
      <c r="P310" s="67" t="s">
        <v>240</v>
      </c>
      <c r="Q310" s="67" t="s">
        <v>240</v>
      </c>
      <c r="R310" s="67" t="s">
        <v>584</v>
      </c>
      <c r="S310" s="67">
        <f t="shared" si="80"/>
        <v>3651</v>
      </c>
      <c r="T310" s="67">
        <f t="shared" si="80"/>
        <v>1825.5</v>
      </c>
      <c r="U310" s="67">
        <f t="shared" si="80"/>
        <v>1825.5</v>
      </c>
      <c r="V310" s="67">
        <v>0.5</v>
      </c>
      <c r="W310" s="67">
        <v>0.1</v>
      </c>
      <c r="AI310" s="70">
        <f t="shared" si="78"/>
        <v>0.1</v>
      </c>
      <c r="AK310" s="68" t="s">
        <v>734</v>
      </c>
      <c r="AL310" s="68" t="s">
        <v>719</v>
      </c>
      <c r="AP310" s="67">
        <f t="shared" si="70"/>
        <v>0.16549850824454443</v>
      </c>
      <c r="AQ310" s="67">
        <f t="shared" si="71"/>
        <v>3.0211752680041588</v>
      </c>
      <c r="AS310" s="67">
        <f t="shared" si="72"/>
        <v>1.1112114976594039E-3</v>
      </c>
      <c r="AU310" s="67">
        <f t="shared" si="73"/>
        <v>3649</v>
      </c>
      <c r="AV310" s="67">
        <f t="shared" si="74"/>
        <v>1</v>
      </c>
      <c r="AW310" s="67" t="s">
        <v>1350</v>
      </c>
    </row>
    <row r="311" spans="1:49" ht="30" customHeight="1" x14ac:dyDescent="0.25">
      <c r="A311" s="67" t="s">
        <v>124</v>
      </c>
      <c r="B311" s="67" t="s">
        <v>221</v>
      </c>
      <c r="C311" s="67" t="s">
        <v>365</v>
      </c>
      <c r="D311" s="67">
        <f t="shared" si="79"/>
        <v>72</v>
      </c>
      <c r="E311" s="67" t="s">
        <v>605</v>
      </c>
      <c r="F311" s="67" t="s">
        <v>718</v>
      </c>
      <c r="G311" s="68" t="s">
        <v>714</v>
      </c>
      <c r="H311" s="67">
        <v>1</v>
      </c>
      <c r="I311" s="67">
        <v>18</v>
      </c>
      <c r="J311" s="67">
        <v>6</v>
      </c>
      <c r="K311" s="68" t="s">
        <v>752</v>
      </c>
      <c r="L311" s="67" t="s">
        <v>721</v>
      </c>
      <c r="M311" s="68" t="s">
        <v>570</v>
      </c>
      <c r="N311" s="67" t="s">
        <v>240</v>
      </c>
      <c r="O311" s="67" t="s">
        <v>240</v>
      </c>
      <c r="P311" s="67" t="s">
        <v>240</v>
      </c>
      <c r="Q311" s="67" t="s">
        <v>240</v>
      </c>
      <c r="R311" s="67" t="s">
        <v>584</v>
      </c>
      <c r="S311" s="67">
        <f t="shared" si="80"/>
        <v>3651</v>
      </c>
      <c r="T311" s="67">
        <f t="shared" si="80"/>
        <v>1825.5</v>
      </c>
      <c r="U311" s="67">
        <f t="shared" si="80"/>
        <v>1825.5</v>
      </c>
      <c r="V311" s="67">
        <v>0.4</v>
      </c>
      <c r="W311" s="67">
        <v>0.1</v>
      </c>
      <c r="AI311" s="70">
        <f t="shared" si="78"/>
        <v>0.1</v>
      </c>
      <c r="AK311" s="68" t="s">
        <v>762</v>
      </c>
      <c r="AL311" s="68" t="s">
        <v>719</v>
      </c>
      <c r="AP311" s="67">
        <f t="shared" si="70"/>
        <v>0.13239880659563555</v>
      </c>
      <c r="AQ311" s="67">
        <f t="shared" si="71"/>
        <v>3.0211752680041588</v>
      </c>
      <c r="AS311" s="67">
        <f t="shared" si="72"/>
        <v>1.1058041424396499E-3</v>
      </c>
      <c r="AU311" s="67">
        <f t="shared" si="73"/>
        <v>3649</v>
      </c>
      <c r="AV311" s="67">
        <f t="shared" si="74"/>
        <v>1</v>
      </c>
      <c r="AW311" s="67" t="s">
        <v>1350</v>
      </c>
    </row>
    <row r="312" spans="1:49" ht="30" customHeight="1" x14ac:dyDescent="0.25">
      <c r="A312" s="67" t="s">
        <v>124</v>
      </c>
      <c r="B312" s="67" t="s">
        <v>221</v>
      </c>
      <c r="C312" s="67" t="s">
        <v>365</v>
      </c>
      <c r="D312" s="67">
        <f t="shared" si="79"/>
        <v>73</v>
      </c>
      <c r="E312" s="67" t="s">
        <v>605</v>
      </c>
      <c r="F312" s="67" t="s">
        <v>720</v>
      </c>
      <c r="G312" s="68" t="s">
        <v>714</v>
      </c>
      <c r="H312" s="67">
        <v>1</v>
      </c>
      <c r="I312" s="67">
        <v>6</v>
      </c>
      <c r="J312" s="67">
        <v>6</v>
      </c>
      <c r="K312" s="68" t="s">
        <v>752</v>
      </c>
      <c r="L312" s="67" t="s">
        <v>721</v>
      </c>
      <c r="M312" s="68" t="s">
        <v>570</v>
      </c>
      <c r="N312" s="67" t="s">
        <v>240</v>
      </c>
      <c r="O312" s="67" t="s">
        <v>240</v>
      </c>
      <c r="P312" s="67" t="s">
        <v>240</v>
      </c>
      <c r="Q312" s="67" t="s">
        <v>240</v>
      </c>
      <c r="R312" s="67" t="s">
        <v>584</v>
      </c>
      <c r="S312" s="67">
        <f t="shared" si="80"/>
        <v>3651</v>
      </c>
      <c r="T312" s="67">
        <f t="shared" si="80"/>
        <v>1825.5</v>
      </c>
      <c r="U312" s="67">
        <f t="shared" si="80"/>
        <v>1825.5</v>
      </c>
      <c r="V312" s="67">
        <v>0.1</v>
      </c>
      <c r="W312" s="67">
        <v>0.2</v>
      </c>
      <c r="AI312" s="70">
        <f t="shared" si="78"/>
        <v>0.2</v>
      </c>
      <c r="AK312" s="68" t="s">
        <v>763</v>
      </c>
      <c r="AL312" s="68" t="s">
        <v>719</v>
      </c>
      <c r="AP312" s="67">
        <f t="shared" si="70"/>
        <v>1.6549850824454444E-2</v>
      </c>
      <c r="AQ312" s="67">
        <f t="shared" si="71"/>
        <v>6.0423505360083176</v>
      </c>
      <c r="AS312" s="67">
        <f t="shared" si="72"/>
        <v>1.0963412708050806E-3</v>
      </c>
      <c r="AU312" s="67">
        <f t="shared" si="73"/>
        <v>3649</v>
      </c>
      <c r="AV312" s="67">
        <f t="shared" si="74"/>
        <v>1</v>
      </c>
      <c r="AW312" s="67" t="s">
        <v>1350</v>
      </c>
    </row>
    <row r="313" spans="1:49" ht="30" customHeight="1" x14ac:dyDescent="0.25">
      <c r="A313" s="67" t="s">
        <v>124</v>
      </c>
      <c r="B313" s="67" t="s">
        <v>221</v>
      </c>
      <c r="C313" s="67" t="s">
        <v>365</v>
      </c>
      <c r="D313" s="67">
        <f t="shared" si="79"/>
        <v>74</v>
      </c>
      <c r="E313" s="67" t="s">
        <v>605</v>
      </c>
      <c r="F313" s="67" t="s">
        <v>720</v>
      </c>
      <c r="G313" s="68" t="s">
        <v>714</v>
      </c>
      <c r="H313" s="67">
        <v>1</v>
      </c>
      <c r="I313" s="67">
        <v>12</v>
      </c>
      <c r="J313" s="67">
        <v>6</v>
      </c>
      <c r="K313" s="68" t="s">
        <v>752</v>
      </c>
      <c r="L313" s="67" t="s">
        <v>721</v>
      </c>
      <c r="M313" s="68" t="s">
        <v>570</v>
      </c>
      <c r="N313" s="67" t="s">
        <v>240</v>
      </c>
      <c r="O313" s="67" t="s">
        <v>240</v>
      </c>
      <c r="P313" s="67" t="s">
        <v>240</v>
      </c>
      <c r="Q313" s="67" t="s">
        <v>240</v>
      </c>
      <c r="R313" s="67" t="s">
        <v>584</v>
      </c>
      <c r="S313" s="67">
        <f t="shared" si="80"/>
        <v>3651</v>
      </c>
      <c r="T313" s="67">
        <f t="shared" si="80"/>
        <v>1825.5</v>
      </c>
      <c r="U313" s="67">
        <f t="shared" si="80"/>
        <v>1825.5</v>
      </c>
      <c r="V313" s="67">
        <v>0.2</v>
      </c>
      <c r="W313" s="67">
        <v>0.1</v>
      </c>
      <c r="AI313" s="70">
        <f t="shared" si="78"/>
        <v>0.1</v>
      </c>
      <c r="AK313" s="68" t="s">
        <v>764</v>
      </c>
      <c r="AL313" s="68" t="s">
        <v>719</v>
      </c>
      <c r="AP313" s="67">
        <f t="shared" si="70"/>
        <v>6.6199403297817774E-2</v>
      </c>
      <c r="AQ313" s="67">
        <f t="shared" si="71"/>
        <v>3.0211752680041588</v>
      </c>
      <c r="AS313" s="67">
        <f t="shared" si="72"/>
        <v>1.098594335479978E-3</v>
      </c>
      <c r="AU313" s="67">
        <f t="shared" si="73"/>
        <v>3649</v>
      </c>
      <c r="AV313" s="67">
        <f t="shared" si="74"/>
        <v>1</v>
      </c>
      <c r="AW313" s="67" t="s">
        <v>1350</v>
      </c>
    </row>
    <row r="314" spans="1:49" ht="30" customHeight="1" x14ac:dyDescent="0.25">
      <c r="A314" s="67" t="s">
        <v>124</v>
      </c>
      <c r="B314" s="67" t="s">
        <v>221</v>
      </c>
      <c r="C314" s="67" t="s">
        <v>365</v>
      </c>
      <c r="D314" s="67">
        <f t="shared" si="79"/>
        <v>75</v>
      </c>
      <c r="E314" s="67" t="s">
        <v>605</v>
      </c>
      <c r="F314" s="67" t="s">
        <v>720</v>
      </c>
      <c r="G314" s="68" t="s">
        <v>714</v>
      </c>
      <c r="H314" s="67">
        <v>1</v>
      </c>
      <c r="I314" s="67">
        <v>18</v>
      </c>
      <c r="J314" s="67">
        <v>6</v>
      </c>
      <c r="K314" s="68" t="s">
        <v>752</v>
      </c>
      <c r="L314" s="67" t="s">
        <v>721</v>
      </c>
      <c r="M314" s="68" t="s">
        <v>570</v>
      </c>
      <c r="N314" s="67" t="s">
        <v>240</v>
      </c>
      <c r="O314" s="67" t="s">
        <v>240</v>
      </c>
      <c r="P314" s="67" t="s">
        <v>240</v>
      </c>
      <c r="Q314" s="67" t="s">
        <v>240</v>
      </c>
      <c r="R314" s="67" t="s">
        <v>584</v>
      </c>
      <c r="S314" s="67">
        <f t="shared" si="80"/>
        <v>3651</v>
      </c>
      <c r="T314" s="67">
        <f t="shared" si="80"/>
        <v>1825.5</v>
      </c>
      <c r="U314" s="67">
        <f t="shared" si="80"/>
        <v>1825.5</v>
      </c>
      <c r="V314" s="67">
        <v>0.5</v>
      </c>
      <c r="W314" s="67">
        <v>0.1</v>
      </c>
      <c r="AI314" s="70">
        <f t="shared" si="78"/>
        <v>0.1</v>
      </c>
      <c r="AK314" s="68" t="s">
        <v>761</v>
      </c>
      <c r="AL314" s="68" t="s">
        <v>719</v>
      </c>
      <c r="AP314" s="67">
        <f t="shared" si="70"/>
        <v>0.16549850824454443</v>
      </c>
      <c r="AQ314" s="67">
        <f t="shared" si="71"/>
        <v>3.0211752680041588</v>
      </c>
      <c r="AS314" s="67">
        <f t="shared" si="72"/>
        <v>1.1112114976594039E-3</v>
      </c>
      <c r="AU314" s="67">
        <f t="shared" si="73"/>
        <v>3649</v>
      </c>
      <c r="AV314" s="67">
        <f t="shared" si="74"/>
        <v>1</v>
      </c>
      <c r="AW314" s="67" t="s">
        <v>1350</v>
      </c>
    </row>
    <row r="315" spans="1:49" ht="30" customHeight="1" x14ac:dyDescent="0.25">
      <c r="A315" s="67" t="s">
        <v>71</v>
      </c>
      <c r="B315" s="67" t="s">
        <v>293</v>
      </c>
      <c r="C315" s="67" t="s">
        <v>365</v>
      </c>
      <c r="D315" s="67">
        <v>1</v>
      </c>
      <c r="E315" s="67" t="s">
        <v>605</v>
      </c>
      <c r="F315" s="67" t="s">
        <v>240</v>
      </c>
      <c r="G315" s="68" t="s">
        <v>765</v>
      </c>
      <c r="H315" s="67">
        <v>1</v>
      </c>
      <c r="I315" s="67">
        <v>36</v>
      </c>
      <c r="J315" s="67">
        <v>1</v>
      </c>
      <c r="K315" s="68" t="s">
        <v>647</v>
      </c>
      <c r="L315" s="67" t="s">
        <v>240</v>
      </c>
      <c r="M315" s="68" t="s">
        <v>570</v>
      </c>
      <c r="N315" s="67" t="s">
        <v>240</v>
      </c>
      <c r="O315" s="67">
        <v>0.35</v>
      </c>
      <c r="P315" s="94">
        <v>-2.7E-2</v>
      </c>
      <c r="Q315" s="94">
        <v>0.02</v>
      </c>
      <c r="R315" s="67" t="s">
        <v>338</v>
      </c>
      <c r="S315" s="67">
        <v>2924</v>
      </c>
      <c r="T315" s="67">
        <v>2378</v>
      </c>
      <c r="U315" s="67">
        <v>546</v>
      </c>
      <c r="V315" s="67">
        <v>1.6E-2</v>
      </c>
      <c r="W315" s="67">
        <v>2.5000000000000001E-2</v>
      </c>
      <c r="AC315" s="67">
        <v>0.64100000000000001</v>
      </c>
      <c r="AI315" s="70">
        <f t="shared" si="78"/>
        <v>2.5000000000000001E-2</v>
      </c>
      <c r="AL315" s="68" t="s">
        <v>766</v>
      </c>
      <c r="AM315" s="67" t="s">
        <v>30</v>
      </c>
    </row>
    <row r="316" spans="1:49" ht="30" customHeight="1" x14ac:dyDescent="0.25">
      <c r="A316" s="67" t="s">
        <v>71</v>
      </c>
      <c r="B316" s="67" t="s">
        <v>293</v>
      </c>
      <c r="C316" s="67" t="s">
        <v>365</v>
      </c>
      <c r="D316" s="67">
        <f>D315+1</f>
        <v>2</v>
      </c>
      <c r="E316" s="67" t="s">
        <v>605</v>
      </c>
      <c r="F316" s="67" t="s">
        <v>240</v>
      </c>
      <c r="G316" s="68" t="s">
        <v>765</v>
      </c>
      <c r="H316" s="67">
        <v>1</v>
      </c>
      <c r="I316" s="67">
        <v>36</v>
      </c>
      <c r="J316" s="67">
        <v>3</v>
      </c>
      <c r="K316" s="68" t="s">
        <v>767</v>
      </c>
      <c r="L316" s="67" t="s">
        <v>240</v>
      </c>
      <c r="M316" s="68" t="s">
        <v>570</v>
      </c>
      <c r="N316" s="67" t="s">
        <v>240</v>
      </c>
      <c r="O316" s="67">
        <v>0.35</v>
      </c>
      <c r="P316" s="94">
        <v>-2.7E-2</v>
      </c>
      <c r="Q316" s="94">
        <v>0.02</v>
      </c>
      <c r="R316" s="67" t="s">
        <v>338</v>
      </c>
      <c r="S316" s="67">
        <v>2924</v>
      </c>
      <c r="T316" s="67">
        <v>2378</v>
      </c>
      <c r="U316" s="67">
        <v>546</v>
      </c>
      <c r="V316" s="67">
        <v>2.8000000000000001E-2</v>
      </c>
      <c r="W316" s="67">
        <v>0.02</v>
      </c>
      <c r="AC316" s="67">
        <v>0.17799999999999999</v>
      </c>
      <c r="AI316" s="70">
        <f t="shared" si="78"/>
        <v>0.02</v>
      </c>
      <c r="AL316" s="68" t="s">
        <v>766</v>
      </c>
      <c r="AM316" s="67" t="s">
        <v>30</v>
      </c>
    </row>
    <row r="317" spans="1:49" ht="30" customHeight="1" x14ac:dyDescent="0.25">
      <c r="A317" s="67" t="s">
        <v>71</v>
      </c>
      <c r="B317" s="67" t="s">
        <v>293</v>
      </c>
      <c r="C317" s="67" t="s">
        <v>365</v>
      </c>
      <c r="D317" s="67">
        <v>3</v>
      </c>
      <c r="E317" s="67" t="s">
        <v>605</v>
      </c>
      <c r="F317" s="67" t="s">
        <v>240</v>
      </c>
      <c r="G317" s="68" t="s">
        <v>765</v>
      </c>
      <c r="H317" s="67">
        <v>1</v>
      </c>
      <c r="I317" s="67">
        <v>36</v>
      </c>
      <c r="J317" s="67">
        <v>5</v>
      </c>
      <c r="K317" s="68" t="s">
        <v>768</v>
      </c>
      <c r="L317" s="68" t="s">
        <v>769</v>
      </c>
      <c r="M317" s="68" t="s">
        <v>570</v>
      </c>
      <c r="N317" s="67" t="s">
        <v>240</v>
      </c>
      <c r="O317" s="67">
        <v>0.35</v>
      </c>
      <c r="P317" s="94">
        <v>-2.7E-2</v>
      </c>
      <c r="Q317" s="94">
        <v>0.02</v>
      </c>
      <c r="R317" s="67" t="s">
        <v>338</v>
      </c>
      <c r="S317" s="67">
        <v>2924</v>
      </c>
      <c r="T317" s="67">
        <v>2378</v>
      </c>
      <c r="U317" s="67">
        <v>546</v>
      </c>
      <c r="V317" s="67">
        <v>3.1E-2</v>
      </c>
      <c r="W317" s="67">
        <v>3.7999999999999999E-2</v>
      </c>
      <c r="AC317" s="67">
        <v>6.141</v>
      </c>
      <c r="AI317" s="70">
        <f t="shared" si="78"/>
        <v>3.7999999999999999E-2</v>
      </c>
      <c r="AL317" s="68" t="s">
        <v>766</v>
      </c>
      <c r="AM317" s="67" t="s">
        <v>30</v>
      </c>
      <c r="AP317" s="67">
        <f>+V317/AQ317</f>
        <v>3.8713687035529923E-2</v>
      </c>
      <c r="AQ317" s="67">
        <f>+W317*SQRT(T317*U317/S317)</f>
        <v>0.80075039020564998</v>
      </c>
      <c r="AS317" s="67">
        <f>+AP317^2/(AU317-2)*(AU317/(V317/AI317)^2+AU317*AV317^2-AU317+2)</f>
        <v>2.2545923005901146E-3</v>
      </c>
      <c r="AU317" s="67">
        <f>+S317-2</f>
        <v>2922</v>
      </c>
      <c r="AV317" s="67">
        <f>IFERROR(1/(SQRT(AU317/2)*_xlfn.GAMMA(AU317/2-0.5)/_xlfn.GAMMA(AU317/2)),1)</f>
        <v>1</v>
      </c>
      <c r="AW317" s="67" t="s">
        <v>1350</v>
      </c>
    </row>
    <row r="318" spans="1:49" ht="30" customHeight="1" x14ac:dyDescent="0.25">
      <c r="A318" s="67" t="s">
        <v>71</v>
      </c>
      <c r="B318" s="72" t="s">
        <v>207</v>
      </c>
      <c r="C318" s="77" t="s">
        <v>365</v>
      </c>
      <c r="D318" s="67">
        <v>4</v>
      </c>
      <c r="E318" s="67" t="s">
        <v>568</v>
      </c>
      <c r="F318" s="76" t="s">
        <v>240</v>
      </c>
      <c r="G318" s="68" t="s">
        <v>765</v>
      </c>
      <c r="H318" s="67">
        <v>1</v>
      </c>
      <c r="I318" s="67">
        <v>36</v>
      </c>
      <c r="J318" s="67">
        <v>7</v>
      </c>
      <c r="K318" s="68" t="s">
        <v>770</v>
      </c>
      <c r="L318" s="68" t="s">
        <v>769</v>
      </c>
      <c r="M318" s="68" t="s">
        <v>570</v>
      </c>
      <c r="N318" s="67" t="s">
        <v>240</v>
      </c>
      <c r="O318" s="67">
        <v>0.35</v>
      </c>
      <c r="P318" s="94">
        <v>-2.7E-2</v>
      </c>
      <c r="Q318" s="94">
        <v>0.02</v>
      </c>
      <c r="R318" s="67" t="s">
        <v>338</v>
      </c>
      <c r="S318" s="67">
        <f>T318+U318</f>
        <v>2924</v>
      </c>
      <c r="T318" s="67">
        <v>2378</v>
      </c>
      <c r="U318" s="67">
        <v>546</v>
      </c>
      <c r="V318" s="67">
        <v>-1.7000000000000001E-2</v>
      </c>
      <c r="W318" s="67">
        <v>4.2000000000000003E-2</v>
      </c>
      <c r="AC318" s="88">
        <v>1.208</v>
      </c>
      <c r="AI318" s="70">
        <f t="shared" si="78"/>
        <v>4.2000000000000003E-2</v>
      </c>
      <c r="AL318" s="68" t="s">
        <v>766</v>
      </c>
      <c r="AP318" s="67">
        <f>+V318/AQ318</f>
        <v>-1.9208173444663849E-2</v>
      </c>
      <c r="AQ318" s="67">
        <f>+W318*SQRT(T318*U318/S318)</f>
        <v>0.88503990496413953</v>
      </c>
      <c r="AS318" s="67">
        <f>+AP318^2/(AU318-2)*(AU318/(V318/AI318)^2+AU318*AV318^2-AU318+2)</f>
        <v>2.2538184679621667E-3</v>
      </c>
      <c r="AU318" s="67">
        <f>+S318-2</f>
        <v>2922</v>
      </c>
      <c r="AV318" s="67">
        <f>IFERROR(1/(SQRT(AU318/2)*_xlfn.GAMMA(AU318/2-0.5)/_xlfn.GAMMA(AU318/2)),1)</f>
        <v>1</v>
      </c>
      <c r="AW318" s="67" t="s">
        <v>1350</v>
      </c>
    </row>
    <row r="319" spans="1:49" ht="30" customHeight="1" x14ac:dyDescent="0.25">
      <c r="A319" s="67" t="s">
        <v>71</v>
      </c>
      <c r="B319" s="67" t="s">
        <v>293</v>
      </c>
      <c r="C319" s="67" t="s">
        <v>365</v>
      </c>
      <c r="D319" s="67">
        <v>5</v>
      </c>
      <c r="E319" s="67" t="s">
        <v>577</v>
      </c>
      <c r="F319" s="67" t="s">
        <v>240</v>
      </c>
      <c r="G319" s="68" t="s">
        <v>765</v>
      </c>
      <c r="H319" s="67">
        <v>1</v>
      </c>
      <c r="I319" s="67">
        <v>36</v>
      </c>
      <c r="J319" s="67">
        <v>1</v>
      </c>
      <c r="K319" s="68" t="s">
        <v>647</v>
      </c>
      <c r="L319" s="67" t="s">
        <v>240</v>
      </c>
      <c r="M319" s="68" t="s">
        <v>570</v>
      </c>
      <c r="N319" s="67" t="s">
        <v>240</v>
      </c>
      <c r="O319" s="67">
        <v>0.35</v>
      </c>
      <c r="P319" s="94">
        <v>-3.5000000000000003E-2</v>
      </c>
      <c r="Q319" s="94">
        <v>2.5999999999999999E-2</v>
      </c>
      <c r="R319" s="67" t="s">
        <v>338</v>
      </c>
      <c r="S319" s="78">
        <f>2583*0.65</f>
        <v>1678.95</v>
      </c>
      <c r="T319" s="78">
        <f t="shared" ref="T319:T325" si="81">S319-U319</f>
        <v>1365.4294801641588</v>
      </c>
      <c r="U319" s="78">
        <f>1679*(546/2924)</f>
        <v>313.5205198358413</v>
      </c>
      <c r="V319" s="67">
        <v>1.4999999999999999E-2</v>
      </c>
      <c r="W319" s="67">
        <v>3.4000000000000002E-2</v>
      </c>
      <c r="Y319" s="78"/>
      <c r="AC319" s="67">
        <v>0.55200000000000005</v>
      </c>
      <c r="AI319" s="70">
        <f t="shared" si="78"/>
        <v>3.4000000000000002E-2</v>
      </c>
      <c r="AL319" s="68" t="s">
        <v>766</v>
      </c>
      <c r="AM319" s="67" t="s">
        <v>30</v>
      </c>
    </row>
    <row r="320" spans="1:49" ht="30" customHeight="1" x14ac:dyDescent="0.25">
      <c r="A320" s="67" t="s">
        <v>71</v>
      </c>
      <c r="B320" s="67" t="s">
        <v>293</v>
      </c>
      <c r="C320" s="67" t="s">
        <v>365</v>
      </c>
      <c r="D320" s="67">
        <v>6</v>
      </c>
      <c r="E320" s="67" t="s">
        <v>577</v>
      </c>
      <c r="F320" s="67" t="s">
        <v>240</v>
      </c>
      <c r="G320" s="68" t="s">
        <v>765</v>
      </c>
      <c r="H320" s="67">
        <v>1</v>
      </c>
      <c r="I320" s="67">
        <v>36</v>
      </c>
      <c r="J320" s="67">
        <v>3</v>
      </c>
      <c r="K320" s="68" t="s">
        <v>767</v>
      </c>
      <c r="L320" s="67" t="s">
        <v>240</v>
      </c>
      <c r="M320" s="68" t="s">
        <v>570</v>
      </c>
      <c r="N320" s="67" t="s">
        <v>240</v>
      </c>
      <c r="O320" s="67">
        <v>0.35</v>
      </c>
      <c r="P320" s="94">
        <v>-3.5000000000000003E-2</v>
      </c>
      <c r="Q320" s="94">
        <v>2.5999999999999999E-2</v>
      </c>
      <c r="R320" s="67" t="s">
        <v>338</v>
      </c>
      <c r="S320" s="78">
        <f>2583*0.65</f>
        <v>1678.95</v>
      </c>
      <c r="T320" s="78">
        <f t="shared" si="81"/>
        <v>1365.4294801641588</v>
      </c>
      <c r="U320" s="78">
        <f>1679*(546/2924)</f>
        <v>313.5205198358413</v>
      </c>
      <c r="V320" s="67">
        <v>2E-3</v>
      </c>
      <c r="W320" s="67">
        <v>2.3E-2</v>
      </c>
      <c r="AC320" s="67">
        <v>0.16300000000000001</v>
      </c>
      <c r="AI320" s="70">
        <f t="shared" si="78"/>
        <v>2.3E-2</v>
      </c>
      <c r="AL320" s="68" t="s">
        <v>766</v>
      </c>
      <c r="AM320" s="67" t="s">
        <v>30</v>
      </c>
    </row>
    <row r="321" spans="1:49" ht="30" customHeight="1" x14ac:dyDescent="0.25">
      <c r="A321" s="67" t="s">
        <v>71</v>
      </c>
      <c r="B321" s="67" t="s">
        <v>293</v>
      </c>
      <c r="C321" s="67" t="s">
        <v>365</v>
      </c>
      <c r="D321" s="67">
        <f>D320+1</f>
        <v>7</v>
      </c>
      <c r="E321" s="67" t="s">
        <v>577</v>
      </c>
      <c r="F321" s="67" t="s">
        <v>240</v>
      </c>
      <c r="G321" s="68" t="s">
        <v>765</v>
      </c>
      <c r="H321" s="67">
        <v>1</v>
      </c>
      <c r="I321" s="67">
        <v>36</v>
      </c>
      <c r="J321" s="67">
        <v>5</v>
      </c>
      <c r="K321" s="68" t="s">
        <v>768</v>
      </c>
      <c r="L321" s="68" t="s">
        <v>769</v>
      </c>
      <c r="M321" s="68" t="s">
        <v>570</v>
      </c>
      <c r="N321" s="67" t="s">
        <v>240</v>
      </c>
      <c r="O321" s="67">
        <v>0.35</v>
      </c>
      <c r="P321" s="94">
        <v>-3.5000000000000003E-2</v>
      </c>
      <c r="Q321" s="94">
        <v>2.5999999999999999E-2</v>
      </c>
      <c r="R321" s="67" t="s">
        <v>338</v>
      </c>
      <c r="S321" s="78">
        <f>2583*0.65</f>
        <v>1678.95</v>
      </c>
      <c r="T321" s="78">
        <f t="shared" si="81"/>
        <v>1365.4294801641588</v>
      </c>
      <c r="U321" s="78">
        <f>1679*(546/2924)</f>
        <v>313.5205198358413</v>
      </c>
      <c r="V321" s="67">
        <v>7.9000000000000001E-2</v>
      </c>
      <c r="W321" s="67">
        <v>6.5000000000000002E-2</v>
      </c>
      <c r="AC321" s="67">
        <v>6.2439999999999998</v>
      </c>
      <c r="AI321" s="70">
        <f t="shared" si="78"/>
        <v>6.5000000000000002E-2</v>
      </c>
      <c r="AL321" s="68" t="s">
        <v>766</v>
      </c>
      <c r="AM321" s="67" t="s">
        <v>30</v>
      </c>
      <c r="AP321" s="67">
        <f>+V321/AQ321</f>
        <v>7.6114078386939538E-2</v>
      </c>
      <c r="AQ321" s="67">
        <f>+W321*SQRT(T321*U321/S321)</f>
        <v>1.0379157400867336</v>
      </c>
      <c r="AS321" s="67">
        <f>+AP321^2/(AU321-2)*(AU321/(V321/AI321)^2+AU321*AV321^2-AU321+2)</f>
        <v>3.9335549068391174E-3</v>
      </c>
      <c r="AU321" s="67">
        <f>+S321-2</f>
        <v>1676.95</v>
      </c>
      <c r="AV321" s="67">
        <f>IFERROR(1/(SQRT(AU321/2)*_xlfn.GAMMA(AU321/2-0.5)/_xlfn.GAMMA(AU321/2)),1)</f>
        <v>1</v>
      </c>
      <c r="AW321" s="67" t="s">
        <v>1350</v>
      </c>
    </row>
    <row r="322" spans="1:49" ht="30" customHeight="1" x14ac:dyDescent="0.25">
      <c r="A322" s="67" t="s">
        <v>71</v>
      </c>
      <c r="B322" s="67" t="s">
        <v>293</v>
      </c>
      <c r="C322" s="67" t="s">
        <v>365</v>
      </c>
      <c r="D322" s="67">
        <f>D321+1</f>
        <v>8</v>
      </c>
      <c r="E322" s="67" t="s">
        <v>583</v>
      </c>
      <c r="F322" s="67" t="s">
        <v>240</v>
      </c>
      <c r="G322" s="68" t="s">
        <v>765</v>
      </c>
      <c r="H322" s="67">
        <v>1</v>
      </c>
      <c r="I322" s="67">
        <v>36</v>
      </c>
      <c r="J322" s="67">
        <v>1</v>
      </c>
      <c r="K322" s="68" t="s">
        <v>647</v>
      </c>
      <c r="L322" s="67" t="s">
        <v>240</v>
      </c>
      <c r="M322" s="68" t="s">
        <v>570</v>
      </c>
      <c r="N322" s="67" t="s">
        <v>240</v>
      </c>
      <c r="O322" s="67">
        <v>0.35</v>
      </c>
      <c r="P322" s="94">
        <v>-2.5999999999999999E-2</v>
      </c>
      <c r="Q322" s="94">
        <v>3.3000000000000002E-2</v>
      </c>
      <c r="R322" s="67" t="s">
        <v>338</v>
      </c>
      <c r="S322" s="78">
        <f>1926*0.65</f>
        <v>1251.9000000000001</v>
      </c>
      <c r="T322" s="78">
        <f t="shared" si="81"/>
        <v>1018.1134062927498</v>
      </c>
      <c r="U322" s="78">
        <f>1252*(546/2924)</f>
        <v>233.78659370725032</v>
      </c>
      <c r="V322" s="67">
        <v>3.3000000000000002E-2</v>
      </c>
      <c r="W322" s="67">
        <v>3.7999999999999999E-2</v>
      </c>
      <c r="AC322" s="67">
        <v>0.77300000000000002</v>
      </c>
      <c r="AI322" s="70">
        <f t="shared" si="78"/>
        <v>3.7999999999999999E-2</v>
      </c>
      <c r="AL322" s="68" t="s">
        <v>766</v>
      </c>
      <c r="AM322" s="67" t="s">
        <v>30</v>
      </c>
    </row>
    <row r="323" spans="1:49" ht="30" customHeight="1" x14ac:dyDescent="0.25">
      <c r="A323" s="67" t="s">
        <v>71</v>
      </c>
      <c r="B323" s="67" t="s">
        <v>293</v>
      </c>
      <c r="C323" s="67" t="s">
        <v>365</v>
      </c>
      <c r="D323" s="67">
        <f>D322+1</f>
        <v>9</v>
      </c>
      <c r="E323" s="67" t="s">
        <v>583</v>
      </c>
      <c r="F323" s="67" t="s">
        <v>240</v>
      </c>
      <c r="G323" s="68" t="s">
        <v>765</v>
      </c>
      <c r="H323" s="67">
        <v>1</v>
      </c>
      <c r="I323" s="67">
        <v>36</v>
      </c>
      <c r="J323" s="67">
        <v>3</v>
      </c>
      <c r="K323" s="68" t="s">
        <v>767</v>
      </c>
      <c r="L323" s="67" t="s">
        <v>240</v>
      </c>
      <c r="M323" s="68" t="s">
        <v>570</v>
      </c>
      <c r="N323" s="67" t="s">
        <v>240</v>
      </c>
      <c r="O323" s="67">
        <v>0.35</v>
      </c>
      <c r="P323" s="94">
        <v>-2.5999999999999999E-2</v>
      </c>
      <c r="Q323" s="94">
        <v>3.3000000000000002E-2</v>
      </c>
      <c r="R323" s="67" t="s">
        <v>338</v>
      </c>
      <c r="S323" s="78">
        <f>1926*0.65</f>
        <v>1251.9000000000001</v>
      </c>
      <c r="T323" s="78">
        <f t="shared" si="81"/>
        <v>1018.1134062927498</v>
      </c>
      <c r="U323" s="78">
        <f>1252*(546/2924)</f>
        <v>233.78659370725032</v>
      </c>
      <c r="V323" s="67">
        <v>7.5999999999999998E-2</v>
      </c>
      <c r="W323" s="67">
        <v>0.41</v>
      </c>
      <c r="AC323" s="67">
        <v>0.2</v>
      </c>
      <c r="AI323" s="70">
        <f t="shared" si="78"/>
        <v>0.41</v>
      </c>
      <c r="AL323" s="68" t="s">
        <v>766</v>
      </c>
      <c r="AM323" s="67" t="s">
        <v>30</v>
      </c>
    </row>
    <row r="324" spans="1:49" ht="30" customHeight="1" x14ac:dyDescent="0.25">
      <c r="A324" s="67" t="s">
        <v>71</v>
      </c>
      <c r="B324" s="67" t="s">
        <v>293</v>
      </c>
      <c r="C324" s="67" t="s">
        <v>365</v>
      </c>
      <c r="D324" s="67">
        <v>11</v>
      </c>
      <c r="E324" s="67" t="s">
        <v>583</v>
      </c>
      <c r="F324" s="67" t="s">
        <v>240</v>
      </c>
      <c r="G324" s="68" t="s">
        <v>765</v>
      </c>
      <c r="H324" s="67">
        <v>1</v>
      </c>
      <c r="I324" s="67">
        <v>36</v>
      </c>
      <c r="J324" s="67">
        <v>5</v>
      </c>
      <c r="K324" s="68" t="s">
        <v>768</v>
      </c>
      <c r="L324" s="68" t="s">
        <v>769</v>
      </c>
      <c r="M324" s="68" t="s">
        <v>570</v>
      </c>
      <c r="N324" s="67" t="s">
        <v>240</v>
      </c>
      <c r="O324" s="67">
        <v>0.35</v>
      </c>
      <c r="P324" s="94">
        <v>-2.5999999999999999E-2</v>
      </c>
      <c r="Q324" s="94">
        <v>3.3000000000000002E-2</v>
      </c>
      <c r="R324" s="67" t="s">
        <v>338</v>
      </c>
      <c r="S324" s="78">
        <f>1926*0.65</f>
        <v>1251.9000000000001</v>
      </c>
      <c r="T324" s="78">
        <f t="shared" si="81"/>
        <v>1018.1134062927498</v>
      </c>
      <c r="U324" s="78">
        <f>1252*(546/2924)</f>
        <v>233.78659370725032</v>
      </c>
      <c r="V324" s="81">
        <v>1E-4</v>
      </c>
      <c r="W324" s="67">
        <v>5.1999999999999998E-2</v>
      </c>
      <c r="AC324" s="67">
        <v>6.5910000000000002</v>
      </c>
      <c r="AI324" s="70">
        <f t="shared" si="78"/>
        <v>5.1999999999999998E-2</v>
      </c>
      <c r="AL324" s="68" t="s">
        <v>766</v>
      </c>
      <c r="AM324" s="67" t="s">
        <v>30</v>
      </c>
      <c r="AP324" s="67">
        <f>+V324/AQ324</f>
        <v>1.394676863365405E-4</v>
      </c>
      <c r="AQ324" s="67">
        <f>+W324*SQRT(T324*U324/S324)</f>
        <v>0.71701196618904572</v>
      </c>
      <c r="AS324" s="67">
        <f>+AP324^2/(AU324-2)*(AU324/(V324/AI324)^2+AU324*AV324^2-AU324+2)</f>
        <v>5.2680436632202487E-3</v>
      </c>
      <c r="AU324" s="67">
        <f>+S324-2</f>
        <v>1249.9000000000001</v>
      </c>
      <c r="AV324" s="67">
        <f>IFERROR(1/(SQRT(AU324/2)*_xlfn.GAMMA(AU324/2-0.5)/_xlfn.GAMMA(AU324/2)),1)</f>
        <v>1</v>
      </c>
      <c r="AW324" s="67" t="s">
        <v>1350</v>
      </c>
    </row>
    <row r="325" spans="1:49" ht="30" customHeight="1" x14ac:dyDescent="0.25">
      <c r="A325" s="67" t="s">
        <v>71</v>
      </c>
      <c r="B325" s="72" t="s">
        <v>207</v>
      </c>
      <c r="C325" s="77" t="s">
        <v>365</v>
      </c>
      <c r="D325" s="67">
        <v>12</v>
      </c>
      <c r="E325" s="67" t="s">
        <v>583</v>
      </c>
      <c r="F325" s="76" t="s">
        <v>240</v>
      </c>
      <c r="G325" s="68" t="s">
        <v>765</v>
      </c>
      <c r="H325" s="67">
        <v>1</v>
      </c>
      <c r="I325" s="67">
        <v>36</v>
      </c>
      <c r="J325" s="67">
        <v>7</v>
      </c>
      <c r="K325" s="68" t="s">
        <v>770</v>
      </c>
      <c r="L325" s="68" t="s">
        <v>769</v>
      </c>
      <c r="M325" s="68" t="s">
        <v>570</v>
      </c>
      <c r="N325" s="67" t="s">
        <v>240</v>
      </c>
      <c r="O325" s="67">
        <v>0.35</v>
      </c>
      <c r="P325" s="94">
        <v>-2.5999999999999999E-2</v>
      </c>
      <c r="Q325" s="94">
        <v>3.3000000000000002E-2</v>
      </c>
      <c r="R325" s="67" t="s">
        <v>338</v>
      </c>
      <c r="S325" s="78">
        <f>1926*0.65</f>
        <v>1251.9000000000001</v>
      </c>
      <c r="T325" s="78">
        <f t="shared" si="81"/>
        <v>1018.1134062927498</v>
      </c>
      <c r="U325" s="78">
        <f>1252*(546/2924)</f>
        <v>233.78659370725032</v>
      </c>
      <c r="V325" s="67">
        <v>-2.5000000000000001E-2</v>
      </c>
      <c r="W325" s="67">
        <v>7.0999999999999994E-2</v>
      </c>
      <c r="AC325" s="88">
        <v>1.32</v>
      </c>
      <c r="AI325" s="70">
        <f t="shared" si="78"/>
        <v>7.0999999999999994E-2</v>
      </c>
      <c r="AL325" s="68" t="s">
        <v>766</v>
      </c>
      <c r="AM325" s="67" t="s">
        <v>30</v>
      </c>
      <c r="AP325" s="67">
        <f>+V325/AQ325</f>
        <v>-2.5536336934859526E-2</v>
      </c>
      <c r="AQ325" s="67">
        <f>+W325*SQRT(T325*U325/S325)</f>
        <v>0.97899710768119708</v>
      </c>
      <c r="AS325" s="67">
        <f>+AP325^2/(AU325-2)*(AU325/(V325/AI325)^2+AU325*AV325^2-AU325+2)</f>
        <v>5.2690887550590404E-3</v>
      </c>
      <c r="AU325" s="67">
        <f>+S325-2</f>
        <v>1249.9000000000001</v>
      </c>
      <c r="AV325" s="67">
        <f>IFERROR(1/(SQRT(AU325/2)*_xlfn.GAMMA(AU325/2-0.5)/_xlfn.GAMMA(AU325/2)),1)</f>
        <v>1</v>
      </c>
      <c r="AW325" s="67" t="s">
        <v>1350</v>
      </c>
    </row>
    <row r="326" spans="1:49" ht="30" customHeight="1" x14ac:dyDescent="0.25">
      <c r="A326" s="67" t="s">
        <v>71</v>
      </c>
      <c r="B326" s="72" t="s">
        <v>207</v>
      </c>
      <c r="C326" s="77" t="s">
        <v>365</v>
      </c>
      <c r="D326" s="67">
        <v>13</v>
      </c>
      <c r="E326" s="67" t="s">
        <v>605</v>
      </c>
      <c r="F326" s="67" t="s">
        <v>353</v>
      </c>
      <c r="G326" s="68" t="s">
        <v>765</v>
      </c>
      <c r="H326" s="67">
        <v>1</v>
      </c>
      <c r="I326" s="67">
        <v>36</v>
      </c>
      <c r="J326" s="67">
        <v>1</v>
      </c>
      <c r="K326" s="68" t="s">
        <v>647</v>
      </c>
      <c r="L326" s="67" t="s">
        <v>240</v>
      </c>
      <c r="M326" s="68" t="s">
        <v>570</v>
      </c>
      <c r="N326" s="67" t="s">
        <v>240</v>
      </c>
      <c r="O326" s="67">
        <v>0.35</v>
      </c>
      <c r="P326" s="94">
        <v>-1.4E-2</v>
      </c>
      <c r="Q326" s="94">
        <v>0.03</v>
      </c>
      <c r="R326" s="67" t="s">
        <v>338</v>
      </c>
      <c r="S326" s="78">
        <f>2924*(1982/4509)</f>
        <v>1285.2889776003549</v>
      </c>
      <c r="T326" s="78">
        <f>S326*(2378/2924)</f>
        <v>1045.286316256376</v>
      </c>
      <c r="U326" s="78">
        <f>S326-T326</f>
        <v>240.00266134397884</v>
      </c>
      <c r="V326" s="67">
        <v>0.04</v>
      </c>
      <c r="W326" s="67">
        <v>4.2000000000000003E-2</v>
      </c>
      <c r="AC326" s="67">
        <v>0.624</v>
      </c>
      <c r="AI326" s="70">
        <f t="shared" si="78"/>
        <v>4.2000000000000003E-2</v>
      </c>
      <c r="AL326" s="68" t="s">
        <v>766</v>
      </c>
      <c r="AM326" s="67" t="s">
        <v>30</v>
      </c>
    </row>
    <row r="327" spans="1:49" ht="30" customHeight="1" x14ac:dyDescent="0.25">
      <c r="A327" s="67" t="s">
        <v>71</v>
      </c>
      <c r="B327" s="72" t="s">
        <v>207</v>
      </c>
      <c r="C327" s="77" t="s">
        <v>365</v>
      </c>
      <c r="D327" s="67">
        <v>14</v>
      </c>
      <c r="E327" s="67" t="s">
        <v>605</v>
      </c>
      <c r="F327" s="67" t="s">
        <v>353</v>
      </c>
      <c r="G327" s="68" t="s">
        <v>765</v>
      </c>
      <c r="H327" s="67">
        <v>1</v>
      </c>
      <c r="I327" s="67">
        <v>36</v>
      </c>
      <c r="J327" s="67">
        <v>3</v>
      </c>
      <c r="K327" s="68" t="s">
        <v>771</v>
      </c>
      <c r="L327" s="67" t="s">
        <v>240</v>
      </c>
      <c r="M327" s="68" t="s">
        <v>570</v>
      </c>
      <c r="N327" s="67" t="s">
        <v>240</v>
      </c>
      <c r="O327" s="67">
        <v>0.35</v>
      </c>
      <c r="P327" s="94">
        <v>-1.4E-2</v>
      </c>
      <c r="Q327" s="94">
        <v>0.03</v>
      </c>
      <c r="R327" s="67" t="s">
        <v>338</v>
      </c>
      <c r="S327" s="78">
        <f>2924*(1982/4509)</f>
        <v>1285.2889776003549</v>
      </c>
      <c r="T327" s="78">
        <f>S327*(2378/2924)</f>
        <v>1045.286316256376</v>
      </c>
      <c r="U327" s="78">
        <f>S327-T327</f>
        <v>240.00266134397884</v>
      </c>
      <c r="V327" s="67">
        <v>4.2000000000000003E-2</v>
      </c>
      <c r="W327" s="67">
        <v>3.1E-2</v>
      </c>
      <c r="AC327" s="67">
        <v>0.156</v>
      </c>
      <c r="AI327" s="70">
        <f t="shared" si="78"/>
        <v>3.1E-2</v>
      </c>
      <c r="AL327" s="68" t="s">
        <v>766</v>
      </c>
      <c r="AM327" s="67" t="s">
        <v>30</v>
      </c>
    </row>
    <row r="328" spans="1:49" ht="30" customHeight="1" x14ac:dyDescent="0.25">
      <c r="A328" s="67" t="s">
        <v>71</v>
      </c>
      <c r="B328" s="72" t="s">
        <v>207</v>
      </c>
      <c r="C328" s="77" t="s">
        <v>365</v>
      </c>
      <c r="D328" s="67">
        <v>15</v>
      </c>
      <c r="E328" s="67" t="s">
        <v>605</v>
      </c>
      <c r="F328" s="67" t="s">
        <v>353</v>
      </c>
      <c r="G328" s="68" t="s">
        <v>765</v>
      </c>
      <c r="H328" s="67">
        <v>1</v>
      </c>
      <c r="I328" s="67">
        <v>36</v>
      </c>
      <c r="J328" s="67">
        <v>5</v>
      </c>
      <c r="K328" s="68" t="s">
        <v>768</v>
      </c>
      <c r="L328" s="68" t="s">
        <v>769</v>
      </c>
      <c r="M328" s="68" t="s">
        <v>570</v>
      </c>
      <c r="N328" s="67" t="s">
        <v>240</v>
      </c>
      <c r="O328" s="67">
        <v>0.35</v>
      </c>
      <c r="P328" s="94">
        <v>-1.4E-2</v>
      </c>
      <c r="Q328" s="94">
        <v>0.03</v>
      </c>
      <c r="R328" s="67" t="s">
        <v>338</v>
      </c>
      <c r="S328" s="78">
        <f>2924*(1982/4509)</f>
        <v>1285.2889776003549</v>
      </c>
      <c r="T328" s="78">
        <f>S328*(2378/2924)</f>
        <v>1045.286316256376</v>
      </c>
      <c r="U328" s="78">
        <f>S328-T328</f>
        <v>240.00266134397884</v>
      </c>
      <c r="V328" s="67">
        <v>-0.01</v>
      </c>
      <c r="W328" s="67">
        <v>7.0000000000000007E-2</v>
      </c>
      <c r="AC328" s="88">
        <v>6.3849999999999998</v>
      </c>
      <c r="AI328" s="70">
        <f t="shared" si="78"/>
        <v>7.0000000000000007E-2</v>
      </c>
      <c r="AL328" s="68" t="s">
        <v>766</v>
      </c>
      <c r="AM328" s="67" t="s">
        <v>30</v>
      </c>
      <c r="AP328" s="67">
        <f>+V328/AQ328</f>
        <v>-1.022531487043613E-2</v>
      </c>
      <c r="AQ328" s="67">
        <f>+W328*SQRT(T328*U328/S328)</f>
        <v>0.97796499439957874</v>
      </c>
      <c r="AS328" s="67">
        <f>+AP328^2/(AU328-2)*(AU328/(V328/AI328)^2+AU328*AV328^2-AU328+2)</f>
        <v>5.1314564488817108E-3</v>
      </c>
      <c r="AU328" s="67">
        <f>+S328-2</f>
        <v>1283.2889776003549</v>
      </c>
      <c r="AV328" s="67">
        <f>IFERROR(1/(SQRT(AU328/2)*_xlfn.GAMMA(AU328/2-0.5)/_xlfn.GAMMA(AU328/2)),1)</f>
        <v>1</v>
      </c>
      <c r="AW328" s="67" t="s">
        <v>1350</v>
      </c>
    </row>
    <row r="329" spans="1:49" ht="30" customHeight="1" x14ac:dyDescent="0.25">
      <c r="A329" s="67" t="s">
        <v>71</v>
      </c>
      <c r="B329" s="72" t="s">
        <v>207</v>
      </c>
      <c r="C329" s="77" t="s">
        <v>365</v>
      </c>
      <c r="D329" s="67">
        <v>16</v>
      </c>
      <c r="E329" s="67" t="s">
        <v>605</v>
      </c>
      <c r="F329" s="67" t="s">
        <v>353</v>
      </c>
      <c r="G329" s="68" t="s">
        <v>765</v>
      </c>
      <c r="H329" s="67">
        <v>1</v>
      </c>
      <c r="I329" s="67">
        <v>36</v>
      </c>
      <c r="J329" s="67">
        <v>7</v>
      </c>
      <c r="K329" s="68" t="s">
        <v>770</v>
      </c>
      <c r="L329" s="68" t="s">
        <v>769</v>
      </c>
      <c r="M329" s="68" t="s">
        <v>570</v>
      </c>
      <c r="N329" s="67" t="s">
        <v>240</v>
      </c>
      <c r="O329" s="67">
        <v>0.35</v>
      </c>
      <c r="P329" s="94">
        <v>-1.4E-2</v>
      </c>
      <c r="Q329" s="94">
        <v>0.03</v>
      </c>
      <c r="R329" s="67" t="s">
        <v>338</v>
      </c>
      <c r="S329" s="78">
        <f>2924*(1982/4509)</f>
        <v>1285.2889776003549</v>
      </c>
      <c r="T329" s="78">
        <f>S329*(2378/2924)</f>
        <v>1045.286316256376</v>
      </c>
      <c r="U329" s="78">
        <f>S329-T329</f>
        <v>240.00266134397884</v>
      </c>
      <c r="V329" s="67">
        <v>-4.3999999999999997E-2</v>
      </c>
      <c r="W329" s="67">
        <v>7.3999999999999996E-2</v>
      </c>
      <c r="AC329" s="88">
        <v>1.25</v>
      </c>
      <c r="AI329" s="70">
        <f t="shared" ref="AI329:AI360" si="82">+W329</f>
        <v>7.3999999999999996E-2</v>
      </c>
      <c r="AL329" s="68" t="s">
        <v>766</v>
      </c>
      <c r="AM329" s="67" t="s">
        <v>30</v>
      </c>
      <c r="AP329" s="67">
        <f>+V329/AQ329</f>
        <v>-4.255941864992336E-2</v>
      </c>
      <c r="AQ329" s="67">
        <f>+W329*SQRT(T329*U329/S329)</f>
        <v>1.0338487083652688</v>
      </c>
      <c r="AS329" s="67">
        <f>+AP329^2/(AU329-2)*(AU329/(V329/AI329)^2+AU329*AV329^2-AU329+2)</f>
        <v>5.134120558354994E-3</v>
      </c>
      <c r="AU329" s="67">
        <f>+S329-2</f>
        <v>1283.2889776003549</v>
      </c>
      <c r="AV329" s="67">
        <f>IFERROR(1/(SQRT(AU329/2)*_xlfn.GAMMA(AU329/2-0.5)/_xlfn.GAMMA(AU329/2)),1)</f>
        <v>1</v>
      </c>
      <c r="AW329" s="67" t="s">
        <v>1350</v>
      </c>
    </row>
    <row r="330" spans="1:49" ht="30" customHeight="1" x14ac:dyDescent="0.25">
      <c r="A330" s="67" t="s">
        <v>71</v>
      </c>
      <c r="B330" s="72" t="s">
        <v>207</v>
      </c>
      <c r="C330" s="77" t="s">
        <v>365</v>
      </c>
      <c r="D330" s="67">
        <v>17</v>
      </c>
      <c r="E330" s="67" t="s">
        <v>605</v>
      </c>
      <c r="F330" s="67" t="s">
        <v>772</v>
      </c>
      <c r="G330" s="68" t="s">
        <v>765</v>
      </c>
      <c r="H330" s="67">
        <v>1</v>
      </c>
      <c r="I330" s="67">
        <v>36</v>
      </c>
      <c r="J330" s="67">
        <v>1</v>
      </c>
      <c r="K330" s="68" t="s">
        <v>647</v>
      </c>
      <c r="L330" s="67" t="s">
        <v>240</v>
      </c>
      <c r="M330" s="68" t="s">
        <v>570</v>
      </c>
      <c r="N330" s="67" t="s">
        <v>240</v>
      </c>
      <c r="O330" s="67">
        <v>0.35</v>
      </c>
      <c r="P330" s="94">
        <v>-3.3000000000000002E-2</v>
      </c>
      <c r="Q330" s="94">
        <v>2.7E-2</v>
      </c>
      <c r="R330" s="67" t="s">
        <v>338</v>
      </c>
      <c r="S330" s="78">
        <v>1638.7110223996451</v>
      </c>
      <c r="T330" s="78">
        <v>1332.7136837436237</v>
      </c>
      <c r="U330" s="78">
        <v>305.99733865602138</v>
      </c>
      <c r="V330" s="67">
        <v>1.2999999999999999E-2</v>
      </c>
      <c r="W330" s="67">
        <v>3.5999999999999997E-2</v>
      </c>
      <c r="AC330" s="67">
        <v>0.65500000000000003</v>
      </c>
      <c r="AI330" s="70">
        <f t="shared" si="82"/>
        <v>3.5999999999999997E-2</v>
      </c>
      <c r="AL330" s="68" t="s">
        <v>766</v>
      </c>
      <c r="AM330" s="67" t="s">
        <v>30</v>
      </c>
    </row>
    <row r="331" spans="1:49" ht="30" customHeight="1" x14ac:dyDescent="0.25">
      <c r="A331" s="67" t="s">
        <v>71</v>
      </c>
      <c r="B331" s="72" t="s">
        <v>207</v>
      </c>
      <c r="C331" s="77" t="s">
        <v>365</v>
      </c>
      <c r="D331" s="67">
        <v>18</v>
      </c>
      <c r="E331" s="67" t="s">
        <v>605</v>
      </c>
      <c r="F331" s="67" t="s">
        <v>772</v>
      </c>
      <c r="G331" s="68" t="s">
        <v>765</v>
      </c>
      <c r="H331" s="67">
        <v>1</v>
      </c>
      <c r="I331" s="67">
        <v>36</v>
      </c>
      <c r="J331" s="67">
        <v>3</v>
      </c>
      <c r="K331" s="68" t="s">
        <v>771</v>
      </c>
      <c r="L331" s="67" t="s">
        <v>240</v>
      </c>
      <c r="M331" s="68" t="s">
        <v>570</v>
      </c>
      <c r="N331" s="67" t="s">
        <v>240</v>
      </c>
      <c r="O331" s="67">
        <v>0.35</v>
      </c>
      <c r="P331" s="94">
        <v>-3.3000000000000002E-2</v>
      </c>
      <c r="Q331" s="94">
        <v>2.7E-2</v>
      </c>
      <c r="R331" s="67" t="s">
        <v>338</v>
      </c>
      <c r="S331" s="78">
        <v>1638.7110223996451</v>
      </c>
      <c r="T331" s="78">
        <v>1332.7136837436237</v>
      </c>
      <c r="U331" s="78">
        <v>305.99733865602138</v>
      </c>
      <c r="V331" s="67">
        <v>1.9E-2</v>
      </c>
      <c r="W331" s="67">
        <v>0.03</v>
      </c>
      <c r="AC331" s="67">
        <v>0.19600000000000001</v>
      </c>
      <c r="AI331" s="70">
        <f t="shared" si="82"/>
        <v>0.03</v>
      </c>
      <c r="AL331" s="68" t="s">
        <v>766</v>
      </c>
      <c r="AM331" s="67" t="s">
        <v>30</v>
      </c>
    </row>
    <row r="332" spans="1:49" ht="30" customHeight="1" x14ac:dyDescent="0.25">
      <c r="A332" s="67" t="s">
        <v>71</v>
      </c>
      <c r="B332" s="72" t="s">
        <v>207</v>
      </c>
      <c r="C332" s="77" t="s">
        <v>365</v>
      </c>
      <c r="D332" s="67">
        <v>19</v>
      </c>
      <c r="E332" s="67" t="s">
        <v>605</v>
      </c>
      <c r="F332" s="67" t="s">
        <v>772</v>
      </c>
      <c r="G332" s="68" t="s">
        <v>765</v>
      </c>
      <c r="H332" s="67">
        <v>1</v>
      </c>
      <c r="I332" s="67">
        <v>36</v>
      </c>
      <c r="J332" s="67">
        <v>5</v>
      </c>
      <c r="K332" s="68" t="s">
        <v>768</v>
      </c>
      <c r="L332" s="68" t="s">
        <v>769</v>
      </c>
      <c r="M332" s="68" t="s">
        <v>570</v>
      </c>
      <c r="N332" s="67" t="s">
        <v>240</v>
      </c>
      <c r="O332" s="67">
        <v>0.35</v>
      </c>
      <c r="P332" s="94">
        <v>-3.3000000000000002E-2</v>
      </c>
      <c r="Q332" s="94">
        <v>2.7E-2</v>
      </c>
      <c r="R332" s="67" t="s">
        <v>338</v>
      </c>
      <c r="S332" s="78">
        <v>1638.7110223996451</v>
      </c>
      <c r="T332" s="78">
        <v>1332.7136837436237</v>
      </c>
      <c r="U332" s="78">
        <v>305.99733865602138</v>
      </c>
      <c r="V332" s="67">
        <v>6.2E-2</v>
      </c>
      <c r="W332" s="67">
        <v>5.0999999999999997E-2</v>
      </c>
      <c r="AC332" s="88">
        <v>6.4359999999999999</v>
      </c>
      <c r="AI332" s="70">
        <f t="shared" si="82"/>
        <v>5.0999999999999997E-2</v>
      </c>
      <c r="AL332" s="68" t="s">
        <v>766</v>
      </c>
      <c r="AM332" s="67" t="s">
        <v>30</v>
      </c>
      <c r="AP332" s="67">
        <f>+V332/AQ332</f>
        <v>7.7062917666920167E-2</v>
      </c>
      <c r="AQ332" s="67">
        <f>+W332*SQRT(T332*U332/S332)</f>
        <v>0.80453740757617276</v>
      </c>
      <c r="AS332" s="67">
        <f>+AP332^2/(AU332-2)*(AU332/(V332/AI332)^2+AU332*AV332^2-AU332+2)</f>
        <v>4.0305330174204715E-3</v>
      </c>
      <c r="AU332" s="67">
        <f>+S332-2</f>
        <v>1636.7110223996451</v>
      </c>
      <c r="AV332" s="67">
        <f>IFERROR(1/(SQRT(AU332/2)*_xlfn.GAMMA(AU332/2-0.5)/_xlfn.GAMMA(AU332/2)),1)</f>
        <v>1</v>
      </c>
      <c r="AW332" s="67" t="s">
        <v>1350</v>
      </c>
    </row>
    <row r="333" spans="1:49" ht="30" customHeight="1" x14ac:dyDescent="0.25">
      <c r="A333" s="67" t="s">
        <v>71</v>
      </c>
      <c r="B333" s="72" t="s">
        <v>207</v>
      </c>
      <c r="C333" s="77" t="s">
        <v>365</v>
      </c>
      <c r="D333" s="67">
        <v>20</v>
      </c>
      <c r="E333" s="67" t="s">
        <v>605</v>
      </c>
      <c r="F333" s="67" t="s">
        <v>772</v>
      </c>
      <c r="G333" s="68" t="s">
        <v>765</v>
      </c>
      <c r="H333" s="67">
        <v>1</v>
      </c>
      <c r="I333" s="67">
        <v>36</v>
      </c>
      <c r="J333" s="67">
        <v>7</v>
      </c>
      <c r="K333" s="68" t="s">
        <v>770</v>
      </c>
      <c r="L333" s="68" t="s">
        <v>769</v>
      </c>
      <c r="M333" s="68" t="s">
        <v>570</v>
      </c>
      <c r="N333" s="67" t="s">
        <v>240</v>
      </c>
      <c r="O333" s="67">
        <v>0.35</v>
      </c>
      <c r="P333" s="94">
        <v>-3.3000000000000002E-2</v>
      </c>
      <c r="Q333" s="94">
        <v>2.7E-2</v>
      </c>
      <c r="R333" s="67" t="s">
        <v>338</v>
      </c>
      <c r="S333" s="78">
        <v>1638.7110223996451</v>
      </c>
      <c r="T333" s="78">
        <v>1332.7136837436237</v>
      </c>
      <c r="U333" s="78">
        <v>305.99733865602138</v>
      </c>
      <c r="V333" s="67">
        <v>1.2999999999999999E-2</v>
      </c>
      <c r="W333" s="67">
        <v>5.7000000000000002E-2</v>
      </c>
      <c r="AC333" s="88">
        <v>1.1739999999999999</v>
      </c>
      <c r="AI333" s="70">
        <f t="shared" si="82"/>
        <v>5.7000000000000002E-2</v>
      </c>
      <c r="AL333" s="68" t="s">
        <v>766</v>
      </c>
      <c r="AM333" s="67" t="s">
        <v>30</v>
      </c>
      <c r="AP333" s="67">
        <f>+V333/AQ333</f>
        <v>1.4457474367053783E-2</v>
      </c>
      <c r="AQ333" s="67">
        <f>+W333*SQRT(T333*U333/S333)</f>
        <v>0.89918886729101666</v>
      </c>
      <c r="AS333" s="67">
        <f>+AP333^2/(AU333-2)*(AU333/(V333/AI333)^2+AU333*AV333^2-AU333+2)</f>
        <v>4.0235230020284505E-3</v>
      </c>
      <c r="AU333" s="67">
        <f>+S333-2</f>
        <v>1636.7110223996451</v>
      </c>
      <c r="AV333" s="67">
        <f>IFERROR(1/(SQRT(AU333/2)*_xlfn.GAMMA(AU333/2-0.5)/_xlfn.GAMMA(AU333/2)),1)</f>
        <v>1</v>
      </c>
      <c r="AW333" s="67" t="s">
        <v>1350</v>
      </c>
    </row>
    <row r="334" spans="1:49" ht="30" customHeight="1" x14ac:dyDescent="0.25">
      <c r="A334" s="67" t="s">
        <v>71</v>
      </c>
      <c r="B334" s="72" t="s">
        <v>207</v>
      </c>
      <c r="C334" s="77" t="s">
        <v>365</v>
      </c>
      <c r="D334" s="67">
        <v>21</v>
      </c>
      <c r="E334" s="67" t="s">
        <v>577</v>
      </c>
      <c r="F334" s="76" t="s">
        <v>240</v>
      </c>
      <c r="G334" s="152" t="s">
        <v>578</v>
      </c>
      <c r="H334" s="67">
        <v>1</v>
      </c>
      <c r="I334" s="67">
        <v>36</v>
      </c>
      <c r="J334" s="67">
        <v>7</v>
      </c>
      <c r="K334" s="68" t="s">
        <v>770</v>
      </c>
      <c r="L334" s="68" t="s">
        <v>769</v>
      </c>
      <c r="M334" s="68" t="s">
        <v>570</v>
      </c>
      <c r="N334" s="67" t="s">
        <v>240</v>
      </c>
      <c r="O334" s="67">
        <v>0.36499999999999999</v>
      </c>
      <c r="P334" s="94">
        <v>-3.5000000000000003E-2</v>
      </c>
      <c r="Q334" s="94">
        <v>2.5999999999999999E-2</v>
      </c>
      <c r="R334" s="67" t="s">
        <v>338</v>
      </c>
      <c r="S334" s="78">
        <f>2583*0.65</f>
        <v>1678.95</v>
      </c>
      <c r="T334" s="78">
        <f>S334-U334</f>
        <v>1365.4294801641588</v>
      </c>
      <c r="U334" s="78">
        <f>1679*(546/2924)</f>
        <v>313.5205198358413</v>
      </c>
      <c r="V334" s="67">
        <v>4.0000000000000001E-3</v>
      </c>
      <c r="W334" s="67">
        <v>6.7000000000000004E-2</v>
      </c>
      <c r="AC334" s="88">
        <v>1.101</v>
      </c>
      <c r="AI334" s="70">
        <f t="shared" si="82"/>
        <v>6.7000000000000004E-2</v>
      </c>
      <c r="AP334" s="67">
        <f>+V334/AQ334</f>
        <v>3.7388362706601698E-3</v>
      </c>
      <c r="AQ334" s="67">
        <f>+W334*SQRT(T334*U334/S334)</f>
        <v>1.0698516090124792</v>
      </c>
      <c r="AS334" s="67">
        <f>+AP334^2/(AU334-2)*(AU334/(V334/AI334)^2+AU334*AV334^2-AU334+2)</f>
        <v>3.9266539557277005E-3</v>
      </c>
      <c r="AU334" s="67">
        <f>+S334-2</f>
        <v>1676.95</v>
      </c>
      <c r="AV334" s="67">
        <f>IFERROR(1/(SQRT(AU334/2)*_xlfn.GAMMA(AU334/2-0.5)/_xlfn.GAMMA(AU334/2)),1)</f>
        <v>1</v>
      </c>
      <c r="AW334" s="67" t="s">
        <v>1350</v>
      </c>
    </row>
    <row r="335" spans="1:49" ht="30" customHeight="1" x14ac:dyDescent="0.25">
      <c r="A335" s="67" t="s">
        <v>125</v>
      </c>
      <c r="B335" s="67" t="s">
        <v>293</v>
      </c>
      <c r="C335" s="67" t="s">
        <v>383</v>
      </c>
      <c r="D335" s="67">
        <v>1</v>
      </c>
      <c r="E335" s="67" t="s">
        <v>605</v>
      </c>
      <c r="F335" s="67" t="s">
        <v>240</v>
      </c>
      <c r="G335" s="68" t="s">
        <v>578</v>
      </c>
      <c r="H335" s="67">
        <v>0</v>
      </c>
      <c r="I335" s="67">
        <v>6</v>
      </c>
      <c r="J335" s="67">
        <v>6</v>
      </c>
      <c r="K335" s="68" t="s">
        <v>773</v>
      </c>
      <c r="L335" s="67" t="s">
        <v>774</v>
      </c>
      <c r="M335" s="68" t="s">
        <v>570</v>
      </c>
      <c r="N335" s="67" t="s">
        <v>240</v>
      </c>
      <c r="O335" s="67" t="s">
        <v>240</v>
      </c>
      <c r="P335" s="67" t="s">
        <v>240</v>
      </c>
      <c r="Q335" s="67" t="s">
        <v>240</v>
      </c>
      <c r="R335" s="67" t="s">
        <v>584</v>
      </c>
      <c r="S335" s="67">
        <f t="shared" ref="S335:S355" si="83">T335+U335</f>
        <v>2711</v>
      </c>
      <c r="T335" s="67">
        <v>1361</v>
      </c>
      <c r="U335" s="67">
        <v>1350</v>
      </c>
      <c r="V335" s="67">
        <v>8.25</v>
      </c>
      <c r="W335" s="67">
        <v>1.66</v>
      </c>
      <c r="AB335" s="81">
        <v>245</v>
      </c>
      <c r="AC335" s="81">
        <v>244.21</v>
      </c>
      <c r="AD335" s="67">
        <v>153.41</v>
      </c>
      <c r="AE335" s="67" t="s">
        <v>622</v>
      </c>
      <c r="AI335" s="70">
        <f t="shared" si="82"/>
        <v>1.66</v>
      </c>
      <c r="AL335" s="68" t="s">
        <v>1368</v>
      </c>
      <c r="AM335" s="67" t="s">
        <v>30</v>
      </c>
      <c r="AP335" s="67">
        <f>+V335/AQ335</f>
        <v>0.19090384360706333</v>
      </c>
      <c r="AQ335" s="67">
        <f>+W335*SQRT(T335*U335/S335)</f>
        <v>43.215473529076469</v>
      </c>
      <c r="AS335" s="67">
        <f>+AP335^2/(AU335-2)*(AU335/(V335/AI335)^2+AU335*AV335^2-AU335+2)</f>
        <v>1.5035106839776948E-3</v>
      </c>
      <c r="AU335" s="67">
        <f>+S335-2</f>
        <v>2709</v>
      </c>
      <c r="AV335" s="67">
        <f>IFERROR(1/(SQRT(AU335/2)*_xlfn.GAMMA(AU335/2-0.5)/_xlfn.GAMMA(AU335/2)),1)</f>
        <v>1</v>
      </c>
      <c r="AW335" s="67" t="s">
        <v>1350</v>
      </c>
    </row>
    <row r="336" spans="1:49" ht="30" customHeight="1" x14ac:dyDescent="0.25">
      <c r="A336" s="67" t="s">
        <v>125</v>
      </c>
      <c r="B336" s="67" t="s">
        <v>293</v>
      </c>
      <c r="C336" s="67" t="s">
        <v>383</v>
      </c>
      <c r="D336" s="67">
        <f t="shared" ref="D336:D355" si="84">D335+1</f>
        <v>2</v>
      </c>
      <c r="E336" s="67" t="s">
        <v>605</v>
      </c>
      <c r="F336" s="67" t="s">
        <v>240</v>
      </c>
      <c r="G336" s="68" t="s">
        <v>578</v>
      </c>
      <c r="H336" s="67">
        <v>0</v>
      </c>
      <c r="I336" s="67">
        <v>6</v>
      </c>
      <c r="J336" s="67">
        <v>2</v>
      </c>
      <c r="K336" s="68" t="s">
        <v>611</v>
      </c>
      <c r="L336" s="67" t="s">
        <v>774</v>
      </c>
      <c r="M336" s="68" t="s">
        <v>570</v>
      </c>
      <c r="N336" s="67" t="s">
        <v>240</v>
      </c>
      <c r="O336" s="67" t="s">
        <v>240</v>
      </c>
      <c r="P336" s="67" t="s">
        <v>240</v>
      </c>
      <c r="Q336" s="67" t="s">
        <v>240</v>
      </c>
      <c r="R336" s="67" t="s">
        <v>600</v>
      </c>
      <c r="S336" s="67">
        <f t="shared" si="83"/>
        <v>2711</v>
      </c>
      <c r="T336" s="67">
        <v>1361</v>
      </c>
      <c r="U336" s="67">
        <v>1350</v>
      </c>
      <c r="V336" s="67">
        <v>4.38</v>
      </c>
      <c r="W336" s="67">
        <v>3.86</v>
      </c>
      <c r="AB336" s="67">
        <v>150.01</v>
      </c>
      <c r="AC336" s="67">
        <v>146.37</v>
      </c>
      <c r="AD336" s="67">
        <v>168.61</v>
      </c>
      <c r="AE336" s="67" t="s">
        <v>622</v>
      </c>
      <c r="AI336" s="70">
        <f t="shared" si="82"/>
        <v>3.86</v>
      </c>
      <c r="AL336" s="68" t="s">
        <v>775</v>
      </c>
      <c r="AM336" s="67" t="s">
        <v>30</v>
      </c>
      <c r="AP336" s="67">
        <f>+V336/AQ336</f>
        <v>4.3586863435334786E-2</v>
      </c>
      <c r="AQ336" s="67">
        <f>+W336*SQRT(T336*U336/S336)</f>
        <v>100.48899266399708</v>
      </c>
      <c r="AS336" s="67">
        <f>+AP336^2/(AU336-2)*(AU336/(V336/AI336)^2+AU336*AV336^2-AU336+2)</f>
        <v>1.4779883619682218E-3</v>
      </c>
      <c r="AU336" s="67">
        <f>+S336-2</f>
        <v>2709</v>
      </c>
      <c r="AV336" s="67">
        <f>IFERROR(1/(SQRT(AU336/2)*_xlfn.GAMMA(AU336/2-0.5)/_xlfn.GAMMA(AU336/2)),1)</f>
        <v>1</v>
      </c>
      <c r="AW336" s="67" t="s">
        <v>1350</v>
      </c>
    </row>
    <row r="337" spans="1:49" ht="30" customHeight="1" x14ac:dyDescent="0.25">
      <c r="A337" s="67" t="s">
        <v>125</v>
      </c>
      <c r="B337" s="67" t="s">
        <v>293</v>
      </c>
      <c r="C337" s="67" t="s">
        <v>383</v>
      </c>
      <c r="D337" s="67">
        <f t="shared" si="84"/>
        <v>3</v>
      </c>
      <c r="E337" s="67" t="s">
        <v>605</v>
      </c>
      <c r="F337" s="67" t="s">
        <v>240</v>
      </c>
      <c r="G337" s="68" t="s">
        <v>578</v>
      </c>
      <c r="H337" s="67">
        <v>0</v>
      </c>
      <c r="I337" s="67">
        <v>6</v>
      </c>
      <c r="J337" s="67">
        <v>1</v>
      </c>
      <c r="K337" s="68" t="s">
        <v>776</v>
      </c>
      <c r="L337" s="67" t="s">
        <v>240</v>
      </c>
      <c r="M337" s="68" t="s">
        <v>570</v>
      </c>
      <c r="N337" s="67" t="s">
        <v>240</v>
      </c>
      <c r="O337" s="67" t="s">
        <v>240</v>
      </c>
      <c r="P337" s="67" t="s">
        <v>240</v>
      </c>
      <c r="Q337" s="67" t="s">
        <v>240</v>
      </c>
      <c r="R337" s="67" t="s">
        <v>604</v>
      </c>
      <c r="S337" s="67">
        <f t="shared" si="83"/>
        <v>2711</v>
      </c>
      <c r="T337" s="67">
        <v>1361</v>
      </c>
      <c r="U337" s="67">
        <v>1350</v>
      </c>
      <c r="V337" s="67">
        <v>-0.02</v>
      </c>
      <c r="W337" s="67">
        <v>0.01</v>
      </c>
      <c r="AI337" s="70">
        <f t="shared" si="82"/>
        <v>0.01</v>
      </c>
      <c r="AL337" s="68" t="s">
        <v>775</v>
      </c>
      <c r="AM337" s="67" t="s">
        <v>30</v>
      </c>
    </row>
    <row r="338" spans="1:49" ht="30" customHeight="1" x14ac:dyDescent="0.25">
      <c r="A338" s="67" t="s">
        <v>125</v>
      </c>
      <c r="B338" s="67" t="s">
        <v>293</v>
      </c>
      <c r="C338" s="67" t="s">
        <v>383</v>
      </c>
      <c r="D338" s="67">
        <f t="shared" si="84"/>
        <v>4</v>
      </c>
      <c r="E338" s="67" t="s">
        <v>577</v>
      </c>
      <c r="F338" s="67" t="s">
        <v>240</v>
      </c>
      <c r="G338" s="68" t="s">
        <v>578</v>
      </c>
      <c r="H338" s="67">
        <v>0</v>
      </c>
      <c r="I338" s="67">
        <v>6</v>
      </c>
      <c r="J338" s="67">
        <v>6</v>
      </c>
      <c r="K338" s="68" t="s">
        <v>773</v>
      </c>
      <c r="L338" s="67" t="s">
        <v>774</v>
      </c>
      <c r="M338" s="68" t="s">
        <v>570</v>
      </c>
      <c r="N338" s="67" t="s">
        <v>240</v>
      </c>
      <c r="O338" s="67" t="s">
        <v>240</v>
      </c>
      <c r="P338" s="67" t="s">
        <v>240</v>
      </c>
      <c r="Q338" s="67" t="s">
        <v>240</v>
      </c>
      <c r="R338" s="67" t="s">
        <v>777</v>
      </c>
      <c r="S338" s="78">
        <f t="shared" si="83"/>
        <v>1355.5</v>
      </c>
      <c r="T338" s="78">
        <f>1361/2</f>
        <v>680.5</v>
      </c>
      <c r="U338" s="78">
        <f>1350/2</f>
        <v>675</v>
      </c>
      <c r="V338" s="67">
        <v>-6.41</v>
      </c>
      <c r="W338" s="67">
        <v>2.31</v>
      </c>
      <c r="AI338" s="70">
        <f t="shared" si="82"/>
        <v>2.31</v>
      </c>
      <c r="AL338" s="68" t="s">
        <v>775</v>
      </c>
      <c r="AM338" s="67" t="s">
        <v>30</v>
      </c>
      <c r="AP338" s="67">
        <f t="shared" ref="AP338:AP349" si="85">+V338/AQ338</f>
        <v>-0.15074046804134555</v>
      </c>
      <c r="AQ338" s="67">
        <f t="shared" ref="AQ338:AQ349" si="86">+W338*SQRT(T338*U338/S338)</f>
        <v>42.52341845085585</v>
      </c>
      <c r="AS338" s="67">
        <f t="shared" ref="AS338:AS349" si="87">+AP338^2/(AU338-2)*(AU338/(V338/AI338)^2+AU338*AV338^2-AU338+2)</f>
        <v>2.9889820604764848E-3</v>
      </c>
      <c r="AU338" s="67">
        <f t="shared" ref="AU338:AU349" si="88">+S338-2</f>
        <v>1353.5</v>
      </c>
      <c r="AV338" s="67">
        <f t="shared" ref="AV338:AV349" si="89">IFERROR(1/(SQRT(AU338/2)*_xlfn.GAMMA(AU338/2-0.5)/_xlfn.GAMMA(AU338/2)),1)</f>
        <v>1</v>
      </c>
      <c r="AW338" s="67" t="s">
        <v>1350</v>
      </c>
    </row>
    <row r="339" spans="1:49" ht="30" customHeight="1" x14ac:dyDescent="0.25">
      <c r="A339" s="67" t="s">
        <v>125</v>
      </c>
      <c r="B339" s="67" t="s">
        <v>293</v>
      </c>
      <c r="C339" s="67" t="s">
        <v>383</v>
      </c>
      <c r="D339" s="67">
        <f t="shared" si="84"/>
        <v>5</v>
      </c>
      <c r="E339" s="67" t="s">
        <v>583</v>
      </c>
      <c r="F339" s="67" t="s">
        <v>240</v>
      </c>
      <c r="G339" s="68" t="s">
        <v>578</v>
      </c>
      <c r="H339" s="67">
        <v>0</v>
      </c>
      <c r="I339" s="67">
        <v>6</v>
      </c>
      <c r="J339" s="67">
        <v>6</v>
      </c>
      <c r="K339" s="68" t="s">
        <v>773</v>
      </c>
      <c r="L339" s="67" t="s">
        <v>774</v>
      </c>
      <c r="M339" s="68" t="s">
        <v>570</v>
      </c>
      <c r="N339" s="67" t="s">
        <v>240</v>
      </c>
      <c r="O339" s="67" t="s">
        <v>240</v>
      </c>
      <c r="P339" s="67" t="s">
        <v>240</v>
      </c>
      <c r="Q339" s="67" t="s">
        <v>240</v>
      </c>
      <c r="R339" s="67" t="s">
        <v>777</v>
      </c>
      <c r="S339" s="78">
        <f t="shared" si="83"/>
        <v>1355.5</v>
      </c>
      <c r="T339" s="78">
        <f>1361/2</f>
        <v>680.5</v>
      </c>
      <c r="U339" s="78">
        <f>1350/2</f>
        <v>675</v>
      </c>
      <c r="V339" s="67">
        <v>-9.8800000000000008</v>
      </c>
      <c r="W339" s="67">
        <v>2.0499999999999998</v>
      </c>
      <c r="AI339" s="70">
        <f t="shared" si="82"/>
        <v>2.0499999999999998</v>
      </c>
      <c r="AL339" s="68" t="s">
        <v>775</v>
      </c>
      <c r="AM339" s="67" t="s">
        <v>30</v>
      </c>
      <c r="AP339" s="67">
        <f t="shared" si="85"/>
        <v>-0.26181039945314272</v>
      </c>
      <c r="AQ339" s="67">
        <f t="shared" si="86"/>
        <v>37.737232824352589</v>
      </c>
      <c r="AS339" s="67">
        <f t="shared" si="87"/>
        <v>3.0567911563795357E-3</v>
      </c>
      <c r="AU339" s="67">
        <f t="shared" si="88"/>
        <v>1353.5</v>
      </c>
      <c r="AV339" s="67">
        <f t="shared" si="89"/>
        <v>1</v>
      </c>
      <c r="AW339" s="67" t="s">
        <v>1350</v>
      </c>
    </row>
    <row r="340" spans="1:49" ht="30" customHeight="1" x14ac:dyDescent="0.25">
      <c r="A340" s="67" t="s">
        <v>125</v>
      </c>
      <c r="B340" s="67" t="s">
        <v>293</v>
      </c>
      <c r="C340" s="67" t="s">
        <v>383</v>
      </c>
      <c r="D340" s="67">
        <f t="shared" si="84"/>
        <v>6</v>
      </c>
      <c r="E340" s="67" t="s">
        <v>577</v>
      </c>
      <c r="F340" s="67" t="s">
        <v>1004</v>
      </c>
      <c r="G340" s="68" t="s">
        <v>578</v>
      </c>
      <c r="H340" s="67">
        <v>0</v>
      </c>
      <c r="I340" s="67">
        <v>6</v>
      </c>
      <c r="J340" s="67">
        <v>6</v>
      </c>
      <c r="K340" s="68" t="s">
        <v>773</v>
      </c>
      <c r="L340" s="67" t="s">
        <v>774</v>
      </c>
      <c r="M340" s="68" t="s">
        <v>570</v>
      </c>
      <c r="N340" s="67" t="s">
        <v>240</v>
      </c>
      <c r="O340" s="67" t="s">
        <v>240</v>
      </c>
      <c r="P340" s="67" t="s">
        <v>240</v>
      </c>
      <c r="Q340" s="67" t="s">
        <v>240</v>
      </c>
      <c r="R340" s="67" t="s">
        <v>571</v>
      </c>
      <c r="S340" s="78">
        <f t="shared" si="83"/>
        <v>677.75</v>
      </c>
      <c r="T340" s="78">
        <f>1361/4</f>
        <v>340.25</v>
      </c>
      <c r="U340" s="78">
        <f>1350/4</f>
        <v>337.5</v>
      </c>
      <c r="V340" s="67">
        <v>-4.47</v>
      </c>
      <c r="W340" s="67">
        <v>2.62</v>
      </c>
      <c r="AI340" s="70">
        <f t="shared" si="82"/>
        <v>2.62</v>
      </c>
      <c r="AL340" s="68" t="s">
        <v>775</v>
      </c>
      <c r="AM340" s="67" t="s">
        <v>30</v>
      </c>
      <c r="AP340" s="67">
        <f t="shared" si="85"/>
        <v>-0.13107052512913545</v>
      </c>
      <c r="AQ340" s="67">
        <f t="shared" si="86"/>
        <v>34.103777303066373</v>
      </c>
      <c r="AS340" s="67">
        <f t="shared" si="87"/>
        <v>5.9704947889362252E-3</v>
      </c>
      <c r="AU340" s="67">
        <f t="shared" si="88"/>
        <v>675.75</v>
      </c>
      <c r="AV340" s="67">
        <f t="shared" si="89"/>
        <v>1</v>
      </c>
      <c r="AW340" s="67" t="s">
        <v>1350</v>
      </c>
    </row>
    <row r="341" spans="1:49" ht="30" customHeight="1" x14ac:dyDescent="0.25">
      <c r="A341" s="67" t="s">
        <v>125</v>
      </c>
      <c r="B341" s="67" t="s">
        <v>293</v>
      </c>
      <c r="C341" s="67" t="s">
        <v>383</v>
      </c>
      <c r="D341" s="67">
        <f t="shared" si="84"/>
        <v>7</v>
      </c>
      <c r="E341" s="67" t="s">
        <v>583</v>
      </c>
      <c r="F341" s="67" t="s">
        <v>1004</v>
      </c>
      <c r="G341" s="68" t="s">
        <v>578</v>
      </c>
      <c r="H341" s="67">
        <v>0</v>
      </c>
      <c r="I341" s="67">
        <v>6</v>
      </c>
      <c r="J341" s="67">
        <v>6</v>
      </c>
      <c r="K341" s="68" t="s">
        <v>773</v>
      </c>
      <c r="L341" s="67" t="s">
        <v>774</v>
      </c>
      <c r="M341" s="68" t="s">
        <v>570</v>
      </c>
      <c r="N341" s="67" t="s">
        <v>240</v>
      </c>
      <c r="O341" s="67" t="s">
        <v>240</v>
      </c>
      <c r="P341" s="67" t="s">
        <v>240</v>
      </c>
      <c r="Q341" s="67" t="s">
        <v>240</v>
      </c>
      <c r="R341" s="67" t="s">
        <v>571</v>
      </c>
      <c r="S341" s="78">
        <f t="shared" si="83"/>
        <v>677.75</v>
      </c>
      <c r="T341" s="78">
        <f>1361/4</f>
        <v>340.25</v>
      </c>
      <c r="U341" s="78">
        <f>1350/4</f>
        <v>337.5</v>
      </c>
      <c r="V341" s="67">
        <v>-8.15</v>
      </c>
      <c r="W341" s="67">
        <v>2.23</v>
      </c>
      <c r="AI341" s="70">
        <f t="shared" si="82"/>
        <v>2.23</v>
      </c>
      <c r="AL341" s="68" t="s">
        <v>775</v>
      </c>
      <c r="AM341" s="67" t="s">
        <v>30</v>
      </c>
      <c r="AP341" s="67">
        <f t="shared" si="85"/>
        <v>-0.2807705503639038</v>
      </c>
      <c r="AQ341" s="67">
        <f t="shared" si="86"/>
        <v>29.027260834289315</v>
      </c>
      <c r="AS341" s="67">
        <f t="shared" si="87"/>
        <v>6.1535081303656022E-3</v>
      </c>
      <c r="AU341" s="67">
        <f t="shared" si="88"/>
        <v>675.75</v>
      </c>
      <c r="AV341" s="67">
        <f t="shared" si="89"/>
        <v>1</v>
      </c>
      <c r="AW341" s="67" t="s">
        <v>1350</v>
      </c>
    </row>
    <row r="342" spans="1:49" ht="30" customHeight="1" x14ac:dyDescent="0.25">
      <c r="A342" s="67" t="s">
        <v>125</v>
      </c>
      <c r="B342" s="67" t="s">
        <v>293</v>
      </c>
      <c r="C342" s="67" t="s">
        <v>383</v>
      </c>
      <c r="D342" s="67">
        <f t="shared" si="84"/>
        <v>8</v>
      </c>
      <c r="E342" s="67" t="s">
        <v>577</v>
      </c>
      <c r="F342" s="67" t="s">
        <v>1005</v>
      </c>
      <c r="G342" s="68" t="s">
        <v>578</v>
      </c>
      <c r="H342" s="67">
        <v>0</v>
      </c>
      <c r="I342" s="67">
        <v>6</v>
      </c>
      <c r="J342" s="67">
        <v>6</v>
      </c>
      <c r="K342" s="68" t="s">
        <v>773</v>
      </c>
      <c r="L342" s="67" t="s">
        <v>774</v>
      </c>
      <c r="M342" s="68" t="s">
        <v>570</v>
      </c>
      <c r="N342" s="67" t="s">
        <v>240</v>
      </c>
      <c r="O342" s="67" t="s">
        <v>240</v>
      </c>
      <c r="P342" s="67" t="s">
        <v>240</v>
      </c>
      <c r="Q342" s="67" t="s">
        <v>240</v>
      </c>
      <c r="R342" s="67" t="s">
        <v>778</v>
      </c>
      <c r="S342" s="78">
        <f t="shared" si="83"/>
        <v>677.75</v>
      </c>
      <c r="T342" s="78">
        <f>1361/4</f>
        <v>340.25</v>
      </c>
      <c r="U342" s="78">
        <f>1350/4</f>
        <v>337.5</v>
      </c>
      <c r="V342" s="67">
        <v>-9.6</v>
      </c>
      <c r="W342" s="67">
        <v>4.33</v>
      </c>
      <c r="AI342" s="70">
        <f t="shared" si="82"/>
        <v>4.33</v>
      </c>
      <c r="AL342" s="68" t="s">
        <v>775</v>
      </c>
      <c r="AM342" s="67" t="s">
        <v>30</v>
      </c>
      <c r="AP342" s="67">
        <f t="shared" si="85"/>
        <v>-0.17032646940847709</v>
      </c>
      <c r="AQ342" s="67">
        <f t="shared" si="86"/>
        <v>56.362349512319611</v>
      </c>
      <c r="AS342" s="67">
        <f t="shared" si="87"/>
        <v>6.0056164917147888E-3</v>
      </c>
      <c r="AU342" s="67">
        <f t="shared" si="88"/>
        <v>675.75</v>
      </c>
      <c r="AV342" s="67">
        <f t="shared" si="89"/>
        <v>1</v>
      </c>
      <c r="AW342" s="67" t="s">
        <v>1350</v>
      </c>
    </row>
    <row r="343" spans="1:49" ht="30" customHeight="1" x14ac:dyDescent="0.25">
      <c r="A343" s="67" t="s">
        <v>125</v>
      </c>
      <c r="B343" s="67" t="s">
        <v>293</v>
      </c>
      <c r="C343" s="67" t="s">
        <v>383</v>
      </c>
      <c r="D343" s="67">
        <f t="shared" si="84"/>
        <v>9</v>
      </c>
      <c r="E343" s="67" t="s">
        <v>583</v>
      </c>
      <c r="F343" s="67" t="s">
        <v>1005</v>
      </c>
      <c r="G343" s="68" t="s">
        <v>578</v>
      </c>
      <c r="H343" s="67">
        <v>0</v>
      </c>
      <c r="I343" s="67">
        <v>6</v>
      </c>
      <c r="J343" s="67">
        <v>6</v>
      </c>
      <c r="K343" s="68" t="s">
        <v>773</v>
      </c>
      <c r="L343" s="67" t="s">
        <v>774</v>
      </c>
      <c r="M343" s="68" t="s">
        <v>570</v>
      </c>
      <c r="N343" s="67" t="s">
        <v>240</v>
      </c>
      <c r="O343" s="67" t="s">
        <v>240</v>
      </c>
      <c r="P343" s="67" t="s">
        <v>240</v>
      </c>
      <c r="Q343" s="67" t="s">
        <v>240</v>
      </c>
      <c r="R343" s="67" t="s">
        <v>778</v>
      </c>
      <c r="S343" s="78">
        <f t="shared" si="83"/>
        <v>677.75</v>
      </c>
      <c r="T343" s="78">
        <f>1361/4</f>
        <v>340.25</v>
      </c>
      <c r="U343" s="78">
        <f>1350/4</f>
        <v>337.5</v>
      </c>
      <c r="V343" s="67">
        <v>-10.55</v>
      </c>
      <c r="W343" s="67">
        <v>4.5999999999999996</v>
      </c>
      <c r="AI343" s="70">
        <f t="shared" si="82"/>
        <v>4.5999999999999996</v>
      </c>
      <c r="AL343" s="68" t="s">
        <v>775</v>
      </c>
      <c r="AM343" s="67" t="s">
        <v>30</v>
      </c>
      <c r="AP343" s="67">
        <f t="shared" si="85"/>
        <v>-0.17619494140134392</v>
      </c>
      <c r="AQ343" s="67">
        <f t="shared" si="86"/>
        <v>59.876860913780646</v>
      </c>
      <c r="AS343" s="67">
        <f t="shared" si="87"/>
        <v>6.0116530073192941E-3</v>
      </c>
      <c r="AU343" s="67">
        <f t="shared" si="88"/>
        <v>675.75</v>
      </c>
      <c r="AV343" s="67">
        <f t="shared" si="89"/>
        <v>1</v>
      </c>
      <c r="AW343" s="67" t="s">
        <v>1350</v>
      </c>
    </row>
    <row r="344" spans="1:49" ht="30" customHeight="1" x14ac:dyDescent="0.25">
      <c r="A344" s="67" t="s">
        <v>125</v>
      </c>
      <c r="B344" s="67" t="s">
        <v>293</v>
      </c>
      <c r="C344" s="67" t="s">
        <v>383</v>
      </c>
      <c r="D344" s="67">
        <f t="shared" si="84"/>
        <v>10</v>
      </c>
      <c r="E344" s="67" t="s">
        <v>577</v>
      </c>
      <c r="F344" s="67" t="s">
        <v>240</v>
      </c>
      <c r="G344" s="68" t="s">
        <v>578</v>
      </c>
      <c r="H344" s="67">
        <v>0</v>
      </c>
      <c r="I344" s="67">
        <v>6</v>
      </c>
      <c r="J344" s="67">
        <v>2</v>
      </c>
      <c r="K344" s="68" t="s">
        <v>611</v>
      </c>
      <c r="L344" s="67" t="s">
        <v>774</v>
      </c>
      <c r="M344" s="68" t="s">
        <v>570</v>
      </c>
      <c r="N344" s="67" t="s">
        <v>240</v>
      </c>
      <c r="O344" s="67" t="s">
        <v>240</v>
      </c>
      <c r="P344" s="67" t="s">
        <v>240</v>
      </c>
      <c r="Q344" s="67" t="s">
        <v>240</v>
      </c>
      <c r="R344" s="67" t="s">
        <v>779</v>
      </c>
      <c r="S344" s="78">
        <f t="shared" si="83"/>
        <v>1355.5</v>
      </c>
      <c r="T344" s="78">
        <f>1361/2</f>
        <v>680.5</v>
      </c>
      <c r="U344" s="78">
        <f>1350/2</f>
        <v>675</v>
      </c>
      <c r="V344" s="67">
        <v>-1.37</v>
      </c>
      <c r="W344" s="67">
        <v>2.62</v>
      </c>
      <c r="AI344" s="70">
        <f t="shared" si="82"/>
        <v>2.62</v>
      </c>
      <c r="AL344" s="68" t="s">
        <v>775</v>
      </c>
      <c r="AM344" s="67" t="s">
        <v>30</v>
      </c>
      <c r="AP344" s="67">
        <f t="shared" si="85"/>
        <v>-2.8405542342621042E-2</v>
      </c>
      <c r="AQ344" s="67">
        <f t="shared" si="86"/>
        <v>48.230024390148195</v>
      </c>
      <c r="AS344" s="67">
        <f t="shared" si="87"/>
        <v>2.9565502234516288E-3</v>
      </c>
      <c r="AU344" s="67">
        <f t="shared" si="88"/>
        <v>1353.5</v>
      </c>
      <c r="AV344" s="67">
        <f t="shared" si="89"/>
        <v>1</v>
      </c>
      <c r="AW344" s="67" t="s">
        <v>1350</v>
      </c>
    </row>
    <row r="345" spans="1:49" ht="30" customHeight="1" x14ac:dyDescent="0.25">
      <c r="A345" s="67" t="s">
        <v>125</v>
      </c>
      <c r="B345" s="67" t="s">
        <v>293</v>
      </c>
      <c r="C345" s="67" t="s">
        <v>383</v>
      </c>
      <c r="D345" s="67">
        <f t="shared" si="84"/>
        <v>11</v>
      </c>
      <c r="E345" s="67" t="s">
        <v>583</v>
      </c>
      <c r="F345" s="67" t="s">
        <v>240</v>
      </c>
      <c r="G345" s="68" t="s">
        <v>578</v>
      </c>
      <c r="H345" s="67">
        <v>0</v>
      </c>
      <c r="I345" s="67">
        <v>6</v>
      </c>
      <c r="J345" s="67">
        <v>2</v>
      </c>
      <c r="K345" s="68" t="s">
        <v>611</v>
      </c>
      <c r="L345" s="67" t="s">
        <v>774</v>
      </c>
      <c r="M345" s="68" t="s">
        <v>570</v>
      </c>
      <c r="N345" s="67" t="s">
        <v>240</v>
      </c>
      <c r="O345" s="67" t="s">
        <v>240</v>
      </c>
      <c r="P345" s="67" t="s">
        <v>240</v>
      </c>
      <c r="Q345" s="67" t="s">
        <v>240</v>
      </c>
      <c r="R345" s="67" t="s">
        <v>779</v>
      </c>
      <c r="S345" s="78">
        <f t="shared" si="83"/>
        <v>1355.5</v>
      </c>
      <c r="T345" s="78">
        <f>1361/2</f>
        <v>680.5</v>
      </c>
      <c r="U345" s="78">
        <f>1350/2</f>
        <v>675</v>
      </c>
      <c r="V345" s="67">
        <v>-6.88</v>
      </c>
      <c r="W345" s="67">
        <v>2.4700000000000002</v>
      </c>
      <c r="AI345" s="70">
        <f t="shared" si="82"/>
        <v>2.4700000000000002</v>
      </c>
      <c r="AL345" s="68" t="s">
        <v>775</v>
      </c>
      <c r="AM345" s="67" t="s">
        <v>30</v>
      </c>
      <c r="AP345" s="67">
        <f t="shared" si="85"/>
        <v>-0.15131267001127391</v>
      </c>
      <c r="AQ345" s="67">
        <f t="shared" si="86"/>
        <v>45.46876345178093</v>
      </c>
      <c r="AS345" s="67">
        <f t="shared" si="87"/>
        <v>2.9892378287348863E-3</v>
      </c>
      <c r="AU345" s="67">
        <f t="shared" si="88"/>
        <v>1353.5</v>
      </c>
      <c r="AV345" s="67">
        <f t="shared" si="89"/>
        <v>1</v>
      </c>
      <c r="AW345" s="67" t="s">
        <v>1350</v>
      </c>
    </row>
    <row r="346" spans="1:49" ht="30" customHeight="1" x14ac:dyDescent="0.25">
      <c r="A346" s="67" t="s">
        <v>125</v>
      </c>
      <c r="B346" s="67" t="s">
        <v>293</v>
      </c>
      <c r="C346" s="67" t="s">
        <v>383</v>
      </c>
      <c r="D346" s="67">
        <f t="shared" si="84"/>
        <v>12</v>
      </c>
      <c r="E346" s="67" t="s">
        <v>577</v>
      </c>
      <c r="F346" s="67" t="s">
        <v>1004</v>
      </c>
      <c r="G346" s="68" t="s">
        <v>578</v>
      </c>
      <c r="H346" s="67">
        <v>0</v>
      </c>
      <c r="I346" s="67">
        <v>6</v>
      </c>
      <c r="J346" s="67">
        <v>2</v>
      </c>
      <c r="K346" s="68" t="s">
        <v>611</v>
      </c>
      <c r="L346" s="67" t="s">
        <v>774</v>
      </c>
      <c r="M346" s="68" t="s">
        <v>570</v>
      </c>
      <c r="N346" s="67" t="s">
        <v>240</v>
      </c>
      <c r="O346" s="67" t="s">
        <v>240</v>
      </c>
      <c r="P346" s="67" t="s">
        <v>240</v>
      </c>
      <c r="Q346" s="67" t="s">
        <v>240</v>
      </c>
      <c r="R346" s="67" t="s">
        <v>576</v>
      </c>
      <c r="S346" s="78">
        <f t="shared" si="83"/>
        <v>677.75</v>
      </c>
      <c r="T346" s="78">
        <f>1361/4</f>
        <v>340.25</v>
      </c>
      <c r="U346" s="78">
        <f>1350/4</f>
        <v>337.5</v>
      </c>
      <c r="V346" s="67">
        <v>-1.24</v>
      </c>
      <c r="W346" s="67">
        <v>3.15</v>
      </c>
      <c r="AI346" s="70">
        <f t="shared" si="82"/>
        <v>3.15</v>
      </c>
      <c r="AL346" s="68" t="s">
        <v>775</v>
      </c>
      <c r="AM346" s="67" t="s">
        <v>30</v>
      </c>
      <c r="AP346" s="67">
        <f t="shared" si="85"/>
        <v>-3.0241960302513072E-2</v>
      </c>
      <c r="AQ346" s="67">
        <f t="shared" si="86"/>
        <v>41.00263301704544</v>
      </c>
      <c r="AS346" s="67">
        <f t="shared" si="87"/>
        <v>5.9222130630892812E-3</v>
      </c>
      <c r="AU346" s="67">
        <f t="shared" si="88"/>
        <v>675.75</v>
      </c>
      <c r="AV346" s="67">
        <f t="shared" si="89"/>
        <v>1</v>
      </c>
      <c r="AW346" s="67" t="s">
        <v>1350</v>
      </c>
    </row>
    <row r="347" spans="1:49" ht="30" customHeight="1" x14ac:dyDescent="0.25">
      <c r="A347" s="67" t="s">
        <v>125</v>
      </c>
      <c r="B347" s="67" t="s">
        <v>293</v>
      </c>
      <c r="C347" s="67" t="s">
        <v>383</v>
      </c>
      <c r="D347" s="67">
        <f t="shared" si="84"/>
        <v>13</v>
      </c>
      <c r="E347" s="67" t="s">
        <v>583</v>
      </c>
      <c r="F347" s="67" t="s">
        <v>1004</v>
      </c>
      <c r="G347" s="68" t="s">
        <v>578</v>
      </c>
      <c r="H347" s="67">
        <v>0</v>
      </c>
      <c r="I347" s="67">
        <v>6</v>
      </c>
      <c r="J347" s="67">
        <v>2</v>
      </c>
      <c r="K347" s="68" t="s">
        <v>611</v>
      </c>
      <c r="L347" s="67" t="s">
        <v>774</v>
      </c>
      <c r="M347" s="68" t="s">
        <v>570</v>
      </c>
      <c r="N347" s="67" t="s">
        <v>240</v>
      </c>
      <c r="O347" s="67" t="s">
        <v>240</v>
      </c>
      <c r="P347" s="67" t="s">
        <v>240</v>
      </c>
      <c r="Q347" s="67" t="s">
        <v>240</v>
      </c>
      <c r="R347" s="67" t="s">
        <v>576</v>
      </c>
      <c r="S347" s="78">
        <f t="shared" si="83"/>
        <v>677.75</v>
      </c>
      <c r="T347" s="78">
        <f>1361/4</f>
        <v>340.25</v>
      </c>
      <c r="U347" s="78">
        <f>1350/4</f>
        <v>337.5</v>
      </c>
      <c r="V347" s="67">
        <v>-3.77</v>
      </c>
      <c r="W347" s="67">
        <v>2.56</v>
      </c>
      <c r="AI347" s="70">
        <f t="shared" si="82"/>
        <v>2.56</v>
      </c>
      <c r="AL347" s="68" t="s">
        <v>775</v>
      </c>
      <c r="AM347" s="67" t="s">
        <v>30</v>
      </c>
      <c r="AP347" s="67">
        <f t="shared" si="85"/>
        <v>-0.11313583655887537</v>
      </c>
      <c r="AQ347" s="67">
        <f t="shared" si="86"/>
        <v>33.322774769408362</v>
      </c>
      <c r="AS347" s="67">
        <f t="shared" si="87"/>
        <v>5.9574936311069058E-3</v>
      </c>
      <c r="AU347" s="67">
        <f t="shared" si="88"/>
        <v>675.75</v>
      </c>
      <c r="AV347" s="67">
        <f t="shared" si="89"/>
        <v>1</v>
      </c>
      <c r="AW347" s="67" t="s">
        <v>1350</v>
      </c>
    </row>
    <row r="348" spans="1:49" ht="30" customHeight="1" x14ac:dyDescent="0.25">
      <c r="A348" s="67" t="s">
        <v>125</v>
      </c>
      <c r="B348" s="67" t="s">
        <v>293</v>
      </c>
      <c r="C348" s="67" t="s">
        <v>383</v>
      </c>
      <c r="D348" s="67">
        <f t="shared" si="84"/>
        <v>14</v>
      </c>
      <c r="E348" s="67" t="s">
        <v>577</v>
      </c>
      <c r="F348" s="67" t="s">
        <v>1005</v>
      </c>
      <c r="G348" s="68" t="s">
        <v>578</v>
      </c>
      <c r="H348" s="67">
        <v>0</v>
      </c>
      <c r="I348" s="67">
        <v>6</v>
      </c>
      <c r="J348" s="67">
        <v>2</v>
      </c>
      <c r="K348" s="68" t="s">
        <v>611</v>
      </c>
      <c r="L348" s="67" t="s">
        <v>774</v>
      </c>
      <c r="M348" s="68" t="s">
        <v>570</v>
      </c>
      <c r="N348" s="67" t="s">
        <v>240</v>
      </c>
      <c r="O348" s="67" t="s">
        <v>240</v>
      </c>
      <c r="P348" s="67" t="s">
        <v>240</v>
      </c>
      <c r="Q348" s="67" t="s">
        <v>240</v>
      </c>
      <c r="R348" s="67" t="s">
        <v>780</v>
      </c>
      <c r="S348" s="78">
        <f t="shared" si="83"/>
        <v>677.75</v>
      </c>
      <c r="T348" s="78">
        <f>1361/4</f>
        <v>340.25</v>
      </c>
      <c r="U348" s="78">
        <f>1350/4</f>
        <v>337.5</v>
      </c>
      <c r="V348" s="67">
        <v>-1.24</v>
      </c>
      <c r="W348" s="67">
        <v>4.49</v>
      </c>
      <c r="AI348" s="70">
        <f t="shared" si="82"/>
        <v>4.49</v>
      </c>
      <c r="AL348" s="68" t="s">
        <v>775</v>
      </c>
      <c r="AM348" s="67" t="s">
        <v>30</v>
      </c>
      <c r="AP348" s="67">
        <f t="shared" si="85"/>
        <v>-2.1216520034057051E-2</v>
      </c>
      <c r="AQ348" s="67">
        <f t="shared" si="86"/>
        <v>58.445022935407636</v>
      </c>
      <c r="AS348" s="67">
        <f t="shared" si="87"/>
        <v>5.9208344050096272E-3</v>
      </c>
      <c r="AU348" s="67">
        <f t="shared" si="88"/>
        <v>675.75</v>
      </c>
      <c r="AV348" s="67">
        <f t="shared" si="89"/>
        <v>1</v>
      </c>
      <c r="AW348" s="67" t="s">
        <v>1350</v>
      </c>
    </row>
    <row r="349" spans="1:49" ht="30" customHeight="1" x14ac:dyDescent="0.25">
      <c r="A349" s="67" t="s">
        <v>125</v>
      </c>
      <c r="B349" s="67" t="s">
        <v>293</v>
      </c>
      <c r="C349" s="67" t="s">
        <v>383</v>
      </c>
      <c r="D349" s="67">
        <f t="shared" si="84"/>
        <v>15</v>
      </c>
      <c r="E349" s="67" t="s">
        <v>583</v>
      </c>
      <c r="F349" s="67" t="s">
        <v>1005</v>
      </c>
      <c r="G349" s="68" t="s">
        <v>578</v>
      </c>
      <c r="H349" s="67">
        <v>0</v>
      </c>
      <c r="I349" s="67">
        <v>6</v>
      </c>
      <c r="J349" s="67">
        <v>2</v>
      </c>
      <c r="K349" s="68" t="s">
        <v>611</v>
      </c>
      <c r="L349" s="67" t="s">
        <v>774</v>
      </c>
      <c r="M349" s="68" t="s">
        <v>570</v>
      </c>
      <c r="N349" s="67" t="s">
        <v>240</v>
      </c>
      <c r="O349" s="67" t="s">
        <v>240</v>
      </c>
      <c r="P349" s="67" t="s">
        <v>240</v>
      </c>
      <c r="Q349" s="67" t="s">
        <v>240</v>
      </c>
      <c r="R349" s="67" t="s">
        <v>780</v>
      </c>
      <c r="S349" s="78">
        <f t="shared" si="83"/>
        <v>677.75</v>
      </c>
      <c r="T349" s="78">
        <f>1361/4</f>
        <v>340.25</v>
      </c>
      <c r="U349" s="78">
        <f>1350/4</f>
        <v>337.5</v>
      </c>
      <c r="V349" s="67">
        <v>-6.68</v>
      </c>
      <c r="W349" s="67">
        <v>5.48</v>
      </c>
      <c r="AI349" s="70">
        <f t="shared" si="82"/>
        <v>5.48</v>
      </c>
      <c r="AL349" s="68" t="s">
        <v>775</v>
      </c>
      <c r="AM349" s="67" t="s">
        <v>30</v>
      </c>
      <c r="AP349" s="67">
        <f t="shared" si="85"/>
        <v>-9.3647181640787613E-2</v>
      </c>
      <c r="AQ349" s="67">
        <f t="shared" si="86"/>
        <v>71.331564740764776</v>
      </c>
      <c r="AS349" s="67">
        <f t="shared" si="87"/>
        <v>5.9455309657722452E-3</v>
      </c>
      <c r="AU349" s="67">
        <f t="shared" si="88"/>
        <v>675.75</v>
      </c>
      <c r="AV349" s="67">
        <f t="shared" si="89"/>
        <v>1</v>
      </c>
      <c r="AW349" s="67" t="s">
        <v>1350</v>
      </c>
    </row>
    <row r="350" spans="1:49" ht="30" customHeight="1" x14ac:dyDescent="0.25">
      <c r="A350" s="67" t="s">
        <v>125</v>
      </c>
      <c r="B350" s="67" t="s">
        <v>293</v>
      </c>
      <c r="C350" s="67" t="s">
        <v>383</v>
      </c>
      <c r="D350" s="67">
        <f t="shared" si="84"/>
        <v>16</v>
      </c>
      <c r="E350" s="67" t="s">
        <v>577</v>
      </c>
      <c r="F350" s="67" t="s">
        <v>240</v>
      </c>
      <c r="G350" s="68" t="s">
        <v>578</v>
      </c>
      <c r="H350" s="67">
        <v>0</v>
      </c>
      <c r="I350" s="67">
        <v>6</v>
      </c>
      <c r="J350" s="67">
        <v>1</v>
      </c>
      <c r="K350" s="68" t="s">
        <v>776</v>
      </c>
      <c r="L350" s="67" t="s">
        <v>240</v>
      </c>
      <c r="M350" s="68" t="s">
        <v>570</v>
      </c>
      <c r="N350" s="67" t="s">
        <v>240</v>
      </c>
      <c r="O350" s="67" t="s">
        <v>240</v>
      </c>
      <c r="P350" s="67" t="s">
        <v>240</v>
      </c>
      <c r="Q350" s="67" t="s">
        <v>240</v>
      </c>
      <c r="R350" s="67" t="s">
        <v>781</v>
      </c>
      <c r="S350" s="78">
        <f t="shared" si="83"/>
        <v>1355.5</v>
      </c>
      <c r="T350" s="78">
        <f>1361/2</f>
        <v>680.5</v>
      </c>
      <c r="U350" s="78">
        <f>1350/2</f>
        <v>675</v>
      </c>
      <c r="V350" s="67">
        <v>0.01</v>
      </c>
      <c r="W350" s="67">
        <v>0.01</v>
      </c>
      <c r="AI350" s="70">
        <f t="shared" si="82"/>
        <v>0.01</v>
      </c>
      <c r="AL350" s="68" t="s">
        <v>775</v>
      </c>
      <c r="AM350" s="67" t="s">
        <v>30</v>
      </c>
    </row>
    <row r="351" spans="1:49" ht="30" customHeight="1" x14ac:dyDescent="0.25">
      <c r="A351" s="67" t="s">
        <v>125</v>
      </c>
      <c r="B351" s="67" t="s">
        <v>293</v>
      </c>
      <c r="C351" s="67" t="s">
        <v>383</v>
      </c>
      <c r="D351" s="67">
        <f t="shared" si="84"/>
        <v>17</v>
      </c>
      <c r="E351" s="67" t="s">
        <v>583</v>
      </c>
      <c r="F351" s="67" t="s">
        <v>240</v>
      </c>
      <c r="G351" s="68" t="s">
        <v>578</v>
      </c>
      <c r="H351" s="67">
        <v>0</v>
      </c>
      <c r="I351" s="67">
        <v>6</v>
      </c>
      <c r="J351" s="67">
        <v>1</v>
      </c>
      <c r="K351" s="68" t="s">
        <v>776</v>
      </c>
      <c r="L351" s="67" t="s">
        <v>240</v>
      </c>
      <c r="M351" s="68" t="s">
        <v>570</v>
      </c>
      <c r="N351" s="67" t="s">
        <v>240</v>
      </c>
      <c r="O351" s="67" t="s">
        <v>240</v>
      </c>
      <c r="P351" s="67" t="s">
        <v>240</v>
      </c>
      <c r="Q351" s="67" t="s">
        <v>240</v>
      </c>
      <c r="R351" s="67" t="s">
        <v>781</v>
      </c>
      <c r="S351" s="78">
        <f t="shared" si="83"/>
        <v>1355.5</v>
      </c>
      <c r="T351" s="78">
        <f>1361/2</f>
        <v>680.5</v>
      </c>
      <c r="U351" s="78">
        <f>1350/2</f>
        <v>675</v>
      </c>
      <c r="V351" s="67">
        <v>0</v>
      </c>
      <c r="W351" s="67">
        <v>0.01</v>
      </c>
      <c r="AI351" s="70">
        <f t="shared" si="82"/>
        <v>0.01</v>
      </c>
      <c r="AL351" s="68" t="s">
        <v>775</v>
      </c>
      <c r="AM351" s="67" t="s">
        <v>30</v>
      </c>
    </row>
    <row r="352" spans="1:49" ht="30" customHeight="1" x14ac:dyDescent="0.25">
      <c r="A352" s="67" t="s">
        <v>125</v>
      </c>
      <c r="B352" s="67" t="s">
        <v>293</v>
      </c>
      <c r="C352" s="67" t="s">
        <v>383</v>
      </c>
      <c r="D352" s="67">
        <f t="shared" si="84"/>
        <v>18</v>
      </c>
      <c r="E352" s="67" t="s">
        <v>577</v>
      </c>
      <c r="F352" s="67" t="s">
        <v>1004</v>
      </c>
      <c r="G352" s="68" t="s">
        <v>578</v>
      </c>
      <c r="H352" s="67">
        <v>0</v>
      </c>
      <c r="I352" s="67">
        <v>6</v>
      </c>
      <c r="J352" s="67">
        <v>1</v>
      </c>
      <c r="K352" s="68" t="s">
        <v>776</v>
      </c>
      <c r="L352" s="67" t="s">
        <v>240</v>
      </c>
      <c r="M352" s="68" t="s">
        <v>570</v>
      </c>
      <c r="N352" s="67" t="s">
        <v>240</v>
      </c>
      <c r="O352" s="67" t="s">
        <v>240</v>
      </c>
      <c r="P352" s="67" t="s">
        <v>240</v>
      </c>
      <c r="Q352" s="67" t="s">
        <v>240</v>
      </c>
      <c r="R352" s="67" t="s">
        <v>782</v>
      </c>
      <c r="S352" s="78">
        <f t="shared" si="83"/>
        <v>677.75</v>
      </c>
      <c r="T352" s="78">
        <f>1361/4</f>
        <v>340.25</v>
      </c>
      <c r="U352" s="78">
        <f>1350/4</f>
        <v>337.5</v>
      </c>
      <c r="V352" s="67">
        <v>0.01</v>
      </c>
      <c r="W352" s="67">
        <v>0.01</v>
      </c>
      <c r="AI352" s="70">
        <f t="shared" si="82"/>
        <v>0.01</v>
      </c>
      <c r="AL352" s="68" t="s">
        <v>775</v>
      </c>
      <c r="AM352" s="67" t="s">
        <v>30</v>
      </c>
    </row>
    <row r="353" spans="1:49" ht="30" customHeight="1" x14ac:dyDescent="0.25">
      <c r="A353" s="67" t="s">
        <v>125</v>
      </c>
      <c r="B353" s="67" t="s">
        <v>293</v>
      </c>
      <c r="C353" s="67" t="s">
        <v>383</v>
      </c>
      <c r="D353" s="67">
        <f t="shared" si="84"/>
        <v>19</v>
      </c>
      <c r="E353" s="67" t="s">
        <v>583</v>
      </c>
      <c r="F353" s="67" t="s">
        <v>1004</v>
      </c>
      <c r="G353" s="68" t="s">
        <v>578</v>
      </c>
      <c r="H353" s="67">
        <v>0</v>
      </c>
      <c r="I353" s="67">
        <v>6</v>
      </c>
      <c r="J353" s="67">
        <v>1</v>
      </c>
      <c r="K353" s="68" t="s">
        <v>776</v>
      </c>
      <c r="L353" s="67" t="s">
        <v>240</v>
      </c>
      <c r="M353" s="68" t="s">
        <v>570</v>
      </c>
      <c r="N353" s="67" t="s">
        <v>240</v>
      </c>
      <c r="O353" s="67" t="s">
        <v>240</v>
      </c>
      <c r="P353" s="67" t="s">
        <v>240</v>
      </c>
      <c r="Q353" s="67" t="s">
        <v>240</v>
      </c>
      <c r="R353" s="67" t="s">
        <v>782</v>
      </c>
      <c r="S353" s="78">
        <f t="shared" si="83"/>
        <v>677.75</v>
      </c>
      <c r="T353" s="78">
        <f>1361/4</f>
        <v>340.25</v>
      </c>
      <c r="U353" s="78">
        <f>1350/4</f>
        <v>337.5</v>
      </c>
      <c r="V353" s="67">
        <v>0</v>
      </c>
      <c r="W353" s="67">
        <v>0.01</v>
      </c>
      <c r="AI353" s="70">
        <f t="shared" si="82"/>
        <v>0.01</v>
      </c>
      <c r="AL353" s="68" t="s">
        <v>775</v>
      </c>
      <c r="AM353" s="67" t="s">
        <v>30</v>
      </c>
    </row>
    <row r="354" spans="1:49" ht="30" customHeight="1" x14ac:dyDescent="0.25">
      <c r="A354" s="67" t="s">
        <v>125</v>
      </c>
      <c r="B354" s="67" t="s">
        <v>293</v>
      </c>
      <c r="C354" s="67" t="s">
        <v>383</v>
      </c>
      <c r="D354" s="67">
        <f t="shared" si="84"/>
        <v>20</v>
      </c>
      <c r="E354" s="67" t="s">
        <v>577</v>
      </c>
      <c r="F354" s="67" t="s">
        <v>1005</v>
      </c>
      <c r="G354" s="68" t="s">
        <v>578</v>
      </c>
      <c r="H354" s="67">
        <v>0</v>
      </c>
      <c r="I354" s="67">
        <v>6</v>
      </c>
      <c r="J354" s="67">
        <v>1</v>
      </c>
      <c r="K354" s="68" t="s">
        <v>776</v>
      </c>
      <c r="L354" s="67" t="s">
        <v>240</v>
      </c>
      <c r="M354" s="68" t="s">
        <v>570</v>
      </c>
      <c r="N354" s="67" t="s">
        <v>240</v>
      </c>
      <c r="O354" s="67" t="s">
        <v>240</v>
      </c>
      <c r="P354" s="67" t="s">
        <v>240</v>
      </c>
      <c r="Q354" s="67" t="s">
        <v>240</v>
      </c>
      <c r="R354" s="67" t="s">
        <v>783</v>
      </c>
      <c r="S354" s="78">
        <f t="shared" si="83"/>
        <v>677.75</v>
      </c>
      <c r="T354" s="78">
        <f>1361/4</f>
        <v>340.25</v>
      </c>
      <c r="U354" s="78">
        <f>1350/4</f>
        <v>337.5</v>
      </c>
      <c r="V354" s="67">
        <v>0.02</v>
      </c>
      <c r="W354" s="67">
        <v>0.02</v>
      </c>
      <c r="AI354" s="70">
        <f t="shared" si="82"/>
        <v>0.02</v>
      </c>
      <c r="AL354" s="68" t="s">
        <v>775</v>
      </c>
      <c r="AM354" s="67" t="s">
        <v>30</v>
      </c>
    </row>
    <row r="355" spans="1:49" ht="30" customHeight="1" x14ac:dyDescent="0.25">
      <c r="A355" s="67" t="s">
        <v>125</v>
      </c>
      <c r="B355" s="67" t="s">
        <v>293</v>
      </c>
      <c r="C355" s="67" t="s">
        <v>383</v>
      </c>
      <c r="D355" s="67">
        <f t="shared" si="84"/>
        <v>21</v>
      </c>
      <c r="E355" s="67" t="s">
        <v>583</v>
      </c>
      <c r="F355" s="67" t="s">
        <v>1005</v>
      </c>
      <c r="G355" s="68" t="s">
        <v>578</v>
      </c>
      <c r="H355" s="67">
        <v>0</v>
      </c>
      <c r="I355" s="67">
        <v>6</v>
      </c>
      <c r="J355" s="67">
        <v>1</v>
      </c>
      <c r="K355" s="68" t="s">
        <v>776</v>
      </c>
      <c r="L355" s="67" t="s">
        <v>240</v>
      </c>
      <c r="M355" s="68" t="s">
        <v>570</v>
      </c>
      <c r="N355" s="67" t="s">
        <v>240</v>
      </c>
      <c r="O355" s="67" t="s">
        <v>240</v>
      </c>
      <c r="P355" s="67" t="s">
        <v>240</v>
      </c>
      <c r="Q355" s="67" t="s">
        <v>240</v>
      </c>
      <c r="R355" s="67" t="s">
        <v>783</v>
      </c>
      <c r="S355" s="78">
        <f t="shared" si="83"/>
        <v>677.75</v>
      </c>
      <c r="T355" s="78">
        <f>1361/4</f>
        <v>340.25</v>
      </c>
      <c r="U355" s="78">
        <f>1350/4</f>
        <v>337.5</v>
      </c>
      <c r="V355" s="67">
        <v>0.02</v>
      </c>
      <c r="W355" s="67">
        <v>0.01</v>
      </c>
      <c r="AI355" s="70">
        <f t="shared" si="82"/>
        <v>0.01</v>
      </c>
      <c r="AL355" s="68" t="s">
        <v>775</v>
      </c>
      <c r="AM355" s="67" t="s">
        <v>30</v>
      </c>
    </row>
    <row r="356" spans="1:49" ht="30" customHeight="1" x14ac:dyDescent="0.25">
      <c r="A356" s="67" t="s">
        <v>92</v>
      </c>
      <c r="B356" s="67" t="s">
        <v>207</v>
      </c>
      <c r="C356" s="67" t="s">
        <v>294</v>
      </c>
      <c r="D356" s="67">
        <v>1</v>
      </c>
      <c r="E356" s="67" t="s">
        <v>646</v>
      </c>
      <c r="F356" s="76" t="s">
        <v>240</v>
      </c>
      <c r="G356" s="68" t="s">
        <v>578</v>
      </c>
      <c r="H356" s="67">
        <v>1</v>
      </c>
      <c r="I356" s="67">
        <v>24</v>
      </c>
      <c r="J356" s="67">
        <v>2</v>
      </c>
      <c r="K356" s="68" t="s">
        <v>637</v>
      </c>
      <c r="L356" s="67" t="s">
        <v>638</v>
      </c>
      <c r="M356" s="68" t="s">
        <v>570</v>
      </c>
      <c r="N356" s="67" t="s">
        <v>240</v>
      </c>
      <c r="O356" s="8">
        <f>1 - (4485+6828)/(5977 + 9409)</f>
        <v>0.26472117509424153</v>
      </c>
      <c r="P356" s="8">
        <f>(1-6828/9409)-(1-4485/5977)</f>
        <v>2.468827213141922E-2</v>
      </c>
      <c r="Q356" s="9" t="s">
        <v>240</v>
      </c>
      <c r="R356" s="67" t="s">
        <v>391</v>
      </c>
      <c r="S356" s="67">
        <v>6104</v>
      </c>
      <c r="T356" s="78">
        <f>6828*(6104/10595)</f>
        <v>3933.7529023124116</v>
      </c>
      <c r="U356" s="78">
        <f>S356-T356</f>
        <v>2170.2470976875884</v>
      </c>
      <c r="V356" s="67">
        <v>18.489999999999998</v>
      </c>
      <c r="W356" s="67">
        <v>5.05</v>
      </c>
      <c r="AB356" s="67">
        <v>239.03</v>
      </c>
      <c r="AC356" s="67">
        <v>219.92</v>
      </c>
      <c r="AI356" s="70">
        <f t="shared" si="82"/>
        <v>5.05</v>
      </c>
      <c r="AL356" s="68" t="s">
        <v>784</v>
      </c>
      <c r="AP356" s="67">
        <f>+V356/AQ356</f>
        <v>9.7902699137711366E-2</v>
      </c>
      <c r="AQ356" s="67">
        <f>+W356*SQRT(T356*U356/S356)</f>
        <v>188.86098302552102</v>
      </c>
      <c r="AS356" s="67">
        <f>+AP356^2/(AU356-2)*(AU356/(V356/AI356)^2+AU356*AV356^2-AU356+2)</f>
        <v>7.1836422078713465E-4</v>
      </c>
      <c r="AU356" s="67">
        <f>+S356-2</f>
        <v>6102</v>
      </c>
      <c r="AV356" s="67">
        <f>IFERROR(1/(SQRT(AU356/2)*_xlfn.GAMMA(AU356/2-0.5)/_xlfn.GAMMA(AU356/2)),1)</f>
        <v>1</v>
      </c>
      <c r="AW356" s="67" t="s">
        <v>1350</v>
      </c>
    </row>
    <row r="357" spans="1:49" ht="30" customHeight="1" x14ac:dyDescent="0.25">
      <c r="A357" s="67" t="s">
        <v>92</v>
      </c>
      <c r="B357" s="67" t="s">
        <v>207</v>
      </c>
      <c r="C357" s="67" t="s">
        <v>294</v>
      </c>
      <c r="D357" s="67">
        <f>D356+1</f>
        <v>2</v>
      </c>
      <c r="E357" s="67" t="s">
        <v>577</v>
      </c>
      <c r="F357" s="76" t="s">
        <v>240</v>
      </c>
      <c r="G357" s="68" t="s">
        <v>578</v>
      </c>
      <c r="H357" s="67">
        <v>1</v>
      </c>
      <c r="I357" s="67">
        <v>24</v>
      </c>
      <c r="J357" s="67">
        <v>2</v>
      </c>
      <c r="K357" s="68" t="s">
        <v>637</v>
      </c>
      <c r="L357" s="67" t="s">
        <v>638</v>
      </c>
      <c r="M357" s="68" t="s">
        <v>570</v>
      </c>
      <c r="N357" s="67" t="s">
        <v>240</v>
      </c>
      <c r="O357" s="8">
        <f>1 - (4485+6828)/(5977 + 9409)</f>
        <v>0.26472117509424153</v>
      </c>
      <c r="P357" s="8">
        <f>(1-6828/9409)-(1-4485/5977)</f>
        <v>2.468827213141922E-2</v>
      </c>
      <c r="Q357" s="9" t="s">
        <v>240</v>
      </c>
      <c r="R357" s="67" t="s">
        <v>391</v>
      </c>
      <c r="S357" s="67">
        <v>4491</v>
      </c>
      <c r="T357" s="78">
        <f>6828*(4491/10595)</f>
        <v>2894.2470976875884</v>
      </c>
      <c r="U357" s="78">
        <f>S357-T357</f>
        <v>1596.7529023124116</v>
      </c>
      <c r="V357" s="67">
        <v>10.83</v>
      </c>
      <c r="W357" s="67">
        <v>5.07</v>
      </c>
      <c r="AB357" s="67">
        <v>170.25</v>
      </c>
      <c r="AC357" s="67">
        <v>157.86000000000001</v>
      </c>
      <c r="AI357" s="70">
        <f t="shared" si="82"/>
        <v>5.07</v>
      </c>
      <c r="AL357" s="68" t="s">
        <v>784</v>
      </c>
      <c r="AP357" s="67">
        <f>+V357/AQ357</f>
        <v>6.6589440288414903E-2</v>
      </c>
      <c r="AQ357" s="67">
        <f>+W357*SQRT(T357*U357/S357)</f>
        <v>162.638399618508</v>
      </c>
      <c r="AS357" s="67">
        <f>+AP357^2/(AU357-2)*(AU357/(V357/AI357)^2+AU357*AV357^2-AU357+2)</f>
        <v>9.7419357774835246E-4</v>
      </c>
      <c r="AU357" s="67">
        <f>+S357-2</f>
        <v>4489</v>
      </c>
      <c r="AV357" s="67">
        <f>IFERROR(1/(SQRT(AU357/2)*_xlfn.GAMMA(AU357/2-0.5)/_xlfn.GAMMA(AU357/2)),1)</f>
        <v>1</v>
      </c>
      <c r="AW357" s="67" t="s">
        <v>1350</v>
      </c>
    </row>
    <row r="358" spans="1:49" ht="30" customHeight="1" x14ac:dyDescent="0.25">
      <c r="A358" s="67" t="s">
        <v>92</v>
      </c>
      <c r="B358" s="67" t="s">
        <v>207</v>
      </c>
      <c r="C358" s="67" t="s">
        <v>294</v>
      </c>
      <c r="D358" s="67">
        <f>D357+1</f>
        <v>3</v>
      </c>
      <c r="E358" s="67" t="s">
        <v>605</v>
      </c>
      <c r="F358" s="67" t="s">
        <v>785</v>
      </c>
      <c r="G358" s="68" t="s">
        <v>578</v>
      </c>
      <c r="H358" s="67">
        <v>1</v>
      </c>
      <c r="I358" s="67">
        <v>24</v>
      </c>
      <c r="J358" s="67">
        <v>2</v>
      </c>
      <c r="K358" s="68" t="s">
        <v>637</v>
      </c>
      <c r="L358" s="67" t="s">
        <v>638</v>
      </c>
      <c r="M358" s="68" t="s">
        <v>570</v>
      </c>
      <c r="N358" s="67" t="s">
        <v>240</v>
      </c>
      <c r="O358" s="8">
        <f>1 - (4485+6828)/(5977 + 9409)</f>
        <v>0.26472117509424153</v>
      </c>
      <c r="P358" s="8">
        <f>(1-6828/9409)-(1-4485/5977)</f>
        <v>2.468827213141922E-2</v>
      </c>
      <c r="Q358" s="9" t="s">
        <v>240</v>
      </c>
      <c r="R358" s="67" t="s">
        <v>391</v>
      </c>
      <c r="S358" s="67">
        <v>4374</v>
      </c>
      <c r="T358" s="78">
        <f>6828*(4374/10595)</f>
        <v>2818.8458706937236</v>
      </c>
      <c r="U358" s="78">
        <f>S358-T358</f>
        <v>1555.1541293062764</v>
      </c>
      <c r="V358" s="67">
        <v>11.15</v>
      </c>
      <c r="W358" s="67">
        <v>5.3</v>
      </c>
      <c r="AB358" s="67">
        <v>185.62</v>
      </c>
      <c r="AC358" s="67">
        <v>173.43</v>
      </c>
      <c r="AI358" s="70">
        <f t="shared" si="82"/>
        <v>5.3</v>
      </c>
      <c r="AL358" s="68" t="s">
        <v>784</v>
      </c>
      <c r="AP358" s="67">
        <f>+V358/AQ358</f>
        <v>6.6453215955589715E-2</v>
      </c>
      <c r="AQ358" s="67">
        <f>+W358*SQRT(T358*U358/S358)</f>
        <v>167.7872145036815</v>
      </c>
      <c r="AS358" s="67">
        <f>+AP358^2/(AU358-2)*(AU358/(V358/AI358)^2+AU358*AV358^2-AU358+2)</f>
        <v>1.0002559147870562E-3</v>
      </c>
      <c r="AU358" s="67">
        <f>+S358-2</f>
        <v>4372</v>
      </c>
      <c r="AV358" s="67">
        <f>IFERROR(1/(SQRT(AU358/2)*_xlfn.GAMMA(AU358/2-0.5)/_xlfn.GAMMA(AU358/2)),1)</f>
        <v>1</v>
      </c>
      <c r="AW358" s="67" t="s">
        <v>1350</v>
      </c>
    </row>
    <row r="359" spans="1:49" ht="30" customHeight="1" x14ac:dyDescent="0.25">
      <c r="A359" s="67" t="s">
        <v>92</v>
      </c>
      <c r="B359" s="67" t="s">
        <v>207</v>
      </c>
      <c r="C359" s="67" t="s">
        <v>294</v>
      </c>
      <c r="D359" s="67">
        <f>D358+1</f>
        <v>4</v>
      </c>
      <c r="E359" s="67" t="s">
        <v>605</v>
      </c>
      <c r="F359" s="67" t="s">
        <v>786</v>
      </c>
      <c r="G359" s="68" t="s">
        <v>578</v>
      </c>
      <c r="H359" s="67">
        <v>1</v>
      </c>
      <c r="I359" s="67">
        <v>24</v>
      </c>
      <c r="J359" s="67">
        <v>2</v>
      </c>
      <c r="K359" s="68" t="s">
        <v>637</v>
      </c>
      <c r="L359" s="67" t="s">
        <v>638</v>
      </c>
      <c r="M359" s="68" t="s">
        <v>570</v>
      </c>
      <c r="N359" s="67" t="s">
        <v>240</v>
      </c>
      <c r="O359" s="8">
        <f>1 - (4485+6828)/(5977 + 9409)</f>
        <v>0.26472117509424153</v>
      </c>
      <c r="P359" s="8">
        <f>(1-6828/9409)-(1-4485/5977)</f>
        <v>2.468827213141922E-2</v>
      </c>
      <c r="Q359" s="9" t="s">
        <v>240</v>
      </c>
      <c r="R359" s="67" t="s">
        <v>391</v>
      </c>
      <c r="S359" s="67">
        <v>3331</v>
      </c>
      <c r="T359" s="78">
        <f>6828*(3331/10595)</f>
        <v>2146.6793770646532</v>
      </c>
      <c r="U359" s="78">
        <f>S359-T359</f>
        <v>1184.3206229353468</v>
      </c>
      <c r="V359" s="67">
        <v>1.46</v>
      </c>
      <c r="W359" s="67">
        <v>6.88</v>
      </c>
      <c r="AB359" s="67">
        <v>209</v>
      </c>
      <c r="AC359" s="67">
        <v>204.37</v>
      </c>
      <c r="AI359" s="70">
        <f t="shared" si="82"/>
        <v>6.88</v>
      </c>
      <c r="AL359" s="68" t="s">
        <v>784</v>
      </c>
      <c r="AP359" s="67">
        <f>+V359/AQ359</f>
        <v>7.6812782227102605E-3</v>
      </c>
      <c r="AQ359" s="67">
        <f>+W359*SQRT(T359*U359/S359)</f>
        <v>190.0725318975432</v>
      </c>
      <c r="AS359" s="67">
        <f>+AP359^2/(AU359-2)*(AU359/(V359/AI359)^2+AU359*AV359^2-AU359+2)</f>
        <v>1.3110247805464214E-3</v>
      </c>
      <c r="AU359" s="67">
        <f>+S359-2</f>
        <v>3329</v>
      </c>
      <c r="AV359" s="67">
        <f>IFERROR(1/(SQRT(AU359/2)*_xlfn.GAMMA(AU359/2-0.5)/_xlfn.GAMMA(AU359/2)),1)</f>
        <v>1</v>
      </c>
      <c r="AW359" s="67" t="s">
        <v>1350</v>
      </c>
    </row>
    <row r="360" spans="1:49" ht="30" customHeight="1" x14ac:dyDescent="0.25">
      <c r="A360" s="67" t="s">
        <v>92</v>
      </c>
      <c r="B360" s="67" t="s">
        <v>207</v>
      </c>
      <c r="C360" s="67" t="s">
        <v>294</v>
      </c>
      <c r="D360" s="67">
        <f>D359+1</f>
        <v>5</v>
      </c>
      <c r="E360" s="67" t="s">
        <v>605</v>
      </c>
      <c r="F360" s="67" t="s">
        <v>787</v>
      </c>
      <c r="G360" s="68" t="s">
        <v>578</v>
      </c>
      <c r="H360" s="67">
        <v>1</v>
      </c>
      <c r="I360" s="67">
        <v>24</v>
      </c>
      <c r="J360" s="67">
        <v>2</v>
      </c>
      <c r="K360" s="68" t="s">
        <v>637</v>
      </c>
      <c r="L360" s="67" t="s">
        <v>638</v>
      </c>
      <c r="M360" s="68" t="s">
        <v>570</v>
      </c>
      <c r="N360" s="67" t="s">
        <v>240</v>
      </c>
      <c r="O360" s="8">
        <f>1 - (4485+6828)/(5977 + 9409)</f>
        <v>0.26472117509424153</v>
      </c>
      <c r="P360" s="8">
        <f>(1-6828/9409)-(1-4485/5977)</f>
        <v>2.468827213141922E-2</v>
      </c>
      <c r="Q360" s="9" t="s">
        <v>240</v>
      </c>
      <c r="R360" s="67" t="s">
        <v>391</v>
      </c>
      <c r="S360" s="67">
        <v>2890</v>
      </c>
      <c r="T360" s="78">
        <f>6828*(2890/10595)</f>
        <v>1862.4747522416233</v>
      </c>
      <c r="U360" s="78">
        <f>S360-T360</f>
        <v>1027.5252477583767</v>
      </c>
      <c r="V360" s="67">
        <v>33.380000000000003</v>
      </c>
      <c r="W360" s="67">
        <v>7.15</v>
      </c>
      <c r="AB360" s="67">
        <v>245.3</v>
      </c>
      <c r="AC360" s="67">
        <v>209.78</v>
      </c>
      <c r="AI360" s="70">
        <f t="shared" si="82"/>
        <v>7.15</v>
      </c>
      <c r="AL360" s="68" t="s">
        <v>784</v>
      </c>
      <c r="AP360" s="67">
        <f>+V360/AQ360</f>
        <v>0.18142108664901993</v>
      </c>
      <c r="AQ360" s="67">
        <f>+W360*SQRT(T360*U360/S360)</f>
        <v>183.99184249500982</v>
      </c>
      <c r="AS360" s="67">
        <f>+AP360^2/(AU360-2)*(AU360/(V360/AI360)^2+AU360*AV360^2-AU360+2)</f>
        <v>1.5339878036404538E-3</v>
      </c>
      <c r="AU360" s="67">
        <f>+S360-2</f>
        <v>2888</v>
      </c>
      <c r="AV360" s="67">
        <f>IFERROR(1/(SQRT(AU360/2)*_xlfn.GAMMA(AU360/2-0.5)/_xlfn.GAMMA(AU360/2)),1)</f>
        <v>1</v>
      </c>
      <c r="AW360" s="67" t="s">
        <v>1350</v>
      </c>
    </row>
    <row r="361" spans="1:49" ht="30" customHeight="1" x14ac:dyDescent="0.25">
      <c r="A361" s="72" t="s">
        <v>141</v>
      </c>
      <c r="B361" s="67" t="s">
        <v>293</v>
      </c>
      <c r="C361" s="72" t="s">
        <v>392</v>
      </c>
      <c r="D361" s="67">
        <v>1</v>
      </c>
      <c r="E361" s="67" t="s">
        <v>583</v>
      </c>
      <c r="F361" s="67" t="s">
        <v>240</v>
      </c>
      <c r="G361" s="68" t="s">
        <v>578</v>
      </c>
      <c r="H361" s="67">
        <v>0</v>
      </c>
      <c r="J361" s="67">
        <v>1</v>
      </c>
      <c r="K361" s="68" t="s">
        <v>579</v>
      </c>
      <c r="L361" s="67" t="s">
        <v>240</v>
      </c>
      <c r="M361" s="68" t="s">
        <v>570</v>
      </c>
      <c r="N361" s="67" t="s">
        <v>240</v>
      </c>
      <c r="O361" s="67" t="s">
        <v>240</v>
      </c>
      <c r="P361" s="67" t="s">
        <v>240</v>
      </c>
      <c r="Q361" s="67" t="s">
        <v>240</v>
      </c>
      <c r="R361" s="67" t="s">
        <v>338</v>
      </c>
      <c r="S361" s="67">
        <f>T361+U361</f>
        <v>2414</v>
      </c>
      <c r="T361" s="67">
        <v>146</v>
      </c>
      <c r="U361" s="67">
        <f>2414-T361</f>
        <v>2268</v>
      </c>
      <c r="V361" s="67">
        <v>0.28599999999999998</v>
      </c>
      <c r="AF361" s="67">
        <v>1.3</v>
      </c>
      <c r="AI361" s="70">
        <f>+V361/AF361</f>
        <v>0.21999999999999997</v>
      </c>
      <c r="AL361" s="68" t="s">
        <v>788</v>
      </c>
      <c r="AM361" s="67" t="s">
        <v>308</v>
      </c>
    </row>
    <row r="362" spans="1:49" ht="30" customHeight="1" x14ac:dyDescent="0.25">
      <c r="A362" s="72" t="s">
        <v>141</v>
      </c>
      <c r="B362" s="67" t="s">
        <v>293</v>
      </c>
      <c r="C362" s="72" t="s">
        <v>392</v>
      </c>
      <c r="D362" s="67">
        <f>D361+1</f>
        <v>2</v>
      </c>
      <c r="E362" s="67" t="s">
        <v>583</v>
      </c>
      <c r="F362" s="67" t="s">
        <v>240</v>
      </c>
      <c r="G362" s="68" t="s">
        <v>578</v>
      </c>
      <c r="H362" s="67">
        <v>0</v>
      </c>
      <c r="J362" s="81">
        <v>7</v>
      </c>
      <c r="K362" s="68" t="s">
        <v>789</v>
      </c>
      <c r="L362" s="67" t="s">
        <v>240</v>
      </c>
      <c r="M362" s="68" t="s">
        <v>570</v>
      </c>
      <c r="N362" s="67" t="s">
        <v>240</v>
      </c>
      <c r="O362" s="67" t="s">
        <v>240</v>
      </c>
      <c r="P362" s="67" t="s">
        <v>240</v>
      </c>
      <c r="Q362" s="67" t="s">
        <v>240</v>
      </c>
      <c r="R362" s="67" t="s">
        <v>338</v>
      </c>
      <c r="S362" s="67">
        <f>T362+U362</f>
        <v>2414</v>
      </c>
      <c r="T362" s="67">
        <v>146</v>
      </c>
      <c r="U362" s="67">
        <f>2414-T362</f>
        <v>2268</v>
      </c>
      <c r="V362" s="67">
        <v>4.3999999999999997E-2</v>
      </c>
      <c r="AF362" s="67">
        <v>1</v>
      </c>
      <c r="AI362" s="70">
        <f>+V362/AF362</f>
        <v>4.3999999999999997E-2</v>
      </c>
      <c r="AL362" s="68" t="s">
        <v>788</v>
      </c>
      <c r="AM362" s="67" t="s">
        <v>308</v>
      </c>
      <c r="AP362" s="67">
        <f>+V362/AQ362</f>
        <v>8.5382856453019434E-2</v>
      </c>
      <c r="AQ362" s="67">
        <f>+AI362*SQRT(T362*U362/S362)</f>
        <v>0.51532593108091085</v>
      </c>
      <c r="AS362" s="67">
        <f>+AP362^2/(AU362-2)*(AU362/(V362/AI362)^2+AU362*AV362^2-AU362+2)</f>
        <v>7.3023321464936479E-3</v>
      </c>
      <c r="AU362" s="67">
        <f>+S362-2</f>
        <v>2412</v>
      </c>
      <c r="AV362" s="67">
        <f>IFERROR(1/(SQRT(AU362/2)*_xlfn.GAMMA(AU362/2-0.5)/_xlfn.GAMMA(AU362/2)),1)</f>
        <v>1</v>
      </c>
      <c r="AW362" s="67" t="s">
        <v>1350</v>
      </c>
    </row>
    <row r="363" spans="1:49" ht="30" customHeight="1" x14ac:dyDescent="0.25">
      <c r="A363" s="72" t="s">
        <v>141</v>
      </c>
      <c r="B363" s="67" t="s">
        <v>293</v>
      </c>
      <c r="C363" s="72" t="s">
        <v>392</v>
      </c>
      <c r="D363" s="67">
        <f>D362+1</f>
        <v>3</v>
      </c>
      <c r="E363" s="67" t="s">
        <v>577</v>
      </c>
      <c r="F363" s="67" t="s">
        <v>240</v>
      </c>
      <c r="G363" s="68" t="s">
        <v>578</v>
      </c>
      <c r="H363" s="67">
        <v>0</v>
      </c>
      <c r="J363" s="67">
        <v>1</v>
      </c>
      <c r="K363" s="68" t="s">
        <v>579</v>
      </c>
      <c r="L363" s="67" t="s">
        <v>240</v>
      </c>
      <c r="M363" s="68" t="s">
        <v>570</v>
      </c>
      <c r="N363" s="67" t="s">
        <v>240</v>
      </c>
      <c r="O363" s="67" t="s">
        <v>240</v>
      </c>
      <c r="P363" s="67" t="s">
        <v>240</v>
      </c>
      <c r="Q363" s="67" t="s">
        <v>240</v>
      </c>
      <c r="R363" s="67" t="s">
        <v>338</v>
      </c>
      <c r="S363" s="67">
        <f>T363+U363</f>
        <v>2409</v>
      </c>
      <c r="T363" s="67">
        <v>325</v>
      </c>
      <c r="U363" s="67">
        <f>2409-T363</f>
        <v>2084</v>
      </c>
      <c r="V363" s="67">
        <v>0.186</v>
      </c>
      <c r="AF363" s="67">
        <v>1.4</v>
      </c>
      <c r="AI363" s="70">
        <f>+V363/AF363</f>
        <v>0.13285714285714287</v>
      </c>
      <c r="AL363" s="68" t="s">
        <v>788</v>
      </c>
      <c r="AM363" s="67" t="s">
        <v>308</v>
      </c>
    </row>
    <row r="364" spans="1:49" ht="30" customHeight="1" x14ac:dyDescent="0.25">
      <c r="A364" s="72" t="s">
        <v>141</v>
      </c>
      <c r="B364" s="67" t="s">
        <v>293</v>
      </c>
      <c r="C364" s="72" t="s">
        <v>392</v>
      </c>
      <c r="D364" s="67">
        <f>D363+1</f>
        <v>4</v>
      </c>
      <c r="E364" s="67" t="s">
        <v>577</v>
      </c>
      <c r="F364" s="67" t="s">
        <v>240</v>
      </c>
      <c r="G364" s="68" t="s">
        <v>578</v>
      </c>
      <c r="H364" s="67">
        <v>0</v>
      </c>
      <c r="J364" s="81">
        <v>7</v>
      </c>
      <c r="K364" s="68" t="s">
        <v>789</v>
      </c>
      <c r="L364" s="67" t="s">
        <v>240</v>
      </c>
      <c r="M364" s="68" t="s">
        <v>570</v>
      </c>
      <c r="N364" s="67" t="s">
        <v>240</v>
      </c>
      <c r="O364" s="67" t="s">
        <v>240</v>
      </c>
      <c r="P364" s="67" t="s">
        <v>240</v>
      </c>
      <c r="Q364" s="67" t="s">
        <v>240</v>
      </c>
      <c r="R364" s="67" t="s">
        <v>338</v>
      </c>
      <c r="S364" s="67">
        <f>T364+U364</f>
        <v>2409</v>
      </c>
      <c r="T364" s="67">
        <v>325</v>
      </c>
      <c r="U364" s="67">
        <f>2409-T364</f>
        <v>2084</v>
      </c>
      <c r="V364" s="67">
        <v>2.3E-2</v>
      </c>
      <c r="AF364" s="67">
        <v>0.6</v>
      </c>
      <c r="AI364" s="70">
        <f>+V364/AF364</f>
        <v>3.8333333333333337E-2</v>
      </c>
      <c r="AL364" s="68" t="s">
        <v>788</v>
      </c>
      <c r="AM364" s="67" t="s">
        <v>308</v>
      </c>
      <c r="AP364" s="67">
        <f>+V364/AQ364</f>
        <v>3.5783194790031912E-2</v>
      </c>
      <c r="AQ364" s="67">
        <f>+AI364*SQRT(T364*U364/S364)</f>
        <v>0.64275982440805102</v>
      </c>
      <c r="AS364" s="67">
        <f>+AP364^2/(AU364-2)*(AU364/(V364/AI364)^2+AU364*AV364^2-AU364+2)</f>
        <v>3.5607921510534823E-3</v>
      </c>
      <c r="AU364" s="67">
        <f>+S364-2</f>
        <v>2407</v>
      </c>
      <c r="AV364" s="67">
        <f>IFERROR(1/(SQRT(AU364/2)*_xlfn.GAMMA(AU364/2-0.5)/_xlfn.GAMMA(AU364/2)),1)</f>
        <v>1</v>
      </c>
      <c r="AW364" s="67" t="s">
        <v>1350</v>
      </c>
    </row>
    <row r="365" spans="1:49" ht="30" customHeight="1" x14ac:dyDescent="0.25">
      <c r="A365" s="10" t="s">
        <v>143</v>
      </c>
      <c r="B365" s="67" t="s">
        <v>293</v>
      </c>
      <c r="C365" s="10" t="s">
        <v>398</v>
      </c>
      <c r="D365" s="67">
        <v>1</v>
      </c>
      <c r="E365" s="67" t="s">
        <v>605</v>
      </c>
      <c r="F365" s="67" t="s">
        <v>240</v>
      </c>
      <c r="G365" s="68" t="s">
        <v>578</v>
      </c>
      <c r="H365" s="67">
        <v>0</v>
      </c>
      <c r="I365" s="67">
        <v>12</v>
      </c>
      <c r="J365" s="67">
        <v>1</v>
      </c>
      <c r="K365" s="68" t="s">
        <v>579</v>
      </c>
      <c r="L365" s="67" t="s">
        <v>240</v>
      </c>
      <c r="M365" s="68" t="s">
        <v>587</v>
      </c>
      <c r="N365" s="67" t="s">
        <v>240</v>
      </c>
      <c r="O365" s="67" t="s">
        <v>240</v>
      </c>
      <c r="P365" s="67" t="s">
        <v>240</v>
      </c>
      <c r="Q365" s="67" t="s">
        <v>240</v>
      </c>
      <c r="R365" s="67" t="s">
        <v>584</v>
      </c>
      <c r="S365" s="67">
        <v>3813</v>
      </c>
      <c r="T365" s="78">
        <f>(36782/(771139+36782))*S365</f>
        <v>173.59341569287096</v>
      </c>
      <c r="U365" s="78">
        <f t="shared" ref="U365:U370" si="90">S365-T365</f>
        <v>3639.4065843071289</v>
      </c>
      <c r="V365" s="67">
        <v>-5.1999999999999998E-2</v>
      </c>
      <c r="W365" s="67">
        <v>5.8000000000000003E-2</v>
      </c>
      <c r="AI365" s="70">
        <f t="shared" ref="AI365:AI370" si="91">+W365</f>
        <v>5.8000000000000003E-2</v>
      </c>
      <c r="AL365" s="68" t="s">
        <v>790</v>
      </c>
    </row>
    <row r="366" spans="1:49" ht="30" customHeight="1" x14ac:dyDescent="0.25">
      <c r="A366" s="10" t="s">
        <v>143</v>
      </c>
      <c r="B366" s="67" t="s">
        <v>293</v>
      </c>
      <c r="C366" s="10" t="s">
        <v>405</v>
      </c>
      <c r="D366" s="67">
        <f>D365+1</f>
        <v>2</v>
      </c>
      <c r="E366" s="67" t="s">
        <v>605</v>
      </c>
      <c r="F366" s="67" t="s">
        <v>240</v>
      </c>
      <c r="G366" s="68" t="s">
        <v>578</v>
      </c>
      <c r="H366" s="67">
        <v>0</v>
      </c>
      <c r="I366" s="67">
        <v>12</v>
      </c>
      <c r="J366" s="67">
        <v>1</v>
      </c>
      <c r="K366" s="68" t="s">
        <v>579</v>
      </c>
      <c r="L366" s="67" t="s">
        <v>240</v>
      </c>
      <c r="M366" s="68" t="s">
        <v>587</v>
      </c>
      <c r="N366" s="67" t="s">
        <v>240</v>
      </c>
      <c r="O366" s="67" t="s">
        <v>240</v>
      </c>
      <c r="P366" s="67" t="s">
        <v>240</v>
      </c>
      <c r="Q366" s="67" t="s">
        <v>240</v>
      </c>
      <c r="R366" s="67" t="s">
        <v>584</v>
      </c>
      <c r="S366" s="67">
        <v>19446</v>
      </c>
      <c r="T366" s="78">
        <f>(36782/(771139+36782))*S366</f>
        <v>885.31276201509797</v>
      </c>
      <c r="U366" s="78">
        <f t="shared" si="90"/>
        <v>18560.687237984901</v>
      </c>
      <c r="V366" s="67">
        <v>-0.185</v>
      </c>
      <c r="W366" s="67">
        <v>0.10100000000000001</v>
      </c>
      <c r="AI366" s="70">
        <f t="shared" si="91"/>
        <v>0.10100000000000001</v>
      </c>
      <c r="AL366" s="68" t="s">
        <v>790</v>
      </c>
    </row>
    <row r="367" spans="1:49" ht="30" customHeight="1" x14ac:dyDescent="0.25">
      <c r="A367" s="10" t="s">
        <v>143</v>
      </c>
      <c r="B367" s="67" t="s">
        <v>293</v>
      </c>
      <c r="C367" s="10" t="s">
        <v>398</v>
      </c>
      <c r="D367" s="67">
        <f>D366+1</f>
        <v>3</v>
      </c>
      <c r="E367" s="67" t="s">
        <v>605</v>
      </c>
      <c r="F367" s="67" t="s">
        <v>240</v>
      </c>
      <c r="G367" s="68" t="s">
        <v>578</v>
      </c>
      <c r="H367" s="67">
        <v>0</v>
      </c>
      <c r="I367" s="67">
        <v>30</v>
      </c>
      <c r="J367" s="67">
        <v>1</v>
      </c>
      <c r="K367" s="68" t="s">
        <v>579</v>
      </c>
      <c r="L367" s="67" t="s">
        <v>240</v>
      </c>
      <c r="M367" s="68" t="s">
        <v>587</v>
      </c>
      <c r="N367" s="67" t="s">
        <v>240</v>
      </c>
      <c r="O367" s="67" t="s">
        <v>240</v>
      </c>
      <c r="P367" s="67" t="s">
        <v>240</v>
      </c>
      <c r="Q367" s="67" t="s">
        <v>240</v>
      </c>
      <c r="R367" s="67" t="s">
        <v>584</v>
      </c>
      <c r="S367" s="67">
        <v>3813</v>
      </c>
      <c r="T367" s="78">
        <f>(36782/(771139+36782))*S367</f>
        <v>173.59341569287096</v>
      </c>
      <c r="U367" s="78">
        <f t="shared" si="90"/>
        <v>3639.4065843071289</v>
      </c>
      <c r="V367" s="67">
        <v>-4.1000000000000002E-2</v>
      </c>
      <c r="W367" s="67">
        <v>5.8000000000000003E-2</v>
      </c>
      <c r="AI367" s="70">
        <f t="shared" si="91"/>
        <v>5.8000000000000003E-2</v>
      </c>
      <c r="AL367" s="68" t="s">
        <v>791</v>
      </c>
    </row>
    <row r="368" spans="1:49" ht="30" customHeight="1" x14ac:dyDescent="0.25">
      <c r="A368" s="10" t="s">
        <v>143</v>
      </c>
      <c r="B368" s="67" t="s">
        <v>293</v>
      </c>
      <c r="C368" s="10" t="s">
        <v>405</v>
      </c>
      <c r="D368" s="67">
        <f>D367+1</f>
        <v>4</v>
      </c>
      <c r="E368" s="67" t="s">
        <v>605</v>
      </c>
      <c r="F368" s="67" t="s">
        <v>240</v>
      </c>
      <c r="G368" s="68" t="s">
        <v>578</v>
      </c>
      <c r="H368" s="67">
        <v>0</v>
      </c>
      <c r="I368" s="67">
        <v>30</v>
      </c>
      <c r="J368" s="67">
        <v>1</v>
      </c>
      <c r="K368" s="68" t="s">
        <v>579</v>
      </c>
      <c r="L368" s="67" t="s">
        <v>240</v>
      </c>
      <c r="M368" s="68" t="s">
        <v>587</v>
      </c>
      <c r="N368" s="67" t="s">
        <v>240</v>
      </c>
      <c r="O368" s="67" t="s">
        <v>240</v>
      </c>
      <c r="P368" s="67" t="s">
        <v>240</v>
      </c>
      <c r="Q368" s="67" t="s">
        <v>240</v>
      </c>
      <c r="R368" s="67" t="s">
        <v>584</v>
      </c>
      <c r="S368" s="67">
        <v>19446</v>
      </c>
      <c r="T368" s="78">
        <f>(36782/(771139+36782))*S368</f>
        <v>885.31276201509797</v>
      </c>
      <c r="U368" s="78">
        <f t="shared" si="90"/>
        <v>18560.687237984901</v>
      </c>
      <c r="V368" s="67">
        <v>-0.23400000000000001</v>
      </c>
      <c r="W368" s="67">
        <v>0.14099999999999999</v>
      </c>
      <c r="AI368" s="70">
        <f t="shared" si="91"/>
        <v>0.14099999999999999</v>
      </c>
      <c r="AL368" s="68" t="s">
        <v>791</v>
      </c>
    </row>
    <row r="369" spans="1:49" ht="30" customHeight="1" x14ac:dyDescent="0.25">
      <c r="A369" s="10" t="s">
        <v>143</v>
      </c>
      <c r="B369" s="67" t="s">
        <v>293</v>
      </c>
      <c r="C369" s="10" t="s">
        <v>398</v>
      </c>
      <c r="D369" s="67">
        <f>D368+1</f>
        <v>5</v>
      </c>
      <c r="E369" s="67" t="s">
        <v>605</v>
      </c>
      <c r="F369" s="67" t="s">
        <v>240</v>
      </c>
      <c r="G369" s="68" t="s">
        <v>578</v>
      </c>
      <c r="H369" s="67">
        <v>0</v>
      </c>
      <c r="I369" s="67">
        <v>72</v>
      </c>
      <c r="J369" s="67">
        <v>1</v>
      </c>
      <c r="K369" s="68" t="s">
        <v>579</v>
      </c>
      <c r="L369" s="67" t="s">
        <v>240</v>
      </c>
      <c r="M369" s="68" t="s">
        <v>587</v>
      </c>
      <c r="N369" s="67" t="s">
        <v>240</v>
      </c>
      <c r="O369" s="67" t="s">
        <v>240</v>
      </c>
      <c r="P369" s="67" t="s">
        <v>240</v>
      </c>
      <c r="Q369" s="67" t="s">
        <v>240</v>
      </c>
      <c r="R369" s="67" t="s">
        <v>584</v>
      </c>
      <c r="S369" s="67">
        <v>2698</v>
      </c>
      <c r="T369" s="78">
        <f>(19214/(19214+320852))*S369</f>
        <v>152.43915004734376</v>
      </c>
      <c r="U369" s="78">
        <f t="shared" si="90"/>
        <v>2545.5608499526561</v>
      </c>
      <c r="V369" s="67">
        <v>-6.3E-2</v>
      </c>
      <c r="W369" s="67">
        <v>4.8000000000000001E-2</v>
      </c>
      <c r="AI369" s="70">
        <f t="shared" si="91"/>
        <v>4.8000000000000001E-2</v>
      </c>
      <c r="AL369" s="68" t="s">
        <v>792</v>
      </c>
    </row>
    <row r="370" spans="1:49" ht="30" customHeight="1" x14ac:dyDescent="0.25">
      <c r="A370" s="10" t="s">
        <v>143</v>
      </c>
      <c r="B370" s="67" t="s">
        <v>293</v>
      </c>
      <c r="C370" s="10" t="s">
        <v>405</v>
      </c>
      <c r="D370" s="67">
        <f>D369+1</f>
        <v>6</v>
      </c>
      <c r="E370" s="67" t="s">
        <v>605</v>
      </c>
      <c r="F370" s="67" t="s">
        <v>240</v>
      </c>
      <c r="G370" s="68" t="s">
        <v>578</v>
      </c>
      <c r="H370" s="67">
        <v>0</v>
      </c>
      <c r="I370" s="67">
        <v>72</v>
      </c>
      <c r="J370" s="67">
        <v>1</v>
      </c>
      <c r="K370" s="68" t="s">
        <v>579</v>
      </c>
      <c r="L370" s="67" t="s">
        <v>240</v>
      </c>
      <c r="M370" s="68" t="s">
        <v>587</v>
      </c>
      <c r="N370" s="67" t="s">
        <v>240</v>
      </c>
      <c r="O370" s="67" t="s">
        <v>240</v>
      </c>
      <c r="P370" s="67" t="s">
        <v>240</v>
      </c>
      <c r="Q370" s="67" t="s">
        <v>240</v>
      </c>
      <c r="R370" s="67" t="s">
        <v>584</v>
      </c>
      <c r="S370" s="67">
        <v>2358</v>
      </c>
      <c r="T370" s="78">
        <f>(19214/(19214+320852))*S370</f>
        <v>133.22887909993943</v>
      </c>
      <c r="U370" s="78">
        <f t="shared" si="90"/>
        <v>2224.7711209000604</v>
      </c>
      <c r="V370" s="67">
        <v>-7.5999999999999998E-2</v>
      </c>
      <c r="W370" s="67">
        <v>0.11700000000000001</v>
      </c>
      <c r="AI370" s="70">
        <f t="shared" si="91"/>
        <v>0.11700000000000001</v>
      </c>
      <c r="AL370" s="68" t="s">
        <v>792</v>
      </c>
    </row>
    <row r="371" spans="1:49" ht="30" customHeight="1" x14ac:dyDescent="0.25">
      <c r="A371" s="77" t="s">
        <v>146</v>
      </c>
      <c r="B371" s="67" t="s">
        <v>293</v>
      </c>
      <c r="C371" s="77" t="s">
        <v>408</v>
      </c>
      <c r="D371" s="67">
        <v>1</v>
      </c>
      <c r="E371" s="67" t="s">
        <v>605</v>
      </c>
      <c r="F371" s="67" t="s">
        <v>240</v>
      </c>
      <c r="G371" s="68" t="s">
        <v>578</v>
      </c>
      <c r="H371" s="67">
        <v>1</v>
      </c>
      <c r="I371" s="67">
        <v>60</v>
      </c>
      <c r="J371" s="67">
        <v>2</v>
      </c>
      <c r="K371" s="68" t="s">
        <v>667</v>
      </c>
      <c r="L371" s="67" t="s">
        <v>800</v>
      </c>
      <c r="M371" s="68" t="s">
        <v>801</v>
      </c>
      <c r="N371" s="67" t="s">
        <v>240</v>
      </c>
      <c r="O371" s="67" t="s">
        <v>240</v>
      </c>
      <c r="P371" s="67" t="s">
        <v>240</v>
      </c>
      <c r="Q371" s="67" t="s">
        <v>240</v>
      </c>
      <c r="R371" s="68" t="s">
        <v>413</v>
      </c>
      <c r="S371" s="67">
        <f>T371+U371</f>
        <v>19630</v>
      </c>
      <c r="T371" s="67">
        <v>9580</v>
      </c>
      <c r="U371" s="67">
        <v>10050</v>
      </c>
      <c r="V371" s="67">
        <v>1250</v>
      </c>
      <c r="AB371" s="67">
        <v>14839</v>
      </c>
      <c r="AC371" s="67">
        <v>13588</v>
      </c>
      <c r="AF371" s="67">
        <f t="shared" ref="AF371:AF402" si="92">_xlfn.T.INV.2T(AH371,S371-2)</f>
        <v>2.57607981290976</v>
      </c>
      <c r="AH371" s="70">
        <v>0.01</v>
      </c>
      <c r="AI371" s="70">
        <f t="shared" ref="AI371:AI382" si="93">+V371/AF371</f>
        <v>485.23341308594286</v>
      </c>
      <c r="AK371" s="68" t="s">
        <v>802</v>
      </c>
      <c r="AM371" s="67" t="s">
        <v>30</v>
      </c>
      <c r="AP371" s="67">
        <f>+V371/AQ371</f>
        <v>3.6783553202365211E-2</v>
      </c>
      <c r="AQ371" s="67">
        <f>+AI371*SQRT(T371*U371/S371)</f>
        <v>33982.578929314092</v>
      </c>
      <c r="AS371" s="67">
        <f>+AP371^2/(AU371-2)*(AU371/(V371/AI371)^2+AU371*AV371^2-AU371+2)</f>
        <v>2.0404527972960867E-4</v>
      </c>
      <c r="AU371" s="67">
        <f>+S371-2</f>
        <v>19628</v>
      </c>
      <c r="AV371" s="67">
        <f>IFERROR(1/(SQRT(AU371/2)*_xlfn.GAMMA(AU371/2-0.5)/_xlfn.GAMMA(AU371/2)),1)</f>
        <v>1</v>
      </c>
      <c r="AW371" s="67" t="s">
        <v>1350</v>
      </c>
    </row>
    <row r="372" spans="1:49" ht="30" customHeight="1" x14ac:dyDescent="0.25">
      <c r="A372" s="77" t="s">
        <v>146</v>
      </c>
      <c r="B372" s="67" t="s">
        <v>207</v>
      </c>
      <c r="C372" s="77" t="s">
        <v>408</v>
      </c>
      <c r="D372" s="67">
        <v>57</v>
      </c>
      <c r="E372" s="67" t="s">
        <v>605</v>
      </c>
      <c r="F372" s="76" t="s">
        <v>240</v>
      </c>
      <c r="G372" s="68" t="s">
        <v>578</v>
      </c>
      <c r="H372" s="67">
        <v>1</v>
      </c>
      <c r="I372" s="76" t="s">
        <v>240</v>
      </c>
      <c r="J372" s="67">
        <v>2</v>
      </c>
      <c r="K372" s="68" t="s">
        <v>793</v>
      </c>
      <c r="L372" s="67" t="s">
        <v>638</v>
      </c>
      <c r="M372" s="68" t="s">
        <v>794</v>
      </c>
      <c r="N372" s="67" t="s">
        <v>240</v>
      </c>
      <c r="O372" s="67" t="s">
        <v>240</v>
      </c>
      <c r="P372" s="67" t="s">
        <v>240</v>
      </c>
      <c r="Q372" s="67" t="s">
        <v>240</v>
      </c>
      <c r="R372" s="68" t="s">
        <v>413</v>
      </c>
      <c r="S372" s="88">
        <f>T372+U372</f>
        <v>19630</v>
      </c>
      <c r="T372" s="88">
        <v>9580</v>
      </c>
      <c r="U372" s="88">
        <v>10050</v>
      </c>
      <c r="V372" s="67">
        <v>1250</v>
      </c>
      <c r="AB372" s="88">
        <v>14839</v>
      </c>
      <c r="AC372" s="88">
        <v>13588</v>
      </c>
      <c r="AF372" s="67">
        <f t="shared" si="92"/>
        <v>1.6449312630587163</v>
      </c>
      <c r="AH372" s="70">
        <v>0.1</v>
      </c>
      <c r="AI372" s="70">
        <f t="shared" si="93"/>
        <v>759.91017258414217</v>
      </c>
      <c r="AK372" s="70" t="s">
        <v>795</v>
      </c>
      <c r="AL372" s="68" t="s">
        <v>796</v>
      </c>
      <c r="AP372" s="67">
        <f>+V372/AQ372</f>
        <v>2.3487788043573959E-2</v>
      </c>
      <c r="AQ372" s="67">
        <f>+AI372*SQRT(T372*U372/S372)</f>
        <v>53219.145101319511</v>
      </c>
      <c r="AS372" s="67">
        <f>+AP372^2/(AU372-2)*(AU372/(V372/AI372)^2+AU372*AV372^2-AU372+2)</f>
        <v>2.0396361728193608E-4</v>
      </c>
      <c r="AU372" s="67">
        <f>+S372-2</f>
        <v>19628</v>
      </c>
      <c r="AV372" s="67">
        <f>IFERROR(1/(SQRT(AU372/2)*_xlfn.GAMMA(AU372/2-0.5)/_xlfn.GAMMA(AU372/2)),1)</f>
        <v>1</v>
      </c>
      <c r="AW372" s="67" t="s">
        <v>1350</v>
      </c>
    </row>
    <row r="373" spans="1:49" ht="30" customHeight="1" x14ac:dyDescent="0.25">
      <c r="A373" s="77" t="s">
        <v>146</v>
      </c>
      <c r="B373" s="67" t="s">
        <v>207</v>
      </c>
      <c r="C373" s="77" t="s">
        <v>408</v>
      </c>
      <c r="D373" s="67">
        <v>58</v>
      </c>
      <c r="E373" s="67" t="s">
        <v>605</v>
      </c>
      <c r="F373" s="76" t="s">
        <v>240</v>
      </c>
      <c r="G373" s="152" t="s">
        <v>578</v>
      </c>
      <c r="H373" s="67">
        <v>1</v>
      </c>
      <c r="I373" s="76" t="s">
        <v>240</v>
      </c>
      <c r="J373" s="67">
        <v>1</v>
      </c>
      <c r="K373" s="68" t="s">
        <v>797</v>
      </c>
      <c r="L373" s="76" t="s">
        <v>240</v>
      </c>
      <c r="M373" s="68" t="s">
        <v>570</v>
      </c>
      <c r="N373" s="67" t="s">
        <v>240</v>
      </c>
      <c r="O373" s="67" t="s">
        <v>240</v>
      </c>
      <c r="P373" s="67" t="s">
        <v>240</v>
      </c>
      <c r="Q373" s="67" t="s">
        <v>240</v>
      </c>
      <c r="R373" s="67" t="s">
        <v>798</v>
      </c>
      <c r="S373" s="88">
        <f>T373+U373</f>
        <v>19630</v>
      </c>
      <c r="T373" s="88">
        <v>9580</v>
      </c>
      <c r="U373" s="88">
        <v>10050</v>
      </c>
      <c r="V373" s="67">
        <v>3.6999999999999998E-2</v>
      </c>
      <c r="AB373" s="67">
        <v>40.5</v>
      </c>
      <c r="AC373" s="67">
        <v>36.799999999999997</v>
      </c>
      <c r="AF373" s="67">
        <f t="shared" si="92"/>
        <v>1.960084853452899</v>
      </c>
      <c r="AH373" s="70">
        <v>0.05</v>
      </c>
      <c r="AI373" s="70">
        <f t="shared" si="93"/>
        <v>1.8876733797937646E-2</v>
      </c>
      <c r="AK373" s="70" t="s">
        <v>799</v>
      </c>
      <c r="AL373" s="68" t="s">
        <v>796</v>
      </c>
    </row>
    <row r="374" spans="1:49" ht="30" customHeight="1" x14ac:dyDescent="0.25">
      <c r="A374" s="77" t="s">
        <v>147</v>
      </c>
      <c r="B374" s="67" t="s">
        <v>207</v>
      </c>
      <c r="C374" s="77" t="s">
        <v>408</v>
      </c>
      <c r="D374" s="67">
        <v>1</v>
      </c>
      <c r="E374" s="67" t="s">
        <v>605</v>
      </c>
      <c r="F374" s="76" t="s">
        <v>240</v>
      </c>
      <c r="G374" s="68" t="s">
        <v>803</v>
      </c>
      <c r="H374" s="67">
        <v>1</v>
      </c>
      <c r="I374" s="76" t="s">
        <v>240</v>
      </c>
      <c r="J374" s="67">
        <v>2</v>
      </c>
      <c r="K374" s="68" t="s">
        <v>804</v>
      </c>
      <c r="L374" s="67" t="s">
        <v>638</v>
      </c>
      <c r="M374" s="68" t="s">
        <v>794</v>
      </c>
      <c r="N374" s="67" t="s">
        <v>240</v>
      </c>
      <c r="O374" s="67" t="s">
        <v>240</v>
      </c>
      <c r="P374" s="67" t="s">
        <v>240</v>
      </c>
      <c r="Q374" s="67" t="s">
        <v>240</v>
      </c>
      <c r="R374" s="67" t="s">
        <v>674</v>
      </c>
      <c r="S374" s="67">
        <f t="shared" ref="S374:S394" si="94">U374+T374</f>
        <v>3881</v>
      </c>
      <c r="T374" s="67">
        <v>1935</v>
      </c>
      <c r="U374" s="67">
        <v>1946</v>
      </c>
      <c r="V374" s="67">
        <v>496</v>
      </c>
      <c r="AB374" s="67">
        <v>5502</v>
      </c>
      <c r="AC374" s="67">
        <v>5006</v>
      </c>
      <c r="AF374" s="67">
        <f t="shared" si="92"/>
        <v>1.9605757398985619</v>
      </c>
      <c r="AH374" s="70">
        <v>0.05</v>
      </c>
      <c r="AI374" s="70">
        <f t="shared" si="93"/>
        <v>252.98691088856506</v>
      </c>
      <c r="AK374" s="70" t="s">
        <v>799</v>
      </c>
      <c r="AP374" s="67">
        <f t="shared" ref="AP374:AP394" si="95">+V374/AQ374</f>
        <v>6.2942435439892072E-2</v>
      </c>
      <c r="AQ374" s="67">
        <f t="shared" ref="AQ374:AQ394" si="96">+AI374*SQRT(T374*U374/S374)</f>
        <v>7880.2162092006038</v>
      </c>
      <c r="AS374" s="67">
        <f t="shared" ref="AS374:AS394" si="97">+AP374^2/(AU374-2)*(AU374/(V374/AI374)^2+AU374*AV374^2-AU374+2)</f>
        <v>1.033245884229865E-3</v>
      </c>
      <c r="AU374" s="67">
        <f t="shared" ref="AU374:AU394" si="98">+S374-2</f>
        <v>3879</v>
      </c>
      <c r="AV374" s="67">
        <f t="shared" ref="AV374:AV394" si="99">IFERROR(1/(SQRT(AU374/2)*_xlfn.GAMMA(AU374/2-0.5)/_xlfn.GAMMA(AU374/2)),1)</f>
        <v>1</v>
      </c>
      <c r="AW374" s="67" t="s">
        <v>1350</v>
      </c>
    </row>
    <row r="375" spans="1:49" ht="30" customHeight="1" x14ac:dyDescent="0.25">
      <c r="A375" s="77" t="s">
        <v>147</v>
      </c>
      <c r="B375" s="67" t="s">
        <v>207</v>
      </c>
      <c r="C375" s="77" t="s">
        <v>408</v>
      </c>
      <c r="D375" s="67">
        <v>2</v>
      </c>
      <c r="E375" s="67" t="s">
        <v>605</v>
      </c>
      <c r="F375" s="76" t="s">
        <v>240</v>
      </c>
      <c r="G375" s="68" t="s">
        <v>805</v>
      </c>
      <c r="H375" s="67">
        <v>1</v>
      </c>
      <c r="I375" s="76" t="s">
        <v>240</v>
      </c>
      <c r="J375" s="67">
        <v>2</v>
      </c>
      <c r="K375" s="68" t="s">
        <v>804</v>
      </c>
      <c r="L375" s="67" t="s">
        <v>638</v>
      </c>
      <c r="M375" s="68" t="s">
        <v>794</v>
      </c>
      <c r="N375" s="67" t="s">
        <v>240</v>
      </c>
      <c r="O375" s="67" t="s">
        <v>240</v>
      </c>
      <c r="P375" s="67" t="s">
        <v>240</v>
      </c>
      <c r="Q375" s="67" t="s">
        <v>240</v>
      </c>
      <c r="R375" s="67" t="s">
        <v>674</v>
      </c>
      <c r="S375" s="67">
        <f t="shared" si="94"/>
        <v>2997</v>
      </c>
      <c r="T375" s="67">
        <v>1542</v>
      </c>
      <c r="U375" s="67">
        <v>1455</v>
      </c>
      <c r="V375" s="67">
        <v>580</v>
      </c>
      <c r="AB375" s="67">
        <v>5219</v>
      </c>
      <c r="AC375" s="67">
        <v>4639</v>
      </c>
      <c r="AF375" s="67">
        <f t="shared" si="92"/>
        <v>0.67457167389105488</v>
      </c>
      <c r="AH375" s="70">
        <v>0.5</v>
      </c>
      <c r="AI375" s="70">
        <f t="shared" si="93"/>
        <v>859.80485461900901</v>
      </c>
      <c r="AK375" s="70" t="s">
        <v>806</v>
      </c>
      <c r="AP375" s="67">
        <f t="shared" si="95"/>
        <v>2.4654590221902688E-2</v>
      </c>
      <c r="AQ375" s="67">
        <f t="shared" si="96"/>
        <v>23525.031029910959</v>
      </c>
      <c r="AS375" s="67">
        <f t="shared" si="97"/>
        <v>1.3370924461410024E-3</v>
      </c>
      <c r="AU375" s="67">
        <f t="shared" si="98"/>
        <v>2995</v>
      </c>
      <c r="AV375" s="67">
        <f t="shared" si="99"/>
        <v>1</v>
      </c>
      <c r="AW375" s="67" t="s">
        <v>1350</v>
      </c>
    </row>
    <row r="376" spans="1:49" ht="30" customHeight="1" x14ac:dyDescent="0.25">
      <c r="A376" s="77" t="s">
        <v>147</v>
      </c>
      <c r="B376" s="67" t="s">
        <v>207</v>
      </c>
      <c r="C376" s="77" t="s">
        <v>408</v>
      </c>
      <c r="D376" s="67">
        <v>3</v>
      </c>
      <c r="E376" s="67" t="s">
        <v>605</v>
      </c>
      <c r="F376" s="76" t="s">
        <v>240</v>
      </c>
      <c r="G376" s="68" t="s">
        <v>807</v>
      </c>
      <c r="H376" s="67">
        <v>1</v>
      </c>
      <c r="I376" s="76" t="s">
        <v>240</v>
      </c>
      <c r="J376" s="67">
        <v>2</v>
      </c>
      <c r="K376" s="68" t="s">
        <v>804</v>
      </c>
      <c r="L376" s="67" t="s">
        <v>638</v>
      </c>
      <c r="M376" s="68" t="s">
        <v>794</v>
      </c>
      <c r="N376" s="67" t="s">
        <v>240</v>
      </c>
      <c r="O376" s="67" t="s">
        <v>240</v>
      </c>
      <c r="P376" s="67" t="s">
        <v>240</v>
      </c>
      <c r="Q376" s="67" t="s">
        <v>240</v>
      </c>
      <c r="R376" s="67" t="s">
        <v>674</v>
      </c>
      <c r="S376" s="67">
        <f t="shared" si="94"/>
        <v>4938</v>
      </c>
      <c r="T376" s="67">
        <v>1596</v>
      </c>
      <c r="U376" s="67">
        <v>3342</v>
      </c>
      <c r="V376" s="67">
        <v>317</v>
      </c>
      <c r="AB376" s="67">
        <v>3450</v>
      </c>
      <c r="AC376" s="67">
        <v>3133</v>
      </c>
      <c r="AF376" s="67">
        <f t="shared" si="92"/>
        <v>1.9604447064107058</v>
      </c>
      <c r="AH376" s="70">
        <v>0.05</v>
      </c>
      <c r="AI376" s="70">
        <f t="shared" si="93"/>
        <v>161.6980060510769</v>
      </c>
      <c r="AK376" s="70" t="s">
        <v>799</v>
      </c>
      <c r="AP376" s="67">
        <f t="shared" si="95"/>
        <v>5.9650003599319767E-2</v>
      </c>
      <c r="AQ376" s="67">
        <f t="shared" si="96"/>
        <v>5314.3332920706644</v>
      </c>
      <c r="AS376" s="67">
        <f t="shared" si="97"/>
        <v>9.2760599507127816E-4</v>
      </c>
      <c r="AU376" s="67">
        <f t="shared" si="98"/>
        <v>4936</v>
      </c>
      <c r="AV376" s="67">
        <f t="shared" si="99"/>
        <v>1</v>
      </c>
      <c r="AW376" s="67" t="s">
        <v>1350</v>
      </c>
    </row>
    <row r="377" spans="1:49" ht="30" customHeight="1" x14ac:dyDescent="0.25">
      <c r="A377" s="77" t="s">
        <v>147</v>
      </c>
      <c r="B377" s="67" t="s">
        <v>207</v>
      </c>
      <c r="C377" s="77" t="s">
        <v>408</v>
      </c>
      <c r="D377" s="67">
        <v>4</v>
      </c>
      <c r="E377" s="67" t="s">
        <v>605</v>
      </c>
      <c r="F377" s="76" t="s">
        <v>240</v>
      </c>
      <c r="G377" s="68" t="s">
        <v>808</v>
      </c>
      <c r="H377" s="67">
        <v>1</v>
      </c>
      <c r="I377" s="76" t="s">
        <v>240</v>
      </c>
      <c r="J377" s="67">
        <v>2</v>
      </c>
      <c r="K377" s="68" t="s">
        <v>804</v>
      </c>
      <c r="L377" s="67" t="s">
        <v>638</v>
      </c>
      <c r="M377" s="68" t="s">
        <v>794</v>
      </c>
      <c r="N377" s="67" t="s">
        <v>240</v>
      </c>
      <c r="O377" s="67" t="s">
        <v>240</v>
      </c>
      <c r="P377" s="67" t="s">
        <v>240</v>
      </c>
      <c r="Q377" s="67" t="s">
        <v>240</v>
      </c>
      <c r="R377" s="67" t="s">
        <v>674</v>
      </c>
      <c r="S377" s="67">
        <f t="shared" si="94"/>
        <v>4672</v>
      </c>
      <c r="T377" s="67">
        <v>2513</v>
      </c>
      <c r="U377" s="67">
        <v>2159</v>
      </c>
      <c r="V377" s="67">
        <v>673</v>
      </c>
      <c r="AB377" s="67">
        <v>7565</v>
      </c>
      <c r="AC377" s="67">
        <v>6892</v>
      </c>
      <c r="AF377" s="67">
        <f t="shared" si="92"/>
        <v>2.5768825026854487</v>
      </c>
      <c r="AH377" s="70">
        <v>0.01</v>
      </c>
      <c r="AI377" s="70">
        <f t="shared" si="93"/>
        <v>261.16829125838916</v>
      </c>
      <c r="AK377" s="70" t="s">
        <v>809</v>
      </c>
      <c r="AP377" s="67">
        <f t="shared" si="95"/>
        <v>7.561770079094482E-2</v>
      </c>
      <c r="AQ377" s="67">
        <f t="shared" si="96"/>
        <v>8900.0325712176564</v>
      </c>
      <c r="AS377" s="67">
        <f t="shared" si="97"/>
        <v>8.6392698510984721E-4</v>
      </c>
      <c r="AU377" s="67">
        <f t="shared" si="98"/>
        <v>4670</v>
      </c>
      <c r="AV377" s="67">
        <f t="shared" si="99"/>
        <v>1</v>
      </c>
      <c r="AW377" s="67" t="s">
        <v>1350</v>
      </c>
    </row>
    <row r="378" spans="1:49" ht="30" customHeight="1" x14ac:dyDescent="0.25">
      <c r="A378" s="77" t="s">
        <v>147</v>
      </c>
      <c r="B378" s="67" t="s">
        <v>207</v>
      </c>
      <c r="C378" s="77" t="s">
        <v>408</v>
      </c>
      <c r="D378" s="67">
        <v>5</v>
      </c>
      <c r="E378" s="67" t="s">
        <v>605</v>
      </c>
      <c r="F378" s="76" t="s">
        <v>240</v>
      </c>
      <c r="G378" s="68" t="s">
        <v>810</v>
      </c>
      <c r="H378" s="67">
        <v>1</v>
      </c>
      <c r="I378" s="76" t="s">
        <v>240</v>
      </c>
      <c r="J378" s="67">
        <v>2</v>
      </c>
      <c r="K378" s="68" t="s">
        <v>804</v>
      </c>
      <c r="L378" s="67" t="s">
        <v>638</v>
      </c>
      <c r="M378" s="68" t="s">
        <v>794</v>
      </c>
      <c r="N378" s="67" t="s">
        <v>240</v>
      </c>
      <c r="O378" s="67" t="s">
        <v>240</v>
      </c>
      <c r="P378" s="67" t="s">
        <v>240</v>
      </c>
      <c r="Q378" s="67" t="s">
        <v>240</v>
      </c>
      <c r="R378" s="67" t="s">
        <v>674</v>
      </c>
      <c r="S378" s="67">
        <f t="shared" si="94"/>
        <v>4729</v>
      </c>
      <c r="T378" s="67">
        <v>2570</v>
      </c>
      <c r="U378" s="67">
        <v>2159</v>
      </c>
      <c r="V378" s="67">
        <v>677</v>
      </c>
      <c r="AB378" s="67">
        <v>7569</v>
      </c>
      <c r="AC378" s="67">
        <v>6892</v>
      </c>
      <c r="AF378" s="67">
        <f t="shared" si="92"/>
        <v>1.6451760448985322</v>
      </c>
      <c r="AH378" s="70">
        <v>0.1</v>
      </c>
      <c r="AI378" s="70">
        <f t="shared" si="93"/>
        <v>411.50611334226824</v>
      </c>
      <c r="AK378" s="70" t="s">
        <v>795</v>
      </c>
      <c r="AP378" s="67">
        <f t="shared" si="95"/>
        <v>4.8029067126788526E-2</v>
      </c>
      <c r="AQ378" s="67">
        <f t="shared" si="96"/>
        <v>14095.63084398112</v>
      </c>
      <c r="AS378" s="67">
        <f t="shared" si="97"/>
        <v>8.5361962938048242E-4</v>
      </c>
      <c r="AU378" s="67">
        <f t="shared" si="98"/>
        <v>4727</v>
      </c>
      <c r="AV378" s="67">
        <f t="shared" si="99"/>
        <v>1</v>
      </c>
      <c r="AW378" s="67" t="s">
        <v>1350</v>
      </c>
    </row>
    <row r="379" spans="1:49" ht="30" customHeight="1" x14ac:dyDescent="0.25">
      <c r="A379" s="77" t="s">
        <v>147</v>
      </c>
      <c r="B379" s="67" t="s">
        <v>207</v>
      </c>
      <c r="C379" s="77" t="s">
        <v>408</v>
      </c>
      <c r="D379" s="67">
        <v>6</v>
      </c>
      <c r="E379" s="67" t="s">
        <v>605</v>
      </c>
      <c r="F379" s="76" t="s">
        <v>240</v>
      </c>
      <c r="G379" s="68" t="s">
        <v>811</v>
      </c>
      <c r="H379" s="67">
        <v>1</v>
      </c>
      <c r="I379" s="76" t="s">
        <v>240</v>
      </c>
      <c r="J379" s="67">
        <v>2</v>
      </c>
      <c r="K379" s="68" t="s">
        <v>804</v>
      </c>
      <c r="L379" s="67" t="s">
        <v>638</v>
      </c>
      <c r="M379" s="68" t="s">
        <v>794</v>
      </c>
      <c r="N379" s="67" t="s">
        <v>240</v>
      </c>
      <c r="O379" s="67" t="s">
        <v>240</v>
      </c>
      <c r="P379" s="67" t="s">
        <v>240</v>
      </c>
      <c r="Q379" s="67" t="s">
        <v>240</v>
      </c>
      <c r="R379" s="67" t="s">
        <v>674</v>
      </c>
      <c r="S379" s="67">
        <f t="shared" si="94"/>
        <v>4459</v>
      </c>
      <c r="T379" s="67">
        <v>2226</v>
      </c>
      <c r="U379" s="67">
        <v>2233</v>
      </c>
      <c r="V379" s="67">
        <v>367</v>
      </c>
      <c r="AB379" s="67">
        <v>4369</v>
      </c>
      <c r="AC379" s="67">
        <v>4001</v>
      </c>
      <c r="AF379" s="67">
        <f t="shared" si="92"/>
        <v>0.67454479905427567</v>
      </c>
      <c r="AH379" s="70">
        <v>0.5</v>
      </c>
      <c r="AI379" s="70">
        <f t="shared" si="93"/>
        <v>544.07060956446605</v>
      </c>
      <c r="AK379" s="70" t="s">
        <v>806</v>
      </c>
      <c r="AP379" s="67">
        <f t="shared" si="95"/>
        <v>2.0203313024770884E-2</v>
      </c>
      <c r="AQ379" s="67">
        <f t="shared" si="96"/>
        <v>18165.337514200197</v>
      </c>
      <c r="AS379" s="67">
        <f t="shared" si="97"/>
        <v>8.976502978450062E-4</v>
      </c>
      <c r="AU379" s="67">
        <f t="shared" si="98"/>
        <v>4457</v>
      </c>
      <c r="AV379" s="67">
        <f t="shared" si="99"/>
        <v>1</v>
      </c>
      <c r="AW379" s="67" t="s">
        <v>1350</v>
      </c>
    </row>
    <row r="380" spans="1:49" ht="30" customHeight="1" x14ac:dyDescent="0.25">
      <c r="A380" s="77" t="s">
        <v>147</v>
      </c>
      <c r="B380" s="67" t="s">
        <v>207</v>
      </c>
      <c r="C380" s="77" t="s">
        <v>408</v>
      </c>
      <c r="D380" s="67">
        <v>7</v>
      </c>
      <c r="E380" s="67" t="s">
        <v>605</v>
      </c>
      <c r="F380" s="76" t="s">
        <v>240</v>
      </c>
      <c r="G380" s="68" t="s">
        <v>812</v>
      </c>
      <c r="H380" s="67">
        <v>1</v>
      </c>
      <c r="I380" s="76" t="s">
        <v>240</v>
      </c>
      <c r="J380" s="67">
        <v>2</v>
      </c>
      <c r="K380" s="68" t="s">
        <v>804</v>
      </c>
      <c r="L380" s="67" t="s">
        <v>638</v>
      </c>
      <c r="M380" s="68" t="s">
        <v>794</v>
      </c>
      <c r="N380" s="67" t="s">
        <v>240</v>
      </c>
      <c r="O380" s="67" t="s">
        <v>240</v>
      </c>
      <c r="P380" s="67" t="s">
        <v>240</v>
      </c>
      <c r="Q380" s="67" t="s">
        <v>240</v>
      </c>
      <c r="R380" s="67" t="s">
        <v>674</v>
      </c>
      <c r="S380" s="67">
        <f t="shared" si="94"/>
        <v>8677</v>
      </c>
      <c r="T380" s="67">
        <v>4309</v>
      </c>
      <c r="U380" s="67">
        <v>4368</v>
      </c>
      <c r="V380" s="67">
        <v>5</v>
      </c>
      <c r="AB380" s="67">
        <v>3518</v>
      </c>
      <c r="AC380" s="67">
        <v>3514</v>
      </c>
      <c r="AF380" s="67">
        <f t="shared" si="92"/>
        <v>0.67451803193590854</v>
      </c>
      <c r="AH380" s="70">
        <v>0.5</v>
      </c>
      <c r="AI380" s="70">
        <f t="shared" si="93"/>
        <v>7.4127002737787313</v>
      </c>
      <c r="AK380" s="70" t="s">
        <v>806</v>
      </c>
      <c r="AP380" s="67">
        <f t="shared" si="95"/>
        <v>1.4482675535628743E-2</v>
      </c>
      <c r="AQ380" s="67">
        <f t="shared" si="96"/>
        <v>345.24007582021221</v>
      </c>
      <c r="AS380" s="67">
        <f t="shared" si="97"/>
        <v>4.6116481280892625E-4</v>
      </c>
      <c r="AU380" s="67">
        <f t="shared" si="98"/>
        <v>8675</v>
      </c>
      <c r="AV380" s="67">
        <f t="shared" si="99"/>
        <v>1</v>
      </c>
      <c r="AW380" s="67" t="s">
        <v>1350</v>
      </c>
    </row>
    <row r="381" spans="1:49" ht="30" customHeight="1" x14ac:dyDescent="0.25">
      <c r="A381" s="77" t="s">
        <v>147</v>
      </c>
      <c r="B381" s="67" t="s">
        <v>207</v>
      </c>
      <c r="C381" s="77" t="s">
        <v>408</v>
      </c>
      <c r="D381" s="67">
        <v>8</v>
      </c>
      <c r="E381" s="67" t="s">
        <v>605</v>
      </c>
      <c r="F381" s="76" t="s">
        <v>240</v>
      </c>
      <c r="G381" s="68" t="s">
        <v>803</v>
      </c>
      <c r="H381" s="67">
        <v>1</v>
      </c>
      <c r="I381" s="76" t="s">
        <v>240</v>
      </c>
      <c r="J381" s="67">
        <v>2</v>
      </c>
      <c r="K381" s="68" t="s">
        <v>813</v>
      </c>
      <c r="L381" s="67" t="s">
        <v>638</v>
      </c>
      <c r="M381" s="68" t="s">
        <v>794</v>
      </c>
      <c r="N381" s="67" t="s">
        <v>240</v>
      </c>
      <c r="O381" s="67" t="s">
        <v>240</v>
      </c>
      <c r="P381" s="67" t="s">
        <v>240</v>
      </c>
      <c r="Q381" s="67" t="s">
        <v>240</v>
      </c>
      <c r="R381" s="67" t="s">
        <v>674</v>
      </c>
      <c r="S381" s="67">
        <f t="shared" si="94"/>
        <v>3881</v>
      </c>
      <c r="T381" s="67">
        <v>1935</v>
      </c>
      <c r="U381" s="67">
        <v>1946</v>
      </c>
      <c r="V381" s="67">
        <v>50</v>
      </c>
      <c r="AB381" s="67">
        <v>1884</v>
      </c>
      <c r="AC381" s="67">
        <v>1834</v>
      </c>
      <c r="AF381" s="67">
        <f t="shared" si="92"/>
        <v>0.67455300243074434</v>
      </c>
      <c r="AH381" s="70">
        <v>0.5</v>
      </c>
      <c r="AI381" s="70">
        <f t="shared" si="93"/>
        <v>74.123159810756974</v>
      </c>
      <c r="AK381" s="70" t="s">
        <v>806</v>
      </c>
      <c r="AP381" s="67">
        <f t="shared" si="95"/>
        <v>2.1655888085445357E-2</v>
      </c>
      <c r="AQ381" s="67">
        <f t="shared" si="96"/>
        <v>2308.8408936507367</v>
      </c>
      <c r="AS381" s="67">
        <f t="shared" si="97"/>
        <v>1.0314440927981722E-3</v>
      </c>
      <c r="AU381" s="67">
        <f t="shared" si="98"/>
        <v>3879</v>
      </c>
      <c r="AV381" s="67">
        <f t="shared" si="99"/>
        <v>1</v>
      </c>
      <c r="AW381" s="67" t="s">
        <v>1350</v>
      </c>
    </row>
    <row r="382" spans="1:49" ht="30" customHeight="1" x14ac:dyDescent="0.25">
      <c r="A382" s="77" t="s">
        <v>147</v>
      </c>
      <c r="B382" s="67" t="s">
        <v>207</v>
      </c>
      <c r="C382" s="77" t="s">
        <v>408</v>
      </c>
      <c r="D382" s="67">
        <v>9</v>
      </c>
      <c r="E382" s="67" t="s">
        <v>605</v>
      </c>
      <c r="F382" s="76" t="s">
        <v>240</v>
      </c>
      <c r="G382" s="68" t="s">
        <v>805</v>
      </c>
      <c r="H382" s="67">
        <v>1</v>
      </c>
      <c r="I382" s="76" t="s">
        <v>240</v>
      </c>
      <c r="J382" s="67">
        <v>2</v>
      </c>
      <c r="K382" s="68" t="s">
        <v>813</v>
      </c>
      <c r="L382" s="67" t="s">
        <v>638</v>
      </c>
      <c r="M382" s="68" t="s">
        <v>794</v>
      </c>
      <c r="N382" s="67" t="s">
        <v>240</v>
      </c>
      <c r="O382" s="67" t="s">
        <v>240</v>
      </c>
      <c r="P382" s="67" t="s">
        <v>240</v>
      </c>
      <c r="Q382" s="67" t="s">
        <v>240</v>
      </c>
      <c r="R382" s="67" t="s">
        <v>674</v>
      </c>
      <c r="S382" s="67">
        <f t="shared" si="94"/>
        <v>2997</v>
      </c>
      <c r="T382" s="67">
        <v>1542</v>
      </c>
      <c r="U382" s="67">
        <v>1455</v>
      </c>
      <c r="V382" s="67">
        <v>34</v>
      </c>
      <c r="AB382" s="67">
        <v>1678</v>
      </c>
      <c r="AC382" s="67">
        <v>1643</v>
      </c>
      <c r="AF382" s="67">
        <f t="shared" si="92"/>
        <v>0.67457167389105488</v>
      </c>
      <c r="AH382" s="70">
        <v>0.5</v>
      </c>
      <c r="AI382" s="70">
        <f t="shared" si="93"/>
        <v>50.402353546631566</v>
      </c>
      <c r="AK382" s="70" t="s">
        <v>806</v>
      </c>
      <c r="AP382" s="67">
        <f t="shared" si="95"/>
        <v>2.4654590221902684E-2</v>
      </c>
      <c r="AQ382" s="67">
        <f t="shared" si="96"/>
        <v>1379.0535431327114</v>
      </c>
      <c r="AS382" s="67">
        <f t="shared" si="97"/>
        <v>1.3370924461410022E-3</v>
      </c>
      <c r="AU382" s="67">
        <f t="shared" si="98"/>
        <v>2995</v>
      </c>
      <c r="AV382" s="67">
        <f t="shared" si="99"/>
        <v>1</v>
      </c>
      <c r="AW382" s="67" t="s">
        <v>1350</v>
      </c>
    </row>
    <row r="383" spans="1:49" ht="30" customHeight="1" x14ac:dyDescent="0.25">
      <c r="A383" s="77" t="s">
        <v>147</v>
      </c>
      <c r="B383" s="67" t="s">
        <v>207</v>
      </c>
      <c r="C383" s="77" t="s">
        <v>408</v>
      </c>
      <c r="D383" s="67">
        <v>10</v>
      </c>
      <c r="E383" s="67" t="s">
        <v>605</v>
      </c>
      <c r="F383" s="76" t="s">
        <v>240</v>
      </c>
      <c r="G383" s="68" t="s">
        <v>807</v>
      </c>
      <c r="H383" s="67">
        <v>1</v>
      </c>
      <c r="I383" s="76" t="s">
        <v>240</v>
      </c>
      <c r="J383" s="67">
        <v>2</v>
      </c>
      <c r="K383" s="68" t="s">
        <v>813</v>
      </c>
      <c r="L383" s="67" t="s">
        <v>638</v>
      </c>
      <c r="M383" s="68" t="s">
        <v>794</v>
      </c>
      <c r="N383" s="67" t="s">
        <v>240</v>
      </c>
      <c r="O383" s="67" t="s">
        <v>240</v>
      </c>
      <c r="P383" s="67" t="s">
        <v>240</v>
      </c>
      <c r="Q383" s="67" t="s">
        <v>240</v>
      </c>
      <c r="R383" s="67" t="s">
        <v>674</v>
      </c>
      <c r="S383" s="67">
        <f t="shared" si="94"/>
        <v>4938</v>
      </c>
      <c r="T383" s="67">
        <v>1596</v>
      </c>
      <c r="U383" s="67">
        <v>3342</v>
      </c>
      <c r="V383" s="67">
        <v>-107</v>
      </c>
      <c r="AB383" s="67">
        <v>1900</v>
      </c>
      <c r="AC383" s="67">
        <v>2006</v>
      </c>
      <c r="AF383" s="67">
        <f t="shared" si="92"/>
        <v>0.67453945664498682</v>
      </c>
      <c r="AH383" s="70">
        <v>0.5</v>
      </c>
      <c r="AI383" s="70">
        <f>ABS(+V383/AF383)</f>
        <v>158.62674739917341</v>
      </c>
      <c r="AK383" s="70" t="s">
        <v>806</v>
      </c>
      <c r="AP383" s="67">
        <f t="shared" si="95"/>
        <v>-2.0524058079874917E-2</v>
      </c>
      <c r="AQ383" s="67">
        <f t="shared" si="96"/>
        <v>5213.3939391313643</v>
      </c>
      <c r="AS383" s="67">
        <f t="shared" si="97"/>
        <v>9.2633445637272413E-4</v>
      </c>
      <c r="AU383" s="67">
        <f t="shared" si="98"/>
        <v>4936</v>
      </c>
      <c r="AV383" s="67">
        <f t="shared" si="99"/>
        <v>1</v>
      </c>
      <c r="AW383" s="67" t="s">
        <v>1350</v>
      </c>
    </row>
    <row r="384" spans="1:49" ht="30" customHeight="1" x14ac:dyDescent="0.25">
      <c r="A384" s="77" t="s">
        <v>147</v>
      </c>
      <c r="B384" s="67" t="s">
        <v>207</v>
      </c>
      <c r="C384" s="77" t="s">
        <v>408</v>
      </c>
      <c r="D384" s="67">
        <v>11</v>
      </c>
      <c r="E384" s="67" t="s">
        <v>605</v>
      </c>
      <c r="F384" s="76" t="s">
        <v>240</v>
      </c>
      <c r="G384" s="68" t="s">
        <v>808</v>
      </c>
      <c r="H384" s="67">
        <v>1</v>
      </c>
      <c r="I384" s="76" t="s">
        <v>240</v>
      </c>
      <c r="J384" s="67">
        <v>2</v>
      </c>
      <c r="K384" s="68" t="s">
        <v>813</v>
      </c>
      <c r="L384" s="67" t="s">
        <v>638</v>
      </c>
      <c r="M384" s="68" t="s">
        <v>794</v>
      </c>
      <c r="N384" s="67" t="s">
        <v>240</v>
      </c>
      <c r="O384" s="67" t="s">
        <v>240</v>
      </c>
      <c r="P384" s="67" t="s">
        <v>240</v>
      </c>
      <c r="Q384" s="67" t="s">
        <v>240</v>
      </c>
      <c r="R384" s="67" t="s">
        <v>674</v>
      </c>
      <c r="S384" s="67">
        <f t="shared" si="94"/>
        <v>4672</v>
      </c>
      <c r="T384" s="67">
        <v>2513</v>
      </c>
      <c r="U384" s="67">
        <v>2159</v>
      </c>
      <c r="V384" s="67">
        <v>92</v>
      </c>
      <c r="AB384" s="67">
        <v>2098</v>
      </c>
      <c r="AC384" s="67">
        <v>2006</v>
      </c>
      <c r="AF384" s="67">
        <f t="shared" si="92"/>
        <v>0.674542288085895</v>
      </c>
      <c r="AH384" s="70">
        <v>0.5</v>
      </c>
      <c r="AI384" s="70">
        <f t="shared" ref="AI384:AI393" si="100">+V384/AF384</f>
        <v>136.38878039961355</v>
      </c>
      <c r="AK384" s="70" t="s">
        <v>806</v>
      </c>
      <c r="AP384" s="67">
        <f t="shared" si="95"/>
        <v>1.979420359995545E-2</v>
      </c>
      <c r="AQ384" s="67">
        <f t="shared" si="96"/>
        <v>4647.8252855905284</v>
      </c>
      <c r="AS384" s="67">
        <f t="shared" si="97"/>
        <v>8.6164496875305527E-4</v>
      </c>
      <c r="AU384" s="67">
        <f t="shared" si="98"/>
        <v>4670</v>
      </c>
      <c r="AV384" s="67">
        <f t="shared" si="99"/>
        <v>1</v>
      </c>
      <c r="AW384" s="67" t="s">
        <v>1350</v>
      </c>
    </row>
    <row r="385" spans="1:49" ht="30" customHeight="1" x14ac:dyDescent="0.25">
      <c r="A385" s="77" t="s">
        <v>147</v>
      </c>
      <c r="B385" s="67" t="s">
        <v>207</v>
      </c>
      <c r="C385" s="77" t="s">
        <v>408</v>
      </c>
      <c r="D385" s="67">
        <v>12</v>
      </c>
      <c r="E385" s="67" t="s">
        <v>605</v>
      </c>
      <c r="F385" s="76" t="s">
        <v>240</v>
      </c>
      <c r="G385" s="68" t="s">
        <v>810</v>
      </c>
      <c r="H385" s="67">
        <v>1</v>
      </c>
      <c r="I385" s="76" t="s">
        <v>240</v>
      </c>
      <c r="J385" s="67">
        <v>2</v>
      </c>
      <c r="K385" s="68" t="s">
        <v>813</v>
      </c>
      <c r="L385" s="67" t="s">
        <v>638</v>
      </c>
      <c r="M385" s="68" t="s">
        <v>794</v>
      </c>
      <c r="N385" s="67" t="s">
        <v>240</v>
      </c>
      <c r="O385" s="67" t="s">
        <v>240</v>
      </c>
      <c r="P385" s="67" t="s">
        <v>240</v>
      </c>
      <c r="Q385" s="67" t="s">
        <v>240</v>
      </c>
      <c r="R385" s="67" t="s">
        <v>674</v>
      </c>
      <c r="S385" s="67">
        <f t="shared" si="94"/>
        <v>4729</v>
      </c>
      <c r="T385" s="67">
        <v>2570</v>
      </c>
      <c r="U385" s="67">
        <v>2159</v>
      </c>
      <c r="V385" s="67">
        <v>93</v>
      </c>
      <c r="AB385" s="67">
        <v>2099</v>
      </c>
      <c r="AC385" s="67">
        <v>2006</v>
      </c>
      <c r="AF385" s="67">
        <f t="shared" si="92"/>
        <v>0.67454165452056103</v>
      </c>
      <c r="AH385" s="70">
        <v>0.5</v>
      </c>
      <c r="AI385" s="70">
        <f t="shared" si="100"/>
        <v>137.87139663910145</v>
      </c>
      <c r="AK385" s="70" t="s">
        <v>806</v>
      </c>
      <c r="AP385" s="67">
        <f t="shared" si="95"/>
        <v>1.9692486105206554E-2</v>
      </c>
      <c r="AQ385" s="67">
        <f t="shared" si="96"/>
        <v>4722.6134629802509</v>
      </c>
      <c r="AS385" s="67">
        <f t="shared" si="97"/>
        <v>8.5280735539950249E-4</v>
      </c>
      <c r="AU385" s="67">
        <f t="shared" si="98"/>
        <v>4727</v>
      </c>
      <c r="AV385" s="67">
        <f t="shared" si="99"/>
        <v>1</v>
      </c>
      <c r="AW385" s="67" t="s">
        <v>1350</v>
      </c>
    </row>
    <row r="386" spans="1:49" ht="30" customHeight="1" x14ac:dyDescent="0.25">
      <c r="A386" s="77" t="s">
        <v>147</v>
      </c>
      <c r="B386" s="67" t="s">
        <v>207</v>
      </c>
      <c r="C386" s="77" t="s">
        <v>408</v>
      </c>
      <c r="D386" s="67">
        <v>13</v>
      </c>
      <c r="E386" s="67" t="s">
        <v>605</v>
      </c>
      <c r="F386" s="76" t="s">
        <v>240</v>
      </c>
      <c r="G386" s="68" t="s">
        <v>811</v>
      </c>
      <c r="H386" s="67">
        <v>1</v>
      </c>
      <c r="I386" s="76" t="s">
        <v>240</v>
      </c>
      <c r="J386" s="67">
        <v>2</v>
      </c>
      <c r="K386" s="68" t="s">
        <v>813</v>
      </c>
      <c r="L386" s="67" t="s">
        <v>638</v>
      </c>
      <c r="M386" s="68" t="s">
        <v>794</v>
      </c>
      <c r="N386" s="67" t="s">
        <v>240</v>
      </c>
      <c r="O386" s="67" t="s">
        <v>240</v>
      </c>
      <c r="P386" s="67" t="s">
        <v>240</v>
      </c>
      <c r="Q386" s="67" t="s">
        <v>240</v>
      </c>
      <c r="R386" s="67" t="s">
        <v>674</v>
      </c>
      <c r="S386" s="67">
        <f t="shared" si="94"/>
        <v>4459</v>
      </c>
      <c r="T386" s="67">
        <v>2226</v>
      </c>
      <c r="U386" s="67">
        <v>2233</v>
      </c>
      <c r="V386" s="67">
        <v>73</v>
      </c>
      <c r="AB386" s="67">
        <v>1893</v>
      </c>
      <c r="AC386" s="67">
        <v>1820</v>
      </c>
      <c r="AF386" s="67">
        <f t="shared" si="92"/>
        <v>0.67454479905427567</v>
      </c>
      <c r="AH386" s="70">
        <v>0.5</v>
      </c>
      <c r="AI386" s="70">
        <f t="shared" si="100"/>
        <v>108.22112942290468</v>
      </c>
      <c r="AK386" s="70" t="s">
        <v>806</v>
      </c>
      <c r="AP386" s="67">
        <f t="shared" si="95"/>
        <v>2.0203313024770887E-2</v>
      </c>
      <c r="AQ386" s="67">
        <f t="shared" si="96"/>
        <v>3613.2687698545346</v>
      </c>
      <c r="AS386" s="67">
        <f t="shared" si="97"/>
        <v>8.9765029784500642E-4</v>
      </c>
      <c r="AU386" s="67">
        <f t="shared" si="98"/>
        <v>4457</v>
      </c>
      <c r="AV386" s="67">
        <f t="shared" si="99"/>
        <v>1</v>
      </c>
      <c r="AW386" s="67" t="s">
        <v>1350</v>
      </c>
    </row>
    <row r="387" spans="1:49" ht="30" customHeight="1" x14ac:dyDescent="0.25">
      <c r="A387" s="77" t="s">
        <v>147</v>
      </c>
      <c r="B387" s="67" t="s">
        <v>207</v>
      </c>
      <c r="C387" s="77" t="s">
        <v>408</v>
      </c>
      <c r="D387" s="67">
        <v>14</v>
      </c>
      <c r="E387" s="67" t="s">
        <v>605</v>
      </c>
      <c r="F387" s="76" t="s">
        <v>240</v>
      </c>
      <c r="G387" s="68" t="s">
        <v>812</v>
      </c>
      <c r="H387" s="67">
        <v>1</v>
      </c>
      <c r="I387" s="76" t="s">
        <v>240</v>
      </c>
      <c r="J387" s="67">
        <v>2</v>
      </c>
      <c r="K387" s="68" t="s">
        <v>813</v>
      </c>
      <c r="L387" s="67" t="s">
        <v>638</v>
      </c>
      <c r="M387" s="68" t="s">
        <v>794</v>
      </c>
      <c r="N387" s="67" t="s">
        <v>240</v>
      </c>
      <c r="O387" s="67" t="s">
        <v>240</v>
      </c>
      <c r="P387" s="67" t="s">
        <v>240</v>
      </c>
      <c r="Q387" s="67" t="s">
        <v>240</v>
      </c>
      <c r="R387" s="67" t="s">
        <v>674</v>
      </c>
      <c r="S387" s="67">
        <f t="shared" si="94"/>
        <v>8677</v>
      </c>
      <c r="T387" s="67">
        <v>4309</v>
      </c>
      <c r="U387" s="67">
        <v>4368</v>
      </c>
      <c r="V387" s="67">
        <v>49</v>
      </c>
      <c r="AB387" s="67">
        <v>1501</v>
      </c>
      <c r="AC387" s="67">
        <v>1452</v>
      </c>
      <c r="AF387" s="67">
        <f t="shared" si="92"/>
        <v>1.9602374827100431</v>
      </c>
      <c r="AH387" s="70">
        <v>0.05</v>
      </c>
      <c r="AI387" s="70">
        <f t="shared" si="100"/>
        <v>24.996971250777804</v>
      </c>
      <c r="AK387" s="70" t="s">
        <v>799</v>
      </c>
      <c r="AP387" s="67">
        <f t="shared" si="95"/>
        <v>4.2088546326015393E-2</v>
      </c>
      <c r="AQ387" s="67">
        <f t="shared" si="96"/>
        <v>1164.212221074325</v>
      </c>
      <c r="AS387" s="67">
        <f t="shared" si="97"/>
        <v>4.6152494144749819E-4</v>
      </c>
      <c r="AU387" s="67">
        <f t="shared" si="98"/>
        <v>8675</v>
      </c>
      <c r="AV387" s="67">
        <f t="shared" si="99"/>
        <v>1</v>
      </c>
      <c r="AW387" s="67" t="s">
        <v>1350</v>
      </c>
    </row>
    <row r="388" spans="1:49" ht="30" customHeight="1" x14ac:dyDescent="0.25">
      <c r="A388" s="77" t="s">
        <v>147</v>
      </c>
      <c r="B388" s="67" t="s">
        <v>207</v>
      </c>
      <c r="C388" s="77" t="s">
        <v>408</v>
      </c>
      <c r="D388" s="67">
        <v>15</v>
      </c>
      <c r="E388" s="67" t="s">
        <v>605</v>
      </c>
      <c r="F388" s="76" t="s">
        <v>240</v>
      </c>
      <c r="G388" s="68" t="s">
        <v>803</v>
      </c>
      <c r="H388" s="67">
        <v>1</v>
      </c>
      <c r="I388" s="76" t="s">
        <v>240</v>
      </c>
      <c r="J388" s="67">
        <v>2</v>
      </c>
      <c r="K388" s="68" t="s">
        <v>814</v>
      </c>
      <c r="L388" s="67" t="s">
        <v>638</v>
      </c>
      <c r="M388" s="68" t="s">
        <v>794</v>
      </c>
      <c r="N388" s="67" t="s">
        <v>240</v>
      </c>
      <c r="O388" s="67" t="s">
        <v>240</v>
      </c>
      <c r="P388" s="67" t="s">
        <v>240</v>
      </c>
      <c r="Q388" s="67" t="s">
        <v>240</v>
      </c>
      <c r="R388" s="67" t="s">
        <v>675</v>
      </c>
      <c r="S388" s="67">
        <f t="shared" si="94"/>
        <v>3881</v>
      </c>
      <c r="T388" s="67">
        <v>1935</v>
      </c>
      <c r="U388" s="67">
        <v>1946</v>
      </c>
      <c r="V388" s="67">
        <v>388</v>
      </c>
      <c r="AB388" s="67">
        <v>3414</v>
      </c>
      <c r="AC388" s="67">
        <v>3026</v>
      </c>
      <c r="AF388" s="67">
        <f t="shared" si="92"/>
        <v>2.5770973690280292</v>
      </c>
      <c r="AH388" s="70">
        <v>0.01</v>
      </c>
      <c r="AI388" s="70">
        <f t="shared" si="100"/>
        <v>150.55698114593824</v>
      </c>
      <c r="AK388" s="70" t="s">
        <v>809</v>
      </c>
      <c r="AP388" s="67">
        <f t="shared" si="95"/>
        <v>8.2735281005137259E-2</v>
      </c>
      <c r="AQ388" s="67">
        <f t="shared" si="96"/>
        <v>4689.6559156656276</v>
      </c>
      <c r="AS388" s="67">
        <f t="shared" si="97"/>
        <v>1.0347333108710274E-3</v>
      </c>
      <c r="AU388" s="67">
        <f t="shared" si="98"/>
        <v>3879</v>
      </c>
      <c r="AV388" s="67">
        <f t="shared" si="99"/>
        <v>1</v>
      </c>
      <c r="AW388" s="67" t="s">
        <v>1350</v>
      </c>
    </row>
    <row r="389" spans="1:49" ht="30" customHeight="1" x14ac:dyDescent="0.25">
      <c r="A389" s="77" t="s">
        <v>147</v>
      </c>
      <c r="B389" s="67" t="s">
        <v>207</v>
      </c>
      <c r="C389" s="77" t="s">
        <v>408</v>
      </c>
      <c r="D389" s="67">
        <v>16</v>
      </c>
      <c r="E389" s="67" t="s">
        <v>605</v>
      </c>
      <c r="F389" s="76" t="s">
        <v>240</v>
      </c>
      <c r="G389" s="68" t="s">
        <v>805</v>
      </c>
      <c r="H389" s="67">
        <v>1</v>
      </c>
      <c r="I389" s="76" t="s">
        <v>240</v>
      </c>
      <c r="J389" s="67">
        <v>2</v>
      </c>
      <c r="K389" s="68" t="s">
        <v>814</v>
      </c>
      <c r="L389" s="67" t="s">
        <v>638</v>
      </c>
      <c r="M389" s="68" t="s">
        <v>794</v>
      </c>
      <c r="N389" s="67" t="s">
        <v>240</v>
      </c>
      <c r="O389" s="67" t="s">
        <v>240</v>
      </c>
      <c r="P389" s="67" t="s">
        <v>240</v>
      </c>
      <c r="Q389" s="67" t="s">
        <v>240</v>
      </c>
      <c r="R389" s="67" t="s">
        <v>675</v>
      </c>
      <c r="S389" s="67">
        <f t="shared" si="94"/>
        <v>2997</v>
      </c>
      <c r="T389" s="67">
        <v>1542</v>
      </c>
      <c r="U389" s="67">
        <v>1455</v>
      </c>
      <c r="V389" s="67">
        <v>470</v>
      </c>
      <c r="AB389" s="67">
        <v>3351</v>
      </c>
      <c r="AC389" s="67">
        <v>2881</v>
      </c>
      <c r="AF389" s="67">
        <f t="shared" si="92"/>
        <v>1.960756376499579</v>
      </c>
      <c r="AH389" s="70">
        <v>0.05</v>
      </c>
      <c r="AI389" s="70">
        <f t="shared" si="100"/>
        <v>239.70341529071698</v>
      </c>
      <c r="AK389" s="70" t="s">
        <v>799</v>
      </c>
      <c r="AP389" s="67">
        <f t="shared" si="95"/>
        <v>7.1662725932051474E-2</v>
      </c>
      <c r="AQ389" s="67">
        <f t="shared" si="96"/>
        <v>6558.5001670971942</v>
      </c>
      <c r="AS389" s="67">
        <f t="shared" si="97"/>
        <v>1.3401179706775896E-3</v>
      </c>
      <c r="AU389" s="67">
        <f t="shared" si="98"/>
        <v>2995</v>
      </c>
      <c r="AV389" s="67">
        <f t="shared" si="99"/>
        <v>1</v>
      </c>
      <c r="AW389" s="67" t="s">
        <v>1350</v>
      </c>
    </row>
    <row r="390" spans="1:49" ht="30" customHeight="1" x14ac:dyDescent="0.25">
      <c r="A390" s="77" t="s">
        <v>147</v>
      </c>
      <c r="B390" s="67" t="s">
        <v>207</v>
      </c>
      <c r="C390" s="77" t="s">
        <v>408</v>
      </c>
      <c r="D390" s="67">
        <v>17</v>
      </c>
      <c r="E390" s="67" t="s">
        <v>605</v>
      </c>
      <c r="F390" s="76" t="s">
        <v>240</v>
      </c>
      <c r="G390" s="68" t="s">
        <v>807</v>
      </c>
      <c r="H390" s="67">
        <v>1</v>
      </c>
      <c r="I390" s="76" t="s">
        <v>240</v>
      </c>
      <c r="J390" s="67">
        <v>2</v>
      </c>
      <c r="K390" s="68" t="s">
        <v>814</v>
      </c>
      <c r="L390" s="67" t="s">
        <v>638</v>
      </c>
      <c r="M390" s="68" t="s">
        <v>794</v>
      </c>
      <c r="N390" s="67" t="s">
        <v>240</v>
      </c>
      <c r="O390" s="67" t="s">
        <v>240</v>
      </c>
      <c r="P390" s="67" t="s">
        <v>240</v>
      </c>
      <c r="Q390" s="67" t="s">
        <v>240</v>
      </c>
      <c r="R390" s="67" t="s">
        <v>675</v>
      </c>
      <c r="S390" s="67">
        <f t="shared" si="94"/>
        <v>4938</v>
      </c>
      <c r="T390" s="67">
        <v>1596</v>
      </c>
      <c r="U390" s="67">
        <v>3342</v>
      </c>
      <c r="V390" s="67">
        <v>121</v>
      </c>
      <c r="AB390" s="67">
        <v>2004</v>
      </c>
      <c r="AC390" s="67">
        <v>1883</v>
      </c>
      <c r="AF390" s="67">
        <f t="shared" si="92"/>
        <v>2.576825725339662</v>
      </c>
      <c r="AH390" s="70">
        <v>0.01</v>
      </c>
      <c r="AI390" s="70">
        <f t="shared" si="100"/>
        <v>46.956997832692196</v>
      </c>
      <c r="AK390" s="70" t="s">
        <v>809</v>
      </c>
      <c r="AP390" s="67">
        <f t="shared" si="95"/>
        <v>7.8404488169802736E-2</v>
      </c>
      <c r="AQ390" s="67">
        <f t="shared" si="96"/>
        <v>1543.2789987474569</v>
      </c>
      <c r="AS390" s="67">
        <f t="shared" si="97"/>
        <v>9.2865550493579773E-4</v>
      </c>
      <c r="AU390" s="67">
        <f t="shared" si="98"/>
        <v>4936</v>
      </c>
      <c r="AV390" s="67">
        <f t="shared" si="99"/>
        <v>1</v>
      </c>
      <c r="AW390" s="67" t="s">
        <v>1350</v>
      </c>
    </row>
    <row r="391" spans="1:49" ht="30" customHeight="1" x14ac:dyDescent="0.25">
      <c r="A391" s="77" t="s">
        <v>147</v>
      </c>
      <c r="B391" s="67" t="s">
        <v>207</v>
      </c>
      <c r="C391" s="77" t="s">
        <v>408</v>
      </c>
      <c r="D391" s="67">
        <v>18</v>
      </c>
      <c r="E391" s="67" t="s">
        <v>605</v>
      </c>
      <c r="F391" s="76" t="s">
        <v>240</v>
      </c>
      <c r="G391" s="68" t="s">
        <v>808</v>
      </c>
      <c r="H391" s="67">
        <v>1</v>
      </c>
      <c r="I391" s="76" t="s">
        <v>240</v>
      </c>
      <c r="J391" s="67">
        <v>2</v>
      </c>
      <c r="K391" s="68" t="s">
        <v>814</v>
      </c>
      <c r="L391" s="67" t="s">
        <v>638</v>
      </c>
      <c r="M391" s="68" t="s">
        <v>794</v>
      </c>
      <c r="N391" s="67" t="s">
        <v>240</v>
      </c>
      <c r="O391" s="67" t="s">
        <v>240</v>
      </c>
      <c r="P391" s="67" t="s">
        <v>240</v>
      </c>
      <c r="Q391" s="67" t="s">
        <v>240</v>
      </c>
      <c r="R391" s="67" t="s">
        <v>675</v>
      </c>
      <c r="S391" s="67">
        <f t="shared" si="94"/>
        <v>4672</v>
      </c>
      <c r="T391" s="67">
        <v>2513</v>
      </c>
      <c r="U391" s="67">
        <v>2159</v>
      </c>
      <c r="V391" s="67">
        <v>592</v>
      </c>
      <c r="AB391" s="67">
        <v>4571</v>
      </c>
      <c r="AC391" s="67">
        <v>3978</v>
      </c>
      <c r="AF391" s="67">
        <f t="shared" si="92"/>
        <v>2.5768825026854487</v>
      </c>
      <c r="AH391" s="70">
        <v>0.01</v>
      </c>
      <c r="AI391" s="70">
        <f t="shared" si="100"/>
        <v>229.73496051258005</v>
      </c>
      <c r="AK391" s="70" t="s">
        <v>809</v>
      </c>
      <c r="AP391" s="67">
        <f t="shared" si="95"/>
        <v>7.561770079094482E-2</v>
      </c>
      <c r="AQ391" s="67">
        <f t="shared" si="96"/>
        <v>7828.8548026164226</v>
      </c>
      <c r="AS391" s="67">
        <f t="shared" si="97"/>
        <v>8.6392698510984721E-4</v>
      </c>
      <c r="AU391" s="67">
        <f t="shared" si="98"/>
        <v>4670</v>
      </c>
      <c r="AV391" s="67">
        <f t="shared" si="99"/>
        <v>1</v>
      </c>
      <c r="AW391" s="67" t="s">
        <v>1350</v>
      </c>
    </row>
    <row r="392" spans="1:49" ht="30" customHeight="1" x14ac:dyDescent="0.25">
      <c r="A392" s="77" t="s">
        <v>147</v>
      </c>
      <c r="B392" s="67" t="s">
        <v>207</v>
      </c>
      <c r="C392" s="77" t="s">
        <v>408</v>
      </c>
      <c r="D392" s="67">
        <v>19</v>
      </c>
      <c r="E392" s="67" t="s">
        <v>605</v>
      </c>
      <c r="F392" s="76" t="s">
        <v>240</v>
      </c>
      <c r="G392" s="68" t="s">
        <v>810</v>
      </c>
      <c r="H392" s="67">
        <v>1</v>
      </c>
      <c r="I392" s="76" t="s">
        <v>240</v>
      </c>
      <c r="J392" s="67">
        <v>2</v>
      </c>
      <c r="K392" s="68" t="s">
        <v>814</v>
      </c>
      <c r="L392" s="67" t="s">
        <v>638</v>
      </c>
      <c r="M392" s="68" t="s">
        <v>794</v>
      </c>
      <c r="N392" s="67" t="s">
        <v>240</v>
      </c>
      <c r="O392" s="67" t="s">
        <v>240</v>
      </c>
      <c r="P392" s="67" t="s">
        <v>240</v>
      </c>
      <c r="Q392" s="67" t="s">
        <v>240</v>
      </c>
      <c r="R392" s="67" t="s">
        <v>675</v>
      </c>
      <c r="S392" s="67">
        <f t="shared" si="94"/>
        <v>4729</v>
      </c>
      <c r="T392" s="67">
        <v>2570</v>
      </c>
      <c r="U392" s="67">
        <v>2159</v>
      </c>
      <c r="V392" s="67">
        <v>492</v>
      </c>
      <c r="AB392" s="67">
        <v>4470</v>
      </c>
      <c r="AC392" s="67">
        <v>3978</v>
      </c>
      <c r="AF392" s="67">
        <f t="shared" si="92"/>
        <v>1.9604659664412094</v>
      </c>
      <c r="AH392" s="70">
        <v>0.05</v>
      </c>
      <c r="AI392" s="70">
        <f t="shared" si="100"/>
        <v>250.96074526257487</v>
      </c>
      <c r="AK392" s="70" t="s">
        <v>799</v>
      </c>
      <c r="AP392" s="67">
        <f t="shared" si="95"/>
        <v>5.7233602321140373E-2</v>
      </c>
      <c r="AQ392" s="67">
        <f t="shared" si="96"/>
        <v>8596.3486491618223</v>
      </c>
      <c r="AS392" s="67">
        <f t="shared" si="97"/>
        <v>8.5402974321988295E-4</v>
      </c>
      <c r="AU392" s="67">
        <f t="shared" si="98"/>
        <v>4727</v>
      </c>
      <c r="AV392" s="67">
        <f t="shared" si="99"/>
        <v>1</v>
      </c>
      <c r="AW392" s="67" t="s">
        <v>1350</v>
      </c>
    </row>
    <row r="393" spans="1:49" ht="30" customHeight="1" x14ac:dyDescent="0.25">
      <c r="A393" s="77" t="s">
        <v>147</v>
      </c>
      <c r="B393" s="67" t="s">
        <v>207</v>
      </c>
      <c r="C393" s="77" t="s">
        <v>408</v>
      </c>
      <c r="D393" s="67">
        <v>20</v>
      </c>
      <c r="E393" s="67" t="s">
        <v>605</v>
      </c>
      <c r="F393" s="76" t="s">
        <v>240</v>
      </c>
      <c r="G393" s="68" t="s">
        <v>811</v>
      </c>
      <c r="H393" s="67">
        <v>1</v>
      </c>
      <c r="I393" s="76" t="s">
        <v>240</v>
      </c>
      <c r="J393" s="67">
        <v>2</v>
      </c>
      <c r="K393" s="68" t="s">
        <v>814</v>
      </c>
      <c r="L393" s="67" t="s">
        <v>638</v>
      </c>
      <c r="M393" s="68" t="s">
        <v>794</v>
      </c>
      <c r="N393" s="67" t="s">
        <v>240</v>
      </c>
      <c r="O393" s="67" t="s">
        <v>240</v>
      </c>
      <c r="P393" s="67" t="s">
        <v>240</v>
      </c>
      <c r="Q393" s="67" t="s">
        <v>240</v>
      </c>
      <c r="R393" s="67" t="s">
        <v>675</v>
      </c>
      <c r="S393" s="67">
        <f t="shared" si="94"/>
        <v>4459</v>
      </c>
      <c r="T393" s="67">
        <v>2226</v>
      </c>
      <c r="U393" s="67">
        <v>2233</v>
      </c>
      <c r="V393" s="67">
        <v>311</v>
      </c>
      <c r="AB393" s="67">
        <v>2971</v>
      </c>
      <c r="AC393" s="67">
        <v>2660</v>
      </c>
      <c r="AF393" s="67">
        <f t="shared" si="92"/>
        <v>0.67454479905427567</v>
      </c>
      <c r="AH393" s="70">
        <v>0.5</v>
      </c>
      <c r="AI393" s="70">
        <f t="shared" si="100"/>
        <v>461.05166096607337</v>
      </c>
      <c r="AK393" s="70" t="s">
        <v>806</v>
      </c>
      <c r="AP393" s="67">
        <f t="shared" si="95"/>
        <v>2.0203313024770887E-2</v>
      </c>
      <c r="AQ393" s="67">
        <f t="shared" si="96"/>
        <v>15393.514896229592</v>
      </c>
      <c r="AS393" s="67">
        <f t="shared" si="97"/>
        <v>8.9765029784500642E-4</v>
      </c>
      <c r="AU393" s="67">
        <f t="shared" si="98"/>
        <v>4457</v>
      </c>
      <c r="AV393" s="67">
        <f t="shared" si="99"/>
        <v>1</v>
      </c>
      <c r="AW393" s="67" t="s">
        <v>1350</v>
      </c>
    </row>
    <row r="394" spans="1:49" ht="30" customHeight="1" x14ac:dyDescent="0.25">
      <c r="A394" s="77" t="s">
        <v>147</v>
      </c>
      <c r="B394" s="67" t="s">
        <v>207</v>
      </c>
      <c r="C394" s="77" t="s">
        <v>408</v>
      </c>
      <c r="D394" s="67">
        <v>21</v>
      </c>
      <c r="E394" s="67" t="s">
        <v>605</v>
      </c>
      <c r="F394" s="76" t="s">
        <v>240</v>
      </c>
      <c r="G394" s="68" t="s">
        <v>812</v>
      </c>
      <c r="H394" s="67">
        <v>1</v>
      </c>
      <c r="I394" s="76" t="s">
        <v>240</v>
      </c>
      <c r="J394" s="67">
        <v>2</v>
      </c>
      <c r="K394" s="68" t="s">
        <v>814</v>
      </c>
      <c r="L394" s="67" t="s">
        <v>638</v>
      </c>
      <c r="M394" s="68" t="s">
        <v>794</v>
      </c>
      <c r="N394" s="67" t="s">
        <v>240</v>
      </c>
      <c r="O394" s="67" t="s">
        <v>240</v>
      </c>
      <c r="P394" s="67" t="s">
        <v>240</v>
      </c>
      <c r="Q394" s="67" t="s">
        <v>240</v>
      </c>
      <c r="R394" s="67" t="s">
        <v>675</v>
      </c>
      <c r="S394" s="67">
        <f t="shared" si="94"/>
        <v>8677</v>
      </c>
      <c r="T394" s="67">
        <v>4309</v>
      </c>
      <c r="U394" s="67">
        <v>4368</v>
      </c>
      <c r="V394" s="67">
        <v>-10</v>
      </c>
      <c r="AB394" s="67">
        <v>2117</v>
      </c>
      <c r="AC394" s="67">
        <v>2127</v>
      </c>
      <c r="AF394" s="67">
        <f t="shared" si="92"/>
        <v>0.67451803193590854</v>
      </c>
      <c r="AH394" s="70">
        <v>0.5</v>
      </c>
      <c r="AI394" s="70">
        <f t="shared" ref="AI394:AI429" si="101">+ABS(V394/AF394)</f>
        <v>14.825400547557463</v>
      </c>
      <c r="AK394" s="70" t="s">
        <v>806</v>
      </c>
      <c r="AP394" s="67">
        <f t="shared" si="95"/>
        <v>-1.4482675535628743E-2</v>
      </c>
      <c r="AQ394" s="67">
        <f t="shared" si="96"/>
        <v>690.48015164042442</v>
      </c>
      <c r="AS394" s="67">
        <f t="shared" si="97"/>
        <v>4.6116481280892625E-4</v>
      </c>
      <c r="AU394" s="67">
        <f t="shared" si="98"/>
        <v>8675</v>
      </c>
      <c r="AV394" s="67">
        <f t="shared" si="99"/>
        <v>1</v>
      </c>
      <c r="AW394" s="67" t="s">
        <v>1350</v>
      </c>
    </row>
    <row r="395" spans="1:49" ht="30" customHeight="1" x14ac:dyDescent="0.25">
      <c r="A395" s="77" t="s">
        <v>147</v>
      </c>
      <c r="B395" s="67" t="s">
        <v>207</v>
      </c>
      <c r="C395" s="77" t="s">
        <v>408</v>
      </c>
      <c r="D395" s="67">
        <v>22</v>
      </c>
      <c r="E395" s="67" t="s">
        <v>605</v>
      </c>
      <c r="F395" s="76" t="s">
        <v>240</v>
      </c>
      <c r="G395" s="68" t="s">
        <v>803</v>
      </c>
      <c r="H395" s="67">
        <v>1</v>
      </c>
      <c r="I395" s="76" t="s">
        <v>240</v>
      </c>
      <c r="J395" s="67">
        <v>1</v>
      </c>
      <c r="K395" s="68" t="s">
        <v>815</v>
      </c>
      <c r="L395" s="76" t="s">
        <v>240</v>
      </c>
      <c r="M395" s="68" t="s">
        <v>570</v>
      </c>
      <c r="N395" s="67" t="s">
        <v>240</v>
      </c>
      <c r="O395" s="67" t="s">
        <v>240</v>
      </c>
      <c r="P395" s="67" t="s">
        <v>240</v>
      </c>
      <c r="Q395" s="67" t="s">
        <v>240</v>
      </c>
      <c r="R395" s="67" t="s">
        <v>680</v>
      </c>
      <c r="S395" s="67">
        <v>2199</v>
      </c>
      <c r="T395" s="78">
        <f t="shared" ref="T395:T429" si="102">S395-U395</f>
        <v>1113</v>
      </c>
      <c r="U395" s="78">
        <v>1086</v>
      </c>
      <c r="V395" s="78">
        <v>-0.2</v>
      </c>
      <c r="AB395" s="67">
        <v>36.5</v>
      </c>
      <c r="AC395" s="67">
        <v>36.6</v>
      </c>
      <c r="AF395" s="67">
        <f t="shared" si="92"/>
        <v>0.67460143481450341</v>
      </c>
      <c r="AH395" s="70">
        <v>0.5</v>
      </c>
      <c r="AI395" s="70">
        <f t="shared" si="101"/>
        <v>0.29647135282923676</v>
      </c>
      <c r="AK395" s="70" t="s">
        <v>806</v>
      </c>
    </row>
    <row r="396" spans="1:49" ht="30" customHeight="1" x14ac:dyDescent="0.25">
      <c r="A396" s="77" t="s">
        <v>147</v>
      </c>
      <c r="B396" s="67" t="s">
        <v>207</v>
      </c>
      <c r="C396" s="77" t="s">
        <v>408</v>
      </c>
      <c r="D396" s="67">
        <v>23</v>
      </c>
      <c r="E396" s="67" t="s">
        <v>605</v>
      </c>
      <c r="F396" s="76" t="s">
        <v>240</v>
      </c>
      <c r="G396" s="68" t="s">
        <v>805</v>
      </c>
      <c r="H396" s="67">
        <v>1</v>
      </c>
      <c r="I396" s="76" t="s">
        <v>240</v>
      </c>
      <c r="J396" s="67">
        <v>1</v>
      </c>
      <c r="K396" s="68" t="s">
        <v>815</v>
      </c>
      <c r="L396" s="76" t="s">
        <v>240</v>
      </c>
      <c r="M396" s="68" t="s">
        <v>570</v>
      </c>
      <c r="N396" s="67" t="s">
        <v>240</v>
      </c>
      <c r="O396" s="67" t="s">
        <v>240</v>
      </c>
      <c r="P396" s="67" t="s">
        <v>240</v>
      </c>
      <c r="Q396" s="67" t="s">
        <v>240</v>
      </c>
      <c r="R396" s="67" t="s">
        <v>680</v>
      </c>
      <c r="S396" s="67">
        <v>1158</v>
      </c>
      <c r="T396" s="78">
        <f t="shared" si="102"/>
        <v>574</v>
      </c>
      <c r="U396" s="78">
        <v>584</v>
      </c>
      <c r="V396" s="67">
        <v>-1.2E-2</v>
      </c>
      <c r="AB396" s="67">
        <v>48.6</v>
      </c>
      <c r="AC396" s="67">
        <v>49.8</v>
      </c>
      <c r="AF396" s="67">
        <f t="shared" si="92"/>
        <v>0.67470203712098342</v>
      </c>
      <c r="AH396" s="70">
        <v>0.5</v>
      </c>
      <c r="AI396" s="70">
        <f t="shared" si="101"/>
        <v>1.778562882543696E-2</v>
      </c>
      <c r="AK396" s="70" t="s">
        <v>806</v>
      </c>
    </row>
    <row r="397" spans="1:49" ht="30" customHeight="1" x14ac:dyDescent="0.25">
      <c r="A397" s="77" t="s">
        <v>147</v>
      </c>
      <c r="B397" s="67" t="s">
        <v>207</v>
      </c>
      <c r="C397" s="77" t="s">
        <v>408</v>
      </c>
      <c r="D397" s="67">
        <v>24</v>
      </c>
      <c r="E397" s="67" t="s">
        <v>605</v>
      </c>
      <c r="F397" s="76" t="s">
        <v>240</v>
      </c>
      <c r="G397" s="68" t="s">
        <v>807</v>
      </c>
      <c r="H397" s="67">
        <v>1</v>
      </c>
      <c r="I397" s="76" t="s">
        <v>240</v>
      </c>
      <c r="J397" s="67">
        <v>1</v>
      </c>
      <c r="K397" s="68" t="s">
        <v>815</v>
      </c>
      <c r="L397" s="76" t="s">
        <v>240</v>
      </c>
      <c r="M397" s="68" t="s">
        <v>570</v>
      </c>
      <c r="N397" s="67" t="s">
        <v>240</v>
      </c>
      <c r="O397" s="67" t="s">
        <v>240</v>
      </c>
      <c r="P397" s="67" t="s">
        <v>240</v>
      </c>
      <c r="Q397" s="67" t="s">
        <v>240</v>
      </c>
      <c r="R397" s="67" t="s">
        <v>680</v>
      </c>
      <c r="S397" s="67">
        <v>1350</v>
      </c>
      <c r="T397" s="78">
        <f t="shared" si="102"/>
        <v>236</v>
      </c>
      <c r="U397" s="78">
        <v>1114</v>
      </c>
      <c r="V397" s="67">
        <v>8.1000000000000003E-2</v>
      </c>
      <c r="AB397" s="67">
        <v>34.6</v>
      </c>
      <c r="AC397" s="67">
        <v>26.5</v>
      </c>
      <c r="AF397" s="67">
        <f t="shared" si="92"/>
        <v>2.5794814610152543</v>
      </c>
      <c r="AH397" s="70">
        <v>0.01</v>
      </c>
      <c r="AI397" s="70">
        <f t="shared" si="101"/>
        <v>3.1401660071679417E-2</v>
      </c>
      <c r="AK397" s="70" t="s">
        <v>806</v>
      </c>
    </row>
    <row r="398" spans="1:49" ht="30" customHeight="1" x14ac:dyDescent="0.25">
      <c r="A398" s="77" t="s">
        <v>147</v>
      </c>
      <c r="B398" s="67" t="s">
        <v>207</v>
      </c>
      <c r="C398" s="77" t="s">
        <v>408</v>
      </c>
      <c r="D398" s="67">
        <v>25</v>
      </c>
      <c r="E398" s="67" t="s">
        <v>605</v>
      </c>
      <c r="F398" s="76" t="s">
        <v>240</v>
      </c>
      <c r="G398" s="68" t="s">
        <v>808</v>
      </c>
      <c r="H398" s="67">
        <v>1</v>
      </c>
      <c r="I398" s="76" t="s">
        <v>240</v>
      </c>
      <c r="J398" s="67">
        <v>1</v>
      </c>
      <c r="K398" s="68" t="s">
        <v>815</v>
      </c>
      <c r="L398" s="76" t="s">
        <v>240</v>
      </c>
      <c r="M398" s="68" t="s">
        <v>570</v>
      </c>
      <c r="N398" s="67" t="s">
        <v>240</v>
      </c>
      <c r="O398" s="67" t="s">
        <v>240</v>
      </c>
      <c r="P398" s="67" t="s">
        <v>240</v>
      </c>
      <c r="Q398" s="67" t="s">
        <v>240</v>
      </c>
      <c r="R398" s="67" t="s">
        <v>680</v>
      </c>
      <c r="S398" s="67">
        <v>728</v>
      </c>
      <c r="T398" s="78">
        <f t="shared" si="102"/>
        <v>371</v>
      </c>
      <c r="U398" s="78">
        <v>357</v>
      </c>
      <c r="V398" s="67">
        <v>7.4999999999999997E-2</v>
      </c>
      <c r="AB398" s="67">
        <v>48.6</v>
      </c>
      <c r="AC398" s="67">
        <v>41.1</v>
      </c>
      <c r="AF398" s="67">
        <f t="shared" si="92"/>
        <v>1.9632369374639056</v>
      </c>
      <c r="AH398" s="70">
        <v>0.05</v>
      </c>
      <c r="AI398" s="70">
        <f t="shared" si="101"/>
        <v>3.8202215213454786E-2</v>
      </c>
      <c r="AK398" s="70" t="s">
        <v>806</v>
      </c>
    </row>
    <row r="399" spans="1:49" ht="30" customHeight="1" x14ac:dyDescent="0.25">
      <c r="A399" s="77" t="s">
        <v>147</v>
      </c>
      <c r="B399" s="67" t="s">
        <v>207</v>
      </c>
      <c r="C399" s="77" t="s">
        <v>408</v>
      </c>
      <c r="D399" s="67">
        <v>26</v>
      </c>
      <c r="E399" s="67" t="s">
        <v>605</v>
      </c>
      <c r="F399" s="76" t="s">
        <v>240</v>
      </c>
      <c r="G399" s="68" t="s">
        <v>810</v>
      </c>
      <c r="H399" s="67">
        <v>1</v>
      </c>
      <c r="I399" s="76" t="s">
        <v>240</v>
      </c>
      <c r="J399" s="67">
        <v>1</v>
      </c>
      <c r="K399" s="68" t="s">
        <v>815</v>
      </c>
      <c r="L399" s="76" t="s">
        <v>240</v>
      </c>
      <c r="M399" s="68" t="s">
        <v>570</v>
      </c>
      <c r="N399" s="67" t="s">
        <v>240</v>
      </c>
      <c r="O399" s="67" t="s">
        <v>240</v>
      </c>
      <c r="P399" s="67" t="s">
        <v>240</v>
      </c>
      <c r="Q399" s="67" t="s">
        <v>240</v>
      </c>
      <c r="R399" s="67" t="s">
        <v>680</v>
      </c>
      <c r="S399" s="67">
        <v>723</v>
      </c>
      <c r="T399" s="78">
        <f t="shared" si="102"/>
        <v>366</v>
      </c>
      <c r="U399" s="78">
        <v>357</v>
      </c>
      <c r="V399" s="67">
        <v>2.8000000000000001E-2</v>
      </c>
      <c r="AB399" s="67">
        <v>43.9</v>
      </c>
      <c r="AC399" s="67">
        <v>41.1</v>
      </c>
      <c r="AF399" s="67">
        <f t="shared" si="92"/>
        <v>0.67483017344935958</v>
      </c>
      <c r="AH399" s="70">
        <v>0.5</v>
      </c>
      <c r="AI399" s="70">
        <f t="shared" si="101"/>
        <v>4.1491920636683222E-2</v>
      </c>
      <c r="AK399" s="70" t="s">
        <v>806</v>
      </c>
    </row>
    <row r="400" spans="1:49" ht="30" customHeight="1" x14ac:dyDescent="0.25">
      <c r="A400" s="77" t="s">
        <v>147</v>
      </c>
      <c r="B400" s="67" t="s">
        <v>207</v>
      </c>
      <c r="C400" s="77" t="s">
        <v>408</v>
      </c>
      <c r="D400" s="67">
        <v>27</v>
      </c>
      <c r="E400" s="67" t="s">
        <v>605</v>
      </c>
      <c r="F400" s="76" t="s">
        <v>240</v>
      </c>
      <c r="G400" s="68" t="s">
        <v>811</v>
      </c>
      <c r="H400" s="67">
        <v>1</v>
      </c>
      <c r="I400" s="76" t="s">
        <v>240</v>
      </c>
      <c r="J400" s="67">
        <v>1</v>
      </c>
      <c r="K400" s="68" t="s">
        <v>815</v>
      </c>
      <c r="L400" s="76" t="s">
        <v>240</v>
      </c>
      <c r="M400" s="68" t="s">
        <v>570</v>
      </c>
      <c r="N400" s="67" t="s">
        <v>240</v>
      </c>
      <c r="O400" s="67" t="s">
        <v>240</v>
      </c>
      <c r="P400" s="67" t="s">
        <v>240</v>
      </c>
      <c r="Q400" s="67" t="s">
        <v>240</v>
      </c>
      <c r="R400" s="67" t="s">
        <v>680</v>
      </c>
      <c r="S400" s="67">
        <v>426</v>
      </c>
      <c r="T400" s="78">
        <f t="shared" si="102"/>
        <v>210</v>
      </c>
      <c r="U400" s="78">
        <v>216</v>
      </c>
      <c r="V400" s="67">
        <v>8.1000000000000003E-2</v>
      </c>
      <c r="AB400" s="67">
        <v>41.7</v>
      </c>
      <c r="AC400" s="67">
        <v>33.6</v>
      </c>
      <c r="AF400" s="67">
        <f t="shared" si="92"/>
        <v>1.648455334867817</v>
      </c>
      <c r="AH400" s="70">
        <v>0.1</v>
      </c>
      <c r="AI400" s="70">
        <f t="shared" si="101"/>
        <v>4.9136909133479838E-2</v>
      </c>
      <c r="AK400" s="70" t="s">
        <v>806</v>
      </c>
    </row>
    <row r="401" spans="1:49" ht="30" customHeight="1" x14ac:dyDescent="0.25">
      <c r="A401" s="77" t="s">
        <v>147</v>
      </c>
      <c r="B401" s="67" t="s">
        <v>207</v>
      </c>
      <c r="C401" s="77" t="s">
        <v>408</v>
      </c>
      <c r="D401" s="67">
        <v>28</v>
      </c>
      <c r="E401" s="67" t="s">
        <v>605</v>
      </c>
      <c r="F401" s="76" t="s">
        <v>240</v>
      </c>
      <c r="G401" s="68" t="s">
        <v>812</v>
      </c>
      <c r="H401" s="67">
        <v>1</v>
      </c>
      <c r="I401" s="76" t="s">
        <v>240</v>
      </c>
      <c r="J401" s="67">
        <v>1</v>
      </c>
      <c r="K401" s="68" t="s">
        <v>815</v>
      </c>
      <c r="L401" s="76" t="s">
        <v>240</v>
      </c>
      <c r="M401" s="68" t="s">
        <v>570</v>
      </c>
      <c r="N401" s="67" t="s">
        <v>240</v>
      </c>
      <c r="O401" s="67" t="s">
        <v>240</v>
      </c>
      <c r="P401" s="67" t="s">
        <v>240</v>
      </c>
      <c r="Q401" s="67" t="s">
        <v>240</v>
      </c>
      <c r="R401" s="67" t="s">
        <v>680</v>
      </c>
      <c r="S401" s="67">
        <v>511</v>
      </c>
      <c r="T401" s="78">
        <f t="shared" si="102"/>
        <v>259</v>
      </c>
      <c r="U401" s="78">
        <v>252</v>
      </c>
      <c r="V401" s="67">
        <v>2.1000000000000001E-2</v>
      </c>
      <c r="AB401" s="67">
        <v>47.6</v>
      </c>
      <c r="AC401" s="67">
        <v>45.5</v>
      </c>
      <c r="AF401" s="67">
        <f t="shared" si="92"/>
        <v>0.67497205093213319</v>
      </c>
      <c r="AH401" s="70">
        <v>0.5</v>
      </c>
      <c r="AI401" s="70">
        <f t="shared" si="101"/>
        <v>3.1112399351942203E-2</v>
      </c>
      <c r="AK401" s="70" t="s">
        <v>806</v>
      </c>
    </row>
    <row r="402" spans="1:49" ht="30" customHeight="1" x14ac:dyDescent="0.25">
      <c r="A402" s="77" t="s">
        <v>147</v>
      </c>
      <c r="B402" s="67" t="s">
        <v>207</v>
      </c>
      <c r="C402" s="77" t="s">
        <v>408</v>
      </c>
      <c r="D402" s="67">
        <v>29</v>
      </c>
      <c r="E402" s="67" t="s">
        <v>605</v>
      </c>
      <c r="F402" s="76" t="s">
        <v>240</v>
      </c>
      <c r="G402" s="68" t="s">
        <v>803</v>
      </c>
      <c r="H402" s="67">
        <v>1</v>
      </c>
      <c r="I402" s="76" t="s">
        <v>240</v>
      </c>
      <c r="J402" s="67">
        <v>6</v>
      </c>
      <c r="K402" s="68" t="s">
        <v>816</v>
      </c>
      <c r="L402" s="76" t="s">
        <v>240</v>
      </c>
      <c r="M402" s="68" t="s">
        <v>570</v>
      </c>
      <c r="N402" s="67" t="s">
        <v>240</v>
      </c>
      <c r="O402" s="67" t="s">
        <v>240</v>
      </c>
      <c r="P402" s="67" t="s">
        <v>240</v>
      </c>
      <c r="Q402" s="67" t="s">
        <v>240</v>
      </c>
      <c r="R402" s="67" t="s">
        <v>681</v>
      </c>
      <c r="S402" s="67">
        <v>2199</v>
      </c>
      <c r="T402" s="78">
        <f t="shared" si="102"/>
        <v>1113</v>
      </c>
      <c r="U402" s="78">
        <v>1086</v>
      </c>
      <c r="V402" s="67">
        <v>17.14</v>
      </c>
      <c r="AB402" s="67">
        <v>224.78</v>
      </c>
      <c r="AC402" s="67">
        <v>207.64</v>
      </c>
      <c r="AF402" s="67">
        <f t="shared" si="92"/>
        <v>0.67460143481450341</v>
      </c>
      <c r="AH402" s="70">
        <v>0.5</v>
      </c>
      <c r="AI402" s="70">
        <f t="shared" si="101"/>
        <v>25.407594937465589</v>
      </c>
      <c r="AK402" s="70" t="s">
        <v>806</v>
      </c>
      <c r="AP402" s="67">
        <f t="shared" ref="AP402:AP449" si="103">+V402/AQ402</f>
        <v>2.8773810590434372E-2</v>
      </c>
      <c r="AQ402" s="67">
        <f t="shared" ref="AQ402:AQ449" si="104">+AI402*SQRT(T402*U402/S402)</f>
        <v>595.68057369843325</v>
      </c>
      <c r="AS402" s="67">
        <f t="shared" ref="AS402:AS449" si="105">+AP402^2/(AU402-2)*(AU402/(V402/AI402)^2+AU402*AV402^2-AU402+2)</f>
        <v>1.8216949507415443E-3</v>
      </c>
      <c r="AU402" s="67">
        <f t="shared" ref="AU402:AU449" si="106">+S402-2</f>
        <v>2197</v>
      </c>
      <c r="AV402" s="67">
        <f t="shared" ref="AV402:AV449" si="107">IFERROR(1/(SQRT(AU402/2)*_xlfn.GAMMA(AU402/2-0.5)/_xlfn.GAMMA(AU402/2)),1)</f>
        <v>1</v>
      </c>
      <c r="AW402" s="67" t="s">
        <v>1350</v>
      </c>
    </row>
    <row r="403" spans="1:49" ht="30" customHeight="1" x14ac:dyDescent="0.25">
      <c r="A403" s="77" t="s">
        <v>147</v>
      </c>
      <c r="B403" s="67" t="s">
        <v>207</v>
      </c>
      <c r="C403" s="77" t="s">
        <v>408</v>
      </c>
      <c r="D403" s="67">
        <v>30</v>
      </c>
      <c r="E403" s="67" t="s">
        <v>605</v>
      </c>
      <c r="F403" s="76" t="s">
        <v>240</v>
      </c>
      <c r="G403" s="68" t="s">
        <v>805</v>
      </c>
      <c r="H403" s="67">
        <v>1</v>
      </c>
      <c r="I403" s="76" t="s">
        <v>240</v>
      </c>
      <c r="J403" s="67">
        <v>6</v>
      </c>
      <c r="K403" s="68" t="s">
        <v>816</v>
      </c>
      <c r="L403" s="76" t="s">
        <v>240</v>
      </c>
      <c r="M403" s="68" t="s">
        <v>570</v>
      </c>
      <c r="N403" s="67" t="s">
        <v>240</v>
      </c>
      <c r="O403" s="67" t="s">
        <v>240</v>
      </c>
      <c r="P403" s="67" t="s">
        <v>240</v>
      </c>
      <c r="Q403" s="67" t="s">
        <v>240</v>
      </c>
      <c r="R403" s="67" t="s">
        <v>681</v>
      </c>
      <c r="S403" s="67">
        <v>1158</v>
      </c>
      <c r="T403" s="78">
        <f t="shared" si="102"/>
        <v>574</v>
      </c>
      <c r="U403" s="78">
        <v>584</v>
      </c>
      <c r="V403" s="67">
        <v>-10.51</v>
      </c>
      <c r="AB403" s="67">
        <v>228.09</v>
      </c>
      <c r="AC403" s="67">
        <v>238.6</v>
      </c>
      <c r="AF403" s="67">
        <f t="shared" ref="AF403:AF429" si="108">_xlfn.T.INV.2T(AH403,S403-2)</f>
        <v>0.67470203712098342</v>
      </c>
      <c r="AH403" s="70">
        <v>0.5</v>
      </c>
      <c r="AI403" s="70">
        <f t="shared" si="101"/>
        <v>15.57724657961187</v>
      </c>
      <c r="AK403" s="70" t="s">
        <v>806</v>
      </c>
      <c r="AP403" s="67">
        <f t="shared" si="103"/>
        <v>-3.965554577096176E-2</v>
      </c>
      <c r="AQ403" s="67">
        <f t="shared" si="104"/>
        <v>265.0322873048458</v>
      </c>
      <c r="AS403" s="67">
        <f t="shared" si="105"/>
        <v>3.4632014399005821E-3</v>
      </c>
      <c r="AU403" s="67">
        <f t="shared" si="106"/>
        <v>1156</v>
      </c>
      <c r="AV403" s="67">
        <f t="shared" si="107"/>
        <v>1</v>
      </c>
      <c r="AW403" s="67" t="s">
        <v>1350</v>
      </c>
    </row>
    <row r="404" spans="1:49" ht="30" customHeight="1" x14ac:dyDescent="0.25">
      <c r="A404" s="77" t="s">
        <v>147</v>
      </c>
      <c r="B404" s="67" t="s">
        <v>207</v>
      </c>
      <c r="C404" s="77" t="s">
        <v>408</v>
      </c>
      <c r="D404" s="67">
        <v>31</v>
      </c>
      <c r="E404" s="67" t="s">
        <v>605</v>
      </c>
      <c r="F404" s="76" t="s">
        <v>240</v>
      </c>
      <c r="G404" s="68" t="s">
        <v>807</v>
      </c>
      <c r="H404" s="67">
        <v>1</v>
      </c>
      <c r="I404" s="76" t="s">
        <v>240</v>
      </c>
      <c r="J404" s="67">
        <v>6</v>
      </c>
      <c r="K404" s="68" t="s">
        <v>816</v>
      </c>
      <c r="L404" s="76" t="s">
        <v>240</v>
      </c>
      <c r="M404" s="68" t="s">
        <v>570</v>
      </c>
      <c r="N404" s="67" t="s">
        <v>240</v>
      </c>
      <c r="O404" s="67" t="s">
        <v>240</v>
      </c>
      <c r="P404" s="67" t="s">
        <v>240</v>
      </c>
      <c r="Q404" s="67" t="s">
        <v>240</v>
      </c>
      <c r="R404" s="67" t="s">
        <v>681</v>
      </c>
      <c r="S404" s="67">
        <v>1350</v>
      </c>
      <c r="T404" s="78">
        <f t="shared" si="102"/>
        <v>236</v>
      </c>
      <c r="U404" s="78">
        <v>1114</v>
      </c>
      <c r="V404" s="67">
        <v>-14.23</v>
      </c>
      <c r="AB404" s="67">
        <v>183.37</v>
      </c>
      <c r="AC404" s="67">
        <v>197.6</v>
      </c>
      <c r="AF404" s="67">
        <f t="shared" si="108"/>
        <v>0.67467179314280323</v>
      </c>
      <c r="AH404" s="70">
        <v>0.5</v>
      </c>
      <c r="AI404" s="70">
        <f t="shared" si="101"/>
        <v>21.091736966967037</v>
      </c>
      <c r="AK404" s="70" t="s">
        <v>806</v>
      </c>
      <c r="AP404" s="67">
        <f t="shared" si="103"/>
        <v>-4.8346032624767325E-2</v>
      </c>
      <c r="AQ404" s="67">
        <f t="shared" si="104"/>
        <v>294.3364579767001</v>
      </c>
      <c r="AS404" s="67">
        <f t="shared" si="105"/>
        <v>5.1460571652933596E-3</v>
      </c>
      <c r="AU404" s="67">
        <f t="shared" si="106"/>
        <v>1348</v>
      </c>
      <c r="AV404" s="67">
        <f t="shared" si="107"/>
        <v>1</v>
      </c>
      <c r="AW404" s="67" t="s">
        <v>1350</v>
      </c>
    </row>
    <row r="405" spans="1:49" ht="30" customHeight="1" x14ac:dyDescent="0.25">
      <c r="A405" s="77" t="s">
        <v>147</v>
      </c>
      <c r="B405" s="67" t="s">
        <v>207</v>
      </c>
      <c r="C405" s="77" t="s">
        <v>408</v>
      </c>
      <c r="D405" s="67">
        <v>32</v>
      </c>
      <c r="E405" s="67" t="s">
        <v>605</v>
      </c>
      <c r="F405" s="76" t="s">
        <v>240</v>
      </c>
      <c r="G405" s="68" t="s">
        <v>808</v>
      </c>
      <c r="H405" s="67">
        <v>1</v>
      </c>
      <c r="I405" s="76" t="s">
        <v>240</v>
      </c>
      <c r="J405" s="67">
        <v>6</v>
      </c>
      <c r="K405" s="68" t="s">
        <v>816</v>
      </c>
      <c r="L405" s="76" t="s">
        <v>240</v>
      </c>
      <c r="M405" s="68" t="s">
        <v>570</v>
      </c>
      <c r="N405" s="67" t="s">
        <v>240</v>
      </c>
      <c r="O405" s="67" t="s">
        <v>240</v>
      </c>
      <c r="P405" s="67" t="s">
        <v>240</v>
      </c>
      <c r="Q405" s="67" t="s">
        <v>240</v>
      </c>
      <c r="R405" s="67" t="s">
        <v>681</v>
      </c>
      <c r="S405" s="67">
        <v>728</v>
      </c>
      <c r="T405" s="78">
        <f t="shared" si="102"/>
        <v>371</v>
      </c>
      <c r="U405" s="78">
        <v>357</v>
      </c>
      <c r="V405" s="67">
        <v>7.24</v>
      </c>
      <c r="AB405" s="67">
        <v>237.37</v>
      </c>
      <c r="AC405" s="67">
        <v>230.13</v>
      </c>
      <c r="AF405" s="67">
        <f t="shared" si="108"/>
        <v>0.67482782789101092</v>
      </c>
      <c r="AH405" s="70">
        <v>0.5</v>
      </c>
      <c r="AI405" s="70">
        <f t="shared" si="101"/>
        <v>10.728662483624353</v>
      </c>
      <c r="AK405" s="70" t="s">
        <v>806</v>
      </c>
      <c r="AP405" s="67">
        <f t="shared" si="103"/>
        <v>5.003081874516261E-2</v>
      </c>
      <c r="AQ405" s="67">
        <f t="shared" si="104"/>
        <v>144.71080389225136</v>
      </c>
      <c r="AS405" s="67">
        <f t="shared" si="105"/>
        <v>5.5186366386611244E-3</v>
      </c>
      <c r="AU405" s="67">
        <f t="shared" si="106"/>
        <v>726</v>
      </c>
      <c r="AV405" s="67">
        <f t="shared" si="107"/>
        <v>1</v>
      </c>
      <c r="AW405" s="67" t="s">
        <v>1350</v>
      </c>
    </row>
    <row r="406" spans="1:49" ht="30" customHeight="1" x14ac:dyDescent="0.25">
      <c r="A406" s="77" t="s">
        <v>147</v>
      </c>
      <c r="B406" s="67" t="s">
        <v>207</v>
      </c>
      <c r="C406" s="77" t="s">
        <v>408</v>
      </c>
      <c r="D406" s="67">
        <v>33</v>
      </c>
      <c r="E406" s="67" t="s">
        <v>605</v>
      </c>
      <c r="F406" s="76" t="s">
        <v>240</v>
      </c>
      <c r="G406" s="68" t="s">
        <v>810</v>
      </c>
      <c r="H406" s="67">
        <v>1</v>
      </c>
      <c r="I406" s="76" t="s">
        <v>240</v>
      </c>
      <c r="J406" s="67">
        <v>6</v>
      </c>
      <c r="K406" s="68" t="s">
        <v>816</v>
      </c>
      <c r="L406" s="76" t="s">
        <v>240</v>
      </c>
      <c r="M406" s="68" t="s">
        <v>570</v>
      </c>
      <c r="N406" s="67" t="s">
        <v>240</v>
      </c>
      <c r="O406" s="67" t="s">
        <v>240</v>
      </c>
      <c r="P406" s="67" t="s">
        <v>240</v>
      </c>
      <c r="Q406" s="67" t="s">
        <v>240</v>
      </c>
      <c r="R406" s="67" t="s">
        <v>681</v>
      </c>
      <c r="S406" s="67">
        <v>723</v>
      </c>
      <c r="T406" s="78">
        <f t="shared" si="102"/>
        <v>366</v>
      </c>
      <c r="U406" s="78">
        <v>357</v>
      </c>
      <c r="V406" s="67">
        <v>1.44</v>
      </c>
      <c r="AB406" s="67">
        <v>231.57</v>
      </c>
      <c r="AC406" s="67">
        <v>230.13</v>
      </c>
      <c r="AF406" s="67">
        <f t="shared" si="108"/>
        <v>0.67483017344935958</v>
      </c>
      <c r="AH406" s="70">
        <v>0.5</v>
      </c>
      <c r="AI406" s="70">
        <f t="shared" si="101"/>
        <v>2.1338702041722799</v>
      </c>
      <c r="AK406" s="70" t="s">
        <v>806</v>
      </c>
      <c r="AP406" s="67">
        <f t="shared" si="103"/>
        <v>5.0198297803012895E-2</v>
      </c>
      <c r="AQ406" s="67">
        <f t="shared" si="104"/>
        <v>28.686231665679536</v>
      </c>
      <c r="AS406" s="67">
        <f t="shared" si="105"/>
        <v>5.5557620814091126E-3</v>
      </c>
      <c r="AU406" s="67">
        <f t="shared" si="106"/>
        <v>721</v>
      </c>
      <c r="AV406" s="67">
        <f t="shared" si="107"/>
        <v>1</v>
      </c>
      <c r="AW406" s="67" t="s">
        <v>1350</v>
      </c>
    </row>
    <row r="407" spans="1:49" ht="30" customHeight="1" x14ac:dyDescent="0.25">
      <c r="A407" s="77" t="s">
        <v>147</v>
      </c>
      <c r="B407" s="67" t="s">
        <v>207</v>
      </c>
      <c r="C407" s="77" t="s">
        <v>408</v>
      </c>
      <c r="D407" s="67">
        <v>34</v>
      </c>
      <c r="E407" s="67" t="s">
        <v>605</v>
      </c>
      <c r="F407" s="76" t="s">
        <v>240</v>
      </c>
      <c r="G407" s="68" t="s">
        <v>811</v>
      </c>
      <c r="H407" s="67">
        <v>1</v>
      </c>
      <c r="I407" s="76" t="s">
        <v>240</v>
      </c>
      <c r="J407" s="67">
        <v>6</v>
      </c>
      <c r="K407" s="68" t="s">
        <v>816</v>
      </c>
      <c r="L407" s="76" t="s">
        <v>240</v>
      </c>
      <c r="M407" s="68" t="s">
        <v>570</v>
      </c>
      <c r="N407" s="67" t="s">
        <v>240</v>
      </c>
      <c r="O407" s="67" t="s">
        <v>240</v>
      </c>
      <c r="P407" s="67" t="s">
        <v>240</v>
      </c>
      <c r="Q407" s="67" t="s">
        <v>240</v>
      </c>
      <c r="R407" s="67" t="s">
        <v>681</v>
      </c>
      <c r="S407" s="67">
        <v>426</v>
      </c>
      <c r="T407" s="78">
        <f t="shared" si="102"/>
        <v>210</v>
      </c>
      <c r="U407" s="78">
        <v>216</v>
      </c>
      <c r="V407" s="67">
        <v>-30.41</v>
      </c>
      <c r="AB407" s="67">
        <v>206.94</v>
      </c>
      <c r="AC407" s="67">
        <v>237.35</v>
      </c>
      <c r="AF407" s="67">
        <f t="shared" si="108"/>
        <v>0.67506881239645067</v>
      </c>
      <c r="AH407" s="70">
        <v>0.5</v>
      </c>
      <c r="AI407" s="70">
        <f t="shared" si="101"/>
        <v>45.047259540914744</v>
      </c>
      <c r="AK407" s="70" t="s">
        <v>806</v>
      </c>
      <c r="AP407" s="67">
        <f t="shared" si="103"/>
        <v>-6.5420870863178771E-2</v>
      </c>
      <c r="AQ407" s="67">
        <f t="shared" si="104"/>
        <v>464.83636794746252</v>
      </c>
      <c r="AS407" s="67">
        <f t="shared" si="105"/>
        <v>9.4563278736956771E-3</v>
      </c>
      <c r="AU407" s="67">
        <f t="shared" si="106"/>
        <v>424</v>
      </c>
      <c r="AV407" s="67">
        <f t="shared" si="107"/>
        <v>1</v>
      </c>
      <c r="AW407" s="67" t="s">
        <v>1350</v>
      </c>
    </row>
    <row r="408" spans="1:49" ht="30" customHeight="1" x14ac:dyDescent="0.25">
      <c r="A408" s="77" t="s">
        <v>147</v>
      </c>
      <c r="B408" s="67" t="s">
        <v>207</v>
      </c>
      <c r="C408" s="77" t="s">
        <v>408</v>
      </c>
      <c r="D408" s="67">
        <v>35</v>
      </c>
      <c r="E408" s="67" t="s">
        <v>605</v>
      </c>
      <c r="F408" s="76" t="s">
        <v>240</v>
      </c>
      <c r="G408" s="68" t="s">
        <v>812</v>
      </c>
      <c r="H408" s="67">
        <v>1</v>
      </c>
      <c r="I408" s="76" t="s">
        <v>240</v>
      </c>
      <c r="J408" s="67">
        <v>6</v>
      </c>
      <c r="K408" s="68" t="s">
        <v>816</v>
      </c>
      <c r="L408" s="76" t="s">
        <v>240</v>
      </c>
      <c r="M408" s="68" t="s">
        <v>570</v>
      </c>
      <c r="N408" s="67" t="s">
        <v>240</v>
      </c>
      <c r="O408" s="67" t="s">
        <v>240</v>
      </c>
      <c r="P408" s="67" t="s">
        <v>240</v>
      </c>
      <c r="Q408" s="67" t="s">
        <v>240</v>
      </c>
      <c r="R408" s="67" t="s">
        <v>681</v>
      </c>
      <c r="S408" s="67">
        <v>511</v>
      </c>
      <c r="T408" s="78">
        <f t="shared" si="102"/>
        <v>259</v>
      </c>
      <c r="U408" s="78">
        <v>252</v>
      </c>
      <c r="V408" s="67">
        <v>-2.73</v>
      </c>
      <c r="AB408" s="67">
        <v>204.49</v>
      </c>
      <c r="AC408" s="67">
        <v>207.23</v>
      </c>
      <c r="AF408" s="67">
        <f t="shared" si="108"/>
        <v>0.67497205093213319</v>
      </c>
      <c r="AH408" s="70">
        <v>0.5</v>
      </c>
      <c r="AI408" s="70">
        <f t="shared" si="101"/>
        <v>4.044611915752486</v>
      </c>
      <c r="AK408" s="70" t="s">
        <v>806</v>
      </c>
      <c r="AP408" s="67">
        <f t="shared" si="103"/>
        <v>-5.9723615069355647E-2</v>
      </c>
      <c r="AQ408" s="67">
        <f t="shared" si="104"/>
        <v>45.710561841069307</v>
      </c>
      <c r="AS408" s="67">
        <f t="shared" si="105"/>
        <v>7.8742131271916007E-3</v>
      </c>
      <c r="AU408" s="67">
        <f t="shared" si="106"/>
        <v>509</v>
      </c>
      <c r="AV408" s="67">
        <f t="shared" si="107"/>
        <v>1</v>
      </c>
      <c r="AW408" s="67" t="s">
        <v>1350</v>
      </c>
    </row>
    <row r="409" spans="1:49" ht="30" customHeight="1" x14ac:dyDescent="0.25">
      <c r="A409" s="77" t="s">
        <v>147</v>
      </c>
      <c r="B409" s="67" t="s">
        <v>207</v>
      </c>
      <c r="C409" s="77" t="s">
        <v>408</v>
      </c>
      <c r="D409" s="67">
        <v>36</v>
      </c>
      <c r="E409" s="67" t="s">
        <v>605</v>
      </c>
      <c r="F409" s="76" t="s">
        <v>240</v>
      </c>
      <c r="G409" s="68" t="s">
        <v>803</v>
      </c>
      <c r="H409" s="67">
        <v>1</v>
      </c>
      <c r="I409" s="76" t="s">
        <v>240</v>
      </c>
      <c r="J409" s="67">
        <v>4</v>
      </c>
      <c r="K409" s="68" t="s">
        <v>817</v>
      </c>
      <c r="L409" s="76" t="s">
        <v>240</v>
      </c>
      <c r="M409" s="68" t="s">
        <v>570</v>
      </c>
      <c r="N409" s="67" t="s">
        <v>240</v>
      </c>
      <c r="O409" s="67" t="s">
        <v>240</v>
      </c>
      <c r="P409" s="67" t="s">
        <v>240</v>
      </c>
      <c r="Q409" s="67" t="s">
        <v>240</v>
      </c>
      <c r="R409" s="67" t="s">
        <v>682</v>
      </c>
      <c r="S409" s="67">
        <v>2199</v>
      </c>
      <c r="T409" s="78">
        <f t="shared" si="102"/>
        <v>1113</v>
      </c>
      <c r="U409" s="78">
        <v>1086</v>
      </c>
      <c r="V409" s="67">
        <v>0.2</v>
      </c>
      <c r="AB409" s="67">
        <v>77.599999999999994</v>
      </c>
      <c r="AC409" s="67">
        <v>77.5</v>
      </c>
      <c r="AF409" s="67">
        <f t="shared" si="108"/>
        <v>0.67460143481450341</v>
      </c>
      <c r="AH409" s="70">
        <v>0.5</v>
      </c>
      <c r="AI409" s="70">
        <f t="shared" si="101"/>
        <v>0.29647135282923676</v>
      </c>
      <c r="AK409" s="70" t="s">
        <v>806</v>
      </c>
      <c r="AP409" s="67">
        <f t="shared" si="103"/>
        <v>2.8773810590434368E-2</v>
      </c>
      <c r="AQ409" s="67">
        <f t="shared" si="104"/>
        <v>6.9507651540073896</v>
      </c>
      <c r="AS409" s="67">
        <f t="shared" si="105"/>
        <v>1.8216949507415441E-3</v>
      </c>
      <c r="AU409" s="67">
        <f t="shared" si="106"/>
        <v>2197</v>
      </c>
      <c r="AV409" s="67">
        <f t="shared" si="107"/>
        <v>1</v>
      </c>
      <c r="AW409" s="67" t="s">
        <v>1350</v>
      </c>
    </row>
    <row r="410" spans="1:49" ht="30" customHeight="1" x14ac:dyDescent="0.25">
      <c r="A410" s="77" t="s">
        <v>147</v>
      </c>
      <c r="B410" s="67" t="s">
        <v>207</v>
      </c>
      <c r="C410" s="77" t="s">
        <v>408</v>
      </c>
      <c r="D410" s="67">
        <v>37</v>
      </c>
      <c r="E410" s="67" t="s">
        <v>605</v>
      </c>
      <c r="F410" s="76" t="s">
        <v>240</v>
      </c>
      <c r="G410" s="68" t="s">
        <v>805</v>
      </c>
      <c r="H410" s="67">
        <v>1</v>
      </c>
      <c r="I410" s="76" t="s">
        <v>240</v>
      </c>
      <c r="J410" s="67">
        <v>4</v>
      </c>
      <c r="K410" s="68" t="s">
        <v>817</v>
      </c>
      <c r="L410" s="76" t="s">
        <v>240</v>
      </c>
      <c r="M410" s="68" t="s">
        <v>570</v>
      </c>
      <c r="N410" s="67" t="s">
        <v>240</v>
      </c>
      <c r="O410" s="67" t="s">
        <v>240</v>
      </c>
      <c r="P410" s="67" t="s">
        <v>240</v>
      </c>
      <c r="Q410" s="67" t="s">
        <v>240</v>
      </c>
      <c r="R410" s="67" t="s">
        <v>682</v>
      </c>
      <c r="S410" s="67">
        <v>1158</v>
      </c>
      <c r="T410" s="78">
        <f t="shared" si="102"/>
        <v>574</v>
      </c>
      <c r="U410" s="78">
        <v>584</v>
      </c>
      <c r="V410" s="67">
        <v>1.4</v>
      </c>
      <c r="AB410" s="67">
        <v>74.400000000000006</v>
      </c>
      <c r="AC410" s="67">
        <v>73.400000000000006</v>
      </c>
      <c r="AF410" s="67">
        <f t="shared" si="108"/>
        <v>0.67470203712098342</v>
      </c>
      <c r="AH410" s="70">
        <v>0.5</v>
      </c>
      <c r="AI410" s="70">
        <f t="shared" si="101"/>
        <v>2.0749900296343116</v>
      </c>
      <c r="AK410" s="70" t="s">
        <v>806</v>
      </c>
      <c r="AP410" s="67">
        <f t="shared" si="103"/>
        <v>3.9655545770961767E-2</v>
      </c>
      <c r="AQ410" s="67">
        <f t="shared" si="104"/>
        <v>35.304015435469459</v>
      </c>
      <c r="AS410" s="67">
        <f t="shared" si="105"/>
        <v>3.4632014399005816E-3</v>
      </c>
      <c r="AU410" s="67">
        <f t="shared" si="106"/>
        <v>1156</v>
      </c>
      <c r="AV410" s="67">
        <f t="shared" si="107"/>
        <v>1</v>
      </c>
      <c r="AW410" s="67" t="s">
        <v>1350</v>
      </c>
    </row>
    <row r="411" spans="1:49" ht="30" customHeight="1" x14ac:dyDescent="0.25">
      <c r="A411" s="77" t="s">
        <v>147</v>
      </c>
      <c r="B411" s="67" t="s">
        <v>207</v>
      </c>
      <c r="C411" s="77" t="s">
        <v>408</v>
      </c>
      <c r="D411" s="67">
        <v>38</v>
      </c>
      <c r="E411" s="67" t="s">
        <v>605</v>
      </c>
      <c r="F411" s="76" t="s">
        <v>240</v>
      </c>
      <c r="G411" s="68" t="s">
        <v>807</v>
      </c>
      <c r="H411" s="67">
        <v>1</v>
      </c>
      <c r="I411" s="76" t="s">
        <v>240</v>
      </c>
      <c r="J411" s="67">
        <v>4</v>
      </c>
      <c r="K411" s="68" t="s">
        <v>817</v>
      </c>
      <c r="L411" s="76" t="s">
        <v>240</v>
      </c>
      <c r="M411" s="68" t="s">
        <v>570</v>
      </c>
      <c r="N411" s="67" t="s">
        <v>240</v>
      </c>
      <c r="O411" s="67" t="s">
        <v>240</v>
      </c>
      <c r="P411" s="67" t="s">
        <v>240</v>
      </c>
      <c r="Q411" s="67" t="s">
        <v>240</v>
      </c>
      <c r="R411" s="67" t="s">
        <v>682</v>
      </c>
      <c r="S411" s="67">
        <v>1350</v>
      </c>
      <c r="T411" s="78">
        <f t="shared" si="102"/>
        <v>236</v>
      </c>
      <c r="U411" s="78">
        <v>1114</v>
      </c>
      <c r="V411" s="67">
        <v>5.9</v>
      </c>
      <c r="AB411" s="67">
        <v>61.5</v>
      </c>
      <c r="AC411" s="67">
        <v>58.1</v>
      </c>
      <c r="AF411" s="67">
        <f t="shared" si="108"/>
        <v>0.67467179314280323</v>
      </c>
      <c r="AH411" s="70">
        <v>0.5</v>
      </c>
      <c r="AI411" s="70">
        <f t="shared" si="101"/>
        <v>8.744992839431168</v>
      </c>
      <c r="AK411" s="70" t="s">
        <v>806</v>
      </c>
      <c r="AP411" s="67">
        <f t="shared" si="103"/>
        <v>4.8346032624767332E-2</v>
      </c>
      <c r="AQ411" s="67">
        <f t="shared" si="104"/>
        <v>122.03690105850531</v>
      </c>
      <c r="AS411" s="67">
        <f t="shared" si="105"/>
        <v>5.1460571652933614E-3</v>
      </c>
      <c r="AU411" s="67">
        <f t="shared" si="106"/>
        <v>1348</v>
      </c>
      <c r="AV411" s="67">
        <f t="shared" si="107"/>
        <v>1</v>
      </c>
      <c r="AW411" s="67" t="s">
        <v>1350</v>
      </c>
    </row>
    <row r="412" spans="1:49" ht="30" customHeight="1" x14ac:dyDescent="0.25">
      <c r="A412" s="77" t="s">
        <v>147</v>
      </c>
      <c r="B412" s="67" t="s">
        <v>207</v>
      </c>
      <c r="C412" s="77" t="s">
        <v>408</v>
      </c>
      <c r="D412" s="67">
        <v>39</v>
      </c>
      <c r="E412" s="67" t="s">
        <v>605</v>
      </c>
      <c r="F412" s="76" t="s">
        <v>240</v>
      </c>
      <c r="G412" s="68" t="s">
        <v>808</v>
      </c>
      <c r="H412" s="67">
        <v>1</v>
      </c>
      <c r="I412" s="76" t="s">
        <v>240</v>
      </c>
      <c r="J412" s="67">
        <v>4</v>
      </c>
      <c r="K412" s="68" t="s">
        <v>817</v>
      </c>
      <c r="L412" s="76" t="s">
        <v>240</v>
      </c>
      <c r="M412" s="68" t="s">
        <v>570</v>
      </c>
      <c r="N412" s="67" t="s">
        <v>240</v>
      </c>
      <c r="O412" s="67" t="s">
        <v>240</v>
      </c>
      <c r="P412" s="67" t="s">
        <v>240</v>
      </c>
      <c r="Q412" s="67" t="s">
        <v>240</v>
      </c>
      <c r="R412" s="67" t="s">
        <v>682</v>
      </c>
      <c r="S412" s="67">
        <v>728</v>
      </c>
      <c r="T412" s="78">
        <f t="shared" si="102"/>
        <v>371</v>
      </c>
      <c r="U412" s="78">
        <v>357</v>
      </c>
      <c r="V412" s="67">
        <v>0.7</v>
      </c>
      <c r="AB412" s="67">
        <v>78</v>
      </c>
      <c r="AC412" s="67">
        <v>77.5</v>
      </c>
      <c r="AF412" s="67">
        <f t="shared" si="108"/>
        <v>0.67482782789101092</v>
      </c>
      <c r="AH412" s="70">
        <v>0.5</v>
      </c>
      <c r="AI412" s="70">
        <f t="shared" si="101"/>
        <v>1.0373016213448958</v>
      </c>
      <c r="AK412" s="70" t="s">
        <v>806</v>
      </c>
      <c r="AP412" s="67">
        <f t="shared" si="103"/>
        <v>5.0030818745162617E-2</v>
      </c>
      <c r="AQ412" s="67">
        <f t="shared" si="104"/>
        <v>13.991376066930378</v>
      </c>
      <c r="AS412" s="67">
        <f t="shared" si="105"/>
        <v>5.518636638661127E-3</v>
      </c>
      <c r="AU412" s="67">
        <f t="shared" si="106"/>
        <v>726</v>
      </c>
      <c r="AV412" s="67">
        <f t="shared" si="107"/>
        <v>1</v>
      </c>
      <c r="AW412" s="67" t="s">
        <v>1350</v>
      </c>
    </row>
    <row r="413" spans="1:49" ht="30" customHeight="1" x14ac:dyDescent="0.25">
      <c r="A413" s="77" t="s">
        <v>147</v>
      </c>
      <c r="B413" s="67" t="s">
        <v>207</v>
      </c>
      <c r="C413" s="77" t="s">
        <v>408</v>
      </c>
      <c r="D413" s="67">
        <v>40</v>
      </c>
      <c r="E413" s="67" t="s">
        <v>605</v>
      </c>
      <c r="F413" s="76" t="s">
        <v>240</v>
      </c>
      <c r="G413" s="68" t="s">
        <v>810</v>
      </c>
      <c r="H413" s="67">
        <v>1</v>
      </c>
      <c r="I413" s="76" t="s">
        <v>240</v>
      </c>
      <c r="J413" s="67">
        <v>4</v>
      </c>
      <c r="K413" s="68" t="s">
        <v>817</v>
      </c>
      <c r="L413" s="76" t="s">
        <v>240</v>
      </c>
      <c r="M413" s="68" t="s">
        <v>570</v>
      </c>
      <c r="N413" s="67" t="s">
        <v>240</v>
      </c>
      <c r="O413" s="67" t="s">
        <v>240</v>
      </c>
      <c r="P413" s="67" t="s">
        <v>240</v>
      </c>
      <c r="Q413" s="67" t="s">
        <v>240</v>
      </c>
      <c r="R413" s="67" t="s">
        <v>682</v>
      </c>
      <c r="S413" s="67">
        <v>723</v>
      </c>
      <c r="T413" s="78">
        <f t="shared" si="102"/>
        <v>366</v>
      </c>
      <c r="U413" s="78">
        <v>357</v>
      </c>
      <c r="V413" s="67">
        <v>-4.2</v>
      </c>
      <c r="AB413" s="67">
        <v>74.3</v>
      </c>
      <c r="AC413" s="67">
        <v>77.5</v>
      </c>
      <c r="AF413" s="67">
        <f t="shared" si="108"/>
        <v>0.67483017344935958</v>
      </c>
      <c r="AH413" s="70">
        <v>0.5</v>
      </c>
      <c r="AI413" s="70">
        <f t="shared" si="101"/>
        <v>6.2237880955024831</v>
      </c>
      <c r="AK413" s="70" t="s">
        <v>806</v>
      </c>
      <c r="AP413" s="67">
        <f t="shared" si="103"/>
        <v>-5.0198297803012902E-2</v>
      </c>
      <c r="AQ413" s="67">
        <f t="shared" si="104"/>
        <v>83.66817569156531</v>
      </c>
      <c r="AS413" s="67">
        <f t="shared" si="105"/>
        <v>5.5557620814091135E-3</v>
      </c>
      <c r="AU413" s="67">
        <f t="shared" si="106"/>
        <v>721</v>
      </c>
      <c r="AV413" s="67">
        <f t="shared" si="107"/>
        <v>1</v>
      </c>
      <c r="AW413" s="67" t="s">
        <v>1350</v>
      </c>
    </row>
    <row r="414" spans="1:49" ht="30" customHeight="1" x14ac:dyDescent="0.25">
      <c r="A414" s="77" t="s">
        <v>147</v>
      </c>
      <c r="B414" s="67" t="s">
        <v>207</v>
      </c>
      <c r="C414" s="77" t="s">
        <v>408</v>
      </c>
      <c r="D414" s="67">
        <v>41</v>
      </c>
      <c r="E414" s="67" t="s">
        <v>605</v>
      </c>
      <c r="F414" s="76" t="s">
        <v>240</v>
      </c>
      <c r="G414" s="68" t="s">
        <v>811</v>
      </c>
      <c r="H414" s="67">
        <v>1</v>
      </c>
      <c r="I414" s="76" t="s">
        <v>240</v>
      </c>
      <c r="J414" s="67">
        <v>4</v>
      </c>
      <c r="K414" s="68" t="s">
        <v>817</v>
      </c>
      <c r="L414" s="76" t="s">
        <v>240</v>
      </c>
      <c r="M414" s="68" t="s">
        <v>570</v>
      </c>
      <c r="N414" s="67" t="s">
        <v>240</v>
      </c>
      <c r="O414" s="67" t="s">
        <v>240</v>
      </c>
      <c r="P414" s="67" t="s">
        <v>240</v>
      </c>
      <c r="Q414" s="67" t="s">
        <v>240</v>
      </c>
      <c r="R414" s="67" t="s">
        <v>682</v>
      </c>
      <c r="S414" s="67">
        <v>426</v>
      </c>
      <c r="T414" s="78">
        <f t="shared" si="102"/>
        <v>210</v>
      </c>
      <c r="U414" s="78">
        <v>216</v>
      </c>
      <c r="V414" s="67">
        <v>3</v>
      </c>
      <c r="AB414" s="67">
        <v>68.900000000000006</v>
      </c>
      <c r="AC414" s="67">
        <v>65.8</v>
      </c>
      <c r="AF414" s="67">
        <f t="shared" si="108"/>
        <v>0.67506881239645067</v>
      </c>
      <c r="AH414" s="70">
        <v>0.5</v>
      </c>
      <c r="AI414" s="70">
        <f t="shared" si="101"/>
        <v>4.4439914048912934</v>
      </c>
      <c r="AK414" s="70" t="s">
        <v>806</v>
      </c>
      <c r="AP414" s="67">
        <f t="shared" si="103"/>
        <v>6.5420870863178784E-2</v>
      </c>
      <c r="AQ414" s="67">
        <f t="shared" si="104"/>
        <v>45.856925479854901</v>
      </c>
      <c r="AS414" s="67">
        <f t="shared" si="105"/>
        <v>9.4563278736956805E-3</v>
      </c>
      <c r="AU414" s="67">
        <f t="shared" si="106"/>
        <v>424</v>
      </c>
      <c r="AV414" s="67">
        <f t="shared" si="107"/>
        <v>1</v>
      </c>
      <c r="AW414" s="67" t="s">
        <v>1350</v>
      </c>
    </row>
    <row r="415" spans="1:49" ht="30" customHeight="1" x14ac:dyDescent="0.25">
      <c r="A415" s="77" t="s">
        <v>147</v>
      </c>
      <c r="B415" s="67" t="s">
        <v>207</v>
      </c>
      <c r="C415" s="77" t="s">
        <v>408</v>
      </c>
      <c r="D415" s="67">
        <v>42</v>
      </c>
      <c r="E415" s="67" t="s">
        <v>605</v>
      </c>
      <c r="F415" s="76" t="s">
        <v>240</v>
      </c>
      <c r="G415" s="68" t="s">
        <v>812</v>
      </c>
      <c r="H415" s="67">
        <v>1</v>
      </c>
      <c r="I415" s="76" t="s">
        <v>240</v>
      </c>
      <c r="J415" s="67">
        <v>4</v>
      </c>
      <c r="K415" s="68" t="s">
        <v>817</v>
      </c>
      <c r="L415" s="76" t="s">
        <v>240</v>
      </c>
      <c r="M415" s="68" t="s">
        <v>570</v>
      </c>
      <c r="N415" s="67" t="s">
        <v>240</v>
      </c>
      <c r="O415" s="67" t="s">
        <v>240</v>
      </c>
      <c r="P415" s="67" t="s">
        <v>240</v>
      </c>
      <c r="Q415" s="67" t="s">
        <v>240</v>
      </c>
      <c r="R415" s="67" t="s">
        <v>682</v>
      </c>
      <c r="S415" s="67">
        <v>511</v>
      </c>
      <c r="T415" s="78">
        <f t="shared" si="102"/>
        <v>259</v>
      </c>
      <c r="U415" s="78">
        <v>252</v>
      </c>
      <c r="V415" s="67">
        <v>-3.3</v>
      </c>
      <c r="AB415" s="67">
        <v>77.8</v>
      </c>
      <c r="AC415" s="67">
        <v>81.099999999999994</v>
      </c>
      <c r="AF415" s="67">
        <f t="shared" si="108"/>
        <v>0.67497205093213319</v>
      </c>
      <c r="AH415" s="70">
        <v>0.5</v>
      </c>
      <c r="AI415" s="70">
        <f t="shared" si="101"/>
        <v>4.8890913267337748</v>
      </c>
      <c r="AK415" s="70" t="s">
        <v>806</v>
      </c>
      <c r="AP415" s="67">
        <f t="shared" si="103"/>
        <v>-5.9723615069355633E-2</v>
      </c>
      <c r="AQ415" s="67">
        <f t="shared" si="104"/>
        <v>55.254525302391478</v>
      </c>
      <c r="AS415" s="67">
        <f t="shared" si="105"/>
        <v>7.8742131271915972E-3</v>
      </c>
      <c r="AU415" s="67">
        <f t="shared" si="106"/>
        <v>509</v>
      </c>
      <c r="AV415" s="67">
        <f t="shared" si="107"/>
        <v>1</v>
      </c>
      <c r="AW415" s="67" t="s">
        <v>1350</v>
      </c>
    </row>
    <row r="416" spans="1:49" ht="30" customHeight="1" x14ac:dyDescent="0.25">
      <c r="A416" s="77" t="s">
        <v>147</v>
      </c>
      <c r="B416" s="67" t="s">
        <v>207</v>
      </c>
      <c r="C416" s="77" t="s">
        <v>408</v>
      </c>
      <c r="D416" s="67">
        <v>43</v>
      </c>
      <c r="E416" s="67" t="s">
        <v>605</v>
      </c>
      <c r="F416" s="76" t="s">
        <v>240</v>
      </c>
      <c r="G416" s="68" t="s">
        <v>803</v>
      </c>
      <c r="H416" s="67">
        <v>1</v>
      </c>
      <c r="I416" s="76" t="s">
        <v>240</v>
      </c>
      <c r="J416" s="67">
        <v>2</v>
      </c>
      <c r="K416" s="68" t="s">
        <v>818</v>
      </c>
      <c r="L416" s="76" t="s">
        <v>240</v>
      </c>
      <c r="M416" s="68" t="s">
        <v>570</v>
      </c>
      <c r="N416" s="67">
        <v>1</v>
      </c>
      <c r="O416" s="67" t="s">
        <v>240</v>
      </c>
      <c r="P416" s="67" t="s">
        <v>240</v>
      </c>
      <c r="Q416" s="67" t="s">
        <v>240</v>
      </c>
      <c r="R416" s="67" t="s">
        <v>819</v>
      </c>
      <c r="S416" s="67">
        <v>2199</v>
      </c>
      <c r="T416" s="78">
        <f t="shared" si="102"/>
        <v>1113</v>
      </c>
      <c r="U416" s="78">
        <v>1086</v>
      </c>
      <c r="V416" s="67">
        <v>26</v>
      </c>
      <c r="AB416" s="67">
        <v>725</v>
      </c>
      <c r="AC416" s="67">
        <v>699</v>
      </c>
      <c r="AF416" s="67">
        <f t="shared" si="108"/>
        <v>0.67460143481450341</v>
      </c>
      <c r="AH416" s="70">
        <v>0.5</v>
      </c>
      <c r="AI416" s="70">
        <f t="shared" si="101"/>
        <v>38.541275867800778</v>
      </c>
      <c r="AK416" s="70" t="s">
        <v>806</v>
      </c>
      <c r="AP416" s="67">
        <f t="shared" si="103"/>
        <v>2.8773810590434368E-2</v>
      </c>
      <c r="AQ416" s="67">
        <f t="shared" si="104"/>
        <v>903.59947002096067</v>
      </c>
      <c r="AS416" s="67">
        <f t="shared" si="105"/>
        <v>1.8216949507415441E-3</v>
      </c>
      <c r="AU416" s="67">
        <f t="shared" si="106"/>
        <v>2197</v>
      </c>
      <c r="AV416" s="67">
        <f t="shared" si="107"/>
        <v>1</v>
      </c>
      <c r="AW416" s="67" t="s">
        <v>1350</v>
      </c>
    </row>
    <row r="417" spans="1:49" ht="30" customHeight="1" x14ac:dyDescent="0.25">
      <c r="A417" s="77" t="s">
        <v>147</v>
      </c>
      <c r="B417" s="67" t="s">
        <v>207</v>
      </c>
      <c r="C417" s="77" t="s">
        <v>408</v>
      </c>
      <c r="D417" s="67">
        <v>44</v>
      </c>
      <c r="E417" s="67" t="s">
        <v>605</v>
      </c>
      <c r="F417" s="76" t="s">
        <v>240</v>
      </c>
      <c r="G417" s="68" t="s">
        <v>805</v>
      </c>
      <c r="H417" s="67">
        <v>1</v>
      </c>
      <c r="I417" s="76" t="s">
        <v>240</v>
      </c>
      <c r="J417" s="67">
        <v>2</v>
      </c>
      <c r="K417" s="68" t="s">
        <v>818</v>
      </c>
      <c r="L417" s="76" t="s">
        <v>240</v>
      </c>
      <c r="M417" s="68" t="s">
        <v>570</v>
      </c>
      <c r="N417" s="67">
        <v>1</v>
      </c>
      <c r="O417" s="67" t="s">
        <v>240</v>
      </c>
      <c r="P417" s="67" t="s">
        <v>240</v>
      </c>
      <c r="Q417" s="67" t="s">
        <v>240</v>
      </c>
      <c r="R417" s="67" t="s">
        <v>819</v>
      </c>
      <c r="S417" s="67">
        <v>1158</v>
      </c>
      <c r="T417" s="78">
        <f t="shared" si="102"/>
        <v>574</v>
      </c>
      <c r="U417" s="78">
        <v>584</v>
      </c>
      <c r="V417" s="67">
        <v>-28</v>
      </c>
      <c r="AB417" s="67">
        <v>805</v>
      </c>
      <c r="AC417" s="67">
        <v>833</v>
      </c>
      <c r="AF417" s="67">
        <f t="shared" si="108"/>
        <v>0.67470203712098342</v>
      </c>
      <c r="AH417" s="70">
        <v>0.5</v>
      </c>
      <c r="AI417" s="70">
        <f t="shared" si="101"/>
        <v>41.499800592686235</v>
      </c>
      <c r="AK417" s="70" t="s">
        <v>806</v>
      </c>
      <c r="AP417" s="67">
        <f t="shared" si="103"/>
        <v>-3.965554577096176E-2</v>
      </c>
      <c r="AQ417" s="67">
        <f t="shared" si="104"/>
        <v>706.08030870938933</v>
      </c>
      <c r="AS417" s="67">
        <f t="shared" si="105"/>
        <v>3.4632014399005821E-3</v>
      </c>
      <c r="AU417" s="67">
        <f t="shared" si="106"/>
        <v>1156</v>
      </c>
      <c r="AV417" s="67">
        <f t="shared" si="107"/>
        <v>1</v>
      </c>
      <c r="AW417" s="67" t="s">
        <v>1350</v>
      </c>
    </row>
    <row r="418" spans="1:49" ht="30" customHeight="1" x14ac:dyDescent="0.25">
      <c r="A418" s="77" t="s">
        <v>147</v>
      </c>
      <c r="B418" s="67" t="s">
        <v>207</v>
      </c>
      <c r="C418" s="77" t="s">
        <v>408</v>
      </c>
      <c r="D418" s="67">
        <v>45</v>
      </c>
      <c r="E418" s="67" t="s">
        <v>605</v>
      </c>
      <c r="F418" s="76" t="s">
        <v>240</v>
      </c>
      <c r="G418" s="68" t="s">
        <v>807</v>
      </c>
      <c r="H418" s="67">
        <v>1</v>
      </c>
      <c r="I418" s="76" t="s">
        <v>240</v>
      </c>
      <c r="J418" s="67">
        <v>2</v>
      </c>
      <c r="K418" s="68" t="s">
        <v>818</v>
      </c>
      <c r="L418" s="76" t="s">
        <v>240</v>
      </c>
      <c r="M418" s="68" t="s">
        <v>570</v>
      </c>
      <c r="N418" s="67">
        <v>1</v>
      </c>
      <c r="O418" s="67" t="s">
        <v>240</v>
      </c>
      <c r="P418" s="67" t="s">
        <v>240</v>
      </c>
      <c r="Q418" s="67" t="s">
        <v>240</v>
      </c>
      <c r="R418" s="67" t="s">
        <v>819</v>
      </c>
      <c r="S418" s="67">
        <v>1350</v>
      </c>
      <c r="T418" s="78">
        <f t="shared" si="102"/>
        <v>236</v>
      </c>
      <c r="U418" s="78">
        <v>1114</v>
      </c>
      <c r="V418" s="67">
        <v>-10</v>
      </c>
      <c r="AB418" s="67">
        <v>849</v>
      </c>
      <c r="AC418" s="67">
        <v>859</v>
      </c>
      <c r="AF418" s="67">
        <f t="shared" si="108"/>
        <v>0.67467179314280323</v>
      </c>
      <c r="AH418" s="70">
        <v>0.5</v>
      </c>
      <c r="AI418" s="70">
        <f t="shared" si="101"/>
        <v>14.822021761747742</v>
      </c>
      <c r="AK418" s="70" t="s">
        <v>806</v>
      </c>
      <c r="AP418" s="67">
        <f t="shared" si="103"/>
        <v>-4.8346032624767325E-2</v>
      </c>
      <c r="AQ418" s="67">
        <f t="shared" si="104"/>
        <v>206.84220518390731</v>
      </c>
      <c r="AS418" s="67">
        <f t="shared" si="105"/>
        <v>5.1460571652933596E-3</v>
      </c>
      <c r="AU418" s="67">
        <f t="shared" si="106"/>
        <v>1348</v>
      </c>
      <c r="AV418" s="67">
        <f t="shared" si="107"/>
        <v>1</v>
      </c>
      <c r="AW418" s="67" t="s">
        <v>1350</v>
      </c>
    </row>
    <row r="419" spans="1:49" ht="30" customHeight="1" x14ac:dyDescent="0.25">
      <c r="A419" s="77" t="s">
        <v>147</v>
      </c>
      <c r="B419" s="67" t="s">
        <v>207</v>
      </c>
      <c r="C419" s="77" t="s">
        <v>408</v>
      </c>
      <c r="D419" s="67">
        <v>46</v>
      </c>
      <c r="E419" s="67" t="s">
        <v>605</v>
      </c>
      <c r="F419" s="76" t="s">
        <v>240</v>
      </c>
      <c r="G419" s="68" t="s">
        <v>808</v>
      </c>
      <c r="H419" s="67">
        <v>1</v>
      </c>
      <c r="I419" s="76" t="s">
        <v>240</v>
      </c>
      <c r="J419" s="67">
        <v>2</v>
      </c>
      <c r="K419" s="68" t="s">
        <v>818</v>
      </c>
      <c r="L419" s="76" t="s">
        <v>240</v>
      </c>
      <c r="M419" s="68" t="s">
        <v>570</v>
      </c>
      <c r="N419" s="67">
        <v>1</v>
      </c>
      <c r="O419" s="67" t="s">
        <v>240</v>
      </c>
      <c r="P419" s="67" t="s">
        <v>240</v>
      </c>
      <c r="Q419" s="67" t="s">
        <v>240</v>
      </c>
      <c r="R419" s="67" t="s">
        <v>819</v>
      </c>
      <c r="S419" s="67">
        <v>728</v>
      </c>
      <c r="T419" s="78">
        <f t="shared" si="102"/>
        <v>371</v>
      </c>
      <c r="U419" s="78">
        <v>357</v>
      </c>
      <c r="V419" s="67">
        <v>-9</v>
      </c>
      <c r="AB419" s="67">
        <v>797</v>
      </c>
      <c r="AC419" s="67">
        <v>806</v>
      </c>
      <c r="AF419" s="67">
        <f t="shared" si="108"/>
        <v>0.67482782789101092</v>
      </c>
      <c r="AH419" s="70">
        <v>0.5</v>
      </c>
      <c r="AI419" s="70">
        <f t="shared" si="101"/>
        <v>13.336735131577234</v>
      </c>
      <c r="AK419" s="70" t="s">
        <v>806</v>
      </c>
      <c r="AP419" s="67">
        <f t="shared" si="103"/>
        <v>-5.003081874516261E-2</v>
      </c>
      <c r="AQ419" s="67">
        <f t="shared" si="104"/>
        <v>179.88912086053347</v>
      </c>
      <c r="AS419" s="67">
        <f t="shared" si="105"/>
        <v>5.5186366386611244E-3</v>
      </c>
      <c r="AU419" s="67">
        <f t="shared" si="106"/>
        <v>726</v>
      </c>
      <c r="AV419" s="67">
        <f t="shared" si="107"/>
        <v>1</v>
      </c>
      <c r="AW419" s="67" t="s">
        <v>1350</v>
      </c>
    </row>
    <row r="420" spans="1:49" ht="30" customHeight="1" x14ac:dyDescent="0.25">
      <c r="A420" s="77" t="s">
        <v>147</v>
      </c>
      <c r="B420" s="67" t="s">
        <v>207</v>
      </c>
      <c r="C420" s="77" t="s">
        <v>408</v>
      </c>
      <c r="D420" s="67">
        <v>47</v>
      </c>
      <c r="E420" s="67" t="s">
        <v>605</v>
      </c>
      <c r="F420" s="76" t="s">
        <v>240</v>
      </c>
      <c r="G420" s="68" t="s">
        <v>810</v>
      </c>
      <c r="H420" s="67">
        <v>1</v>
      </c>
      <c r="I420" s="76" t="s">
        <v>240</v>
      </c>
      <c r="J420" s="67">
        <v>2</v>
      </c>
      <c r="K420" s="68" t="s">
        <v>818</v>
      </c>
      <c r="L420" s="76" t="s">
        <v>240</v>
      </c>
      <c r="M420" s="68" t="s">
        <v>570</v>
      </c>
      <c r="N420" s="67">
        <v>1</v>
      </c>
      <c r="O420" s="67" t="s">
        <v>240</v>
      </c>
      <c r="P420" s="67" t="s">
        <v>240</v>
      </c>
      <c r="Q420" s="67" t="s">
        <v>240</v>
      </c>
      <c r="R420" s="67" t="s">
        <v>819</v>
      </c>
      <c r="S420" s="67">
        <v>723</v>
      </c>
      <c r="T420" s="78">
        <f t="shared" si="102"/>
        <v>366</v>
      </c>
      <c r="U420" s="78">
        <v>357</v>
      </c>
      <c r="V420" s="67">
        <v>17</v>
      </c>
      <c r="AB420" s="67">
        <v>823</v>
      </c>
      <c r="AC420" s="67">
        <v>806</v>
      </c>
      <c r="AF420" s="67">
        <f t="shared" si="108"/>
        <v>0.67483017344935958</v>
      </c>
      <c r="AH420" s="70">
        <v>0.5</v>
      </c>
      <c r="AI420" s="70">
        <f t="shared" si="101"/>
        <v>25.191523243700527</v>
      </c>
      <c r="AK420" s="70" t="s">
        <v>806</v>
      </c>
      <c r="AP420" s="67">
        <f t="shared" si="103"/>
        <v>5.0198297803012895E-2</v>
      </c>
      <c r="AQ420" s="67">
        <f t="shared" si="104"/>
        <v>338.65690160871674</v>
      </c>
      <c r="AS420" s="67">
        <f t="shared" si="105"/>
        <v>5.5557620814091126E-3</v>
      </c>
      <c r="AU420" s="67">
        <f t="shared" si="106"/>
        <v>721</v>
      </c>
      <c r="AV420" s="67">
        <f t="shared" si="107"/>
        <v>1</v>
      </c>
      <c r="AW420" s="67" t="s">
        <v>1350</v>
      </c>
    </row>
    <row r="421" spans="1:49" ht="30" customHeight="1" x14ac:dyDescent="0.25">
      <c r="A421" s="77" t="s">
        <v>147</v>
      </c>
      <c r="B421" s="67" t="s">
        <v>207</v>
      </c>
      <c r="C421" s="77" t="s">
        <v>408</v>
      </c>
      <c r="D421" s="67">
        <v>48</v>
      </c>
      <c r="E421" s="67" t="s">
        <v>605</v>
      </c>
      <c r="F421" s="76" t="s">
        <v>240</v>
      </c>
      <c r="G421" s="68" t="s">
        <v>811</v>
      </c>
      <c r="H421" s="67">
        <v>1</v>
      </c>
      <c r="I421" s="76" t="s">
        <v>240</v>
      </c>
      <c r="J421" s="67">
        <v>2</v>
      </c>
      <c r="K421" s="68" t="s">
        <v>818</v>
      </c>
      <c r="L421" s="76" t="s">
        <v>240</v>
      </c>
      <c r="M421" s="68" t="s">
        <v>570</v>
      </c>
      <c r="N421" s="67">
        <v>1</v>
      </c>
      <c r="O421" s="67" t="s">
        <v>240</v>
      </c>
      <c r="P421" s="67" t="s">
        <v>240</v>
      </c>
      <c r="Q421" s="67" t="s">
        <v>240</v>
      </c>
      <c r="R421" s="67" t="s">
        <v>819</v>
      </c>
      <c r="S421" s="67">
        <v>426</v>
      </c>
      <c r="T421" s="78">
        <f t="shared" si="102"/>
        <v>210</v>
      </c>
      <c r="U421" s="78">
        <v>216</v>
      </c>
      <c r="V421" s="67">
        <v>10</v>
      </c>
      <c r="AB421" s="67">
        <v>776</v>
      </c>
      <c r="AC421" s="67">
        <v>766</v>
      </c>
      <c r="AF421" s="67">
        <f t="shared" si="108"/>
        <v>0.67506881239645067</v>
      </c>
      <c r="AH421" s="70">
        <v>0.5</v>
      </c>
      <c r="AI421" s="70">
        <f t="shared" si="101"/>
        <v>14.81330468297098</v>
      </c>
      <c r="AK421" s="70" t="s">
        <v>806</v>
      </c>
      <c r="AP421" s="67">
        <f t="shared" si="103"/>
        <v>6.5420870863178771E-2</v>
      </c>
      <c r="AQ421" s="67">
        <f t="shared" si="104"/>
        <v>152.85641826618303</v>
      </c>
      <c r="AS421" s="67">
        <f t="shared" si="105"/>
        <v>9.4563278736956771E-3</v>
      </c>
      <c r="AU421" s="67">
        <f t="shared" si="106"/>
        <v>424</v>
      </c>
      <c r="AV421" s="67">
        <f t="shared" si="107"/>
        <v>1</v>
      </c>
      <c r="AW421" s="67" t="s">
        <v>1350</v>
      </c>
    </row>
    <row r="422" spans="1:49" ht="30" customHeight="1" x14ac:dyDescent="0.25">
      <c r="A422" s="77" t="s">
        <v>147</v>
      </c>
      <c r="B422" s="67" t="s">
        <v>207</v>
      </c>
      <c r="C422" s="77" t="s">
        <v>408</v>
      </c>
      <c r="D422" s="67">
        <v>49</v>
      </c>
      <c r="E422" s="67" t="s">
        <v>605</v>
      </c>
      <c r="F422" s="76" t="s">
        <v>240</v>
      </c>
      <c r="G422" s="68" t="s">
        <v>812</v>
      </c>
      <c r="H422" s="67">
        <v>1</v>
      </c>
      <c r="I422" s="76" t="s">
        <v>240</v>
      </c>
      <c r="J422" s="67">
        <v>2</v>
      </c>
      <c r="K422" s="68" t="s">
        <v>818</v>
      </c>
      <c r="L422" s="76" t="s">
        <v>240</v>
      </c>
      <c r="M422" s="68" t="s">
        <v>570</v>
      </c>
      <c r="N422" s="67">
        <v>1</v>
      </c>
      <c r="O422" s="67" t="s">
        <v>240</v>
      </c>
      <c r="P422" s="67" t="s">
        <v>240</v>
      </c>
      <c r="Q422" s="67" t="s">
        <v>240</v>
      </c>
      <c r="R422" s="67" t="s">
        <v>819</v>
      </c>
      <c r="S422" s="67">
        <v>511</v>
      </c>
      <c r="T422" s="78">
        <f t="shared" si="102"/>
        <v>259</v>
      </c>
      <c r="U422" s="78">
        <v>252</v>
      </c>
      <c r="V422" s="67">
        <v>-40</v>
      </c>
      <c r="AB422" s="67">
        <v>697</v>
      </c>
      <c r="AC422" s="67">
        <v>737</v>
      </c>
      <c r="AF422" s="67">
        <f t="shared" si="108"/>
        <v>0.67497205093213319</v>
      </c>
      <c r="AH422" s="70">
        <v>0.5</v>
      </c>
      <c r="AI422" s="70">
        <f t="shared" si="101"/>
        <v>59.26171305131848</v>
      </c>
      <c r="AK422" s="68" t="s">
        <v>806</v>
      </c>
      <c r="AP422" s="67">
        <f t="shared" si="103"/>
        <v>-5.972361506935564E-2</v>
      </c>
      <c r="AQ422" s="67">
        <f t="shared" si="104"/>
        <v>669.75182184716937</v>
      </c>
      <c r="AS422" s="67">
        <f t="shared" si="105"/>
        <v>7.874213127191599E-3</v>
      </c>
      <c r="AU422" s="67">
        <f t="shared" si="106"/>
        <v>509</v>
      </c>
      <c r="AV422" s="67">
        <f t="shared" si="107"/>
        <v>1</v>
      </c>
      <c r="AW422" s="67" t="s">
        <v>1350</v>
      </c>
    </row>
    <row r="423" spans="1:49" ht="30" customHeight="1" x14ac:dyDescent="0.25">
      <c r="A423" s="77" t="s">
        <v>147</v>
      </c>
      <c r="B423" s="67" t="s">
        <v>207</v>
      </c>
      <c r="C423" s="77" t="s">
        <v>408</v>
      </c>
      <c r="D423" s="67">
        <v>50</v>
      </c>
      <c r="E423" s="67" t="s">
        <v>605</v>
      </c>
      <c r="F423" s="76" t="s">
        <v>240</v>
      </c>
      <c r="G423" s="68" t="s">
        <v>803</v>
      </c>
      <c r="H423" s="67">
        <v>1</v>
      </c>
      <c r="I423" s="76" t="s">
        <v>240</v>
      </c>
      <c r="J423" s="67">
        <v>2</v>
      </c>
      <c r="K423" s="68" t="s">
        <v>820</v>
      </c>
      <c r="L423" s="76" t="s">
        <v>240</v>
      </c>
      <c r="M423" s="68" t="s">
        <v>570</v>
      </c>
      <c r="N423" s="67">
        <v>1</v>
      </c>
      <c r="O423" s="67" t="s">
        <v>240</v>
      </c>
      <c r="P423" s="67" t="s">
        <v>240</v>
      </c>
      <c r="Q423" s="67" t="s">
        <v>240</v>
      </c>
      <c r="R423" s="67" t="s">
        <v>821</v>
      </c>
      <c r="S423" s="67">
        <v>2199</v>
      </c>
      <c r="T423" s="78">
        <f t="shared" si="102"/>
        <v>1113</v>
      </c>
      <c r="U423" s="78">
        <v>1086</v>
      </c>
      <c r="V423" s="67">
        <v>16.600000000000001</v>
      </c>
      <c r="AB423" s="67">
        <v>1020</v>
      </c>
      <c r="AC423" s="67">
        <v>1003</v>
      </c>
      <c r="AF423" s="67">
        <f t="shared" si="108"/>
        <v>0.67460143481450341</v>
      </c>
      <c r="AH423" s="70">
        <v>0.5</v>
      </c>
      <c r="AI423" s="70">
        <f t="shared" si="101"/>
        <v>24.607122284826652</v>
      </c>
      <c r="AK423" s="68" t="s">
        <v>806</v>
      </c>
      <c r="AP423" s="67">
        <f t="shared" si="103"/>
        <v>2.8773810590434368E-2</v>
      </c>
      <c r="AQ423" s="67">
        <f t="shared" si="104"/>
        <v>576.91350778261335</v>
      </c>
      <c r="AS423" s="67">
        <f t="shared" si="105"/>
        <v>1.8216949507415441E-3</v>
      </c>
      <c r="AU423" s="67">
        <f t="shared" si="106"/>
        <v>2197</v>
      </c>
      <c r="AV423" s="67">
        <f t="shared" si="107"/>
        <v>1</v>
      </c>
      <c r="AW423" s="67" t="s">
        <v>1350</v>
      </c>
    </row>
    <row r="424" spans="1:49" ht="30" customHeight="1" x14ac:dyDescent="0.25">
      <c r="A424" s="77" t="s">
        <v>147</v>
      </c>
      <c r="B424" s="67" t="s">
        <v>207</v>
      </c>
      <c r="C424" s="77" t="s">
        <v>408</v>
      </c>
      <c r="D424" s="67">
        <v>51</v>
      </c>
      <c r="E424" s="67" t="s">
        <v>605</v>
      </c>
      <c r="F424" s="76" t="s">
        <v>240</v>
      </c>
      <c r="G424" s="68" t="s">
        <v>805</v>
      </c>
      <c r="H424" s="67">
        <v>1</v>
      </c>
      <c r="I424" s="76" t="s">
        <v>240</v>
      </c>
      <c r="J424" s="67">
        <v>2</v>
      </c>
      <c r="K424" s="68" t="s">
        <v>820</v>
      </c>
      <c r="L424" s="76" t="s">
        <v>240</v>
      </c>
      <c r="M424" s="68" t="s">
        <v>570</v>
      </c>
      <c r="N424" s="67">
        <v>1</v>
      </c>
      <c r="O424" s="67" t="s">
        <v>240</v>
      </c>
      <c r="P424" s="67" t="s">
        <v>240</v>
      </c>
      <c r="Q424" s="67" t="s">
        <v>240</v>
      </c>
      <c r="R424" s="67" t="s">
        <v>821</v>
      </c>
      <c r="S424" s="67">
        <v>1158</v>
      </c>
      <c r="T424" s="78">
        <f t="shared" si="102"/>
        <v>574</v>
      </c>
      <c r="U424" s="78">
        <v>584</v>
      </c>
      <c r="V424" s="67">
        <v>-61.9</v>
      </c>
      <c r="AB424" s="67">
        <v>1301</v>
      </c>
      <c r="AC424" s="67">
        <v>1363</v>
      </c>
      <c r="AF424" s="67">
        <f t="shared" si="108"/>
        <v>0.67470203712098342</v>
      </c>
      <c r="AH424" s="70">
        <v>0.5</v>
      </c>
      <c r="AI424" s="70">
        <f t="shared" si="101"/>
        <v>91.744202024545643</v>
      </c>
      <c r="AK424" s="68" t="s">
        <v>806</v>
      </c>
      <c r="AP424" s="67">
        <f t="shared" si="103"/>
        <v>-3.9655545770961767E-2</v>
      </c>
      <c r="AQ424" s="67">
        <f t="shared" si="104"/>
        <v>1560.9418253253998</v>
      </c>
      <c r="AS424" s="67">
        <f t="shared" si="105"/>
        <v>3.4632014399005829E-3</v>
      </c>
      <c r="AU424" s="67">
        <f t="shared" si="106"/>
        <v>1156</v>
      </c>
      <c r="AV424" s="67">
        <f t="shared" si="107"/>
        <v>1</v>
      </c>
      <c r="AW424" s="67" t="s">
        <v>1350</v>
      </c>
    </row>
    <row r="425" spans="1:49" ht="30" customHeight="1" x14ac:dyDescent="0.25">
      <c r="A425" s="77" t="s">
        <v>147</v>
      </c>
      <c r="B425" s="67" t="s">
        <v>207</v>
      </c>
      <c r="C425" s="77" t="s">
        <v>408</v>
      </c>
      <c r="D425" s="67">
        <v>52</v>
      </c>
      <c r="E425" s="67" t="s">
        <v>605</v>
      </c>
      <c r="F425" s="76" t="s">
        <v>240</v>
      </c>
      <c r="G425" s="68" t="s">
        <v>807</v>
      </c>
      <c r="H425" s="67">
        <v>1</v>
      </c>
      <c r="I425" s="76" t="s">
        <v>240</v>
      </c>
      <c r="J425" s="67">
        <v>2</v>
      </c>
      <c r="K425" s="68" t="s">
        <v>820</v>
      </c>
      <c r="L425" s="76" t="s">
        <v>240</v>
      </c>
      <c r="M425" s="68" t="s">
        <v>570</v>
      </c>
      <c r="N425" s="67">
        <v>1</v>
      </c>
      <c r="O425" s="67" t="s">
        <v>240</v>
      </c>
      <c r="P425" s="67" t="s">
        <v>240</v>
      </c>
      <c r="Q425" s="67" t="s">
        <v>240</v>
      </c>
      <c r="R425" s="67" t="s">
        <v>821</v>
      </c>
      <c r="S425" s="67">
        <v>1350</v>
      </c>
      <c r="T425" s="78">
        <f t="shared" si="102"/>
        <v>236</v>
      </c>
      <c r="U425" s="78">
        <v>1114</v>
      </c>
      <c r="V425" s="67">
        <v>49.1</v>
      </c>
      <c r="AB425" s="67">
        <v>1435</v>
      </c>
      <c r="AC425" s="67">
        <v>1386</v>
      </c>
      <c r="AF425" s="67">
        <f t="shared" si="108"/>
        <v>0.67467179314280323</v>
      </c>
      <c r="AH425" s="70">
        <v>0.5</v>
      </c>
      <c r="AI425" s="70">
        <f t="shared" si="101"/>
        <v>72.776126850181413</v>
      </c>
      <c r="AK425" s="68" t="s">
        <v>806</v>
      </c>
      <c r="AP425" s="67">
        <f t="shared" si="103"/>
        <v>4.8346032624767325E-2</v>
      </c>
      <c r="AQ425" s="67">
        <f t="shared" si="104"/>
        <v>1015.5952274529849</v>
      </c>
      <c r="AS425" s="67">
        <f t="shared" si="105"/>
        <v>5.1460571652933596E-3</v>
      </c>
      <c r="AU425" s="67">
        <f t="shared" si="106"/>
        <v>1348</v>
      </c>
      <c r="AV425" s="67">
        <f t="shared" si="107"/>
        <v>1</v>
      </c>
      <c r="AW425" s="67" t="s">
        <v>1350</v>
      </c>
    </row>
    <row r="426" spans="1:49" ht="30" customHeight="1" x14ac:dyDescent="0.25">
      <c r="A426" s="77" t="s">
        <v>147</v>
      </c>
      <c r="B426" s="67" t="s">
        <v>207</v>
      </c>
      <c r="C426" s="77" t="s">
        <v>408</v>
      </c>
      <c r="D426" s="67">
        <v>53</v>
      </c>
      <c r="E426" s="67" t="s">
        <v>605</v>
      </c>
      <c r="F426" s="76" t="s">
        <v>240</v>
      </c>
      <c r="G426" s="68" t="s">
        <v>808</v>
      </c>
      <c r="H426" s="67">
        <v>1</v>
      </c>
      <c r="I426" s="76" t="s">
        <v>240</v>
      </c>
      <c r="J426" s="67">
        <v>2</v>
      </c>
      <c r="K426" s="68" t="s">
        <v>820</v>
      </c>
      <c r="L426" s="76" t="s">
        <v>240</v>
      </c>
      <c r="M426" s="68" t="s">
        <v>570</v>
      </c>
      <c r="N426" s="67">
        <v>1</v>
      </c>
      <c r="O426" s="67" t="s">
        <v>240</v>
      </c>
      <c r="P426" s="67" t="s">
        <v>240</v>
      </c>
      <c r="Q426" s="67" t="s">
        <v>240</v>
      </c>
      <c r="R426" s="67" t="s">
        <v>821</v>
      </c>
      <c r="S426" s="67">
        <v>728</v>
      </c>
      <c r="T426" s="78">
        <f t="shared" si="102"/>
        <v>371</v>
      </c>
      <c r="U426" s="78">
        <v>357</v>
      </c>
      <c r="V426" s="67">
        <v>-67.599999999999994</v>
      </c>
      <c r="AB426" s="67">
        <v>1181</v>
      </c>
      <c r="AC426" s="67">
        <v>1249</v>
      </c>
      <c r="AF426" s="67">
        <f t="shared" si="108"/>
        <v>0.67482782789101092</v>
      </c>
      <c r="AH426" s="70">
        <v>0.5</v>
      </c>
      <c r="AI426" s="70">
        <f t="shared" si="101"/>
        <v>100.17369943273566</v>
      </c>
      <c r="AK426" s="68" t="s">
        <v>806</v>
      </c>
      <c r="AP426" s="67">
        <f t="shared" si="103"/>
        <v>-5.003081874516261E-2</v>
      </c>
      <c r="AQ426" s="67">
        <f t="shared" si="104"/>
        <v>1351.1671744635623</v>
      </c>
      <c r="AS426" s="67">
        <f t="shared" si="105"/>
        <v>5.5186366386611244E-3</v>
      </c>
      <c r="AU426" s="67">
        <f t="shared" si="106"/>
        <v>726</v>
      </c>
      <c r="AV426" s="67">
        <f t="shared" si="107"/>
        <v>1</v>
      </c>
      <c r="AW426" s="67" t="s">
        <v>1350</v>
      </c>
    </row>
    <row r="427" spans="1:49" ht="30" customHeight="1" x14ac:dyDescent="0.25">
      <c r="A427" s="77" t="s">
        <v>147</v>
      </c>
      <c r="B427" s="67" t="s">
        <v>207</v>
      </c>
      <c r="C427" s="77" t="s">
        <v>408</v>
      </c>
      <c r="D427" s="67">
        <v>54</v>
      </c>
      <c r="E427" s="67" t="s">
        <v>605</v>
      </c>
      <c r="F427" s="76" t="s">
        <v>240</v>
      </c>
      <c r="G427" s="68" t="s">
        <v>810</v>
      </c>
      <c r="H427" s="67">
        <v>1</v>
      </c>
      <c r="I427" s="76" t="s">
        <v>240</v>
      </c>
      <c r="J427" s="67">
        <v>2</v>
      </c>
      <c r="K427" s="68" t="s">
        <v>820</v>
      </c>
      <c r="L427" s="76" t="s">
        <v>240</v>
      </c>
      <c r="M427" s="68" t="s">
        <v>570</v>
      </c>
      <c r="N427" s="67">
        <v>1</v>
      </c>
      <c r="O427" s="67" t="s">
        <v>240</v>
      </c>
      <c r="P427" s="67" t="s">
        <v>240</v>
      </c>
      <c r="Q427" s="67" t="s">
        <v>240</v>
      </c>
      <c r="R427" s="67" t="s">
        <v>821</v>
      </c>
      <c r="S427" s="67">
        <v>723</v>
      </c>
      <c r="T427" s="78">
        <f t="shared" si="102"/>
        <v>366</v>
      </c>
      <c r="U427" s="78">
        <v>357</v>
      </c>
      <c r="V427" s="67">
        <v>-7</v>
      </c>
      <c r="AB427" s="67">
        <v>1242</v>
      </c>
      <c r="AC427" s="67">
        <v>1249</v>
      </c>
      <c r="AF427" s="67">
        <f t="shared" si="108"/>
        <v>0.67483017344935958</v>
      </c>
      <c r="AH427" s="70">
        <v>0.5</v>
      </c>
      <c r="AI427" s="70">
        <f t="shared" si="101"/>
        <v>10.372980159170805</v>
      </c>
      <c r="AK427" s="68" t="s">
        <v>806</v>
      </c>
      <c r="AP427" s="67">
        <f t="shared" si="103"/>
        <v>-5.0198297803012895E-2</v>
      </c>
      <c r="AQ427" s="67">
        <f t="shared" si="104"/>
        <v>139.44695948594219</v>
      </c>
      <c r="AS427" s="67">
        <f t="shared" si="105"/>
        <v>5.5557620814091126E-3</v>
      </c>
      <c r="AU427" s="67">
        <f t="shared" si="106"/>
        <v>721</v>
      </c>
      <c r="AV427" s="67">
        <f t="shared" si="107"/>
        <v>1</v>
      </c>
      <c r="AW427" s="67" t="s">
        <v>1350</v>
      </c>
    </row>
    <row r="428" spans="1:49" ht="30" customHeight="1" x14ac:dyDescent="0.25">
      <c r="A428" s="77" t="s">
        <v>147</v>
      </c>
      <c r="B428" s="67" t="s">
        <v>207</v>
      </c>
      <c r="C428" s="77" t="s">
        <v>408</v>
      </c>
      <c r="D428" s="67">
        <v>55</v>
      </c>
      <c r="E428" s="67" t="s">
        <v>605</v>
      </c>
      <c r="F428" s="76" t="s">
        <v>240</v>
      </c>
      <c r="G428" s="68" t="s">
        <v>811</v>
      </c>
      <c r="H428" s="67">
        <v>1</v>
      </c>
      <c r="I428" s="76" t="s">
        <v>240</v>
      </c>
      <c r="J428" s="67">
        <v>2</v>
      </c>
      <c r="K428" s="68" t="s">
        <v>820</v>
      </c>
      <c r="L428" s="76" t="s">
        <v>240</v>
      </c>
      <c r="M428" s="68" t="s">
        <v>570</v>
      </c>
      <c r="N428" s="67">
        <v>1</v>
      </c>
      <c r="O428" s="67" t="s">
        <v>240</v>
      </c>
      <c r="P428" s="67" t="s">
        <v>240</v>
      </c>
      <c r="Q428" s="67" t="s">
        <v>240</v>
      </c>
      <c r="R428" s="67" t="s">
        <v>821</v>
      </c>
      <c r="S428" s="67">
        <v>426</v>
      </c>
      <c r="T428" s="78">
        <f t="shared" si="102"/>
        <v>210</v>
      </c>
      <c r="U428" s="78">
        <v>216</v>
      </c>
      <c r="V428" s="67">
        <v>33.9</v>
      </c>
      <c r="AB428" s="67">
        <v>1161</v>
      </c>
      <c r="AC428" s="67">
        <v>1127</v>
      </c>
      <c r="AF428" s="67">
        <f t="shared" si="108"/>
        <v>0.67506881239645067</v>
      </c>
      <c r="AH428" s="70">
        <v>0.5</v>
      </c>
      <c r="AI428" s="70">
        <f t="shared" si="101"/>
        <v>50.217102875271614</v>
      </c>
      <c r="AK428" s="68" t="s">
        <v>806</v>
      </c>
      <c r="AP428" s="67">
        <f t="shared" si="103"/>
        <v>6.5420870863178784E-2</v>
      </c>
      <c r="AQ428" s="67">
        <f t="shared" si="104"/>
        <v>518.18325792236033</v>
      </c>
      <c r="AS428" s="67">
        <f t="shared" si="105"/>
        <v>9.4563278736956805E-3</v>
      </c>
      <c r="AU428" s="67">
        <f t="shared" si="106"/>
        <v>424</v>
      </c>
      <c r="AV428" s="67">
        <f t="shared" si="107"/>
        <v>1</v>
      </c>
      <c r="AW428" s="67" t="s">
        <v>1350</v>
      </c>
    </row>
    <row r="429" spans="1:49" ht="30" customHeight="1" x14ac:dyDescent="0.25">
      <c r="A429" s="77" t="s">
        <v>147</v>
      </c>
      <c r="B429" s="67" t="s">
        <v>207</v>
      </c>
      <c r="C429" s="77" t="s">
        <v>408</v>
      </c>
      <c r="D429" s="67">
        <v>56</v>
      </c>
      <c r="E429" s="67" t="s">
        <v>605</v>
      </c>
      <c r="F429" s="76" t="s">
        <v>240</v>
      </c>
      <c r="G429" s="68" t="s">
        <v>812</v>
      </c>
      <c r="H429" s="67">
        <v>1</v>
      </c>
      <c r="I429" s="76" t="s">
        <v>240</v>
      </c>
      <c r="J429" s="67">
        <v>2</v>
      </c>
      <c r="K429" s="68" t="s">
        <v>820</v>
      </c>
      <c r="L429" s="76" t="s">
        <v>240</v>
      </c>
      <c r="M429" s="68" t="s">
        <v>570</v>
      </c>
      <c r="N429" s="67">
        <v>1</v>
      </c>
      <c r="O429" s="67" t="s">
        <v>240</v>
      </c>
      <c r="P429" s="67" t="s">
        <v>240</v>
      </c>
      <c r="Q429" s="67" t="s">
        <v>240</v>
      </c>
      <c r="R429" s="67" t="s">
        <v>821</v>
      </c>
      <c r="S429" s="67">
        <v>511</v>
      </c>
      <c r="T429" s="78">
        <f t="shared" si="102"/>
        <v>259</v>
      </c>
      <c r="U429" s="78">
        <v>252</v>
      </c>
      <c r="V429" s="67">
        <v>-137.80000000000001</v>
      </c>
      <c r="AB429" s="67">
        <v>1201</v>
      </c>
      <c r="AC429" s="67">
        <v>1338</v>
      </c>
      <c r="AF429" s="67">
        <f t="shared" si="108"/>
        <v>0.67497205093213319</v>
      </c>
      <c r="AH429" s="70">
        <v>0.5</v>
      </c>
      <c r="AI429" s="70">
        <f t="shared" si="101"/>
        <v>204.15660146179218</v>
      </c>
      <c r="AK429" s="68" t="s">
        <v>806</v>
      </c>
      <c r="AP429" s="67">
        <f t="shared" si="103"/>
        <v>-5.9723615069355647E-2</v>
      </c>
      <c r="AQ429" s="67">
        <f t="shared" si="104"/>
        <v>2307.2950262634986</v>
      </c>
      <c r="AS429" s="67">
        <f t="shared" si="105"/>
        <v>7.8742131271916007E-3</v>
      </c>
      <c r="AU429" s="67">
        <f t="shared" si="106"/>
        <v>509</v>
      </c>
      <c r="AV429" s="67">
        <f t="shared" si="107"/>
        <v>1</v>
      </c>
      <c r="AW429" s="67" t="s">
        <v>1350</v>
      </c>
    </row>
    <row r="430" spans="1:49" ht="30" customHeight="1" x14ac:dyDescent="0.25">
      <c r="A430" s="73" t="s">
        <v>148</v>
      </c>
      <c r="B430" s="67" t="s">
        <v>221</v>
      </c>
      <c r="C430" s="73" t="s">
        <v>148</v>
      </c>
      <c r="D430" s="67">
        <v>1</v>
      </c>
      <c r="E430" s="67" t="s">
        <v>583</v>
      </c>
      <c r="F430" s="73" t="s">
        <v>822</v>
      </c>
      <c r="G430" s="73" t="s">
        <v>578</v>
      </c>
      <c r="H430" s="67">
        <v>1</v>
      </c>
      <c r="I430" s="67">
        <v>8</v>
      </c>
      <c r="J430" s="67">
        <v>2</v>
      </c>
      <c r="K430" s="68" t="s">
        <v>823</v>
      </c>
      <c r="L430" s="68" t="s">
        <v>638</v>
      </c>
      <c r="M430" s="68" t="s">
        <v>824</v>
      </c>
      <c r="N430" s="67" t="s">
        <v>240</v>
      </c>
      <c r="O430" s="69">
        <v>0</v>
      </c>
      <c r="P430" s="74" t="s">
        <v>240</v>
      </c>
      <c r="Q430" s="67" t="s">
        <v>240</v>
      </c>
      <c r="R430" s="67" t="s">
        <v>825</v>
      </c>
      <c r="S430" s="67">
        <v>4309</v>
      </c>
      <c r="T430" s="67">
        <v>2874</v>
      </c>
      <c r="U430" s="67">
        <v>1435</v>
      </c>
      <c r="V430" s="81">
        <f t="shared" ref="V430:V469" si="109">+AB430-AC430</f>
        <v>491</v>
      </c>
      <c r="W430" s="67">
        <v>216</v>
      </c>
      <c r="X430" s="67">
        <v>4439</v>
      </c>
      <c r="Y430" s="67">
        <v>4242</v>
      </c>
      <c r="Z430" s="67">
        <v>4405</v>
      </c>
      <c r="AA430" s="67" t="s">
        <v>622</v>
      </c>
      <c r="AB430" s="67">
        <v>6901</v>
      </c>
      <c r="AC430" s="67">
        <v>6410</v>
      </c>
      <c r="AD430" s="67">
        <v>6406</v>
      </c>
      <c r="AE430" s="67" t="s">
        <v>622</v>
      </c>
      <c r="AF430" s="67">
        <v>2.27</v>
      </c>
      <c r="AH430" s="70">
        <v>0.05</v>
      </c>
      <c r="AI430" s="70">
        <f t="shared" ref="AI430:AI449" si="110">+W430</f>
        <v>216</v>
      </c>
      <c r="AK430" s="68" t="s">
        <v>826</v>
      </c>
      <c r="AL430" s="68" t="s">
        <v>827</v>
      </c>
      <c r="AP430" s="67">
        <f t="shared" si="103"/>
        <v>7.3476194579419063E-2</v>
      </c>
      <c r="AQ430" s="67">
        <f t="shared" si="104"/>
        <v>6682.4364382301692</v>
      </c>
      <c r="AS430" s="67">
        <f t="shared" si="105"/>
        <v>1.0478047484586727E-3</v>
      </c>
      <c r="AU430" s="67">
        <f t="shared" si="106"/>
        <v>4307</v>
      </c>
      <c r="AV430" s="67">
        <f t="shared" si="107"/>
        <v>1</v>
      </c>
      <c r="AW430" s="67" t="s">
        <v>1350</v>
      </c>
    </row>
    <row r="431" spans="1:49" ht="30" customHeight="1" x14ac:dyDescent="0.25">
      <c r="A431" s="73" t="s">
        <v>148</v>
      </c>
      <c r="B431" s="67" t="s">
        <v>221</v>
      </c>
      <c r="C431" s="73" t="s">
        <v>148</v>
      </c>
      <c r="D431" s="67">
        <f t="shared" ref="D431:D469" si="111">D430+1</f>
        <v>2</v>
      </c>
      <c r="E431" s="67" t="s">
        <v>583</v>
      </c>
      <c r="F431" s="73" t="s">
        <v>822</v>
      </c>
      <c r="G431" s="73" t="s">
        <v>578</v>
      </c>
      <c r="H431" s="67">
        <v>1</v>
      </c>
      <c r="I431" s="67">
        <v>20</v>
      </c>
      <c r="J431" s="67">
        <v>2</v>
      </c>
      <c r="K431" s="68" t="s">
        <v>823</v>
      </c>
      <c r="L431" s="68" t="s">
        <v>638</v>
      </c>
      <c r="M431" s="68" t="s">
        <v>824</v>
      </c>
      <c r="N431" s="67" t="s">
        <v>240</v>
      </c>
      <c r="O431" s="69">
        <v>0</v>
      </c>
      <c r="P431" s="74" t="s">
        <v>240</v>
      </c>
      <c r="Q431" s="67" t="s">
        <v>240</v>
      </c>
      <c r="R431" s="67" t="s">
        <v>825</v>
      </c>
      <c r="S431" s="67">
        <v>4309</v>
      </c>
      <c r="T431" s="67">
        <v>2874</v>
      </c>
      <c r="U431" s="67">
        <v>1435</v>
      </c>
      <c r="V431" s="81">
        <f t="shared" si="109"/>
        <v>538</v>
      </c>
      <c r="W431" s="67">
        <v>254</v>
      </c>
      <c r="X431" s="67">
        <v>4439</v>
      </c>
      <c r="Y431" s="67">
        <v>4242</v>
      </c>
      <c r="Z431" s="67">
        <v>4405</v>
      </c>
      <c r="AA431" s="67" t="s">
        <v>622</v>
      </c>
      <c r="AB431" s="67">
        <v>7792</v>
      </c>
      <c r="AC431" s="67">
        <v>7254</v>
      </c>
      <c r="AD431" s="67">
        <v>7516</v>
      </c>
      <c r="AE431" s="67" t="s">
        <v>622</v>
      </c>
      <c r="AF431" s="67">
        <v>2.12</v>
      </c>
      <c r="AH431" s="70">
        <v>0.05</v>
      </c>
      <c r="AI431" s="70">
        <f t="shared" si="110"/>
        <v>254</v>
      </c>
      <c r="AK431" s="68" t="s">
        <v>826</v>
      </c>
      <c r="AL431" s="68" t="s">
        <v>827</v>
      </c>
      <c r="AP431" s="67">
        <f t="shared" si="103"/>
        <v>6.8464820466708876E-2</v>
      </c>
      <c r="AQ431" s="67">
        <f t="shared" si="104"/>
        <v>7858.0502560669574</v>
      </c>
      <c r="AS431" s="67">
        <f t="shared" si="105"/>
        <v>1.0474742864246041E-3</v>
      </c>
      <c r="AU431" s="67">
        <f t="shared" si="106"/>
        <v>4307</v>
      </c>
      <c r="AV431" s="67">
        <f t="shared" si="107"/>
        <v>1</v>
      </c>
      <c r="AW431" s="67" t="s">
        <v>1350</v>
      </c>
    </row>
    <row r="432" spans="1:49" ht="30" customHeight="1" x14ac:dyDescent="0.25">
      <c r="A432" s="73" t="s">
        <v>148</v>
      </c>
      <c r="B432" s="67" t="s">
        <v>221</v>
      </c>
      <c r="C432" s="73" t="s">
        <v>148</v>
      </c>
      <c r="D432" s="67">
        <f t="shared" si="111"/>
        <v>3</v>
      </c>
      <c r="E432" s="67" t="s">
        <v>583</v>
      </c>
      <c r="F432" s="73" t="s">
        <v>822</v>
      </c>
      <c r="G432" s="73" t="s">
        <v>578</v>
      </c>
      <c r="H432" s="67">
        <v>1</v>
      </c>
      <c r="I432" s="67">
        <v>32</v>
      </c>
      <c r="J432" s="67">
        <v>2</v>
      </c>
      <c r="K432" s="68" t="s">
        <v>823</v>
      </c>
      <c r="L432" s="68" t="s">
        <v>638</v>
      </c>
      <c r="M432" s="68" t="s">
        <v>824</v>
      </c>
      <c r="N432" s="67" t="s">
        <v>240</v>
      </c>
      <c r="O432" s="69">
        <v>0</v>
      </c>
      <c r="P432" s="74" t="s">
        <v>240</v>
      </c>
      <c r="Q432" s="67" t="s">
        <v>240</v>
      </c>
      <c r="R432" s="67" t="s">
        <v>825</v>
      </c>
      <c r="S432" s="67">
        <v>4309</v>
      </c>
      <c r="T432" s="67">
        <v>2874</v>
      </c>
      <c r="U432" s="67">
        <v>1435</v>
      </c>
      <c r="V432" s="81">
        <f t="shared" si="109"/>
        <v>573</v>
      </c>
      <c r="W432" s="67">
        <v>279</v>
      </c>
      <c r="X432" s="67">
        <v>4439</v>
      </c>
      <c r="Y432" s="67">
        <v>4242</v>
      </c>
      <c r="Z432" s="67">
        <v>4405</v>
      </c>
      <c r="AA432" s="67" t="s">
        <v>622</v>
      </c>
      <c r="AB432" s="67">
        <v>7936</v>
      </c>
      <c r="AC432" s="67">
        <v>7363</v>
      </c>
      <c r="AD432" s="67">
        <v>8335</v>
      </c>
      <c r="AE432" s="67" t="s">
        <v>622</v>
      </c>
      <c r="AF432" s="67">
        <v>2.06</v>
      </c>
      <c r="AH432" s="70">
        <v>0.05</v>
      </c>
      <c r="AI432" s="70">
        <f t="shared" si="110"/>
        <v>279</v>
      </c>
      <c r="AK432" s="68" t="s">
        <v>826</v>
      </c>
      <c r="AL432" s="68" t="s">
        <v>827</v>
      </c>
      <c r="AP432" s="67">
        <f t="shared" si="103"/>
        <v>6.6384904267536363E-2</v>
      </c>
      <c r="AQ432" s="67">
        <f t="shared" si="104"/>
        <v>8631.4803993806345</v>
      </c>
      <c r="AS432" s="67">
        <f t="shared" si="105"/>
        <v>1.0473439839266106E-3</v>
      </c>
      <c r="AU432" s="67">
        <f t="shared" si="106"/>
        <v>4307</v>
      </c>
      <c r="AV432" s="67">
        <f t="shared" si="107"/>
        <v>1</v>
      </c>
      <c r="AW432" s="67" t="s">
        <v>1350</v>
      </c>
    </row>
    <row r="433" spans="1:49" ht="30" customHeight="1" x14ac:dyDescent="0.25">
      <c r="A433" s="73" t="s">
        <v>148</v>
      </c>
      <c r="B433" s="67" t="s">
        <v>221</v>
      </c>
      <c r="C433" s="73" t="s">
        <v>148</v>
      </c>
      <c r="D433" s="67">
        <f t="shared" si="111"/>
        <v>4</v>
      </c>
      <c r="E433" s="67" t="s">
        <v>583</v>
      </c>
      <c r="F433" s="73" t="s">
        <v>822</v>
      </c>
      <c r="G433" s="73" t="s">
        <v>578</v>
      </c>
      <c r="H433" s="67">
        <v>1</v>
      </c>
      <c r="I433" s="67">
        <v>44</v>
      </c>
      <c r="J433" s="67">
        <v>2</v>
      </c>
      <c r="K433" s="68" t="s">
        <v>823</v>
      </c>
      <c r="L433" s="68" t="s">
        <v>638</v>
      </c>
      <c r="M433" s="68" t="s">
        <v>824</v>
      </c>
      <c r="N433" s="67" t="s">
        <v>240</v>
      </c>
      <c r="O433" s="69">
        <v>0</v>
      </c>
      <c r="P433" s="74" t="s">
        <v>240</v>
      </c>
      <c r="Q433" s="67" t="s">
        <v>240</v>
      </c>
      <c r="R433" s="67" t="s">
        <v>825</v>
      </c>
      <c r="S433" s="67">
        <v>4309</v>
      </c>
      <c r="T433" s="67">
        <v>2874</v>
      </c>
      <c r="U433" s="67">
        <v>1435</v>
      </c>
      <c r="V433" s="81">
        <f t="shared" si="109"/>
        <v>557</v>
      </c>
      <c r="W433" s="67">
        <v>302</v>
      </c>
      <c r="X433" s="67">
        <v>4439</v>
      </c>
      <c r="Y433" s="67">
        <v>4242</v>
      </c>
      <c r="Z433" s="67">
        <v>4405</v>
      </c>
      <c r="AA433" s="67" t="s">
        <v>622</v>
      </c>
      <c r="AB433" s="67">
        <v>8282</v>
      </c>
      <c r="AC433" s="67">
        <v>7725</v>
      </c>
      <c r="AD433" s="67">
        <v>9117</v>
      </c>
      <c r="AE433" s="67" t="s">
        <v>622</v>
      </c>
      <c r="AF433" s="67">
        <v>1.84</v>
      </c>
      <c r="AI433" s="70">
        <f t="shared" si="110"/>
        <v>302</v>
      </c>
      <c r="AK433" s="68" t="s">
        <v>828</v>
      </c>
      <c r="AL433" s="68" t="s">
        <v>827</v>
      </c>
      <c r="AP433" s="67">
        <f t="shared" si="103"/>
        <v>5.9616594881638146E-2</v>
      </c>
      <c r="AQ433" s="67">
        <f t="shared" si="104"/>
        <v>9343.0361312292171</v>
      </c>
      <c r="AS433" s="67">
        <f t="shared" si="105"/>
        <v>1.0469477854925446E-3</v>
      </c>
      <c r="AU433" s="67">
        <f t="shared" si="106"/>
        <v>4307</v>
      </c>
      <c r="AV433" s="67">
        <f t="shared" si="107"/>
        <v>1</v>
      </c>
      <c r="AW433" s="67" t="s">
        <v>1350</v>
      </c>
    </row>
    <row r="434" spans="1:49" ht="30" customHeight="1" x14ac:dyDescent="0.25">
      <c r="A434" s="73" t="s">
        <v>148</v>
      </c>
      <c r="B434" s="67" t="s">
        <v>221</v>
      </c>
      <c r="C434" s="73" t="s">
        <v>148</v>
      </c>
      <c r="D434" s="67">
        <f t="shared" si="111"/>
        <v>5</v>
      </c>
      <c r="E434" s="67" t="s">
        <v>583</v>
      </c>
      <c r="F434" s="73" t="s">
        <v>822</v>
      </c>
      <c r="G434" s="73" t="s">
        <v>578</v>
      </c>
      <c r="H434" s="67">
        <v>1</v>
      </c>
      <c r="I434" s="67">
        <v>56</v>
      </c>
      <c r="J434" s="67">
        <v>2</v>
      </c>
      <c r="K434" s="68" t="s">
        <v>823</v>
      </c>
      <c r="L434" s="68" t="s">
        <v>638</v>
      </c>
      <c r="M434" s="68" t="s">
        <v>824</v>
      </c>
      <c r="N434" s="67" t="s">
        <v>240</v>
      </c>
      <c r="O434" s="69">
        <v>0</v>
      </c>
      <c r="P434" s="74" t="s">
        <v>240</v>
      </c>
      <c r="Q434" s="67" t="s">
        <v>240</v>
      </c>
      <c r="R434" s="67" t="s">
        <v>825</v>
      </c>
      <c r="S434" s="67">
        <v>4309</v>
      </c>
      <c r="T434" s="67">
        <v>2874</v>
      </c>
      <c r="U434" s="67">
        <v>1435</v>
      </c>
      <c r="V434" s="81">
        <f t="shared" si="109"/>
        <v>325</v>
      </c>
      <c r="W434" s="67">
        <v>322</v>
      </c>
      <c r="X434" s="67">
        <v>4439</v>
      </c>
      <c r="Y434" s="67">
        <v>4242</v>
      </c>
      <c r="Z434" s="67">
        <v>4405</v>
      </c>
      <c r="AA434" s="67" t="s">
        <v>622</v>
      </c>
      <c r="AB434" s="67">
        <v>8651</v>
      </c>
      <c r="AC434" s="67">
        <v>8326</v>
      </c>
      <c r="AD434" s="67">
        <v>9611</v>
      </c>
      <c r="AE434" s="67" t="s">
        <v>622</v>
      </c>
      <c r="AF434" s="67">
        <v>1.01</v>
      </c>
      <c r="AI434" s="70">
        <f t="shared" si="110"/>
        <v>322</v>
      </c>
      <c r="AK434" s="68" t="s">
        <v>828</v>
      </c>
      <c r="AL434" s="68" t="s">
        <v>827</v>
      </c>
      <c r="AP434" s="67">
        <f t="shared" si="103"/>
        <v>3.2624690765930969E-2</v>
      </c>
      <c r="AQ434" s="67">
        <f t="shared" si="104"/>
        <v>9961.7802458801598</v>
      </c>
      <c r="AS434" s="67">
        <f t="shared" si="105"/>
        <v>1.045791098878045E-3</v>
      </c>
      <c r="AU434" s="67">
        <f t="shared" si="106"/>
        <v>4307</v>
      </c>
      <c r="AV434" s="67">
        <f t="shared" si="107"/>
        <v>1</v>
      </c>
      <c r="AW434" s="67" t="s">
        <v>1350</v>
      </c>
    </row>
    <row r="435" spans="1:49" ht="30" customHeight="1" x14ac:dyDescent="0.25">
      <c r="A435" s="73" t="s">
        <v>148</v>
      </c>
      <c r="B435" s="67" t="s">
        <v>221</v>
      </c>
      <c r="C435" s="73" t="s">
        <v>148</v>
      </c>
      <c r="D435" s="67">
        <f t="shared" si="111"/>
        <v>6</v>
      </c>
      <c r="E435" s="67" t="s">
        <v>577</v>
      </c>
      <c r="F435" s="73" t="s">
        <v>822</v>
      </c>
      <c r="G435" s="73" t="s">
        <v>578</v>
      </c>
      <c r="H435" s="67">
        <v>1</v>
      </c>
      <c r="I435" s="67">
        <v>8</v>
      </c>
      <c r="J435" s="67">
        <v>2</v>
      </c>
      <c r="K435" s="68" t="s">
        <v>823</v>
      </c>
      <c r="L435" s="68" t="s">
        <v>638</v>
      </c>
      <c r="M435" s="68" t="s">
        <v>824</v>
      </c>
      <c r="N435" s="67" t="s">
        <v>240</v>
      </c>
      <c r="O435" s="69">
        <v>0</v>
      </c>
      <c r="P435" s="74" t="s">
        <v>240</v>
      </c>
      <c r="Q435" s="67" t="s">
        <v>240</v>
      </c>
      <c r="R435" s="67" t="s">
        <v>829</v>
      </c>
      <c r="S435" s="67">
        <v>5354</v>
      </c>
      <c r="T435" s="67">
        <v>3631</v>
      </c>
      <c r="U435" s="67">
        <v>1723</v>
      </c>
      <c r="V435" s="81">
        <f t="shared" si="109"/>
        <v>379</v>
      </c>
      <c r="W435" s="67">
        <v>145</v>
      </c>
      <c r="X435" s="67">
        <v>2823</v>
      </c>
      <c r="Y435" s="67">
        <v>2703</v>
      </c>
      <c r="Z435" s="67">
        <v>3128</v>
      </c>
      <c r="AA435" s="67" t="s">
        <v>622</v>
      </c>
      <c r="AB435" s="67">
        <v>4702</v>
      </c>
      <c r="AC435" s="67">
        <v>4323</v>
      </c>
      <c r="AD435" s="67">
        <v>4828</v>
      </c>
      <c r="AE435" s="67" t="s">
        <v>622</v>
      </c>
      <c r="AF435" s="67">
        <v>2.62</v>
      </c>
      <c r="AI435" s="70">
        <f t="shared" si="110"/>
        <v>145</v>
      </c>
      <c r="AK435" s="68" t="s">
        <v>826</v>
      </c>
      <c r="AL435" s="68" t="s">
        <v>827</v>
      </c>
      <c r="AP435" s="67">
        <f t="shared" si="103"/>
        <v>7.6463580051475633E-2</v>
      </c>
      <c r="AQ435" s="67">
        <f t="shared" si="104"/>
        <v>4956.6080968855431</v>
      </c>
      <c r="AS435" s="67">
        <f t="shared" si="105"/>
        <v>8.5829487264086398E-4</v>
      </c>
      <c r="AU435" s="67">
        <f t="shared" si="106"/>
        <v>5352</v>
      </c>
      <c r="AV435" s="67">
        <f t="shared" si="107"/>
        <v>1</v>
      </c>
      <c r="AW435" s="67" t="s">
        <v>1350</v>
      </c>
    </row>
    <row r="436" spans="1:49" ht="30" customHeight="1" x14ac:dyDescent="0.25">
      <c r="A436" s="73" t="s">
        <v>148</v>
      </c>
      <c r="B436" s="67" t="s">
        <v>221</v>
      </c>
      <c r="C436" s="73" t="s">
        <v>148</v>
      </c>
      <c r="D436" s="67">
        <f t="shared" si="111"/>
        <v>7</v>
      </c>
      <c r="E436" s="67" t="s">
        <v>577</v>
      </c>
      <c r="F436" s="73" t="s">
        <v>822</v>
      </c>
      <c r="G436" s="73" t="s">
        <v>578</v>
      </c>
      <c r="H436" s="67">
        <v>1</v>
      </c>
      <c r="I436" s="67">
        <v>20</v>
      </c>
      <c r="J436" s="67">
        <v>2</v>
      </c>
      <c r="K436" s="68" t="s">
        <v>823</v>
      </c>
      <c r="L436" s="68" t="s">
        <v>638</v>
      </c>
      <c r="M436" s="68" t="s">
        <v>824</v>
      </c>
      <c r="N436" s="67" t="s">
        <v>240</v>
      </c>
      <c r="O436" s="69">
        <v>0</v>
      </c>
      <c r="P436" s="74" t="s">
        <v>240</v>
      </c>
      <c r="Q436" s="67" t="s">
        <v>240</v>
      </c>
      <c r="R436" s="67" t="s">
        <v>829</v>
      </c>
      <c r="S436" s="67">
        <v>5354</v>
      </c>
      <c r="T436" s="67">
        <v>3631</v>
      </c>
      <c r="U436" s="67">
        <v>1723</v>
      </c>
      <c r="V436" s="81">
        <f t="shared" si="109"/>
        <v>658</v>
      </c>
      <c r="W436" s="67">
        <v>178</v>
      </c>
      <c r="X436" s="67">
        <v>2823</v>
      </c>
      <c r="Y436" s="67">
        <v>2703</v>
      </c>
      <c r="Z436" s="67">
        <v>3128</v>
      </c>
      <c r="AA436" s="67" t="s">
        <v>622</v>
      </c>
      <c r="AB436" s="67">
        <v>5705</v>
      </c>
      <c r="AC436" s="67">
        <v>5047</v>
      </c>
      <c r="AD436" s="67">
        <v>5707</v>
      </c>
      <c r="AE436" s="67" t="s">
        <v>622</v>
      </c>
      <c r="AF436" s="67">
        <v>3.7</v>
      </c>
      <c r="AI436" s="70">
        <f t="shared" si="110"/>
        <v>178</v>
      </c>
      <c r="AK436" s="68" t="s">
        <v>826</v>
      </c>
      <c r="AL436" s="68" t="s">
        <v>827</v>
      </c>
      <c r="AP436" s="67">
        <f t="shared" si="103"/>
        <v>0.10814073363836367</v>
      </c>
      <c r="AQ436" s="67">
        <f t="shared" si="104"/>
        <v>6084.6637327284598</v>
      </c>
      <c r="AS436" s="67">
        <f t="shared" si="105"/>
        <v>8.6048094336892264E-4</v>
      </c>
      <c r="AU436" s="67">
        <f t="shared" si="106"/>
        <v>5352</v>
      </c>
      <c r="AV436" s="67">
        <f t="shared" si="107"/>
        <v>1</v>
      </c>
      <c r="AW436" s="67" t="s">
        <v>1350</v>
      </c>
    </row>
    <row r="437" spans="1:49" ht="30" customHeight="1" x14ac:dyDescent="0.25">
      <c r="A437" s="73" t="s">
        <v>148</v>
      </c>
      <c r="B437" s="67" t="s">
        <v>221</v>
      </c>
      <c r="C437" s="73" t="s">
        <v>148</v>
      </c>
      <c r="D437" s="67">
        <f t="shared" si="111"/>
        <v>8</v>
      </c>
      <c r="E437" s="67" t="s">
        <v>577</v>
      </c>
      <c r="F437" s="73" t="s">
        <v>822</v>
      </c>
      <c r="G437" s="73" t="s">
        <v>578</v>
      </c>
      <c r="H437" s="67">
        <v>1</v>
      </c>
      <c r="I437" s="67">
        <v>32</v>
      </c>
      <c r="J437" s="67">
        <v>2</v>
      </c>
      <c r="K437" s="68" t="s">
        <v>823</v>
      </c>
      <c r="L437" s="68" t="s">
        <v>638</v>
      </c>
      <c r="M437" s="68" t="s">
        <v>824</v>
      </c>
      <c r="N437" s="67" t="s">
        <v>240</v>
      </c>
      <c r="O437" s="69">
        <v>0</v>
      </c>
      <c r="P437" s="74" t="s">
        <v>240</v>
      </c>
      <c r="Q437" s="67" t="s">
        <v>240</v>
      </c>
      <c r="R437" s="67" t="s">
        <v>829</v>
      </c>
      <c r="S437" s="67">
        <v>5354</v>
      </c>
      <c r="T437" s="67">
        <v>3631</v>
      </c>
      <c r="U437" s="67">
        <v>1723</v>
      </c>
      <c r="V437" s="81">
        <f t="shared" si="109"/>
        <v>583</v>
      </c>
      <c r="W437" s="67">
        <v>196</v>
      </c>
      <c r="X437" s="67">
        <v>2823</v>
      </c>
      <c r="Y437" s="67">
        <v>2703</v>
      </c>
      <c r="Z437" s="67">
        <v>3128</v>
      </c>
      <c r="AA437" s="67" t="s">
        <v>622</v>
      </c>
      <c r="AB437" s="67">
        <v>5902</v>
      </c>
      <c r="AC437" s="67">
        <v>5319</v>
      </c>
      <c r="AD437" s="67">
        <v>6414</v>
      </c>
      <c r="AE437" s="67" t="s">
        <v>622</v>
      </c>
      <c r="AF437" s="67">
        <v>2.98</v>
      </c>
      <c r="AI437" s="70">
        <f t="shared" si="110"/>
        <v>196</v>
      </c>
      <c r="AK437" s="68" t="s">
        <v>826</v>
      </c>
      <c r="AL437" s="68" t="s">
        <v>827</v>
      </c>
      <c r="AP437" s="67">
        <f t="shared" si="103"/>
        <v>8.7015356465073121E-2</v>
      </c>
      <c r="AQ437" s="67">
        <f t="shared" si="104"/>
        <v>6699.9668068245965</v>
      </c>
      <c r="AS437" s="67">
        <f t="shared" si="105"/>
        <v>8.5893972990682863E-4</v>
      </c>
      <c r="AU437" s="67">
        <f t="shared" si="106"/>
        <v>5352</v>
      </c>
      <c r="AV437" s="67">
        <f t="shared" si="107"/>
        <v>1</v>
      </c>
      <c r="AW437" s="67" t="s">
        <v>1350</v>
      </c>
    </row>
    <row r="438" spans="1:49" ht="30" customHeight="1" x14ac:dyDescent="0.25">
      <c r="A438" s="73" t="s">
        <v>148</v>
      </c>
      <c r="B438" s="67" t="s">
        <v>221</v>
      </c>
      <c r="C438" s="73" t="s">
        <v>148</v>
      </c>
      <c r="D438" s="67">
        <f t="shared" si="111"/>
        <v>9</v>
      </c>
      <c r="E438" s="67" t="s">
        <v>577</v>
      </c>
      <c r="F438" s="73" t="s">
        <v>822</v>
      </c>
      <c r="G438" s="73" t="s">
        <v>578</v>
      </c>
      <c r="H438" s="67">
        <v>1</v>
      </c>
      <c r="I438" s="67">
        <v>44</v>
      </c>
      <c r="J438" s="67">
        <v>2</v>
      </c>
      <c r="K438" s="68" t="s">
        <v>823</v>
      </c>
      <c r="L438" s="68" t="s">
        <v>638</v>
      </c>
      <c r="M438" s="68" t="s">
        <v>824</v>
      </c>
      <c r="N438" s="67" t="s">
        <v>240</v>
      </c>
      <c r="O438" s="69">
        <v>0</v>
      </c>
      <c r="P438" s="74" t="s">
        <v>240</v>
      </c>
      <c r="Q438" s="67" t="s">
        <v>240</v>
      </c>
      <c r="R438" s="67" t="s">
        <v>829</v>
      </c>
      <c r="S438" s="67">
        <v>5354</v>
      </c>
      <c r="T438" s="67">
        <v>3631</v>
      </c>
      <c r="U438" s="67">
        <v>1723</v>
      </c>
      <c r="V438" s="81">
        <f t="shared" si="109"/>
        <v>556</v>
      </c>
      <c r="W438" s="67">
        <v>218</v>
      </c>
      <c r="X438" s="67">
        <v>2823</v>
      </c>
      <c r="Y438" s="67">
        <v>2703</v>
      </c>
      <c r="Z438" s="67">
        <v>3128</v>
      </c>
      <c r="AA438" s="67" t="s">
        <v>622</v>
      </c>
      <c r="AB438" s="67">
        <v>6367</v>
      </c>
      <c r="AC438" s="67">
        <v>5811</v>
      </c>
      <c r="AD438" s="67">
        <v>7039</v>
      </c>
      <c r="AE438" s="67" t="s">
        <v>622</v>
      </c>
      <c r="AF438" s="67">
        <v>2.5499999999999998</v>
      </c>
      <c r="AI438" s="70">
        <f t="shared" si="110"/>
        <v>218</v>
      </c>
      <c r="AK438" s="68" t="s">
        <v>826</v>
      </c>
      <c r="AL438" s="68" t="s">
        <v>827</v>
      </c>
      <c r="AP438" s="67">
        <f t="shared" si="103"/>
        <v>7.4610803705429135E-2</v>
      </c>
      <c r="AQ438" s="67">
        <f t="shared" si="104"/>
        <v>7452.0038973865403</v>
      </c>
      <c r="AS438" s="67">
        <f t="shared" si="105"/>
        <v>8.5819023449330595E-4</v>
      </c>
      <c r="AU438" s="67">
        <f t="shared" si="106"/>
        <v>5352</v>
      </c>
      <c r="AV438" s="67">
        <f t="shared" si="107"/>
        <v>1</v>
      </c>
      <c r="AW438" s="67" t="s">
        <v>1350</v>
      </c>
    </row>
    <row r="439" spans="1:49" ht="30" customHeight="1" x14ac:dyDescent="0.25">
      <c r="A439" s="73" t="s">
        <v>148</v>
      </c>
      <c r="B439" s="67" t="s">
        <v>221</v>
      </c>
      <c r="C439" s="73" t="s">
        <v>148</v>
      </c>
      <c r="D439" s="67">
        <f t="shared" si="111"/>
        <v>10</v>
      </c>
      <c r="E439" s="67" t="s">
        <v>577</v>
      </c>
      <c r="F439" s="73" t="s">
        <v>822</v>
      </c>
      <c r="G439" s="73" t="s">
        <v>578</v>
      </c>
      <c r="H439" s="67">
        <v>1</v>
      </c>
      <c r="I439" s="67">
        <v>56</v>
      </c>
      <c r="J439" s="67">
        <v>2</v>
      </c>
      <c r="K439" s="68" t="s">
        <v>823</v>
      </c>
      <c r="L439" s="68" t="s">
        <v>638</v>
      </c>
      <c r="M439" s="68" t="s">
        <v>824</v>
      </c>
      <c r="N439" s="67" t="s">
        <v>240</v>
      </c>
      <c r="O439" s="69">
        <v>0</v>
      </c>
      <c r="P439" s="74" t="s">
        <v>240</v>
      </c>
      <c r="Q439" s="67" t="s">
        <v>240</v>
      </c>
      <c r="R439" s="67" t="s">
        <v>829</v>
      </c>
      <c r="S439" s="67">
        <v>5354</v>
      </c>
      <c r="T439" s="67">
        <v>3631</v>
      </c>
      <c r="U439" s="67">
        <v>1723</v>
      </c>
      <c r="V439" s="81">
        <f t="shared" si="109"/>
        <v>402</v>
      </c>
      <c r="W439" s="67">
        <v>225</v>
      </c>
      <c r="X439" s="67">
        <v>2823</v>
      </c>
      <c r="Y439" s="67">
        <v>2703</v>
      </c>
      <c r="Z439" s="67">
        <v>3128</v>
      </c>
      <c r="AA439" s="67" t="s">
        <v>622</v>
      </c>
      <c r="AB439" s="67">
        <v>6556</v>
      </c>
      <c r="AC439" s="67">
        <v>6154</v>
      </c>
      <c r="AD439" s="67">
        <v>7480</v>
      </c>
      <c r="AE439" s="67" t="s">
        <v>622</v>
      </c>
      <c r="AF439" s="67">
        <v>1.79</v>
      </c>
      <c r="AI439" s="70">
        <f t="shared" si="110"/>
        <v>225</v>
      </c>
      <c r="AK439" s="68" t="s">
        <v>828</v>
      </c>
      <c r="AL439" s="68" t="s">
        <v>827</v>
      </c>
      <c r="AP439" s="67">
        <f t="shared" si="103"/>
        <v>5.22669256077457E-2</v>
      </c>
      <c r="AQ439" s="67">
        <f t="shared" si="104"/>
        <v>7691.2884262017051</v>
      </c>
      <c r="AS439" s="67">
        <f t="shared" si="105"/>
        <v>8.5713044364579729E-4</v>
      </c>
      <c r="AU439" s="67">
        <f t="shared" si="106"/>
        <v>5352</v>
      </c>
      <c r="AV439" s="67">
        <f t="shared" si="107"/>
        <v>1</v>
      </c>
      <c r="AW439" s="67" t="s">
        <v>1350</v>
      </c>
    </row>
    <row r="440" spans="1:49" ht="30" customHeight="1" x14ac:dyDescent="0.25">
      <c r="A440" s="73" t="s">
        <v>148</v>
      </c>
      <c r="B440" s="67" t="s">
        <v>221</v>
      </c>
      <c r="C440" s="73" t="s">
        <v>148</v>
      </c>
      <c r="D440" s="67">
        <f t="shared" si="111"/>
        <v>11</v>
      </c>
      <c r="E440" s="67" t="s">
        <v>583</v>
      </c>
      <c r="F440" s="73" t="s">
        <v>640</v>
      </c>
      <c r="G440" s="73" t="s">
        <v>578</v>
      </c>
      <c r="H440" s="67">
        <v>1</v>
      </c>
      <c r="I440" s="67">
        <v>8</v>
      </c>
      <c r="J440" s="67">
        <v>2</v>
      </c>
      <c r="K440" s="68" t="s">
        <v>823</v>
      </c>
      <c r="L440" s="68" t="s">
        <v>638</v>
      </c>
      <c r="M440" s="68" t="s">
        <v>824</v>
      </c>
      <c r="N440" s="67" t="s">
        <v>240</v>
      </c>
      <c r="O440" s="69">
        <v>0</v>
      </c>
      <c r="P440" s="74" t="s">
        <v>240</v>
      </c>
      <c r="Q440" s="67" t="s">
        <v>240</v>
      </c>
      <c r="R440" s="67" t="s">
        <v>830</v>
      </c>
      <c r="S440" s="67">
        <v>1736</v>
      </c>
      <c r="T440" s="67">
        <v>1177</v>
      </c>
      <c r="U440" s="67">
        <v>559</v>
      </c>
      <c r="V440" s="81">
        <f t="shared" si="109"/>
        <v>-180</v>
      </c>
      <c r="W440" s="67">
        <v>243</v>
      </c>
      <c r="X440" s="67">
        <v>2894</v>
      </c>
      <c r="Y440" s="67">
        <v>3014</v>
      </c>
      <c r="Z440" s="67">
        <v>2902</v>
      </c>
      <c r="AA440" s="67" t="s">
        <v>622</v>
      </c>
      <c r="AB440" s="67">
        <v>4612</v>
      </c>
      <c r="AC440" s="67">
        <v>4792</v>
      </c>
      <c r="AD440" s="67">
        <v>4603</v>
      </c>
      <c r="AE440" s="67" t="s">
        <v>622</v>
      </c>
      <c r="AF440" s="67">
        <v>-0.74</v>
      </c>
      <c r="AI440" s="70">
        <f t="shared" si="110"/>
        <v>243</v>
      </c>
      <c r="AK440" s="68" t="s">
        <v>828</v>
      </c>
      <c r="AL440" s="68" t="s">
        <v>827</v>
      </c>
      <c r="AP440" s="67">
        <f t="shared" si="103"/>
        <v>-3.8049324984778282E-2</v>
      </c>
      <c r="AQ440" s="67">
        <f t="shared" si="104"/>
        <v>4730.7015320773598</v>
      </c>
      <c r="AS440" s="67">
        <f t="shared" si="105"/>
        <v>2.6432450030232759E-3</v>
      </c>
      <c r="AU440" s="67">
        <f t="shared" si="106"/>
        <v>1734</v>
      </c>
      <c r="AV440" s="67">
        <f t="shared" si="107"/>
        <v>1</v>
      </c>
      <c r="AW440" s="67" t="s">
        <v>1350</v>
      </c>
    </row>
    <row r="441" spans="1:49" ht="30" customHeight="1" x14ac:dyDescent="0.25">
      <c r="A441" s="73" t="s">
        <v>148</v>
      </c>
      <c r="B441" s="67" t="s">
        <v>221</v>
      </c>
      <c r="C441" s="73" t="s">
        <v>148</v>
      </c>
      <c r="D441" s="67">
        <f t="shared" si="111"/>
        <v>12</v>
      </c>
      <c r="E441" s="67" t="s">
        <v>583</v>
      </c>
      <c r="F441" s="73" t="s">
        <v>640</v>
      </c>
      <c r="G441" s="73" t="s">
        <v>578</v>
      </c>
      <c r="H441" s="67">
        <v>1</v>
      </c>
      <c r="I441" s="67">
        <v>20</v>
      </c>
      <c r="J441" s="67">
        <v>2</v>
      </c>
      <c r="K441" s="68" t="s">
        <v>823</v>
      </c>
      <c r="L441" s="68" t="s">
        <v>638</v>
      </c>
      <c r="M441" s="68" t="s">
        <v>824</v>
      </c>
      <c r="N441" s="67" t="s">
        <v>240</v>
      </c>
      <c r="O441" s="69">
        <v>0</v>
      </c>
      <c r="P441" s="74" t="s">
        <v>240</v>
      </c>
      <c r="Q441" s="67" t="s">
        <v>240</v>
      </c>
      <c r="R441" s="67" t="s">
        <v>830</v>
      </c>
      <c r="S441" s="67">
        <v>1736</v>
      </c>
      <c r="T441" s="67">
        <v>1177</v>
      </c>
      <c r="U441" s="67">
        <v>559</v>
      </c>
      <c r="V441" s="81">
        <f t="shared" si="109"/>
        <v>-343</v>
      </c>
      <c r="W441" s="67">
        <v>297</v>
      </c>
      <c r="X441" s="67">
        <v>2894</v>
      </c>
      <c r="Y441" s="67">
        <v>3014</v>
      </c>
      <c r="Z441" s="67">
        <v>2902</v>
      </c>
      <c r="AA441" s="67" t="s">
        <v>622</v>
      </c>
      <c r="AB441" s="67">
        <v>5620</v>
      </c>
      <c r="AC441" s="67">
        <v>5963</v>
      </c>
      <c r="AD441" s="67">
        <v>5703</v>
      </c>
      <c r="AE441" s="67" t="s">
        <v>622</v>
      </c>
      <c r="AF441" s="67">
        <v>-1.1599999999999999</v>
      </c>
      <c r="AI441" s="70">
        <f t="shared" si="110"/>
        <v>297</v>
      </c>
      <c r="AK441" s="68" t="s">
        <v>828</v>
      </c>
      <c r="AL441" s="68" t="s">
        <v>827</v>
      </c>
      <c r="AP441" s="67">
        <f t="shared" si="103"/>
        <v>-5.9322356680813412E-2</v>
      </c>
      <c r="AQ441" s="67">
        <f t="shared" si="104"/>
        <v>5781.9685392056626</v>
      </c>
      <c r="AS441" s="67">
        <f t="shared" si="105"/>
        <v>2.6456369093400987E-3</v>
      </c>
      <c r="AU441" s="67">
        <f t="shared" si="106"/>
        <v>1734</v>
      </c>
      <c r="AV441" s="67">
        <f t="shared" si="107"/>
        <v>1</v>
      </c>
      <c r="AW441" s="67" t="s">
        <v>1350</v>
      </c>
    </row>
    <row r="442" spans="1:49" ht="30" customHeight="1" x14ac:dyDescent="0.25">
      <c r="A442" s="73" t="s">
        <v>148</v>
      </c>
      <c r="B442" s="67" t="s">
        <v>221</v>
      </c>
      <c r="C442" s="73" t="s">
        <v>148</v>
      </c>
      <c r="D442" s="67">
        <f t="shared" si="111"/>
        <v>13</v>
      </c>
      <c r="E442" s="67" t="s">
        <v>583</v>
      </c>
      <c r="F442" s="73" t="s">
        <v>640</v>
      </c>
      <c r="G442" s="73" t="s">
        <v>578</v>
      </c>
      <c r="H442" s="67">
        <v>1</v>
      </c>
      <c r="I442" s="67">
        <v>32</v>
      </c>
      <c r="J442" s="67">
        <v>2</v>
      </c>
      <c r="K442" s="68" t="s">
        <v>823</v>
      </c>
      <c r="L442" s="68" t="s">
        <v>638</v>
      </c>
      <c r="M442" s="68" t="s">
        <v>824</v>
      </c>
      <c r="N442" s="67" t="s">
        <v>240</v>
      </c>
      <c r="O442" s="69">
        <v>0</v>
      </c>
      <c r="P442" s="74" t="s">
        <v>240</v>
      </c>
      <c r="Q442" s="67" t="s">
        <v>240</v>
      </c>
      <c r="R442" s="67" t="s">
        <v>830</v>
      </c>
      <c r="S442" s="67">
        <v>1736</v>
      </c>
      <c r="T442" s="67">
        <v>1177</v>
      </c>
      <c r="U442" s="67">
        <v>559</v>
      </c>
      <c r="V442" s="81">
        <f t="shared" si="109"/>
        <v>-367</v>
      </c>
      <c r="W442" s="67">
        <v>338</v>
      </c>
      <c r="X442" s="67">
        <v>2894</v>
      </c>
      <c r="Y442" s="67">
        <v>3014</v>
      </c>
      <c r="Z442" s="67">
        <v>2902</v>
      </c>
      <c r="AA442" s="67" t="s">
        <v>622</v>
      </c>
      <c r="AB442" s="67">
        <v>6130</v>
      </c>
      <c r="AC442" s="67">
        <v>6497</v>
      </c>
      <c r="AD442" s="67">
        <v>6646</v>
      </c>
      <c r="AE442" s="67" t="s">
        <v>622</v>
      </c>
      <c r="AF442" s="67">
        <v>-1.08</v>
      </c>
      <c r="AI442" s="70">
        <f t="shared" si="110"/>
        <v>338</v>
      </c>
      <c r="AK442" s="68" t="s">
        <v>828</v>
      </c>
      <c r="AL442" s="68" t="s">
        <v>827</v>
      </c>
      <c r="AP442" s="67">
        <f t="shared" si="103"/>
        <v>-5.5773781253575148E-2</v>
      </c>
      <c r="AQ442" s="67">
        <f t="shared" si="104"/>
        <v>6580.1527483215959</v>
      </c>
      <c r="AS442" s="67">
        <f t="shared" si="105"/>
        <v>2.6451652842513634E-3</v>
      </c>
      <c r="AU442" s="67">
        <f t="shared" si="106"/>
        <v>1734</v>
      </c>
      <c r="AV442" s="67">
        <f t="shared" si="107"/>
        <v>1</v>
      </c>
      <c r="AW442" s="67" t="s">
        <v>1350</v>
      </c>
    </row>
    <row r="443" spans="1:49" ht="30" customHeight="1" x14ac:dyDescent="0.25">
      <c r="A443" s="73" t="s">
        <v>148</v>
      </c>
      <c r="B443" s="67" t="s">
        <v>221</v>
      </c>
      <c r="C443" s="73" t="s">
        <v>148</v>
      </c>
      <c r="D443" s="67">
        <f t="shared" si="111"/>
        <v>14</v>
      </c>
      <c r="E443" s="67" t="s">
        <v>583</v>
      </c>
      <c r="F443" s="73" t="s">
        <v>640</v>
      </c>
      <c r="G443" s="73" t="s">
        <v>578</v>
      </c>
      <c r="H443" s="67">
        <v>1</v>
      </c>
      <c r="I443" s="67">
        <v>44</v>
      </c>
      <c r="J443" s="67">
        <v>2</v>
      </c>
      <c r="K443" s="68" t="s">
        <v>823</v>
      </c>
      <c r="L443" s="68" t="s">
        <v>638</v>
      </c>
      <c r="M443" s="68" t="s">
        <v>824</v>
      </c>
      <c r="N443" s="67" t="s">
        <v>240</v>
      </c>
      <c r="O443" s="69">
        <v>0</v>
      </c>
      <c r="P443" s="74" t="s">
        <v>240</v>
      </c>
      <c r="Q443" s="67" t="s">
        <v>240</v>
      </c>
      <c r="R443" s="67" t="s">
        <v>830</v>
      </c>
      <c r="S443" s="67">
        <v>1736</v>
      </c>
      <c r="T443" s="67">
        <v>1177</v>
      </c>
      <c r="U443" s="67">
        <v>559</v>
      </c>
      <c r="V443" s="81">
        <f t="shared" si="109"/>
        <v>262</v>
      </c>
      <c r="W443" s="67">
        <v>378</v>
      </c>
      <c r="X443" s="67">
        <v>2894</v>
      </c>
      <c r="Y443" s="67">
        <v>3014</v>
      </c>
      <c r="Z443" s="67">
        <v>2902</v>
      </c>
      <c r="AA443" s="67" t="s">
        <v>622</v>
      </c>
      <c r="AB443" s="67">
        <v>6687</v>
      </c>
      <c r="AC443" s="67">
        <v>6425</v>
      </c>
      <c r="AD443" s="67">
        <v>7186</v>
      </c>
      <c r="AE443" s="67" t="s">
        <v>622</v>
      </c>
      <c r="AF443" s="67">
        <v>0.69</v>
      </c>
      <c r="AI443" s="70">
        <f t="shared" si="110"/>
        <v>378</v>
      </c>
      <c r="AK443" s="68" t="s">
        <v>828</v>
      </c>
      <c r="AL443" s="68" t="s">
        <v>827</v>
      </c>
      <c r="AP443" s="67">
        <f t="shared" si="103"/>
        <v>3.5603296950042537E-2</v>
      </c>
      <c r="AQ443" s="67">
        <f t="shared" si="104"/>
        <v>7358.8690498981159</v>
      </c>
      <c r="AS443" s="67">
        <f t="shared" si="105"/>
        <v>2.643036970254125E-3</v>
      </c>
      <c r="AU443" s="67">
        <f t="shared" si="106"/>
        <v>1734</v>
      </c>
      <c r="AV443" s="67">
        <f t="shared" si="107"/>
        <v>1</v>
      </c>
      <c r="AW443" s="67" t="s">
        <v>1350</v>
      </c>
    </row>
    <row r="444" spans="1:49" ht="30" customHeight="1" x14ac:dyDescent="0.25">
      <c r="A444" s="73" t="s">
        <v>148</v>
      </c>
      <c r="B444" s="67" t="s">
        <v>221</v>
      </c>
      <c r="C444" s="73" t="s">
        <v>148</v>
      </c>
      <c r="D444" s="67">
        <f t="shared" si="111"/>
        <v>15</v>
      </c>
      <c r="E444" s="67" t="s">
        <v>583</v>
      </c>
      <c r="F444" s="73" t="s">
        <v>640</v>
      </c>
      <c r="G444" s="73" t="s">
        <v>578</v>
      </c>
      <c r="H444" s="67">
        <v>1</v>
      </c>
      <c r="I444" s="67">
        <v>56</v>
      </c>
      <c r="J444" s="67">
        <v>2</v>
      </c>
      <c r="K444" s="68" t="s">
        <v>823</v>
      </c>
      <c r="L444" s="68" t="s">
        <v>638</v>
      </c>
      <c r="M444" s="68" t="s">
        <v>824</v>
      </c>
      <c r="N444" s="67" t="s">
        <v>240</v>
      </c>
      <c r="O444" s="69">
        <v>0</v>
      </c>
      <c r="P444" s="74" t="s">
        <v>240</v>
      </c>
      <c r="Q444" s="67" t="s">
        <v>240</v>
      </c>
      <c r="R444" s="67" t="s">
        <v>830</v>
      </c>
      <c r="S444" s="67">
        <v>1736</v>
      </c>
      <c r="T444" s="67">
        <v>1177</v>
      </c>
      <c r="U444" s="67">
        <v>559</v>
      </c>
      <c r="V444" s="81">
        <f t="shared" si="109"/>
        <v>776</v>
      </c>
      <c r="W444" s="67">
        <v>413</v>
      </c>
      <c r="X444" s="67">
        <v>2894</v>
      </c>
      <c r="Y444" s="67">
        <v>3014</v>
      </c>
      <c r="Z444" s="67">
        <v>2902</v>
      </c>
      <c r="AA444" s="67" t="s">
        <v>622</v>
      </c>
      <c r="AB444" s="67">
        <v>7554</v>
      </c>
      <c r="AC444" s="67">
        <v>6778</v>
      </c>
      <c r="AD444" s="67">
        <v>7807</v>
      </c>
      <c r="AE444" s="67" t="s">
        <v>622</v>
      </c>
      <c r="AF444" s="67">
        <v>1.88</v>
      </c>
      <c r="AI444" s="70">
        <f t="shared" si="110"/>
        <v>413</v>
      </c>
      <c r="AK444" s="68" t="s">
        <v>828</v>
      </c>
      <c r="AL444" s="68" t="s">
        <v>827</v>
      </c>
      <c r="AP444" s="67">
        <f t="shared" si="103"/>
        <v>9.6514462116352853E-2</v>
      </c>
      <c r="AQ444" s="67">
        <f t="shared" si="104"/>
        <v>8040.2458137775711</v>
      </c>
      <c r="AS444" s="67">
        <f t="shared" si="105"/>
        <v>2.6523296338152066E-3</v>
      </c>
      <c r="AU444" s="67">
        <f t="shared" si="106"/>
        <v>1734</v>
      </c>
      <c r="AV444" s="67">
        <f t="shared" si="107"/>
        <v>1</v>
      </c>
      <c r="AW444" s="67" t="s">
        <v>1350</v>
      </c>
    </row>
    <row r="445" spans="1:49" ht="30" customHeight="1" x14ac:dyDescent="0.25">
      <c r="A445" s="73" t="s">
        <v>148</v>
      </c>
      <c r="B445" s="67" t="s">
        <v>221</v>
      </c>
      <c r="C445" s="73" t="s">
        <v>148</v>
      </c>
      <c r="D445" s="67">
        <f t="shared" si="111"/>
        <v>16</v>
      </c>
      <c r="E445" s="67" t="s">
        <v>577</v>
      </c>
      <c r="F445" s="73" t="s">
        <v>640</v>
      </c>
      <c r="G445" s="73" t="s">
        <v>578</v>
      </c>
      <c r="H445" s="67">
        <v>1</v>
      </c>
      <c r="I445" s="67">
        <v>8</v>
      </c>
      <c r="J445" s="67">
        <v>2</v>
      </c>
      <c r="K445" s="68" t="s">
        <v>823</v>
      </c>
      <c r="L445" s="68" t="s">
        <v>638</v>
      </c>
      <c r="M445" s="68" t="s">
        <v>824</v>
      </c>
      <c r="N445" s="67" t="s">
        <v>240</v>
      </c>
      <c r="O445" s="69">
        <v>0</v>
      </c>
      <c r="P445" s="74" t="s">
        <v>240</v>
      </c>
      <c r="Q445" s="67" t="s">
        <v>240</v>
      </c>
      <c r="R445" s="67" t="s">
        <v>831</v>
      </c>
      <c r="S445" s="67">
        <v>2300</v>
      </c>
      <c r="T445" s="67">
        <v>1593</v>
      </c>
      <c r="U445" s="67">
        <v>707</v>
      </c>
      <c r="V445" s="81">
        <f t="shared" si="109"/>
        <v>-50</v>
      </c>
      <c r="W445" s="67">
        <v>172</v>
      </c>
      <c r="X445" s="67">
        <v>1974</v>
      </c>
      <c r="Y445" s="67">
        <v>2098</v>
      </c>
      <c r="Z445" s="67">
        <v>2307</v>
      </c>
      <c r="AA445" s="67" t="s">
        <v>622</v>
      </c>
      <c r="AB445" s="67">
        <v>3339</v>
      </c>
      <c r="AC445" s="67">
        <v>3389</v>
      </c>
      <c r="AD445" s="67">
        <v>3767</v>
      </c>
      <c r="AE445" s="67" t="s">
        <v>622</v>
      </c>
      <c r="AF445" s="67">
        <v>-0.28999999999999998</v>
      </c>
      <c r="AI445" s="70">
        <f t="shared" si="110"/>
        <v>172</v>
      </c>
      <c r="AK445" s="68" t="s">
        <v>828</v>
      </c>
      <c r="AL445" s="68" t="s">
        <v>827</v>
      </c>
      <c r="AP445" s="67">
        <f t="shared" si="103"/>
        <v>-1.313674835220284E-2</v>
      </c>
      <c r="AQ445" s="67">
        <f t="shared" si="104"/>
        <v>3806.1169065186314</v>
      </c>
      <c r="AS445" s="67">
        <f t="shared" si="105"/>
        <v>2.04410277019898E-3</v>
      </c>
      <c r="AU445" s="67">
        <f t="shared" si="106"/>
        <v>2298</v>
      </c>
      <c r="AV445" s="67">
        <f t="shared" si="107"/>
        <v>1</v>
      </c>
      <c r="AW445" s="67" t="s">
        <v>1350</v>
      </c>
    </row>
    <row r="446" spans="1:49" ht="30" customHeight="1" x14ac:dyDescent="0.25">
      <c r="A446" s="73" t="s">
        <v>148</v>
      </c>
      <c r="B446" s="67" t="s">
        <v>221</v>
      </c>
      <c r="C446" s="73" t="s">
        <v>148</v>
      </c>
      <c r="D446" s="67">
        <f t="shared" si="111"/>
        <v>17</v>
      </c>
      <c r="E446" s="67" t="s">
        <v>577</v>
      </c>
      <c r="F446" s="73" t="s">
        <v>640</v>
      </c>
      <c r="G446" s="73" t="s">
        <v>578</v>
      </c>
      <c r="H446" s="67">
        <v>1</v>
      </c>
      <c r="I446" s="67">
        <v>20</v>
      </c>
      <c r="J446" s="67">
        <v>2</v>
      </c>
      <c r="K446" s="68" t="s">
        <v>823</v>
      </c>
      <c r="L446" s="68" t="s">
        <v>638</v>
      </c>
      <c r="M446" s="68" t="s">
        <v>824</v>
      </c>
      <c r="N446" s="67" t="s">
        <v>240</v>
      </c>
      <c r="O446" s="69">
        <v>0</v>
      </c>
      <c r="P446" s="74" t="s">
        <v>240</v>
      </c>
      <c r="Q446" s="67" t="s">
        <v>240</v>
      </c>
      <c r="R446" s="67" t="s">
        <v>831</v>
      </c>
      <c r="S446" s="67">
        <v>2300</v>
      </c>
      <c r="T446" s="67">
        <v>1593</v>
      </c>
      <c r="U446" s="67">
        <v>707</v>
      </c>
      <c r="V446" s="81">
        <f t="shared" si="109"/>
        <v>-80</v>
      </c>
      <c r="W446" s="67">
        <v>209</v>
      </c>
      <c r="X446" s="67">
        <v>1974</v>
      </c>
      <c r="Y446" s="67">
        <v>2098</v>
      </c>
      <c r="Z446" s="67">
        <v>2307</v>
      </c>
      <c r="AA446" s="67" t="s">
        <v>622</v>
      </c>
      <c r="AB446" s="67">
        <v>4045</v>
      </c>
      <c r="AC446" s="67">
        <v>4125</v>
      </c>
      <c r="AD446" s="67">
        <v>4663</v>
      </c>
      <c r="AE446" s="67" t="s">
        <v>622</v>
      </c>
      <c r="AF446" s="67">
        <v>-0.38</v>
      </c>
      <c r="AI446" s="70">
        <f t="shared" si="110"/>
        <v>209</v>
      </c>
      <c r="AK446" s="68" t="s">
        <v>828</v>
      </c>
      <c r="AL446" s="68" t="s">
        <v>827</v>
      </c>
      <c r="AP446" s="67">
        <f t="shared" si="103"/>
        <v>-1.7297766251321633E-2</v>
      </c>
      <c r="AQ446" s="67">
        <f t="shared" si="104"/>
        <v>4624.8746131534535</v>
      </c>
      <c r="AS446" s="67">
        <f t="shared" si="105"/>
        <v>2.0442130825334892E-3</v>
      </c>
      <c r="AU446" s="67">
        <f t="shared" si="106"/>
        <v>2298</v>
      </c>
      <c r="AV446" s="67">
        <f t="shared" si="107"/>
        <v>1</v>
      </c>
      <c r="AW446" s="67" t="s">
        <v>1350</v>
      </c>
    </row>
    <row r="447" spans="1:49" ht="30" customHeight="1" x14ac:dyDescent="0.25">
      <c r="A447" s="73" t="s">
        <v>148</v>
      </c>
      <c r="B447" s="67" t="s">
        <v>221</v>
      </c>
      <c r="C447" s="73" t="s">
        <v>148</v>
      </c>
      <c r="D447" s="67">
        <f t="shared" si="111"/>
        <v>18</v>
      </c>
      <c r="E447" s="67" t="s">
        <v>577</v>
      </c>
      <c r="F447" s="73" t="s">
        <v>640</v>
      </c>
      <c r="G447" s="73" t="s">
        <v>578</v>
      </c>
      <c r="H447" s="67">
        <v>1</v>
      </c>
      <c r="I447" s="67">
        <v>32</v>
      </c>
      <c r="J447" s="67">
        <v>2</v>
      </c>
      <c r="K447" s="68" t="s">
        <v>823</v>
      </c>
      <c r="L447" s="68" t="s">
        <v>638</v>
      </c>
      <c r="M447" s="68" t="s">
        <v>824</v>
      </c>
      <c r="N447" s="67" t="s">
        <v>240</v>
      </c>
      <c r="O447" s="69">
        <v>0</v>
      </c>
      <c r="P447" s="74" t="s">
        <v>240</v>
      </c>
      <c r="Q447" s="67" t="s">
        <v>240</v>
      </c>
      <c r="R447" s="67" t="s">
        <v>831</v>
      </c>
      <c r="S447" s="67">
        <v>2300</v>
      </c>
      <c r="T447" s="67">
        <v>1593</v>
      </c>
      <c r="U447" s="67">
        <v>707</v>
      </c>
      <c r="V447" s="81">
        <f t="shared" si="109"/>
        <v>10</v>
      </c>
      <c r="W447" s="67">
        <v>240</v>
      </c>
      <c r="X447" s="67">
        <v>1974</v>
      </c>
      <c r="Y447" s="67">
        <v>2098</v>
      </c>
      <c r="Z447" s="67">
        <v>2307</v>
      </c>
      <c r="AA447" s="67" t="s">
        <v>622</v>
      </c>
      <c r="AB447" s="67">
        <v>4393</v>
      </c>
      <c r="AC447" s="67">
        <v>4383</v>
      </c>
      <c r="AD447" s="67">
        <v>5388</v>
      </c>
      <c r="AE447" s="67" t="s">
        <v>622</v>
      </c>
      <c r="AF447" s="67">
        <v>0.04</v>
      </c>
      <c r="AI447" s="70">
        <f t="shared" si="110"/>
        <v>240</v>
      </c>
      <c r="AK447" s="68" t="s">
        <v>828</v>
      </c>
      <c r="AL447" s="68" t="s">
        <v>827</v>
      </c>
      <c r="AP447" s="67">
        <f t="shared" si="103"/>
        <v>1.8829339304824069E-3</v>
      </c>
      <c r="AQ447" s="67">
        <f t="shared" si="104"/>
        <v>5310.8607997934396</v>
      </c>
      <c r="AS447" s="67">
        <f t="shared" si="105"/>
        <v>2.0439555326405455E-3</v>
      </c>
      <c r="AU447" s="67">
        <f t="shared" si="106"/>
        <v>2298</v>
      </c>
      <c r="AV447" s="67">
        <f t="shared" si="107"/>
        <v>1</v>
      </c>
      <c r="AW447" s="67" t="s">
        <v>1350</v>
      </c>
    </row>
    <row r="448" spans="1:49" ht="30" customHeight="1" x14ac:dyDescent="0.25">
      <c r="A448" s="73" t="s">
        <v>148</v>
      </c>
      <c r="B448" s="67" t="s">
        <v>221</v>
      </c>
      <c r="C448" s="73" t="s">
        <v>148</v>
      </c>
      <c r="D448" s="67">
        <f t="shared" si="111"/>
        <v>19</v>
      </c>
      <c r="E448" s="67" t="s">
        <v>577</v>
      </c>
      <c r="F448" s="73" t="s">
        <v>640</v>
      </c>
      <c r="G448" s="73" t="s">
        <v>578</v>
      </c>
      <c r="H448" s="67">
        <v>1</v>
      </c>
      <c r="I448" s="67">
        <v>44</v>
      </c>
      <c r="J448" s="67">
        <v>2</v>
      </c>
      <c r="K448" s="68" t="s">
        <v>823</v>
      </c>
      <c r="L448" s="68" t="s">
        <v>638</v>
      </c>
      <c r="M448" s="68" t="s">
        <v>824</v>
      </c>
      <c r="N448" s="67" t="s">
        <v>240</v>
      </c>
      <c r="O448" s="69">
        <v>0</v>
      </c>
      <c r="P448" s="74" t="s">
        <v>240</v>
      </c>
      <c r="Q448" s="67" t="s">
        <v>240</v>
      </c>
      <c r="R448" s="67" t="s">
        <v>831</v>
      </c>
      <c r="S448" s="67">
        <v>2300</v>
      </c>
      <c r="T448" s="67">
        <v>1593</v>
      </c>
      <c r="U448" s="67">
        <v>707</v>
      </c>
      <c r="V448" s="81">
        <f t="shared" si="109"/>
        <v>324</v>
      </c>
      <c r="W448" s="67">
        <v>270</v>
      </c>
      <c r="X448" s="67">
        <v>1974</v>
      </c>
      <c r="Y448" s="67">
        <v>2098</v>
      </c>
      <c r="Z448" s="67">
        <v>2307</v>
      </c>
      <c r="AA448" s="67" t="s">
        <v>622</v>
      </c>
      <c r="AB448" s="67">
        <v>4934</v>
      </c>
      <c r="AC448" s="67">
        <v>4610</v>
      </c>
      <c r="AD448" s="67">
        <v>5803</v>
      </c>
      <c r="AE448" s="67" t="s">
        <v>622</v>
      </c>
      <c r="AF448" s="67">
        <v>1.2</v>
      </c>
      <c r="AI448" s="70">
        <f t="shared" si="110"/>
        <v>270</v>
      </c>
      <c r="AK448" s="68" t="s">
        <v>828</v>
      </c>
      <c r="AL448" s="68" t="s">
        <v>827</v>
      </c>
      <c r="AP448" s="67">
        <f t="shared" si="103"/>
        <v>5.422849719789332E-2</v>
      </c>
      <c r="AQ448" s="67">
        <f t="shared" si="104"/>
        <v>5974.7183997676193</v>
      </c>
      <c r="AS448" s="67">
        <f t="shared" si="105"/>
        <v>2.0465140556964303E-3</v>
      </c>
      <c r="AU448" s="67">
        <f t="shared" si="106"/>
        <v>2298</v>
      </c>
      <c r="AV448" s="67">
        <f t="shared" si="107"/>
        <v>1</v>
      </c>
      <c r="AW448" s="67" t="s">
        <v>1350</v>
      </c>
    </row>
    <row r="449" spans="1:49" ht="30" customHeight="1" x14ac:dyDescent="0.25">
      <c r="A449" s="73" t="s">
        <v>148</v>
      </c>
      <c r="B449" s="67" t="s">
        <v>221</v>
      </c>
      <c r="C449" s="73" t="s">
        <v>148</v>
      </c>
      <c r="D449" s="67">
        <f t="shared" si="111"/>
        <v>20</v>
      </c>
      <c r="E449" s="67" t="s">
        <v>577</v>
      </c>
      <c r="F449" s="73" t="s">
        <v>640</v>
      </c>
      <c r="G449" s="73" t="s">
        <v>578</v>
      </c>
      <c r="H449" s="67">
        <v>1</v>
      </c>
      <c r="I449" s="67">
        <v>56</v>
      </c>
      <c r="J449" s="67">
        <v>2</v>
      </c>
      <c r="K449" s="68" t="s">
        <v>823</v>
      </c>
      <c r="L449" s="68" t="s">
        <v>638</v>
      </c>
      <c r="M449" s="68" t="s">
        <v>824</v>
      </c>
      <c r="N449" s="67" t="s">
        <v>240</v>
      </c>
      <c r="O449" s="69">
        <v>0</v>
      </c>
      <c r="P449" s="74" t="s">
        <v>240</v>
      </c>
      <c r="Q449" s="67" t="s">
        <v>240</v>
      </c>
      <c r="R449" s="67" t="s">
        <v>831</v>
      </c>
      <c r="S449" s="67">
        <v>2300</v>
      </c>
      <c r="T449" s="67">
        <v>1593</v>
      </c>
      <c r="U449" s="67">
        <v>707</v>
      </c>
      <c r="V449" s="81">
        <f t="shared" si="109"/>
        <v>224</v>
      </c>
      <c r="W449" s="67">
        <v>291</v>
      </c>
      <c r="X449" s="67">
        <v>1974</v>
      </c>
      <c r="Y449" s="67">
        <v>2098</v>
      </c>
      <c r="Z449" s="67">
        <v>2307</v>
      </c>
      <c r="AA449" s="67" t="s">
        <v>622</v>
      </c>
      <c r="AB449" s="67">
        <v>5433</v>
      </c>
      <c r="AC449" s="67">
        <v>5209</v>
      </c>
      <c r="AD449" s="67">
        <v>6309</v>
      </c>
      <c r="AE449" s="67" t="s">
        <v>622</v>
      </c>
      <c r="AF449" s="67">
        <v>0.77</v>
      </c>
      <c r="AI449" s="70">
        <f t="shared" si="110"/>
        <v>291</v>
      </c>
      <c r="AK449" s="68" t="s">
        <v>828</v>
      </c>
      <c r="AL449" s="68" t="s">
        <v>827</v>
      </c>
      <c r="AP449" s="67">
        <f t="shared" si="103"/>
        <v>3.4785748488912097E-2</v>
      </c>
      <c r="AQ449" s="67">
        <f t="shared" si="104"/>
        <v>6439.4187197495448</v>
      </c>
      <c r="AS449" s="67">
        <f t="shared" si="105"/>
        <v>2.0450064933180256E-3</v>
      </c>
      <c r="AU449" s="67">
        <f t="shared" si="106"/>
        <v>2298</v>
      </c>
      <c r="AV449" s="67">
        <f t="shared" si="107"/>
        <v>1</v>
      </c>
      <c r="AW449" s="67" t="s">
        <v>1350</v>
      </c>
    </row>
    <row r="450" spans="1:49" ht="30" customHeight="1" x14ac:dyDescent="0.25">
      <c r="A450" s="73" t="s">
        <v>148</v>
      </c>
      <c r="B450" s="67" t="s">
        <v>221</v>
      </c>
      <c r="C450" s="73" t="s">
        <v>148</v>
      </c>
      <c r="D450" s="67">
        <f t="shared" si="111"/>
        <v>21</v>
      </c>
      <c r="E450" s="67" t="s">
        <v>583</v>
      </c>
      <c r="F450" s="73" t="s">
        <v>822</v>
      </c>
      <c r="G450" s="73" t="s">
        <v>578</v>
      </c>
      <c r="H450" s="67">
        <v>1</v>
      </c>
      <c r="I450" s="67">
        <v>8</v>
      </c>
      <c r="J450" s="67">
        <v>1</v>
      </c>
      <c r="K450" s="68" t="s">
        <v>832</v>
      </c>
      <c r="L450" s="68" t="s">
        <v>240</v>
      </c>
      <c r="M450" s="68" t="s">
        <v>824</v>
      </c>
      <c r="N450" s="67" t="s">
        <v>240</v>
      </c>
      <c r="O450" s="69">
        <v>0</v>
      </c>
      <c r="P450" s="74" t="s">
        <v>240</v>
      </c>
      <c r="Q450" s="67" t="s">
        <v>240</v>
      </c>
      <c r="R450" s="67" t="s">
        <v>833</v>
      </c>
      <c r="S450" s="67">
        <v>4309</v>
      </c>
      <c r="T450" s="67">
        <v>2874</v>
      </c>
      <c r="U450" s="67">
        <v>1435</v>
      </c>
      <c r="V450" s="81">
        <f t="shared" si="109"/>
        <v>3.0000000000000027E-3</v>
      </c>
      <c r="X450" s="67">
        <v>0.87</v>
      </c>
      <c r="Y450" s="67">
        <v>0.874</v>
      </c>
      <c r="AB450" s="67">
        <v>0.86699999999999999</v>
      </c>
      <c r="AC450" s="67">
        <v>0.86399999999999999</v>
      </c>
      <c r="AF450" s="67">
        <f t="shared" ref="AF450:AF469" si="112">_xlfn.T.INV.2T(AH450,S450-2)</f>
        <v>0.67454671638624741</v>
      </c>
      <c r="AH450" s="70">
        <v>0.5</v>
      </c>
      <c r="AI450" s="96">
        <f t="shared" ref="AI450:AI469" si="113">+ABS(V450/AF450)</f>
        <v>4.4474310334974548E-3</v>
      </c>
      <c r="AK450" s="68" t="s">
        <v>828</v>
      </c>
      <c r="AL450" s="68" t="s">
        <v>834</v>
      </c>
    </row>
    <row r="451" spans="1:49" ht="30" customHeight="1" x14ac:dyDescent="0.25">
      <c r="A451" s="73" t="s">
        <v>148</v>
      </c>
      <c r="B451" s="67" t="s">
        <v>221</v>
      </c>
      <c r="C451" s="73" t="s">
        <v>148</v>
      </c>
      <c r="D451" s="67">
        <f t="shared" si="111"/>
        <v>22</v>
      </c>
      <c r="E451" s="67" t="s">
        <v>583</v>
      </c>
      <c r="F451" s="73" t="s">
        <v>822</v>
      </c>
      <c r="G451" s="73" t="s">
        <v>578</v>
      </c>
      <c r="H451" s="67">
        <v>1</v>
      </c>
      <c r="I451" s="67">
        <v>20</v>
      </c>
      <c r="J451" s="67">
        <v>1</v>
      </c>
      <c r="K451" s="68" t="s">
        <v>832</v>
      </c>
      <c r="L451" s="68" t="s">
        <v>240</v>
      </c>
      <c r="M451" s="68" t="s">
        <v>824</v>
      </c>
      <c r="N451" s="67" t="s">
        <v>240</v>
      </c>
      <c r="O451" s="69">
        <v>0</v>
      </c>
      <c r="P451" s="74" t="s">
        <v>240</v>
      </c>
      <c r="Q451" s="67" t="s">
        <v>240</v>
      </c>
      <c r="R451" s="67" t="s">
        <v>833</v>
      </c>
      <c r="S451" s="67">
        <v>4309</v>
      </c>
      <c r="T451" s="67">
        <v>2874</v>
      </c>
      <c r="U451" s="67">
        <v>1435</v>
      </c>
      <c r="V451" s="81">
        <f t="shared" si="109"/>
        <v>5.9999999999998943E-3</v>
      </c>
      <c r="X451" s="67">
        <v>0.87</v>
      </c>
      <c r="Y451" s="67">
        <v>0.874</v>
      </c>
      <c r="AB451" s="67">
        <v>0.81299999999999994</v>
      </c>
      <c r="AC451" s="67">
        <v>0.80700000000000005</v>
      </c>
      <c r="AF451" s="67">
        <f t="shared" si="112"/>
        <v>0.67454671638624741</v>
      </c>
      <c r="AH451" s="70">
        <v>0.5</v>
      </c>
      <c r="AI451" s="96">
        <f t="shared" si="113"/>
        <v>8.8948620669947447E-3</v>
      </c>
      <c r="AK451" s="68" t="s">
        <v>828</v>
      </c>
      <c r="AL451" s="68" t="s">
        <v>834</v>
      </c>
    </row>
    <row r="452" spans="1:49" ht="30" customHeight="1" x14ac:dyDescent="0.25">
      <c r="A452" s="73" t="s">
        <v>148</v>
      </c>
      <c r="B452" s="67" t="s">
        <v>221</v>
      </c>
      <c r="C452" s="73" t="s">
        <v>148</v>
      </c>
      <c r="D452" s="67">
        <f t="shared" si="111"/>
        <v>23</v>
      </c>
      <c r="E452" s="67" t="s">
        <v>583</v>
      </c>
      <c r="F452" s="73" t="s">
        <v>822</v>
      </c>
      <c r="G452" s="73" t="s">
        <v>578</v>
      </c>
      <c r="H452" s="67">
        <v>1</v>
      </c>
      <c r="I452" s="67">
        <v>32</v>
      </c>
      <c r="J452" s="67">
        <v>1</v>
      </c>
      <c r="K452" s="68" t="s">
        <v>832</v>
      </c>
      <c r="L452" s="68" t="s">
        <v>240</v>
      </c>
      <c r="M452" s="68" t="s">
        <v>824</v>
      </c>
      <c r="N452" s="67" t="s">
        <v>240</v>
      </c>
      <c r="O452" s="69">
        <v>0</v>
      </c>
      <c r="P452" s="74" t="s">
        <v>240</v>
      </c>
      <c r="Q452" s="67" t="s">
        <v>240</v>
      </c>
      <c r="R452" s="67" t="s">
        <v>833</v>
      </c>
      <c r="S452" s="67">
        <v>4309</v>
      </c>
      <c r="T452" s="67">
        <v>2874</v>
      </c>
      <c r="U452" s="67">
        <v>1435</v>
      </c>
      <c r="V452" s="81">
        <f t="shared" si="109"/>
        <v>2.4000000000000021E-2</v>
      </c>
      <c r="X452" s="67">
        <v>0.87</v>
      </c>
      <c r="Y452" s="67">
        <v>0.874</v>
      </c>
      <c r="AB452" s="67">
        <v>0.76300000000000001</v>
      </c>
      <c r="AC452" s="67">
        <v>0.73899999999999999</v>
      </c>
      <c r="AF452" s="67">
        <f t="shared" si="112"/>
        <v>0.67454671638624741</v>
      </c>
      <c r="AH452" s="70">
        <v>0.5</v>
      </c>
      <c r="AI452" s="96">
        <f t="shared" si="113"/>
        <v>3.5579448267979638E-2</v>
      </c>
      <c r="AK452" s="68" t="s">
        <v>828</v>
      </c>
      <c r="AL452" s="68" t="s">
        <v>834</v>
      </c>
    </row>
    <row r="453" spans="1:49" ht="30" customHeight="1" x14ac:dyDescent="0.25">
      <c r="A453" s="73" t="s">
        <v>148</v>
      </c>
      <c r="B453" s="67" t="s">
        <v>221</v>
      </c>
      <c r="C453" s="73" t="s">
        <v>148</v>
      </c>
      <c r="D453" s="67">
        <f t="shared" si="111"/>
        <v>24</v>
      </c>
      <c r="E453" s="67" t="s">
        <v>583</v>
      </c>
      <c r="F453" s="73" t="s">
        <v>822</v>
      </c>
      <c r="G453" s="73" t="s">
        <v>578</v>
      </c>
      <c r="H453" s="67">
        <v>1</v>
      </c>
      <c r="I453" s="67">
        <v>44</v>
      </c>
      <c r="J453" s="67">
        <v>1</v>
      </c>
      <c r="K453" s="68" t="s">
        <v>832</v>
      </c>
      <c r="L453" s="68" t="s">
        <v>240</v>
      </c>
      <c r="M453" s="68" t="s">
        <v>824</v>
      </c>
      <c r="N453" s="67" t="s">
        <v>240</v>
      </c>
      <c r="O453" s="69">
        <v>0</v>
      </c>
      <c r="P453" s="74" t="s">
        <v>240</v>
      </c>
      <c r="Q453" s="67" t="s">
        <v>240</v>
      </c>
      <c r="R453" s="67" t="s">
        <v>833</v>
      </c>
      <c r="S453" s="67">
        <v>4309</v>
      </c>
      <c r="T453" s="67">
        <v>2874</v>
      </c>
      <c r="U453" s="67">
        <v>1435</v>
      </c>
      <c r="V453" s="81">
        <f t="shared" si="109"/>
        <v>3.7000000000000033E-2</v>
      </c>
      <c r="X453" s="67">
        <v>0.87</v>
      </c>
      <c r="Y453" s="67">
        <v>0.874</v>
      </c>
      <c r="AB453" s="67">
        <v>0.73699999999999999</v>
      </c>
      <c r="AC453" s="67">
        <v>0.7</v>
      </c>
      <c r="AF453" s="67">
        <f t="shared" si="112"/>
        <v>1.9605149310680283</v>
      </c>
      <c r="AH453" s="70">
        <v>0.05</v>
      </c>
      <c r="AI453" s="96">
        <f t="shared" si="113"/>
        <v>1.8872592814094799E-2</v>
      </c>
      <c r="AK453" s="68" t="s">
        <v>826</v>
      </c>
      <c r="AL453" s="68" t="s">
        <v>834</v>
      </c>
    </row>
    <row r="454" spans="1:49" ht="30" customHeight="1" x14ac:dyDescent="0.25">
      <c r="A454" s="73" t="s">
        <v>148</v>
      </c>
      <c r="B454" s="67" t="s">
        <v>221</v>
      </c>
      <c r="C454" s="73" t="s">
        <v>148</v>
      </c>
      <c r="D454" s="67">
        <f t="shared" si="111"/>
        <v>25</v>
      </c>
      <c r="E454" s="67" t="s">
        <v>583</v>
      </c>
      <c r="F454" s="73" t="s">
        <v>822</v>
      </c>
      <c r="G454" s="73" t="s">
        <v>578</v>
      </c>
      <c r="H454" s="67">
        <v>1</v>
      </c>
      <c r="I454" s="67">
        <v>56</v>
      </c>
      <c r="J454" s="67">
        <v>1</v>
      </c>
      <c r="K454" s="68" t="s">
        <v>832</v>
      </c>
      <c r="L454" s="68" t="s">
        <v>240</v>
      </c>
      <c r="M454" s="68" t="s">
        <v>824</v>
      </c>
      <c r="N454" s="67" t="s">
        <v>240</v>
      </c>
      <c r="O454" s="69">
        <v>0</v>
      </c>
      <c r="P454" s="74" t="s">
        <v>240</v>
      </c>
      <c r="Q454" s="67" t="s">
        <v>240</v>
      </c>
      <c r="R454" s="67" t="s">
        <v>833</v>
      </c>
      <c r="S454" s="67">
        <v>4309</v>
      </c>
      <c r="T454" s="67">
        <v>2874</v>
      </c>
      <c r="U454" s="67">
        <v>1435</v>
      </c>
      <c r="V454" s="81">
        <f t="shared" si="109"/>
        <v>1.2000000000000011E-2</v>
      </c>
      <c r="X454" s="67">
        <v>0.87</v>
      </c>
      <c r="Y454" s="67">
        <v>0.874</v>
      </c>
      <c r="AB454" s="67">
        <v>0.72299999999999998</v>
      </c>
      <c r="AC454" s="67">
        <v>0.71099999999999997</v>
      </c>
      <c r="AF454" s="67">
        <f t="shared" si="112"/>
        <v>0.67454671638624741</v>
      </c>
      <c r="AH454" s="70">
        <v>0.5</v>
      </c>
      <c r="AI454" s="96">
        <f t="shared" si="113"/>
        <v>1.7789724133989819E-2</v>
      </c>
      <c r="AK454" s="68" t="s">
        <v>828</v>
      </c>
      <c r="AL454" s="68" t="s">
        <v>834</v>
      </c>
    </row>
    <row r="455" spans="1:49" ht="30" customHeight="1" x14ac:dyDescent="0.25">
      <c r="A455" s="73" t="s">
        <v>148</v>
      </c>
      <c r="B455" s="67" t="s">
        <v>221</v>
      </c>
      <c r="C455" s="73" t="s">
        <v>148</v>
      </c>
      <c r="D455" s="67">
        <f t="shared" si="111"/>
        <v>26</v>
      </c>
      <c r="E455" s="67" t="s">
        <v>577</v>
      </c>
      <c r="F455" s="73" t="s">
        <v>822</v>
      </c>
      <c r="G455" s="73" t="s">
        <v>578</v>
      </c>
      <c r="H455" s="67">
        <v>1</v>
      </c>
      <c r="I455" s="67">
        <v>8</v>
      </c>
      <c r="J455" s="67">
        <v>1</v>
      </c>
      <c r="K455" s="68" t="s">
        <v>832</v>
      </c>
      <c r="L455" s="68" t="s">
        <v>240</v>
      </c>
      <c r="M455" s="68" t="s">
        <v>824</v>
      </c>
      <c r="N455" s="67" t="s">
        <v>240</v>
      </c>
      <c r="O455" s="69">
        <v>0</v>
      </c>
      <c r="P455" s="74" t="s">
        <v>240</v>
      </c>
      <c r="Q455" s="67" t="s">
        <v>240</v>
      </c>
      <c r="R455" s="67" t="s">
        <v>697</v>
      </c>
      <c r="S455" s="67">
        <v>5354</v>
      </c>
      <c r="T455" s="67">
        <v>3631</v>
      </c>
      <c r="U455" s="67">
        <v>1723</v>
      </c>
      <c r="V455" s="81">
        <f t="shared" si="109"/>
        <v>2.9000000000000026E-2</v>
      </c>
      <c r="X455" s="67">
        <v>0.76700000000000002</v>
      </c>
      <c r="Y455" s="67">
        <v>0.75700000000000001</v>
      </c>
      <c r="AB455" s="67">
        <v>0.80300000000000005</v>
      </c>
      <c r="AC455" s="67">
        <v>0.77400000000000002</v>
      </c>
      <c r="AF455" s="67">
        <f t="shared" si="112"/>
        <v>1.9604073325767901</v>
      </c>
      <c r="AH455" s="70">
        <v>0.05</v>
      </c>
      <c r="AI455" s="96">
        <f t="shared" si="113"/>
        <v>1.479284407791006E-2</v>
      </c>
      <c r="AK455" s="68" t="s">
        <v>826</v>
      </c>
      <c r="AL455" s="68" t="s">
        <v>834</v>
      </c>
    </row>
    <row r="456" spans="1:49" ht="30" customHeight="1" x14ac:dyDescent="0.25">
      <c r="A456" s="73" t="s">
        <v>148</v>
      </c>
      <c r="B456" s="67" t="s">
        <v>221</v>
      </c>
      <c r="C456" s="73" t="s">
        <v>148</v>
      </c>
      <c r="D456" s="67">
        <f t="shared" si="111"/>
        <v>27</v>
      </c>
      <c r="E456" s="67" t="s">
        <v>577</v>
      </c>
      <c r="F456" s="73" t="s">
        <v>822</v>
      </c>
      <c r="G456" s="73" t="s">
        <v>578</v>
      </c>
      <c r="H456" s="67">
        <v>1</v>
      </c>
      <c r="I456" s="67">
        <v>20</v>
      </c>
      <c r="J456" s="67">
        <v>1</v>
      </c>
      <c r="K456" s="68" t="s">
        <v>832</v>
      </c>
      <c r="L456" s="68" t="s">
        <v>240</v>
      </c>
      <c r="M456" s="68" t="s">
        <v>824</v>
      </c>
      <c r="N456" s="67" t="s">
        <v>240</v>
      </c>
      <c r="O456" s="69">
        <v>0</v>
      </c>
      <c r="P456" s="74" t="s">
        <v>240</v>
      </c>
      <c r="Q456" s="67" t="s">
        <v>240</v>
      </c>
      <c r="R456" s="67" t="s">
        <v>697</v>
      </c>
      <c r="S456" s="67">
        <v>5354</v>
      </c>
      <c r="T456" s="67">
        <v>3631</v>
      </c>
      <c r="U456" s="67">
        <v>1723</v>
      </c>
      <c r="V456" s="81">
        <f t="shared" si="109"/>
        <v>2.6000000000000023E-2</v>
      </c>
      <c r="X456" s="67">
        <v>0.76700000000000002</v>
      </c>
      <c r="Y456" s="67">
        <v>0.75700000000000001</v>
      </c>
      <c r="AB456" s="67">
        <v>0.76300000000000001</v>
      </c>
      <c r="AC456" s="67">
        <v>0.73699999999999999</v>
      </c>
      <c r="AF456" s="67">
        <f t="shared" si="112"/>
        <v>1.9604073325767901</v>
      </c>
      <c r="AH456" s="70">
        <v>0.05</v>
      </c>
      <c r="AI456" s="96">
        <f t="shared" si="113"/>
        <v>1.3262549862953846E-2</v>
      </c>
      <c r="AK456" s="68" t="s">
        <v>826</v>
      </c>
      <c r="AL456" s="68" t="s">
        <v>834</v>
      </c>
    </row>
    <row r="457" spans="1:49" ht="30" customHeight="1" x14ac:dyDescent="0.25">
      <c r="A457" s="73" t="s">
        <v>148</v>
      </c>
      <c r="B457" s="67" t="s">
        <v>221</v>
      </c>
      <c r="C457" s="73" t="s">
        <v>148</v>
      </c>
      <c r="D457" s="67">
        <f t="shared" si="111"/>
        <v>28</v>
      </c>
      <c r="E457" s="67" t="s">
        <v>577</v>
      </c>
      <c r="F457" s="73" t="s">
        <v>822</v>
      </c>
      <c r="G457" s="73" t="s">
        <v>578</v>
      </c>
      <c r="H457" s="67">
        <v>1</v>
      </c>
      <c r="I457" s="67">
        <v>32</v>
      </c>
      <c r="J457" s="67">
        <v>1</v>
      </c>
      <c r="K457" s="68" t="s">
        <v>832</v>
      </c>
      <c r="L457" s="68" t="s">
        <v>240</v>
      </c>
      <c r="M457" s="68" t="s">
        <v>824</v>
      </c>
      <c r="N457" s="67" t="s">
        <v>240</v>
      </c>
      <c r="O457" s="69">
        <v>0</v>
      </c>
      <c r="P457" s="74" t="s">
        <v>240</v>
      </c>
      <c r="Q457" s="67" t="s">
        <v>240</v>
      </c>
      <c r="R457" s="67" t="s">
        <v>697</v>
      </c>
      <c r="S457" s="67">
        <v>5354</v>
      </c>
      <c r="T457" s="67">
        <v>3631</v>
      </c>
      <c r="U457" s="67">
        <v>1723</v>
      </c>
      <c r="V457" s="81">
        <f t="shared" si="109"/>
        <v>3.0999999999999917E-2</v>
      </c>
      <c r="X457" s="67">
        <v>0.76700000000000002</v>
      </c>
      <c r="Y457" s="67">
        <v>0.75700000000000001</v>
      </c>
      <c r="AB457" s="67">
        <v>0.71199999999999997</v>
      </c>
      <c r="AC457" s="67">
        <v>0.68100000000000005</v>
      </c>
      <c r="AF457" s="67">
        <f t="shared" si="112"/>
        <v>1.9604073325767901</v>
      </c>
      <c r="AH457" s="70">
        <v>0.05</v>
      </c>
      <c r="AI457" s="96">
        <f t="shared" si="113"/>
        <v>1.5813040221214145E-2</v>
      </c>
      <c r="AK457" s="68" t="s">
        <v>826</v>
      </c>
      <c r="AL457" s="68" t="s">
        <v>834</v>
      </c>
    </row>
    <row r="458" spans="1:49" ht="30" customHeight="1" x14ac:dyDescent="0.25">
      <c r="A458" s="73" t="s">
        <v>148</v>
      </c>
      <c r="B458" s="67" t="s">
        <v>221</v>
      </c>
      <c r="C458" s="73" t="s">
        <v>148</v>
      </c>
      <c r="D458" s="67">
        <f t="shared" si="111"/>
        <v>29</v>
      </c>
      <c r="E458" s="67" t="s">
        <v>577</v>
      </c>
      <c r="F458" s="73" t="s">
        <v>822</v>
      </c>
      <c r="G458" s="73" t="s">
        <v>578</v>
      </c>
      <c r="H458" s="67">
        <v>1</v>
      </c>
      <c r="I458" s="67">
        <v>44</v>
      </c>
      <c r="J458" s="67">
        <v>1</v>
      </c>
      <c r="K458" s="68" t="s">
        <v>832</v>
      </c>
      <c r="L458" s="68" t="s">
        <v>240</v>
      </c>
      <c r="M458" s="68" t="s">
        <v>824</v>
      </c>
      <c r="N458" s="67" t="s">
        <v>240</v>
      </c>
      <c r="O458" s="69">
        <v>0</v>
      </c>
      <c r="P458" s="74" t="s">
        <v>240</v>
      </c>
      <c r="Q458" s="67" t="s">
        <v>240</v>
      </c>
      <c r="R458" s="67" t="s">
        <v>697</v>
      </c>
      <c r="S458" s="67">
        <v>5354</v>
      </c>
      <c r="T458" s="67">
        <v>3631</v>
      </c>
      <c r="U458" s="67">
        <v>1723</v>
      </c>
      <c r="V458" s="81">
        <f t="shared" si="109"/>
        <v>1.9999999999999907E-2</v>
      </c>
      <c r="X458" s="67">
        <v>0.76700000000000002</v>
      </c>
      <c r="Y458" s="67">
        <v>0.75700000000000001</v>
      </c>
      <c r="AB458" s="67">
        <v>0.69699999999999995</v>
      </c>
      <c r="AC458" s="67">
        <v>0.67700000000000005</v>
      </c>
      <c r="AF458" s="67">
        <f t="shared" si="112"/>
        <v>0.67453559282993614</v>
      </c>
      <c r="AH458" s="70">
        <v>0.5</v>
      </c>
      <c r="AI458" s="96">
        <f t="shared" si="113"/>
        <v>2.9650029164646773E-2</v>
      </c>
      <c r="AK458" s="68" t="s">
        <v>828</v>
      </c>
      <c r="AL458" s="68" t="s">
        <v>834</v>
      </c>
    </row>
    <row r="459" spans="1:49" ht="30" customHeight="1" x14ac:dyDescent="0.25">
      <c r="A459" s="73" t="s">
        <v>148</v>
      </c>
      <c r="B459" s="67" t="s">
        <v>221</v>
      </c>
      <c r="C459" s="73" t="s">
        <v>148</v>
      </c>
      <c r="D459" s="67">
        <f t="shared" si="111"/>
        <v>30</v>
      </c>
      <c r="E459" s="67" t="s">
        <v>577</v>
      </c>
      <c r="F459" s="73" t="s">
        <v>822</v>
      </c>
      <c r="G459" s="73" t="s">
        <v>578</v>
      </c>
      <c r="H459" s="67">
        <v>1</v>
      </c>
      <c r="I459" s="67">
        <v>56</v>
      </c>
      <c r="J459" s="67">
        <v>1</v>
      </c>
      <c r="K459" s="68" t="s">
        <v>832</v>
      </c>
      <c r="L459" s="68" t="s">
        <v>240</v>
      </c>
      <c r="M459" s="68" t="s">
        <v>824</v>
      </c>
      <c r="N459" s="67" t="s">
        <v>240</v>
      </c>
      <c r="O459" s="69">
        <v>0</v>
      </c>
      <c r="P459" s="74" t="s">
        <v>240</v>
      </c>
      <c r="Q459" s="67" t="s">
        <v>240</v>
      </c>
      <c r="R459" s="67" t="s">
        <v>697</v>
      </c>
      <c r="S459" s="67">
        <v>5354</v>
      </c>
      <c r="T459" s="67">
        <v>3631</v>
      </c>
      <c r="U459" s="67">
        <v>1723</v>
      </c>
      <c r="V459" s="81">
        <f t="shared" si="109"/>
        <v>1.3000000000000012E-2</v>
      </c>
      <c r="X459" s="67">
        <v>0.76700000000000002</v>
      </c>
      <c r="Y459" s="67">
        <v>0.75700000000000001</v>
      </c>
      <c r="AB459" s="67">
        <v>0.68700000000000006</v>
      </c>
      <c r="AC459" s="67">
        <v>0.67400000000000004</v>
      </c>
      <c r="AF459" s="67">
        <f t="shared" si="112"/>
        <v>0.67453559282993614</v>
      </c>
      <c r="AH459" s="70">
        <v>0.5</v>
      </c>
      <c r="AI459" s="96">
        <f t="shared" si="113"/>
        <v>1.927251895702051E-2</v>
      </c>
      <c r="AK459" s="68" t="s">
        <v>828</v>
      </c>
      <c r="AL459" s="68" t="s">
        <v>834</v>
      </c>
    </row>
    <row r="460" spans="1:49" ht="30" customHeight="1" x14ac:dyDescent="0.25">
      <c r="A460" s="73" t="s">
        <v>148</v>
      </c>
      <c r="B460" s="67" t="s">
        <v>221</v>
      </c>
      <c r="C460" s="73" t="s">
        <v>148</v>
      </c>
      <c r="D460" s="67">
        <f t="shared" si="111"/>
        <v>31</v>
      </c>
      <c r="E460" s="67" t="s">
        <v>583</v>
      </c>
      <c r="F460" s="73" t="s">
        <v>640</v>
      </c>
      <c r="G460" s="73" t="s">
        <v>578</v>
      </c>
      <c r="H460" s="67">
        <v>1</v>
      </c>
      <c r="I460" s="67">
        <v>8</v>
      </c>
      <c r="J460" s="67">
        <v>1</v>
      </c>
      <c r="K460" s="68" t="s">
        <v>832</v>
      </c>
      <c r="L460" s="68" t="s">
        <v>240</v>
      </c>
      <c r="M460" s="68" t="s">
        <v>824</v>
      </c>
      <c r="N460" s="67" t="s">
        <v>240</v>
      </c>
      <c r="O460" s="69">
        <v>0</v>
      </c>
      <c r="P460" s="74" t="s">
        <v>240</v>
      </c>
      <c r="Q460" s="67" t="s">
        <v>240</v>
      </c>
      <c r="R460" s="67" t="s">
        <v>702</v>
      </c>
      <c r="S460" s="67">
        <v>1736</v>
      </c>
      <c r="T460" s="67">
        <v>1177</v>
      </c>
      <c r="U460" s="67">
        <v>559</v>
      </c>
      <c r="V460" s="81">
        <f t="shared" si="109"/>
        <v>-1.6000000000000014E-2</v>
      </c>
      <c r="X460" s="67">
        <v>0.89200000000000002</v>
      </c>
      <c r="Y460" s="67">
        <v>0.91800000000000004</v>
      </c>
      <c r="AB460" s="67">
        <v>0.90500000000000003</v>
      </c>
      <c r="AC460" s="67">
        <v>0.92100000000000004</v>
      </c>
      <c r="AF460" s="67">
        <f t="shared" si="112"/>
        <v>0.67463126159542663</v>
      </c>
      <c r="AH460" s="70">
        <v>0.5</v>
      </c>
      <c r="AI460" s="96">
        <f t="shared" si="113"/>
        <v>2.3716659619599935E-2</v>
      </c>
      <c r="AK460" s="68" t="s">
        <v>828</v>
      </c>
      <c r="AL460" s="68" t="s">
        <v>834</v>
      </c>
    </row>
    <row r="461" spans="1:49" ht="30" customHeight="1" x14ac:dyDescent="0.25">
      <c r="A461" s="73" t="s">
        <v>148</v>
      </c>
      <c r="B461" s="67" t="s">
        <v>221</v>
      </c>
      <c r="C461" s="73" t="s">
        <v>148</v>
      </c>
      <c r="D461" s="67">
        <f t="shared" si="111"/>
        <v>32</v>
      </c>
      <c r="E461" s="67" t="s">
        <v>583</v>
      </c>
      <c r="F461" s="73" t="s">
        <v>640</v>
      </c>
      <c r="G461" s="73" t="s">
        <v>578</v>
      </c>
      <c r="H461" s="67">
        <v>1</v>
      </c>
      <c r="I461" s="67">
        <v>20</v>
      </c>
      <c r="J461" s="67">
        <v>1</v>
      </c>
      <c r="K461" s="68" t="s">
        <v>832</v>
      </c>
      <c r="L461" s="68" t="s">
        <v>240</v>
      </c>
      <c r="M461" s="68" t="s">
        <v>824</v>
      </c>
      <c r="N461" s="67" t="s">
        <v>240</v>
      </c>
      <c r="O461" s="69">
        <v>0</v>
      </c>
      <c r="P461" s="74" t="s">
        <v>240</v>
      </c>
      <c r="Q461" s="67" t="s">
        <v>240</v>
      </c>
      <c r="R461" s="67" t="s">
        <v>702</v>
      </c>
      <c r="S461" s="67">
        <v>1736</v>
      </c>
      <c r="T461" s="67">
        <v>1177</v>
      </c>
      <c r="U461" s="67">
        <v>559</v>
      </c>
      <c r="V461" s="81">
        <f t="shared" si="109"/>
        <v>6.0000000000000053E-3</v>
      </c>
      <c r="X461" s="67">
        <v>0.89200000000000002</v>
      </c>
      <c r="Y461" s="67">
        <v>0.91800000000000004</v>
      </c>
      <c r="AB461" s="67">
        <v>0.88400000000000001</v>
      </c>
      <c r="AC461" s="67">
        <v>0.878</v>
      </c>
      <c r="AF461" s="67">
        <f t="shared" si="112"/>
        <v>0.67463126159542663</v>
      </c>
      <c r="AH461" s="70">
        <v>0.5</v>
      </c>
      <c r="AI461" s="96">
        <f t="shared" si="113"/>
        <v>8.8937473573499747E-3</v>
      </c>
      <c r="AK461" s="68" t="s">
        <v>828</v>
      </c>
      <c r="AL461" s="68" t="s">
        <v>834</v>
      </c>
    </row>
    <row r="462" spans="1:49" ht="30" customHeight="1" x14ac:dyDescent="0.25">
      <c r="A462" s="73" t="s">
        <v>148</v>
      </c>
      <c r="B462" s="67" t="s">
        <v>221</v>
      </c>
      <c r="C462" s="73" t="s">
        <v>148</v>
      </c>
      <c r="D462" s="67">
        <f t="shared" si="111"/>
        <v>33</v>
      </c>
      <c r="E462" s="67" t="s">
        <v>583</v>
      </c>
      <c r="F462" s="73" t="s">
        <v>640</v>
      </c>
      <c r="G462" s="73" t="s">
        <v>578</v>
      </c>
      <c r="H462" s="67">
        <v>1</v>
      </c>
      <c r="I462" s="67">
        <v>32</v>
      </c>
      <c r="J462" s="67">
        <v>1</v>
      </c>
      <c r="K462" s="68" t="s">
        <v>832</v>
      </c>
      <c r="L462" s="68" t="s">
        <v>240</v>
      </c>
      <c r="M462" s="68" t="s">
        <v>824</v>
      </c>
      <c r="N462" s="67" t="s">
        <v>240</v>
      </c>
      <c r="O462" s="69">
        <v>0</v>
      </c>
      <c r="P462" s="74" t="s">
        <v>240</v>
      </c>
      <c r="Q462" s="67" t="s">
        <v>240</v>
      </c>
      <c r="R462" s="67" t="s">
        <v>702</v>
      </c>
      <c r="S462" s="67">
        <v>1736</v>
      </c>
      <c r="T462" s="67">
        <v>1177</v>
      </c>
      <c r="U462" s="67">
        <v>559</v>
      </c>
      <c r="V462" s="81">
        <f t="shared" si="109"/>
        <v>-4.0000000000000036E-3</v>
      </c>
      <c r="X462" s="67">
        <v>0.89200000000000002</v>
      </c>
      <c r="Y462" s="67">
        <v>0.91800000000000004</v>
      </c>
      <c r="AB462" s="67">
        <v>0.82199999999999995</v>
      </c>
      <c r="AC462" s="67">
        <v>0.82599999999999996</v>
      </c>
      <c r="AF462" s="67">
        <f t="shared" si="112"/>
        <v>0.67463126159542663</v>
      </c>
      <c r="AH462" s="70">
        <v>0.5</v>
      </c>
      <c r="AI462" s="96">
        <f t="shared" si="113"/>
        <v>5.9291649048999837E-3</v>
      </c>
      <c r="AK462" s="68" t="s">
        <v>828</v>
      </c>
      <c r="AL462" s="68" t="s">
        <v>834</v>
      </c>
    </row>
    <row r="463" spans="1:49" ht="30" customHeight="1" x14ac:dyDescent="0.25">
      <c r="A463" s="73" t="s">
        <v>148</v>
      </c>
      <c r="B463" s="67" t="s">
        <v>221</v>
      </c>
      <c r="C463" s="73" t="s">
        <v>148</v>
      </c>
      <c r="D463" s="67">
        <f t="shared" si="111"/>
        <v>34</v>
      </c>
      <c r="E463" s="67" t="s">
        <v>583</v>
      </c>
      <c r="F463" s="73" t="s">
        <v>640</v>
      </c>
      <c r="G463" s="73" t="s">
        <v>578</v>
      </c>
      <c r="H463" s="67">
        <v>1</v>
      </c>
      <c r="I463" s="67">
        <v>44</v>
      </c>
      <c r="J463" s="67">
        <v>1</v>
      </c>
      <c r="K463" s="68" t="s">
        <v>832</v>
      </c>
      <c r="L463" s="68" t="s">
        <v>240</v>
      </c>
      <c r="M463" s="68" t="s">
        <v>824</v>
      </c>
      <c r="N463" s="67" t="s">
        <v>240</v>
      </c>
      <c r="O463" s="69">
        <v>0</v>
      </c>
      <c r="P463" s="74" t="s">
        <v>240</v>
      </c>
      <c r="Q463" s="67" t="s">
        <v>240</v>
      </c>
      <c r="R463" s="67" t="s">
        <v>702</v>
      </c>
      <c r="S463" s="67">
        <v>1736</v>
      </c>
      <c r="T463" s="67">
        <v>1177</v>
      </c>
      <c r="U463" s="67">
        <v>559</v>
      </c>
      <c r="V463" s="81">
        <f t="shared" si="109"/>
        <v>1.0000000000000009E-2</v>
      </c>
      <c r="X463" s="67">
        <v>0.89200000000000002</v>
      </c>
      <c r="Y463" s="67">
        <v>0.91800000000000004</v>
      </c>
      <c r="AB463" s="67">
        <v>0.80400000000000005</v>
      </c>
      <c r="AC463" s="67">
        <v>0.79400000000000004</v>
      </c>
      <c r="AF463" s="67">
        <f t="shared" si="112"/>
        <v>0.67463126159542663</v>
      </c>
      <c r="AH463" s="70">
        <v>0.5</v>
      </c>
      <c r="AI463" s="96">
        <f t="shared" si="113"/>
        <v>1.4822912262249958E-2</v>
      </c>
      <c r="AK463" s="68" t="s">
        <v>828</v>
      </c>
      <c r="AL463" s="68" t="s">
        <v>834</v>
      </c>
    </row>
    <row r="464" spans="1:49" ht="30" customHeight="1" x14ac:dyDescent="0.25">
      <c r="A464" s="73" t="s">
        <v>148</v>
      </c>
      <c r="B464" s="67" t="s">
        <v>221</v>
      </c>
      <c r="C464" s="73" t="s">
        <v>148</v>
      </c>
      <c r="D464" s="67">
        <f t="shared" si="111"/>
        <v>35</v>
      </c>
      <c r="E464" s="67" t="s">
        <v>583</v>
      </c>
      <c r="F464" s="73" t="s">
        <v>640</v>
      </c>
      <c r="G464" s="73" t="s">
        <v>578</v>
      </c>
      <c r="H464" s="67">
        <v>1</v>
      </c>
      <c r="I464" s="67">
        <v>56</v>
      </c>
      <c r="J464" s="67">
        <v>1</v>
      </c>
      <c r="K464" s="68" t="s">
        <v>832</v>
      </c>
      <c r="L464" s="68" t="s">
        <v>240</v>
      </c>
      <c r="M464" s="68" t="s">
        <v>824</v>
      </c>
      <c r="N464" s="67" t="s">
        <v>240</v>
      </c>
      <c r="O464" s="69">
        <v>0</v>
      </c>
      <c r="P464" s="74" t="s">
        <v>240</v>
      </c>
      <c r="Q464" s="67" t="s">
        <v>240</v>
      </c>
      <c r="R464" s="67" t="s">
        <v>702</v>
      </c>
      <c r="S464" s="67">
        <v>1736</v>
      </c>
      <c r="T464" s="67">
        <v>1177</v>
      </c>
      <c r="U464" s="67">
        <v>559</v>
      </c>
      <c r="V464" s="81">
        <f t="shared" si="109"/>
        <v>3.6000000000000032E-2</v>
      </c>
      <c r="X464" s="67">
        <v>0.89200000000000002</v>
      </c>
      <c r="Y464" s="67">
        <v>0.91800000000000004</v>
      </c>
      <c r="AB464" s="67">
        <v>0.81100000000000005</v>
      </c>
      <c r="AC464" s="67">
        <v>0.77500000000000002</v>
      </c>
      <c r="AF464" s="67">
        <f t="shared" si="112"/>
        <v>0.67463126159542663</v>
      </c>
      <c r="AH464" s="70">
        <v>0.5</v>
      </c>
      <c r="AI464" s="96">
        <f t="shared" si="113"/>
        <v>5.3362484144099852E-2</v>
      </c>
      <c r="AK464" s="68" t="s">
        <v>828</v>
      </c>
      <c r="AL464" s="68" t="s">
        <v>834</v>
      </c>
    </row>
    <row r="465" spans="1:49" ht="30" customHeight="1" x14ac:dyDescent="0.25">
      <c r="A465" s="73" t="s">
        <v>148</v>
      </c>
      <c r="B465" s="67" t="s">
        <v>221</v>
      </c>
      <c r="C465" s="73" t="s">
        <v>148</v>
      </c>
      <c r="D465" s="67">
        <f t="shared" si="111"/>
        <v>36</v>
      </c>
      <c r="E465" s="67" t="s">
        <v>577</v>
      </c>
      <c r="F465" s="73" t="s">
        <v>640</v>
      </c>
      <c r="G465" s="73" t="s">
        <v>578</v>
      </c>
      <c r="H465" s="67">
        <v>1</v>
      </c>
      <c r="I465" s="67">
        <v>8</v>
      </c>
      <c r="J465" s="67">
        <v>1</v>
      </c>
      <c r="K465" s="68" t="s">
        <v>832</v>
      </c>
      <c r="L465" s="68" t="s">
        <v>240</v>
      </c>
      <c r="M465" s="68" t="s">
        <v>824</v>
      </c>
      <c r="N465" s="67" t="s">
        <v>240</v>
      </c>
      <c r="O465" s="69">
        <v>0</v>
      </c>
      <c r="P465" s="74" t="s">
        <v>240</v>
      </c>
      <c r="Q465" s="67" t="s">
        <v>240</v>
      </c>
      <c r="R465" s="67" t="s">
        <v>835</v>
      </c>
      <c r="S465" s="67">
        <v>2300</v>
      </c>
      <c r="T465" s="67">
        <v>1593</v>
      </c>
      <c r="U465" s="67">
        <v>707</v>
      </c>
      <c r="V465" s="81">
        <f t="shared" si="109"/>
        <v>2.399999999999991E-2</v>
      </c>
      <c r="X465" s="67">
        <v>0.82</v>
      </c>
      <c r="Y465" s="67">
        <v>0.81799999999999995</v>
      </c>
      <c r="AB465" s="67">
        <v>0.82</v>
      </c>
      <c r="AC465" s="67">
        <v>0.79600000000000004</v>
      </c>
      <c r="AF465" s="67">
        <f t="shared" si="112"/>
        <v>0.6745965254423909</v>
      </c>
      <c r="AH465" s="70">
        <v>0.5</v>
      </c>
      <c r="AI465" s="96">
        <f t="shared" si="113"/>
        <v>3.5576821247724405E-2</v>
      </c>
      <c r="AK465" s="68" t="s">
        <v>828</v>
      </c>
      <c r="AL465" s="68" t="s">
        <v>834</v>
      </c>
    </row>
    <row r="466" spans="1:49" ht="30" customHeight="1" x14ac:dyDescent="0.25">
      <c r="A466" s="73" t="s">
        <v>148</v>
      </c>
      <c r="B466" s="67" t="s">
        <v>221</v>
      </c>
      <c r="C466" s="73" t="s">
        <v>148</v>
      </c>
      <c r="D466" s="67">
        <f t="shared" si="111"/>
        <v>37</v>
      </c>
      <c r="E466" s="67" t="s">
        <v>577</v>
      </c>
      <c r="F466" s="73" t="s">
        <v>640</v>
      </c>
      <c r="G466" s="73" t="s">
        <v>578</v>
      </c>
      <c r="H466" s="67">
        <v>1</v>
      </c>
      <c r="I466" s="67">
        <v>20</v>
      </c>
      <c r="J466" s="67">
        <v>1</v>
      </c>
      <c r="K466" s="68" t="s">
        <v>832</v>
      </c>
      <c r="L466" s="68" t="s">
        <v>240</v>
      </c>
      <c r="M466" s="68" t="s">
        <v>824</v>
      </c>
      <c r="N466" s="67" t="s">
        <v>240</v>
      </c>
      <c r="O466" s="69">
        <v>0</v>
      </c>
      <c r="P466" s="74" t="s">
        <v>240</v>
      </c>
      <c r="Q466" s="67" t="s">
        <v>240</v>
      </c>
      <c r="R466" s="67" t="s">
        <v>835</v>
      </c>
      <c r="S466" s="67">
        <v>2300</v>
      </c>
      <c r="T466" s="67">
        <v>1593</v>
      </c>
      <c r="U466" s="67">
        <v>707</v>
      </c>
      <c r="V466" s="81">
        <f t="shared" si="109"/>
        <v>1.5000000000000013E-2</v>
      </c>
      <c r="X466" s="67">
        <v>0.82</v>
      </c>
      <c r="Y466" s="67">
        <v>0.81799999999999995</v>
      </c>
      <c r="AB466" s="67">
        <v>0.79700000000000004</v>
      </c>
      <c r="AC466" s="67">
        <v>0.78200000000000003</v>
      </c>
      <c r="AF466" s="67">
        <f t="shared" si="112"/>
        <v>0.6745965254423909</v>
      </c>
      <c r="AH466" s="70">
        <v>0.5</v>
      </c>
      <c r="AI466" s="96">
        <f t="shared" si="113"/>
        <v>2.2235513279827857E-2</v>
      </c>
      <c r="AK466" s="68" t="s">
        <v>828</v>
      </c>
      <c r="AL466" s="68" t="s">
        <v>834</v>
      </c>
    </row>
    <row r="467" spans="1:49" ht="30" customHeight="1" x14ac:dyDescent="0.25">
      <c r="A467" s="73" t="s">
        <v>148</v>
      </c>
      <c r="B467" s="67" t="s">
        <v>221</v>
      </c>
      <c r="C467" s="73" t="s">
        <v>148</v>
      </c>
      <c r="D467" s="67">
        <f t="shared" si="111"/>
        <v>38</v>
      </c>
      <c r="E467" s="67" t="s">
        <v>577</v>
      </c>
      <c r="F467" s="73" t="s">
        <v>640</v>
      </c>
      <c r="G467" s="73" t="s">
        <v>578</v>
      </c>
      <c r="H467" s="67">
        <v>1</v>
      </c>
      <c r="I467" s="67">
        <v>32</v>
      </c>
      <c r="J467" s="67">
        <v>1</v>
      </c>
      <c r="K467" s="68" t="s">
        <v>832</v>
      </c>
      <c r="L467" s="68" t="s">
        <v>240</v>
      </c>
      <c r="M467" s="68" t="s">
        <v>824</v>
      </c>
      <c r="N467" s="67" t="s">
        <v>240</v>
      </c>
      <c r="O467" s="69">
        <v>0</v>
      </c>
      <c r="P467" s="74" t="s">
        <v>240</v>
      </c>
      <c r="Q467" s="67" t="s">
        <v>240</v>
      </c>
      <c r="R467" s="67" t="s">
        <v>835</v>
      </c>
      <c r="S467" s="67">
        <v>2300</v>
      </c>
      <c r="T467" s="67">
        <v>1593</v>
      </c>
      <c r="U467" s="67">
        <v>707</v>
      </c>
      <c r="V467" s="81">
        <f t="shared" si="109"/>
        <v>-1.3000000000000012E-2</v>
      </c>
      <c r="X467" s="67">
        <v>0.82</v>
      </c>
      <c r="Y467" s="67">
        <v>0.81799999999999995</v>
      </c>
      <c r="AB467" s="67">
        <v>0.73799999999999999</v>
      </c>
      <c r="AC467" s="67">
        <v>0.751</v>
      </c>
      <c r="AF467" s="67">
        <f t="shared" si="112"/>
        <v>0.6745965254423909</v>
      </c>
      <c r="AH467" s="70">
        <v>0.5</v>
      </c>
      <c r="AI467" s="96">
        <f t="shared" si="113"/>
        <v>1.9270778175850808E-2</v>
      </c>
      <c r="AK467" s="68" t="s">
        <v>828</v>
      </c>
      <c r="AL467" s="68" t="s">
        <v>834</v>
      </c>
    </row>
    <row r="468" spans="1:49" ht="30" customHeight="1" x14ac:dyDescent="0.25">
      <c r="A468" s="73" t="s">
        <v>148</v>
      </c>
      <c r="B468" s="67" t="s">
        <v>221</v>
      </c>
      <c r="C468" s="73" t="s">
        <v>148</v>
      </c>
      <c r="D468" s="67">
        <f t="shared" si="111"/>
        <v>39</v>
      </c>
      <c r="E468" s="67" t="s">
        <v>577</v>
      </c>
      <c r="F468" s="73" t="s">
        <v>640</v>
      </c>
      <c r="G468" s="73" t="s">
        <v>578</v>
      </c>
      <c r="H468" s="67">
        <v>1</v>
      </c>
      <c r="I468" s="67">
        <v>44</v>
      </c>
      <c r="J468" s="67">
        <v>1</v>
      </c>
      <c r="K468" s="68" t="s">
        <v>832</v>
      </c>
      <c r="L468" s="68" t="s">
        <v>240</v>
      </c>
      <c r="M468" s="68" t="s">
        <v>824</v>
      </c>
      <c r="N468" s="67" t="s">
        <v>240</v>
      </c>
      <c r="O468" s="69">
        <v>0</v>
      </c>
      <c r="P468" s="74" t="s">
        <v>240</v>
      </c>
      <c r="Q468" s="67" t="s">
        <v>240</v>
      </c>
      <c r="R468" s="67" t="s">
        <v>835</v>
      </c>
      <c r="S468" s="67">
        <v>2300</v>
      </c>
      <c r="T468" s="67">
        <v>1593</v>
      </c>
      <c r="U468" s="67">
        <v>707</v>
      </c>
      <c r="V468" s="81">
        <f t="shared" si="109"/>
        <v>1.0000000000000009E-2</v>
      </c>
      <c r="X468" s="67">
        <v>0.82</v>
      </c>
      <c r="Y468" s="67">
        <v>0.81799999999999995</v>
      </c>
      <c r="AB468" s="67">
        <v>0.71699999999999997</v>
      </c>
      <c r="AC468" s="67">
        <v>0.70699999999999996</v>
      </c>
      <c r="AF468" s="67">
        <f t="shared" si="112"/>
        <v>0.6745965254423909</v>
      </c>
      <c r="AH468" s="70">
        <v>0.5</v>
      </c>
      <c r="AI468" s="96">
        <f t="shared" si="113"/>
        <v>1.4823675519885237E-2</v>
      </c>
      <c r="AK468" s="68" t="s">
        <v>828</v>
      </c>
      <c r="AL468" s="68" t="s">
        <v>834</v>
      </c>
    </row>
    <row r="469" spans="1:49" ht="30" customHeight="1" x14ac:dyDescent="0.25">
      <c r="A469" s="73" t="s">
        <v>148</v>
      </c>
      <c r="B469" s="67" t="s">
        <v>221</v>
      </c>
      <c r="C469" s="73" t="s">
        <v>148</v>
      </c>
      <c r="D469" s="67">
        <f t="shared" si="111"/>
        <v>40</v>
      </c>
      <c r="E469" s="67" t="s">
        <v>577</v>
      </c>
      <c r="F469" s="73" t="s">
        <v>640</v>
      </c>
      <c r="G469" s="73" t="s">
        <v>578</v>
      </c>
      <c r="H469" s="67">
        <v>1</v>
      </c>
      <c r="I469" s="67">
        <v>56</v>
      </c>
      <c r="J469" s="67">
        <v>1</v>
      </c>
      <c r="K469" s="68" t="s">
        <v>832</v>
      </c>
      <c r="L469" s="68" t="s">
        <v>240</v>
      </c>
      <c r="M469" s="68" t="s">
        <v>824</v>
      </c>
      <c r="N469" s="67" t="s">
        <v>240</v>
      </c>
      <c r="O469" s="69">
        <v>0</v>
      </c>
      <c r="P469" s="74" t="s">
        <v>240</v>
      </c>
      <c r="Q469" s="67" t="s">
        <v>240</v>
      </c>
      <c r="R469" s="67" t="s">
        <v>835</v>
      </c>
      <c r="S469" s="67">
        <v>2300</v>
      </c>
      <c r="T469" s="67">
        <v>1593</v>
      </c>
      <c r="U469" s="67">
        <v>707</v>
      </c>
      <c r="V469" s="81">
        <f t="shared" si="109"/>
        <v>9.000000000000008E-3</v>
      </c>
      <c r="X469" s="67">
        <v>0.82</v>
      </c>
      <c r="Y469" s="67">
        <v>0.81799999999999995</v>
      </c>
      <c r="AB469" s="67">
        <v>0.73899999999999999</v>
      </c>
      <c r="AC469" s="67">
        <v>0.73</v>
      </c>
      <c r="AF469" s="67">
        <f t="shared" si="112"/>
        <v>0.6745965254423909</v>
      </c>
      <c r="AH469" s="70">
        <v>0.5</v>
      </c>
      <c r="AI469" s="96">
        <f t="shared" si="113"/>
        <v>1.3341307967896714E-2</v>
      </c>
      <c r="AK469" s="68" t="s">
        <v>828</v>
      </c>
      <c r="AL469" s="68" t="s">
        <v>834</v>
      </c>
    </row>
    <row r="470" spans="1:49" ht="30" customHeight="1" x14ac:dyDescent="0.25">
      <c r="A470" s="77" t="s">
        <v>55</v>
      </c>
      <c r="B470" s="67" t="s">
        <v>293</v>
      </c>
      <c r="C470" s="77" t="s">
        <v>149</v>
      </c>
      <c r="D470" s="67">
        <v>1</v>
      </c>
      <c r="E470" s="67" t="s">
        <v>644</v>
      </c>
      <c r="F470" s="67" t="s">
        <v>240</v>
      </c>
      <c r="G470" s="68" t="s">
        <v>627</v>
      </c>
      <c r="H470" s="67">
        <v>1</v>
      </c>
      <c r="I470" s="67">
        <v>6</v>
      </c>
      <c r="J470" s="67">
        <v>1</v>
      </c>
      <c r="K470" s="68" t="s">
        <v>647</v>
      </c>
      <c r="L470" s="67" t="s">
        <v>240</v>
      </c>
      <c r="M470" s="68" t="s">
        <v>570</v>
      </c>
      <c r="N470" s="67" t="s">
        <v>240</v>
      </c>
      <c r="O470" s="79">
        <f>1-AVERAGE(0.918, 0.918)</f>
        <v>8.1999999999999962E-2</v>
      </c>
      <c r="P470" s="79">
        <f>-(0.918-0.918)</f>
        <v>0</v>
      </c>
      <c r="Q470" s="67" t="s">
        <v>240</v>
      </c>
      <c r="R470" s="67" t="s">
        <v>376</v>
      </c>
      <c r="S470" s="78">
        <f t="shared" ref="S470:S498" si="114">T470+U470</f>
        <v>1236.546</v>
      </c>
      <c r="T470" s="78">
        <f>599*0.918</f>
        <v>549.88200000000006</v>
      </c>
      <c r="U470" s="78">
        <f>748*0.918</f>
        <v>686.66399999999999</v>
      </c>
      <c r="V470" s="67">
        <v>1.2E-2</v>
      </c>
      <c r="W470" s="67">
        <v>2.8000000000000001E-2</v>
      </c>
      <c r="AC470" s="67">
        <v>0.34499999999999997</v>
      </c>
      <c r="AI470" s="70">
        <f t="shared" ref="AI470:AI478" si="115">+W470</f>
        <v>2.8000000000000001E-2</v>
      </c>
      <c r="AL470" s="68" t="s">
        <v>836</v>
      </c>
      <c r="AM470" s="67" t="s">
        <v>30</v>
      </c>
    </row>
    <row r="471" spans="1:49" ht="30" customHeight="1" x14ac:dyDescent="0.25">
      <c r="A471" s="77" t="s">
        <v>55</v>
      </c>
      <c r="B471" s="67" t="s">
        <v>293</v>
      </c>
      <c r="C471" s="77" t="s">
        <v>149</v>
      </c>
      <c r="D471" s="67">
        <f t="shared" ref="D471:D478" si="116">D470+1</f>
        <v>2</v>
      </c>
      <c r="E471" s="67" t="s">
        <v>644</v>
      </c>
      <c r="F471" s="67" t="s">
        <v>240</v>
      </c>
      <c r="G471" s="68" t="s">
        <v>627</v>
      </c>
      <c r="H471" s="67">
        <v>1</v>
      </c>
      <c r="I471" s="67">
        <v>14</v>
      </c>
      <c r="J471" s="67">
        <v>1</v>
      </c>
      <c r="K471" s="68" t="s">
        <v>647</v>
      </c>
      <c r="L471" s="67" t="s">
        <v>240</v>
      </c>
      <c r="M471" s="68" t="s">
        <v>570</v>
      </c>
      <c r="N471" s="67" t="s">
        <v>240</v>
      </c>
      <c r="O471" s="79">
        <f>1-AVERAGE(0.955, 0.956)</f>
        <v>4.4499999999999984E-2</v>
      </c>
      <c r="P471" s="79">
        <f>-(0.956-0.955)</f>
        <v>-1.0000000000000009E-3</v>
      </c>
      <c r="Q471" s="67" t="s">
        <v>240</v>
      </c>
      <c r="R471" s="67" t="s">
        <v>376</v>
      </c>
      <c r="S471" s="78">
        <f t="shared" si="114"/>
        <v>1287.1329999999998</v>
      </c>
      <c r="T471" s="78">
        <f>599*0.955</f>
        <v>572.04499999999996</v>
      </c>
      <c r="U471" s="78">
        <f>748*0.956</f>
        <v>715.08799999999997</v>
      </c>
      <c r="V471" s="67">
        <v>-1.4999999999999999E-2</v>
      </c>
      <c r="W471" s="67">
        <v>3.1E-2</v>
      </c>
      <c r="AC471" s="67">
        <v>0.34499999999999997</v>
      </c>
      <c r="AI471" s="70">
        <f t="shared" si="115"/>
        <v>3.1E-2</v>
      </c>
      <c r="AL471" s="68" t="s">
        <v>836</v>
      </c>
      <c r="AM471" s="67" t="s">
        <v>30</v>
      </c>
    </row>
    <row r="472" spans="1:49" ht="30" customHeight="1" x14ac:dyDescent="0.25">
      <c r="A472" s="77" t="s">
        <v>55</v>
      </c>
      <c r="B472" s="67" t="s">
        <v>293</v>
      </c>
      <c r="C472" s="77" t="s">
        <v>149</v>
      </c>
      <c r="D472" s="67">
        <f t="shared" si="116"/>
        <v>3</v>
      </c>
      <c r="E472" s="67" t="s">
        <v>644</v>
      </c>
      <c r="F472" s="67" t="s">
        <v>240</v>
      </c>
      <c r="G472" s="68" t="s">
        <v>627</v>
      </c>
      <c r="H472" s="67">
        <v>1</v>
      </c>
      <c r="I472" s="67">
        <v>27</v>
      </c>
      <c r="J472" s="67">
        <v>1</v>
      </c>
      <c r="K472" s="68" t="s">
        <v>647</v>
      </c>
      <c r="L472" s="67" t="s">
        <v>240</v>
      </c>
      <c r="M472" s="68" t="s">
        <v>570</v>
      </c>
      <c r="N472" s="67" t="s">
        <v>240</v>
      </c>
      <c r="O472" s="79">
        <f>1-AVERAGE(0.913, 0.92)</f>
        <v>8.3499999999999908E-2</v>
      </c>
      <c r="P472" s="79">
        <f>-(0.92-0.913)</f>
        <v>-7.0000000000000062E-3</v>
      </c>
      <c r="Q472" s="67" t="s">
        <v>240</v>
      </c>
      <c r="R472" s="67" t="s">
        <v>376</v>
      </c>
      <c r="S472" s="78">
        <f t="shared" si="114"/>
        <v>1235.047</v>
      </c>
      <c r="T472" s="78">
        <f>599*0.913</f>
        <v>546.88700000000006</v>
      </c>
      <c r="U472" s="78">
        <f>748*0.92</f>
        <v>688.16000000000008</v>
      </c>
      <c r="V472" s="67">
        <v>2.1000000000000001E-2</v>
      </c>
      <c r="W472" s="67">
        <v>3.4000000000000002E-2</v>
      </c>
      <c r="AC472" s="67">
        <v>0.34499999999999997</v>
      </c>
      <c r="AI472" s="70">
        <f t="shared" si="115"/>
        <v>3.4000000000000002E-2</v>
      </c>
      <c r="AL472" s="68" t="s">
        <v>836</v>
      </c>
      <c r="AM472" s="67" t="s">
        <v>30</v>
      </c>
    </row>
    <row r="473" spans="1:49" ht="30" customHeight="1" x14ac:dyDescent="0.25">
      <c r="A473" s="77" t="s">
        <v>55</v>
      </c>
      <c r="B473" s="67" t="s">
        <v>293</v>
      </c>
      <c r="C473" s="77" t="s">
        <v>149</v>
      </c>
      <c r="D473" s="67">
        <f t="shared" si="116"/>
        <v>4</v>
      </c>
      <c r="E473" s="67" t="s">
        <v>644</v>
      </c>
      <c r="F473" s="67" t="s">
        <v>240</v>
      </c>
      <c r="G473" s="68" t="s">
        <v>627</v>
      </c>
      <c r="H473" s="67">
        <v>1</v>
      </c>
      <c r="I473" s="67">
        <v>6</v>
      </c>
      <c r="J473" s="67">
        <v>3</v>
      </c>
      <c r="K473" s="68" t="s">
        <v>837</v>
      </c>
      <c r="L473" s="67" t="s">
        <v>240</v>
      </c>
      <c r="M473" s="68" t="s">
        <v>570</v>
      </c>
      <c r="N473" s="67" t="s">
        <v>240</v>
      </c>
      <c r="O473" s="79">
        <f>1-AVERAGE(0.918, 0.918)</f>
        <v>8.1999999999999962E-2</v>
      </c>
      <c r="P473" s="79">
        <f>-(0.918-0.918)</f>
        <v>0</v>
      </c>
      <c r="Q473" s="67" t="s">
        <v>240</v>
      </c>
      <c r="R473" s="67" t="s">
        <v>376</v>
      </c>
      <c r="S473" s="78">
        <f t="shared" si="114"/>
        <v>1236.546</v>
      </c>
      <c r="T473" s="78">
        <f>599*0.918</f>
        <v>549.88200000000006</v>
      </c>
      <c r="U473" s="78">
        <f>748*0.918</f>
        <v>686.66399999999999</v>
      </c>
      <c r="V473" s="67">
        <v>5.0000000000000001E-3</v>
      </c>
      <c r="W473" s="67">
        <v>2.3E-2</v>
      </c>
      <c r="AC473" s="67">
        <v>0.157</v>
      </c>
      <c r="AI473" s="70">
        <f t="shared" si="115"/>
        <v>2.3E-2</v>
      </c>
      <c r="AL473" s="68" t="s">
        <v>836</v>
      </c>
      <c r="AM473" s="67" t="s">
        <v>30</v>
      </c>
    </row>
    <row r="474" spans="1:49" ht="30" customHeight="1" x14ac:dyDescent="0.25">
      <c r="A474" s="77" t="s">
        <v>55</v>
      </c>
      <c r="B474" s="67" t="s">
        <v>293</v>
      </c>
      <c r="C474" s="77" t="s">
        <v>149</v>
      </c>
      <c r="D474" s="67">
        <f t="shared" si="116"/>
        <v>5</v>
      </c>
      <c r="E474" s="67" t="s">
        <v>644</v>
      </c>
      <c r="F474" s="67" t="s">
        <v>240</v>
      </c>
      <c r="G474" s="68" t="s">
        <v>627</v>
      </c>
      <c r="H474" s="67">
        <v>1</v>
      </c>
      <c r="I474" s="67">
        <v>14</v>
      </c>
      <c r="J474" s="67">
        <v>3</v>
      </c>
      <c r="K474" s="68" t="s">
        <v>837</v>
      </c>
      <c r="L474" s="67" t="s">
        <v>240</v>
      </c>
      <c r="M474" s="68" t="s">
        <v>570</v>
      </c>
      <c r="N474" s="67" t="s">
        <v>240</v>
      </c>
      <c r="O474" s="79">
        <f>1-AVERAGE(0.955, 0.956)</f>
        <v>4.4499999999999984E-2</v>
      </c>
      <c r="P474" s="79">
        <f>-(0.956-0.955)</f>
        <v>-1.0000000000000009E-3</v>
      </c>
      <c r="Q474" s="67" t="s">
        <v>240</v>
      </c>
      <c r="R474" s="67" t="s">
        <v>376</v>
      </c>
      <c r="S474" s="78">
        <f t="shared" si="114"/>
        <v>1287.1329999999998</v>
      </c>
      <c r="T474" s="78">
        <f>599*0.955</f>
        <v>572.04499999999996</v>
      </c>
      <c r="U474" s="78">
        <f>748*0.956</f>
        <v>715.08799999999997</v>
      </c>
      <c r="V474" s="67">
        <v>6.0000000000000001E-3</v>
      </c>
      <c r="W474" s="67">
        <v>2.5999999999999999E-2</v>
      </c>
      <c r="AC474" s="67">
        <v>0.157</v>
      </c>
      <c r="AI474" s="70">
        <f t="shared" si="115"/>
        <v>2.5999999999999999E-2</v>
      </c>
      <c r="AL474" s="68" t="s">
        <v>836</v>
      </c>
      <c r="AM474" s="67" t="s">
        <v>30</v>
      </c>
    </row>
    <row r="475" spans="1:49" ht="30" customHeight="1" x14ac:dyDescent="0.25">
      <c r="A475" s="77" t="s">
        <v>55</v>
      </c>
      <c r="B475" s="67" t="s">
        <v>293</v>
      </c>
      <c r="C475" s="77" t="s">
        <v>149</v>
      </c>
      <c r="D475" s="67">
        <f t="shared" si="116"/>
        <v>6</v>
      </c>
      <c r="E475" s="67" t="s">
        <v>644</v>
      </c>
      <c r="F475" s="67" t="s">
        <v>240</v>
      </c>
      <c r="G475" s="68" t="s">
        <v>627</v>
      </c>
      <c r="H475" s="67">
        <v>1</v>
      </c>
      <c r="I475" s="67">
        <v>27</v>
      </c>
      <c r="J475" s="67">
        <v>3</v>
      </c>
      <c r="K475" s="68" t="s">
        <v>837</v>
      </c>
      <c r="L475" s="67" t="s">
        <v>240</v>
      </c>
      <c r="M475" s="68" t="s">
        <v>570</v>
      </c>
      <c r="N475" s="67" t="s">
        <v>240</v>
      </c>
      <c r="O475" s="79">
        <f>1-AVERAGE(0.913, 0.92)</f>
        <v>8.3499999999999908E-2</v>
      </c>
      <c r="P475" s="79">
        <f>-(0.92-0.913)</f>
        <v>-7.0000000000000062E-3</v>
      </c>
      <c r="Q475" s="67" t="s">
        <v>240</v>
      </c>
      <c r="R475" s="67" t="s">
        <v>376</v>
      </c>
      <c r="S475" s="78">
        <f t="shared" si="114"/>
        <v>1235.047</v>
      </c>
      <c r="T475" s="78">
        <f>599*0.913</f>
        <v>546.88700000000006</v>
      </c>
      <c r="U475" s="78">
        <f>748*0.92</f>
        <v>688.16000000000008</v>
      </c>
      <c r="V475" s="67">
        <v>1.7000000000000001E-2</v>
      </c>
      <c r="W475" s="67">
        <v>2.8000000000000001E-2</v>
      </c>
      <c r="AC475" s="67">
        <v>0.157</v>
      </c>
      <c r="AI475" s="70">
        <f t="shared" si="115"/>
        <v>2.8000000000000001E-2</v>
      </c>
      <c r="AL475" s="68" t="s">
        <v>836</v>
      </c>
      <c r="AM475" s="67" t="s">
        <v>30</v>
      </c>
    </row>
    <row r="476" spans="1:49" ht="30" customHeight="1" x14ac:dyDescent="0.25">
      <c r="A476" s="77" t="s">
        <v>55</v>
      </c>
      <c r="B476" s="67" t="s">
        <v>293</v>
      </c>
      <c r="C476" s="77" t="s">
        <v>149</v>
      </c>
      <c r="D476" s="67">
        <f t="shared" si="116"/>
        <v>7</v>
      </c>
      <c r="E476" s="67" t="s">
        <v>644</v>
      </c>
      <c r="F476" s="67" t="s">
        <v>240</v>
      </c>
      <c r="G476" s="68" t="s">
        <v>627</v>
      </c>
      <c r="H476" s="67">
        <v>1</v>
      </c>
      <c r="I476" s="67">
        <v>6</v>
      </c>
      <c r="J476" s="67">
        <v>6</v>
      </c>
      <c r="K476" s="68" t="s">
        <v>838</v>
      </c>
      <c r="L476" s="67" t="s">
        <v>839</v>
      </c>
      <c r="M476" s="68" t="s">
        <v>570</v>
      </c>
      <c r="N476" s="67" t="s">
        <v>240</v>
      </c>
      <c r="O476" s="79">
        <f>1-AVERAGE(0.918, 0.918)</f>
        <v>8.1999999999999962E-2</v>
      </c>
      <c r="P476" s="79">
        <f>-(0.918-0.918)</f>
        <v>0</v>
      </c>
      <c r="Q476" s="67" t="s">
        <v>240</v>
      </c>
      <c r="R476" s="67" t="s">
        <v>376</v>
      </c>
      <c r="S476" s="78">
        <f t="shared" si="114"/>
        <v>1236.546</v>
      </c>
      <c r="T476" s="78">
        <f>599*0.918</f>
        <v>549.88200000000006</v>
      </c>
      <c r="U476" s="78">
        <f>748*0.918</f>
        <v>686.66399999999999</v>
      </c>
      <c r="V476" s="67">
        <v>-1.9E-2</v>
      </c>
      <c r="W476" s="67">
        <v>4.1980000000000004</v>
      </c>
      <c r="AC476" s="67">
        <v>155.19900000000001</v>
      </c>
      <c r="AI476" s="70">
        <f t="shared" si="115"/>
        <v>4.1980000000000004</v>
      </c>
      <c r="AL476" s="68" t="s">
        <v>836</v>
      </c>
      <c r="AM476" s="67" t="s">
        <v>30</v>
      </c>
      <c r="AP476" s="67">
        <f>+V476/AQ476</f>
        <v>-2.5900575488636959E-4</v>
      </c>
      <c r="AQ476" s="67">
        <f>+W476*SQRT(T476*U476/S476)</f>
        <v>73.357443383200632</v>
      </c>
      <c r="AS476" s="67">
        <f>+AP476^2/(AU476-2)*(AU476/(V476/AI476)^2+AU476*AV476^2-AU476+2)</f>
        <v>3.280202450662737E-3</v>
      </c>
      <c r="AU476" s="67">
        <f>+S476-2</f>
        <v>1234.546</v>
      </c>
      <c r="AV476" s="67">
        <f>IFERROR(1/(SQRT(AU476/2)*_xlfn.GAMMA(AU476/2-0.5)/_xlfn.GAMMA(AU476/2)),1)</f>
        <v>1</v>
      </c>
      <c r="AW476" s="67" t="s">
        <v>1350</v>
      </c>
    </row>
    <row r="477" spans="1:49" ht="30" customHeight="1" x14ac:dyDescent="0.25">
      <c r="A477" s="77" t="s">
        <v>55</v>
      </c>
      <c r="B477" s="67" t="s">
        <v>293</v>
      </c>
      <c r="C477" s="77" t="s">
        <v>149</v>
      </c>
      <c r="D477" s="67">
        <f t="shared" si="116"/>
        <v>8</v>
      </c>
      <c r="E477" s="67" t="s">
        <v>644</v>
      </c>
      <c r="F477" s="67" t="s">
        <v>240</v>
      </c>
      <c r="G477" s="68" t="s">
        <v>627</v>
      </c>
      <c r="H477" s="67">
        <v>1</v>
      </c>
      <c r="I477" s="67">
        <v>14</v>
      </c>
      <c r="J477" s="67">
        <v>6</v>
      </c>
      <c r="K477" s="68" t="s">
        <v>838</v>
      </c>
      <c r="L477" s="67" t="s">
        <v>839</v>
      </c>
      <c r="M477" s="68" t="s">
        <v>570</v>
      </c>
      <c r="N477" s="67" t="s">
        <v>240</v>
      </c>
      <c r="O477" s="79">
        <f>1-AVERAGE(0.955, 0.956)</f>
        <v>4.4499999999999984E-2</v>
      </c>
      <c r="P477" s="79">
        <f>-(0.956-0.955)</f>
        <v>-1.0000000000000009E-3</v>
      </c>
      <c r="Q477" s="67" t="s">
        <v>240</v>
      </c>
      <c r="R477" s="67" t="s">
        <v>376</v>
      </c>
      <c r="S477" s="78">
        <f t="shared" si="114"/>
        <v>1287.1329999999998</v>
      </c>
      <c r="T477" s="78">
        <f>599*0.955</f>
        <v>572.04499999999996</v>
      </c>
      <c r="U477" s="78">
        <f>748*0.956</f>
        <v>715.08799999999997</v>
      </c>
      <c r="V477" s="67">
        <v>-2.9079999999999999</v>
      </c>
      <c r="W477" s="67">
        <v>7.109</v>
      </c>
      <c r="AC477" s="81">
        <v>155.19900000000001</v>
      </c>
      <c r="AI477" s="70">
        <f t="shared" si="115"/>
        <v>7.109</v>
      </c>
      <c r="AL477" s="68" t="s">
        <v>836</v>
      </c>
      <c r="AM477" s="67" t="s">
        <v>30</v>
      </c>
      <c r="AP477" s="67">
        <f>+V477/AQ477</f>
        <v>-2.2945776465293811E-2</v>
      </c>
      <c r="AQ477" s="67">
        <f>+W477*SQRT(T477*U477/S477)</f>
        <v>126.73356268411483</v>
      </c>
      <c r="AS477" s="67">
        <f>+AP477^2/(AU477-2)*(AU477/(V477/AI477)^2+AU477*AV477^2-AU477+2)</f>
        <v>3.152268636864527E-3</v>
      </c>
      <c r="AU477" s="67">
        <f>+S477-2</f>
        <v>1285.1329999999998</v>
      </c>
      <c r="AV477" s="67">
        <f>IFERROR(1/(SQRT(AU477/2)*_xlfn.GAMMA(AU477/2-0.5)/_xlfn.GAMMA(AU477/2)),1)</f>
        <v>1</v>
      </c>
      <c r="AW477" s="67" t="s">
        <v>1350</v>
      </c>
    </row>
    <row r="478" spans="1:49" ht="30" customHeight="1" x14ac:dyDescent="0.25">
      <c r="A478" s="77" t="s">
        <v>55</v>
      </c>
      <c r="B478" s="67" t="s">
        <v>293</v>
      </c>
      <c r="C478" s="77" t="s">
        <v>149</v>
      </c>
      <c r="D478" s="67">
        <f t="shared" si="116"/>
        <v>9</v>
      </c>
      <c r="E478" s="67" t="s">
        <v>644</v>
      </c>
      <c r="F478" s="67" t="s">
        <v>240</v>
      </c>
      <c r="G478" s="68" t="s">
        <v>627</v>
      </c>
      <c r="H478" s="67">
        <v>1</v>
      </c>
      <c r="I478" s="67">
        <v>27</v>
      </c>
      <c r="J478" s="67">
        <v>6</v>
      </c>
      <c r="K478" s="68" t="s">
        <v>838</v>
      </c>
      <c r="L478" s="67" t="s">
        <v>839</v>
      </c>
      <c r="M478" s="68" t="s">
        <v>570</v>
      </c>
      <c r="N478" s="67" t="s">
        <v>240</v>
      </c>
      <c r="O478" s="79">
        <f>1-AVERAGE(0.913, 0.92)</f>
        <v>8.3499999999999908E-2</v>
      </c>
      <c r="P478" s="79">
        <f>-(0.92-0.913)</f>
        <v>-7.0000000000000062E-3</v>
      </c>
      <c r="Q478" s="67" t="s">
        <v>240</v>
      </c>
      <c r="R478" s="67" t="s">
        <v>376</v>
      </c>
      <c r="S478" s="78">
        <f t="shared" si="114"/>
        <v>1235.047</v>
      </c>
      <c r="T478" s="78">
        <f>599*0.913</f>
        <v>546.88700000000006</v>
      </c>
      <c r="U478" s="78">
        <f>748*0.92</f>
        <v>688.16000000000008</v>
      </c>
      <c r="V478" s="67">
        <v>6.3449999999999998</v>
      </c>
      <c r="W478" s="67">
        <v>9.7200000000000006</v>
      </c>
      <c r="AC478" s="81">
        <v>155.19900000000001</v>
      </c>
      <c r="AI478" s="70">
        <f t="shared" si="115"/>
        <v>9.7200000000000006</v>
      </c>
      <c r="AL478" s="68" t="s">
        <v>836</v>
      </c>
      <c r="AM478" s="67" t="s">
        <v>30</v>
      </c>
      <c r="AP478" s="67">
        <f>+V478/AQ478</f>
        <v>3.7395004642952527E-2</v>
      </c>
      <c r="AQ478" s="67">
        <f>+W478*SQRT(T478*U478/S478)</f>
        <v>169.67506918589942</v>
      </c>
      <c r="AS478" s="67">
        <f>+AP478^2/(AU478-2)*(AU478/(V478/AI478)^2+AU478*AV478^2-AU478+2)</f>
        <v>3.2892851301866946E-3</v>
      </c>
      <c r="AU478" s="67">
        <f>+S478-2</f>
        <v>1233.047</v>
      </c>
      <c r="AV478" s="67">
        <f>IFERROR(1/(SQRT(AU478/2)*_xlfn.GAMMA(AU478/2-0.5)/_xlfn.GAMMA(AU478/2)),1)</f>
        <v>1</v>
      </c>
      <c r="AW478" s="67" t="s">
        <v>1350</v>
      </c>
    </row>
    <row r="479" spans="1:49" ht="30" customHeight="1" x14ac:dyDescent="0.25">
      <c r="A479" s="75" t="s">
        <v>105</v>
      </c>
      <c r="B479" s="67" t="s">
        <v>207</v>
      </c>
      <c r="C479" s="75" t="s">
        <v>105</v>
      </c>
      <c r="D479" s="67">
        <v>1</v>
      </c>
      <c r="E479" s="67" t="s">
        <v>605</v>
      </c>
      <c r="F479" s="67" t="s">
        <v>240</v>
      </c>
      <c r="G479" s="68" t="s">
        <v>840</v>
      </c>
      <c r="H479" s="67">
        <v>1</v>
      </c>
      <c r="I479" s="67" t="s">
        <v>240</v>
      </c>
      <c r="J479" s="67">
        <v>1</v>
      </c>
      <c r="K479" s="68" t="s">
        <v>841</v>
      </c>
      <c r="L479" s="67" t="s">
        <v>240</v>
      </c>
      <c r="M479" s="68" t="s">
        <v>570</v>
      </c>
      <c r="N479" s="67" t="s">
        <v>240</v>
      </c>
      <c r="O479" s="74">
        <v>8.0000000000000002E-3</v>
      </c>
      <c r="P479" s="67" t="s">
        <v>240</v>
      </c>
      <c r="Q479" s="67" t="s">
        <v>240</v>
      </c>
      <c r="R479" s="67" t="s">
        <v>674</v>
      </c>
      <c r="S479" s="67">
        <f t="shared" si="114"/>
        <v>552</v>
      </c>
      <c r="T479" s="67">
        <v>287</v>
      </c>
      <c r="U479" s="67">
        <v>265</v>
      </c>
      <c r="V479" s="67">
        <v>0.1</v>
      </c>
      <c r="AB479" s="67">
        <v>74.400000000000006</v>
      </c>
      <c r="AC479" s="67">
        <v>64.400000000000006</v>
      </c>
      <c r="AF479" s="67">
        <f t="shared" ref="AF479:AF498" si="117">_xlfn.T.INV.2T(AH479,S479-2)</f>
        <v>2.5847977599513823</v>
      </c>
      <c r="AH479" s="70">
        <v>0.01</v>
      </c>
      <c r="AI479" s="96">
        <f t="shared" ref="AI479:AI498" si="118">+ABS(V479/AF479)</f>
        <v>3.8687746310133338E-2</v>
      </c>
      <c r="AK479" s="68" t="s">
        <v>842</v>
      </c>
      <c r="AL479" s="68" t="s">
        <v>843</v>
      </c>
      <c r="AM479" s="67" t="s">
        <v>308</v>
      </c>
    </row>
    <row r="480" spans="1:49" ht="30" customHeight="1" x14ac:dyDescent="0.25">
      <c r="A480" s="75" t="s">
        <v>105</v>
      </c>
      <c r="B480" s="67" t="s">
        <v>207</v>
      </c>
      <c r="C480" s="75" t="s">
        <v>105</v>
      </c>
      <c r="D480" s="67">
        <v>2</v>
      </c>
      <c r="E480" s="67" t="s">
        <v>605</v>
      </c>
      <c r="F480" s="67" t="s">
        <v>240</v>
      </c>
      <c r="G480" s="68" t="s">
        <v>840</v>
      </c>
      <c r="H480" s="67">
        <v>1</v>
      </c>
      <c r="I480" s="67" t="s">
        <v>240</v>
      </c>
      <c r="J480" s="67">
        <v>2</v>
      </c>
      <c r="K480" s="68" t="s">
        <v>667</v>
      </c>
      <c r="L480" s="67" t="s">
        <v>638</v>
      </c>
      <c r="M480" s="68" t="s">
        <v>570</v>
      </c>
      <c r="N480" s="67" t="s">
        <v>240</v>
      </c>
      <c r="O480" s="74">
        <v>8.0000000000000002E-3</v>
      </c>
      <c r="P480" s="67" t="s">
        <v>240</v>
      </c>
      <c r="Q480" s="67" t="s">
        <v>240</v>
      </c>
      <c r="R480" s="67" t="s">
        <v>674</v>
      </c>
      <c r="S480" s="67">
        <f t="shared" si="114"/>
        <v>552</v>
      </c>
      <c r="T480" s="67">
        <v>287</v>
      </c>
      <c r="U480" s="67">
        <v>265</v>
      </c>
      <c r="V480" s="67">
        <v>98</v>
      </c>
      <c r="AB480" s="67">
        <v>561</v>
      </c>
      <c r="AC480" s="67">
        <v>463</v>
      </c>
      <c r="AF480" s="67">
        <f t="shared" si="117"/>
        <v>2.5847977599513823</v>
      </c>
      <c r="AH480" s="70">
        <v>0.01</v>
      </c>
      <c r="AI480" s="96">
        <f t="shared" si="118"/>
        <v>37.913991383930671</v>
      </c>
      <c r="AK480" s="68" t="s">
        <v>842</v>
      </c>
      <c r="AL480" s="68" t="s">
        <v>843</v>
      </c>
      <c r="AM480" s="67" t="s">
        <v>308</v>
      </c>
      <c r="AP480" s="67">
        <f>+V480/AQ480</f>
        <v>0.22020755868484557</v>
      </c>
      <c r="AQ480" s="67">
        <f>+AI480*SQRT(T480*U480/S480)</f>
        <v>445.03467812498957</v>
      </c>
      <c r="AS480" s="67">
        <f>+AP480^2/(AU480-2)*(AU480/(V480/AI480)^2+AU480*AV480^2-AU480+2)</f>
        <v>7.4613699681337535E-3</v>
      </c>
      <c r="AU480" s="67">
        <f>+S480-2</f>
        <v>550</v>
      </c>
      <c r="AV480" s="67">
        <f>IFERROR(1/(SQRT(AU480/2)*_xlfn.GAMMA(AU480/2-0.5)/_xlfn.GAMMA(AU480/2)),1)</f>
        <v>1</v>
      </c>
      <c r="AW480" s="67" t="s">
        <v>1350</v>
      </c>
    </row>
    <row r="481" spans="1:49" ht="30" customHeight="1" x14ac:dyDescent="0.25">
      <c r="A481" s="75" t="s">
        <v>105</v>
      </c>
      <c r="B481" s="67" t="s">
        <v>207</v>
      </c>
      <c r="C481" s="75" t="s">
        <v>105</v>
      </c>
      <c r="D481" s="67">
        <v>3</v>
      </c>
      <c r="E481" s="67" t="s">
        <v>605</v>
      </c>
      <c r="F481" s="67" t="s">
        <v>240</v>
      </c>
      <c r="G481" s="68" t="s">
        <v>840</v>
      </c>
      <c r="H481" s="67">
        <v>1</v>
      </c>
      <c r="I481" s="67" t="s">
        <v>240</v>
      </c>
      <c r="J481" s="67">
        <v>6</v>
      </c>
      <c r="K481" s="68" t="s">
        <v>844</v>
      </c>
      <c r="L481" s="67" t="s">
        <v>638</v>
      </c>
      <c r="M481" s="68" t="s">
        <v>570</v>
      </c>
      <c r="N481" s="67" t="s">
        <v>240</v>
      </c>
      <c r="O481" s="74">
        <v>8.0000000000000002E-3</v>
      </c>
      <c r="P481" s="67" t="s">
        <v>240</v>
      </c>
      <c r="Q481" s="67" t="s">
        <v>240</v>
      </c>
      <c r="R481" s="67" t="s">
        <v>674</v>
      </c>
      <c r="S481" s="67">
        <f t="shared" si="114"/>
        <v>552</v>
      </c>
      <c r="T481" s="67">
        <v>287</v>
      </c>
      <c r="U481" s="67">
        <v>265</v>
      </c>
      <c r="V481" s="67">
        <v>2.38</v>
      </c>
      <c r="AB481" s="67">
        <v>15.23</v>
      </c>
      <c r="AC481" s="67">
        <v>12.85</v>
      </c>
      <c r="AF481" s="67">
        <f t="shared" si="117"/>
        <v>2.5847977599513823</v>
      </c>
      <c r="AH481" s="70">
        <v>0.01</v>
      </c>
      <c r="AI481" s="96">
        <f t="shared" si="118"/>
        <v>0.92076836218117331</v>
      </c>
      <c r="AK481" s="68" t="s">
        <v>842</v>
      </c>
      <c r="AL481" s="68" t="s">
        <v>843</v>
      </c>
      <c r="AM481" s="67" t="s">
        <v>308</v>
      </c>
      <c r="AP481" s="67">
        <f>+V481/AQ481</f>
        <v>0.22020755868484559</v>
      </c>
      <c r="AQ481" s="67">
        <f>+AI481*SQRT(T481*U481/S481)</f>
        <v>10.807985040178316</v>
      </c>
      <c r="AS481" s="67">
        <f>+AP481^2/(AU481-2)*(AU481/(V481/AI481)^2+AU481*AV481^2-AU481+2)</f>
        <v>7.4613699681337561E-3</v>
      </c>
      <c r="AU481" s="67">
        <f>+S481-2</f>
        <v>550</v>
      </c>
      <c r="AV481" s="67">
        <f>IFERROR(1/(SQRT(AU481/2)*_xlfn.GAMMA(AU481/2-0.5)/_xlfn.GAMMA(AU481/2)),1)</f>
        <v>1</v>
      </c>
      <c r="AW481" s="67" t="s">
        <v>1350</v>
      </c>
    </row>
    <row r="482" spans="1:49" ht="30" customHeight="1" x14ac:dyDescent="0.25">
      <c r="A482" s="75" t="s">
        <v>105</v>
      </c>
      <c r="B482" s="67" t="s">
        <v>207</v>
      </c>
      <c r="C482" s="75" t="s">
        <v>105</v>
      </c>
      <c r="D482" s="67">
        <v>4</v>
      </c>
      <c r="E482" s="67" t="s">
        <v>605</v>
      </c>
      <c r="F482" s="67" t="s">
        <v>240</v>
      </c>
      <c r="G482" s="68" t="s">
        <v>845</v>
      </c>
      <c r="H482" s="67">
        <v>1</v>
      </c>
      <c r="I482" s="67" t="s">
        <v>240</v>
      </c>
      <c r="J482" s="67">
        <v>1</v>
      </c>
      <c r="K482" s="68" t="s">
        <v>841</v>
      </c>
      <c r="L482" s="67" t="s">
        <v>240</v>
      </c>
      <c r="M482" s="68" t="s">
        <v>570</v>
      </c>
      <c r="N482" s="67" t="s">
        <v>240</v>
      </c>
      <c r="O482" s="74">
        <v>8.0000000000000002E-3</v>
      </c>
      <c r="P482" s="67" t="s">
        <v>240</v>
      </c>
      <c r="Q482" s="67" t="s">
        <v>240</v>
      </c>
      <c r="R482" s="67" t="s">
        <v>674</v>
      </c>
      <c r="S482" s="67">
        <f t="shared" si="114"/>
        <v>384</v>
      </c>
      <c r="T482" s="67">
        <v>205</v>
      </c>
      <c r="U482" s="67">
        <v>179</v>
      </c>
      <c r="V482" s="67">
        <v>-1E-3</v>
      </c>
      <c r="AB482" s="81">
        <v>65.3</v>
      </c>
      <c r="AC482" s="81">
        <v>65.400000000000006</v>
      </c>
      <c r="AF482" s="67">
        <f t="shared" si="117"/>
        <v>0.67513253286264918</v>
      </c>
      <c r="AH482" s="70">
        <v>0.5</v>
      </c>
      <c r="AI482" s="96">
        <f t="shared" si="118"/>
        <v>1.4811906571290097E-3</v>
      </c>
      <c r="AK482" s="68" t="s">
        <v>806</v>
      </c>
      <c r="AL482" s="68" t="s">
        <v>843</v>
      </c>
      <c r="AM482" s="67" t="s">
        <v>308</v>
      </c>
    </row>
    <row r="483" spans="1:49" ht="30" customHeight="1" x14ac:dyDescent="0.25">
      <c r="A483" s="75" t="s">
        <v>105</v>
      </c>
      <c r="B483" s="67" t="s">
        <v>207</v>
      </c>
      <c r="C483" s="75" t="s">
        <v>105</v>
      </c>
      <c r="D483" s="67">
        <v>5</v>
      </c>
      <c r="E483" s="67" t="s">
        <v>605</v>
      </c>
      <c r="F483" s="67" t="s">
        <v>240</v>
      </c>
      <c r="G483" s="68" t="s">
        <v>845</v>
      </c>
      <c r="H483" s="67">
        <v>1</v>
      </c>
      <c r="I483" s="67" t="s">
        <v>240</v>
      </c>
      <c r="J483" s="67">
        <v>2</v>
      </c>
      <c r="K483" s="68" t="s">
        <v>667</v>
      </c>
      <c r="L483" s="67" t="s">
        <v>638</v>
      </c>
      <c r="M483" s="68" t="s">
        <v>570</v>
      </c>
      <c r="N483" s="67" t="s">
        <v>240</v>
      </c>
      <c r="O483" s="74">
        <v>8.0000000000000002E-3</v>
      </c>
      <c r="P483" s="67" t="s">
        <v>240</v>
      </c>
      <c r="Q483" s="67" t="s">
        <v>240</v>
      </c>
      <c r="R483" s="67" t="s">
        <v>674</v>
      </c>
      <c r="S483" s="67">
        <f t="shared" si="114"/>
        <v>384</v>
      </c>
      <c r="T483" s="67">
        <v>205</v>
      </c>
      <c r="U483" s="67">
        <v>179</v>
      </c>
      <c r="V483" s="81">
        <v>16</v>
      </c>
      <c r="AB483" s="81">
        <v>520</v>
      </c>
      <c r="AC483" s="81">
        <v>504</v>
      </c>
      <c r="AF483" s="67">
        <f t="shared" si="117"/>
        <v>0.67513253286264918</v>
      </c>
      <c r="AH483" s="70">
        <v>0.5</v>
      </c>
      <c r="AI483" s="96">
        <f t="shared" si="118"/>
        <v>23.699050514064155</v>
      </c>
      <c r="AK483" s="68" t="s">
        <v>806</v>
      </c>
      <c r="AL483" s="68" t="s">
        <v>1367</v>
      </c>
      <c r="AM483" s="67" t="s">
        <v>308</v>
      </c>
      <c r="AP483" s="67">
        <f>+V483/AQ483</f>
        <v>6.9063916394773162E-2</v>
      </c>
      <c r="AQ483" s="67">
        <f>+AI483*SQRT(T483*U483/S483)</f>
        <v>231.66945686287346</v>
      </c>
      <c r="AS483" s="67">
        <f>+AP483^2/(AU483-2)*(AU483/(V483/AI483)^2+AU483*AV483^2-AU483+2)</f>
        <v>1.0544822356664244E-2</v>
      </c>
      <c r="AU483" s="67">
        <f>+S483-2</f>
        <v>382</v>
      </c>
      <c r="AV483" s="67">
        <f>IFERROR(1/(SQRT(AU483/2)*_xlfn.GAMMA(AU483/2-0.5)/_xlfn.GAMMA(AU483/2)),1)</f>
        <v>1</v>
      </c>
      <c r="AW483" s="67" t="s">
        <v>1350</v>
      </c>
    </row>
    <row r="484" spans="1:49" ht="30" customHeight="1" x14ac:dyDescent="0.25">
      <c r="A484" s="75" t="s">
        <v>105</v>
      </c>
      <c r="B484" s="67" t="s">
        <v>207</v>
      </c>
      <c r="C484" s="75" t="s">
        <v>105</v>
      </c>
      <c r="D484" s="67">
        <v>6</v>
      </c>
      <c r="E484" s="67" t="s">
        <v>605</v>
      </c>
      <c r="F484" s="67" t="s">
        <v>240</v>
      </c>
      <c r="G484" s="68" t="s">
        <v>845</v>
      </c>
      <c r="H484" s="67">
        <v>1</v>
      </c>
      <c r="I484" s="67" t="s">
        <v>240</v>
      </c>
      <c r="J484" s="67">
        <v>6</v>
      </c>
      <c r="K484" s="68" t="s">
        <v>844</v>
      </c>
      <c r="L484" s="67" t="s">
        <v>638</v>
      </c>
      <c r="M484" s="68" t="s">
        <v>570</v>
      </c>
      <c r="N484" s="67" t="s">
        <v>240</v>
      </c>
      <c r="O484" s="74">
        <v>8.0000000000000002E-3</v>
      </c>
      <c r="P484" s="67" t="s">
        <v>240</v>
      </c>
      <c r="Q484" s="67" t="s">
        <v>240</v>
      </c>
      <c r="R484" s="67" t="s">
        <v>674</v>
      </c>
      <c r="S484" s="67">
        <f t="shared" si="114"/>
        <v>384</v>
      </c>
      <c r="T484" s="67">
        <v>205</v>
      </c>
      <c r="U484" s="67">
        <v>179</v>
      </c>
      <c r="V484" s="81">
        <v>-0.27</v>
      </c>
      <c r="AB484" s="81">
        <v>13.07</v>
      </c>
      <c r="AC484" s="81">
        <v>13.34</v>
      </c>
      <c r="AF484" s="67">
        <f t="shared" si="117"/>
        <v>0.67513253286264918</v>
      </c>
      <c r="AH484" s="70">
        <v>0.5</v>
      </c>
      <c r="AI484" s="96">
        <f t="shared" si="118"/>
        <v>0.39992147742483264</v>
      </c>
      <c r="AK484" s="68" t="s">
        <v>806</v>
      </c>
      <c r="AL484" s="68" t="s">
        <v>843</v>
      </c>
      <c r="AM484" s="67" t="s">
        <v>308</v>
      </c>
      <c r="AP484" s="67">
        <f>+V484/AQ484</f>
        <v>-6.9063916394773162E-2</v>
      </c>
      <c r="AQ484" s="67">
        <f>+AI484*SQRT(T484*U484/S484)</f>
        <v>3.9094220845609899</v>
      </c>
      <c r="AS484" s="67">
        <f>+AP484^2/(AU484-2)*(AU484/(V484/AI484)^2+AU484*AV484^2-AU484+2)</f>
        <v>1.0544822356664244E-2</v>
      </c>
      <c r="AU484" s="67">
        <f>+S484-2</f>
        <v>382</v>
      </c>
      <c r="AV484" s="67">
        <f>IFERROR(1/(SQRT(AU484/2)*_xlfn.GAMMA(AU484/2-0.5)/_xlfn.GAMMA(AU484/2)),1)</f>
        <v>1</v>
      </c>
      <c r="AW484" s="67" t="s">
        <v>1350</v>
      </c>
    </row>
    <row r="485" spans="1:49" ht="30" customHeight="1" x14ac:dyDescent="0.25">
      <c r="A485" s="75" t="s">
        <v>105</v>
      </c>
      <c r="B485" s="67" t="s">
        <v>207</v>
      </c>
      <c r="C485" s="75" t="s">
        <v>105</v>
      </c>
      <c r="D485" s="67">
        <v>7</v>
      </c>
      <c r="E485" s="67" t="s">
        <v>605</v>
      </c>
      <c r="F485" s="67" t="s">
        <v>240</v>
      </c>
      <c r="G485" s="68" t="s">
        <v>846</v>
      </c>
      <c r="H485" s="67">
        <v>1</v>
      </c>
      <c r="I485" s="67" t="s">
        <v>240</v>
      </c>
      <c r="J485" s="67">
        <v>1</v>
      </c>
      <c r="K485" s="68" t="s">
        <v>841</v>
      </c>
      <c r="L485" s="67" t="s">
        <v>240</v>
      </c>
      <c r="M485" s="68" t="s">
        <v>570</v>
      </c>
      <c r="N485" s="67" t="s">
        <v>240</v>
      </c>
      <c r="O485" s="74">
        <v>8.0000000000000002E-3</v>
      </c>
      <c r="P485" s="67" t="s">
        <v>240</v>
      </c>
      <c r="Q485" s="67" t="s">
        <v>240</v>
      </c>
      <c r="R485" s="67" t="s">
        <v>674</v>
      </c>
      <c r="S485" s="67">
        <f t="shared" si="114"/>
        <v>560</v>
      </c>
      <c r="T485" s="67">
        <v>297</v>
      </c>
      <c r="U485" s="67">
        <v>263</v>
      </c>
      <c r="V485" s="67">
        <v>5.6000000000000001E-2</v>
      </c>
      <c r="AB485" s="81">
        <v>77.599999999999994</v>
      </c>
      <c r="AC485" s="81">
        <v>72</v>
      </c>
      <c r="AF485" s="67">
        <f t="shared" si="117"/>
        <v>0.6749296737881364</v>
      </c>
      <c r="AH485" s="70">
        <v>0.5</v>
      </c>
      <c r="AI485" s="96">
        <f t="shared" si="118"/>
        <v>8.297160752422135E-2</v>
      </c>
      <c r="AK485" s="68" t="s">
        <v>806</v>
      </c>
      <c r="AL485" s="68" t="s">
        <v>843</v>
      </c>
      <c r="AM485" s="67" t="s">
        <v>308</v>
      </c>
    </row>
    <row r="486" spans="1:49" ht="30" customHeight="1" x14ac:dyDescent="0.25">
      <c r="A486" s="75" t="s">
        <v>105</v>
      </c>
      <c r="B486" s="67" t="s">
        <v>207</v>
      </c>
      <c r="C486" s="75" t="s">
        <v>105</v>
      </c>
      <c r="D486" s="67">
        <v>8</v>
      </c>
      <c r="E486" s="67" t="s">
        <v>605</v>
      </c>
      <c r="F486" s="67" t="s">
        <v>240</v>
      </c>
      <c r="G486" s="68" t="s">
        <v>846</v>
      </c>
      <c r="H486" s="67">
        <v>1</v>
      </c>
      <c r="I486" s="67" t="s">
        <v>240</v>
      </c>
      <c r="J486" s="67">
        <v>2</v>
      </c>
      <c r="K486" s="68" t="s">
        <v>667</v>
      </c>
      <c r="L486" s="67" t="s">
        <v>638</v>
      </c>
      <c r="M486" s="68" t="s">
        <v>570</v>
      </c>
      <c r="N486" s="67" t="s">
        <v>240</v>
      </c>
      <c r="O486" s="74">
        <v>8.0000000000000002E-3</v>
      </c>
      <c r="P486" s="67" t="s">
        <v>240</v>
      </c>
      <c r="Q486" s="67" t="s">
        <v>240</v>
      </c>
      <c r="R486" s="67" t="s">
        <v>674</v>
      </c>
      <c r="S486" s="67">
        <f t="shared" si="114"/>
        <v>560</v>
      </c>
      <c r="T486" s="67">
        <v>297</v>
      </c>
      <c r="U486" s="67">
        <v>263</v>
      </c>
      <c r="V486" s="81">
        <v>27</v>
      </c>
      <c r="AB486" s="81">
        <v>551</v>
      </c>
      <c r="AC486" s="81">
        <v>525</v>
      </c>
      <c r="AF486" s="67">
        <f t="shared" si="117"/>
        <v>0.6749296737881364</v>
      </c>
      <c r="AH486" s="70">
        <v>0.5</v>
      </c>
      <c r="AI486" s="96">
        <f t="shared" si="118"/>
        <v>40.004167913463867</v>
      </c>
      <c r="AK486" s="68" t="s">
        <v>806</v>
      </c>
      <c r="AL486" s="68" t="s">
        <v>843</v>
      </c>
      <c r="AM486" s="67" t="s">
        <v>308</v>
      </c>
      <c r="AP486" s="67">
        <f>+V486/AQ486</f>
        <v>5.7147394853637123E-2</v>
      </c>
      <c r="AQ486" s="67">
        <f>+AI486*SQRT(T486*U486/S486)</f>
        <v>472.46248178330734</v>
      </c>
      <c r="AS486" s="67">
        <f>+AP486^2/(AU486-2)*(AU486/(V486/AI486)^2+AU486*AV486^2-AU486+2)</f>
        <v>7.2068211008404241E-3</v>
      </c>
      <c r="AU486" s="67">
        <f>+S486-2</f>
        <v>558</v>
      </c>
      <c r="AV486" s="67">
        <f>IFERROR(1/(SQRT(AU486/2)*_xlfn.GAMMA(AU486/2-0.5)/_xlfn.GAMMA(AU486/2)),1)</f>
        <v>1</v>
      </c>
      <c r="AW486" s="67" t="s">
        <v>1350</v>
      </c>
    </row>
    <row r="487" spans="1:49" ht="30" customHeight="1" x14ac:dyDescent="0.25">
      <c r="A487" s="75" t="s">
        <v>105</v>
      </c>
      <c r="B487" s="67" t="s">
        <v>207</v>
      </c>
      <c r="C487" s="75" t="s">
        <v>105</v>
      </c>
      <c r="D487" s="67">
        <v>9</v>
      </c>
      <c r="E487" s="67" t="s">
        <v>605</v>
      </c>
      <c r="F487" s="67" t="s">
        <v>240</v>
      </c>
      <c r="G487" s="68" t="s">
        <v>846</v>
      </c>
      <c r="H487" s="67">
        <v>1</v>
      </c>
      <c r="I487" s="67" t="s">
        <v>240</v>
      </c>
      <c r="J487" s="67">
        <v>6</v>
      </c>
      <c r="K487" s="68" t="s">
        <v>844</v>
      </c>
      <c r="L487" s="67" t="s">
        <v>638</v>
      </c>
      <c r="M487" s="68" t="s">
        <v>570</v>
      </c>
      <c r="N487" s="67" t="s">
        <v>240</v>
      </c>
      <c r="O487" s="74">
        <v>8.0000000000000002E-3</v>
      </c>
      <c r="P487" s="67" t="s">
        <v>240</v>
      </c>
      <c r="Q487" s="67" t="s">
        <v>240</v>
      </c>
      <c r="R487" s="67" t="s">
        <v>674</v>
      </c>
      <c r="S487" s="67">
        <f t="shared" si="114"/>
        <v>560</v>
      </c>
      <c r="T487" s="67">
        <v>297</v>
      </c>
      <c r="U487" s="67">
        <v>263</v>
      </c>
      <c r="V487" s="81">
        <v>0.46</v>
      </c>
      <c r="AB487" s="81">
        <v>12.47</v>
      </c>
      <c r="AC487" s="81">
        <v>12.01</v>
      </c>
      <c r="AF487" s="67">
        <f t="shared" si="117"/>
        <v>0.6749296737881364</v>
      </c>
      <c r="AH487" s="70">
        <v>0.5</v>
      </c>
      <c r="AI487" s="96">
        <f t="shared" si="118"/>
        <v>0.68155249037753252</v>
      </c>
      <c r="AK487" s="68" t="s">
        <v>806</v>
      </c>
      <c r="AL487" s="68" t="s">
        <v>843</v>
      </c>
      <c r="AM487" s="67" t="s">
        <v>308</v>
      </c>
      <c r="AP487" s="67">
        <f>+V487/AQ487</f>
        <v>5.714739485363713E-2</v>
      </c>
      <c r="AQ487" s="67">
        <f>+AI487*SQRT(T487*U487/S487)</f>
        <v>8.0493608007526429</v>
      </c>
      <c r="AS487" s="67">
        <f>+AP487^2/(AU487-2)*(AU487/(V487/AI487)^2+AU487*AV487^2-AU487+2)</f>
        <v>7.2068211008404267E-3</v>
      </c>
      <c r="AU487" s="67">
        <f>+S487-2</f>
        <v>558</v>
      </c>
      <c r="AV487" s="67">
        <f>IFERROR(1/(SQRT(AU487/2)*_xlfn.GAMMA(AU487/2-0.5)/_xlfn.GAMMA(AU487/2)),1)</f>
        <v>1</v>
      </c>
      <c r="AW487" s="67" t="s">
        <v>1350</v>
      </c>
    </row>
    <row r="488" spans="1:49" ht="30" customHeight="1" x14ac:dyDescent="0.25">
      <c r="A488" s="75" t="s">
        <v>105</v>
      </c>
      <c r="B488" s="67" t="s">
        <v>207</v>
      </c>
      <c r="C488" s="75" t="s">
        <v>105</v>
      </c>
      <c r="D488" s="67">
        <v>10</v>
      </c>
      <c r="E488" s="67" t="s">
        <v>605</v>
      </c>
      <c r="F488" s="67" t="s">
        <v>240</v>
      </c>
      <c r="G488" s="68" t="s">
        <v>847</v>
      </c>
      <c r="H488" s="67">
        <v>1</v>
      </c>
      <c r="I488" s="67" t="s">
        <v>240</v>
      </c>
      <c r="J488" s="67">
        <v>1</v>
      </c>
      <c r="K488" s="68" t="s">
        <v>841</v>
      </c>
      <c r="L488" s="67" t="s">
        <v>240</v>
      </c>
      <c r="M488" s="68" t="s">
        <v>570</v>
      </c>
      <c r="N488" s="67" t="s">
        <v>240</v>
      </c>
      <c r="O488" s="74">
        <v>8.0000000000000002E-3</v>
      </c>
      <c r="P488" s="67" t="s">
        <v>240</v>
      </c>
      <c r="Q488" s="67" t="s">
        <v>240</v>
      </c>
      <c r="R488" s="67" t="s">
        <v>674</v>
      </c>
      <c r="S488" s="67">
        <f t="shared" si="114"/>
        <v>562</v>
      </c>
      <c r="T488" s="67">
        <v>286</v>
      </c>
      <c r="U488" s="67">
        <v>276</v>
      </c>
      <c r="V488" s="67">
        <v>6.3E-2</v>
      </c>
      <c r="AB488" s="81">
        <v>64.5</v>
      </c>
      <c r="AC488" s="81">
        <v>58.2</v>
      </c>
      <c r="AF488" s="67">
        <f t="shared" si="117"/>
        <v>0.67492810172413387</v>
      </c>
      <c r="AH488" s="70">
        <v>0.5</v>
      </c>
      <c r="AI488" s="96">
        <f t="shared" si="118"/>
        <v>9.3343275882369833E-2</v>
      </c>
      <c r="AK488" s="68" t="s">
        <v>806</v>
      </c>
      <c r="AL488" s="68" t="s">
        <v>843</v>
      </c>
      <c r="AM488" s="67" t="s">
        <v>308</v>
      </c>
    </row>
    <row r="489" spans="1:49" ht="30" customHeight="1" x14ac:dyDescent="0.25">
      <c r="A489" s="75" t="s">
        <v>105</v>
      </c>
      <c r="B489" s="67" t="s">
        <v>207</v>
      </c>
      <c r="C489" s="75" t="s">
        <v>105</v>
      </c>
      <c r="D489" s="67">
        <v>11</v>
      </c>
      <c r="E489" s="67" t="s">
        <v>605</v>
      </c>
      <c r="F489" s="67" t="s">
        <v>240</v>
      </c>
      <c r="G489" s="68" t="s">
        <v>847</v>
      </c>
      <c r="H489" s="67">
        <v>1</v>
      </c>
      <c r="I489" s="67" t="s">
        <v>240</v>
      </c>
      <c r="J489" s="67">
        <v>2</v>
      </c>
      <c r="K489" s="68" t="s">
        <v>667</v>
      </c>
      <c r="L489" s="67" t="s">
        <v>638</v>
      </c>
      <c r="M489" s="68" t="s">
        <v>570</v>
      </c>
      <c r="N489" s="67" t="s">
        <v>240</v>
      </c>
      <c r="O489" s="74">
        <v>8.0000000000000002E-3</v>
      </c>
      <c r="P489" s="67" t="s">
        <v>240</v>
      </c>
      <c r="Q489" s="67" t="s">
        <v>240</v>
      </c>
      <c r="R489" s="67" t="s">
        <v>674</v>
      </c>
      <c r="S489" s="67">
        <f t="shared" si="114"/>
        <v>562</v>
      </c>
      <c r="T489" s="67">
        <v>286</v>
      </c>
      <c r="U489" s="67">
        <v>276</v>
      </c>
      <c r="V489" s="67">
        <v>19</v>
      </c>
      <c r="AB489" s="81">
        <v>379</v>
      </c>
      <c r="AC489" s="81">
        <v>360</v>
      </c>
      <c r="AF489" s="67">
        <f t="shared" si="117"/>
        <v>0.67492810172413387</v>
      </c>
      <c r="AH489" s="70">
        <v>0.5</v>
      </c>
      <c r="AI489" s="96">
        <f t="shared" si="118"/>
        <v>28.151146694682968</v>
      </c>
      <c r="AK489" s="68" t="s">
        <v>806</v>
      </c>
      <c r="AL489" s="68" t="s">
        <v>843</v>
      </c>
      <c r="AM489" s="67" t="s">
        <v>308</v>
      </c>
      <c r="AP489" s="67">
        <f t="shared" ref="AP489:AP500" si="119">+V489/AQ489</f>
        <v>5.6949263414614378E-2</v>
      </c>
      <c r="AQ489" s="67">
        <f t="shared" ref="AQ489:AQ498" si="120">+AI489*SQRT(T489*U489/S489)</f>
        <v>333.63030284820508</v>
      </c>
      <c r="AS489" s="67">
        <f t="shared" ref="AS489:AS500" si="121">+AP489^2/(AU489-2)*(AU489/(V489/AI489)^2+AU489*AV489^2-AU489+2)</f>
        <v>7.1568349507083661E-3</v>
      </c>
      <c r="AU489" s="67">
        <f t="shared" ref="AU489:AU500" si="122">+S489-2</f>
        <v>560</v>
      </c>
      <c r="AV489" s="67">
        <f t="shared" ref="AV489:AV500" si="123">IFERROR(1/(SQRT(AU489/2)*_xlfn.GAMMA(AU489/2-0.5)/_xlfn.GAMMA(AU489/2)),1)</f>
        <v>1</v>
      </c>
      <c r="AW489" s="67" t="s">
        <v>1350</v>
      </c>
    </row>
    <row r="490" spans="1:49" ht="30" customHeight="1" x14ac:dyDescent="0.25">
      <c r="A490" s="75" t="s">
        <v>105</v>
      </c>
      <c r="B490" s="67" t="s">
        <v>207</v>
      </c>
      <c r="C490" s="75" t="s">
        <v>105</v>
      </c>
      <c r="D490" s="67">
        <v>12</v>
      </c>
      <c r="E490" s="67" t="s">
        <v>605</v>
      </c>
      <c r="F490" s="67" t="s">
        <v>240</v>
      </c>
      <c r="G490" s="68" t="s">
        <v>847</v>
      </c>
      <c r="H490" s="67">
        <v>1</v>
      </c>
      <c r="I490" s="67" t="s">
        <v>240</v>
      </c>
      <c r="J490" s="67">
        <v>6</v>
      </c>
      <c r="K490" s="68" t="s">
        <v>844</v>
      </c>
      <c r="L490" s="67" t="s">
        <v>638</v>
      </c>
      <c r="M490" s="68" t="s">
        <v>570</v>
      </c>
      <c r="N490" s="67" t="s">
        <v>240</v>
      </c>
      <c r="O490" s="74">
        <v>8.0000000000000002E-3</v>
      </c>
      <c r="P490" s="67" t="s">
        <v>240</v>
      </c>
      <c r="Q490" s="67" t="s">
        <v>240</v>
      </c>
      <c r="R490" s="67" t="s">
        <v>674</v>
      </c>
      <c r="S490" s="67">
        <f t="shared" si="114"/>
        <v>562</v>
      </c>
      <c r="T490" s="67">
        <v>286</v>
      </c>
      <c r="U490" s="67">
        <v>276</v>
      </c>
      <c r="V490" s="67">
        <v>0.33</v>
      </c>
      <c r="AB490" s="81">
        <v>10.11</v>
      </c>
      <c r="AC490" s="81">
        <v>9.7799999999999994</v>
      </c>
      <c r="AF490" s="67">
        <f t="shared" si="117"/>
        <v>0.67492810172413387</v>
      </c>
      <c r="AH490" s="70">
        <v>0.5</v>
      </c>
      <c r="AI490" s="96">
        <f t="shared" si="118"/>
        <v>0.48894096890765154</v>
      </c>
      <c r="AK490" s="68" t="s">
        <v>806</v>
      </c>
      <c r="AL490" s="68" t="s">
        <v>843</v>
      </c>
      <c r="AM490" s="67" t="s">
        <v>308</v>
      </c>
      <c r="AP490" s="67">
        <f t="shared" si="119"/>
        <v>5.6949263414614378E-2</v>
      </c>
      <c r="AQ490" s="67">
        <f t="shared" si="120"/>
        <v>5.7946315757846145</v>
      </c>
      <c r="AS490" s="67">
        <f t="shared" si="121"/>
        <v>7.1568349507083661E-3</v>
      </c>
      <c r="AU490" s="67">
        <f t="shared" si="122"/>
        <v>560</v>
      </c>
      <c r="AV490" s="67">
        <f t="shared" si="123"/>
        <v>1</v>
      </c>
      <c r="AW490" s="67" t="s">
        <v>1350</v>
      </c>
    </row>
    <row r="491" spans="1:49" ht="30" customHeight="1" x14ac:dyDescent="0.25">
      <c r="A491" s="75" t="s">
        <v>105</v>
      </c>
      <c r="B491" s="67" t="s">
        <v>207</v>
      </c>
      <c r="C491" s="75" t="s">
        <v>105</v>
      </c>
      <c r="D491" s="67">
        <v>13</v>
      </c>
      <c r="E491" s="67" t="s">
        <v>605</v>
      </c>
      <c r="F491" s="67" t="s">
        <v>240</v>
      </c>
      <c r="G491" s="68" t="s">
        <v>840</v>
      </c>
      <c r="H491" s="67">
        <v>1</v>
      </c>
      <c r="I491" s="67" t="s">
        <v>240</v>
      </c>
      <c r="J491" s="67">
        <v>2</v>
      </c>
      <c r="K491" s="68" t="s">
        <v>848</v>
      </c>
      <c r="L491" s="67" t="s">
        <v>638</v>
      </c>
      <c r="M491" s="68" t="s">
        <v>849</v>
      </c>
      <c r="N491" s="67" t="s">
        <v>240</v>
      </c>
      <c r="O491" s="67" t="s">
        <v>240</v>
      </c>
      <c r="P491" s="67" t="s">
        <v>240</v>
      </c>
      <c r="Q491" s="67" t="s">
        <v>240</v>
      </c>
      <c r="R491" s="67" t="s">
        <v>675</v>
      </c>
      <c r="S491" s="67">
        <f t="shared" si="114"/>
        <v>690</v>
      </c>
      <c r="T491" s="67">
        <v>349</v>
      </c>
      <c r="U491" s="67">
        <v>341</v>
      </c>
      <c r="V491" s="67">
        <v>5186</v>
      </c>
      <c r="AB491" s="67">
        <v>32470</v>
      </c>
      <c r="AC491" s="67">
        <v>27284</v>
      </c>
      <c r="AF491" s="67">
        <f t="shared" si="117"/>
        <v>1.9634180239349139</v>
      </c>
      <c r="AH491" s="70">
        <v>0.05</v>
      </c>
      <c r="AI491" s="96">
        <f t="shared" si="118"/>
        <v>2641.3122100237542</v>
      </c>
      <c r="AK491" s="68" t="s">
        <v>826</v>
      </c>
      <c r="AL491" s="68" t="s">
        <v>843</v>
      </c>
      <c r="AM491" s="67" t="s">
        <v>308</v>
      </c>
      <c r="AP491" s="67">
        <f t="shared" si="119"/>
        <v>0.14950214226049363</v>
      </c>
      <c r="AQ491" s="67">
        <f t="shared" si="120"/>
        <v>34688.466142270227</v>
      </c>
      <c r="AS491" s="67">
        <f t="shared" si="121"/>
        <v>5.879947221384697E-3</v>
      </c>
      <c r="AU491" s="67">
        <f t="shared" si="122"/>
        <v>688</v>
      </c>
      <c r="AV491" s="67">
        <f t="shared" si="123"/>
        <v>1</v>
      </c>
      <c r="AW491" s="67" t="s">
        <v>1350</v>
      </c>
    </row>
    <row r="492" spans="1:49" ht="30" customHeight="1" x14ac:dyDescent="0.25">
      <c r="A492" s="75" t="s">
        <v>105</v>
      </c>
      <c r="B492" s="67" t="s">
        <v>207</v>
      </c>
      <c r="C492" s="75" t="s">
        <v>105</v>
      </c>
      <c r="D492" s="67">
        <v>14</v>
      </c>
      <c r="E492" s="67" t="s">
        <v>605</v>
      </c>
      <c r="F492" s="67" t="s">
        <v>240</v>
      </c>
      <c r="G492" s="68" t="s">
        <v>845</v>
      </c>
      <c r="H492" s="67">
        <v>1</v>
      </c>
      <c r="I492" s="67" t="s">
        <v>240</v>
      </c>
      <c r="J492" s="67">
        <v>2</v>
      </c>
      <c r="K492" s="68" t="s">
        <v>848</v>
      </c>
      <c r="L492" s="67" t="s">
        <v>638</v>
      </c>
      <c r="M492" s="68" t="s">
        <v>849</v>
      </c>
      <c r="N492" s="67" t="s">
        <v>240</v>
      </c>
      <c r="O492" s="67" t="s">
        <v>240</v>
      </c>
      <c r="P492" s="67" t="s">
        <v>240</v>
      </c>
      <c r="Q492" s="67" t="s">
        <v>240</v>
      </c>
      <c r="R492" s="67" t="s">
        <v>675</v>
      </c>
      <c r="S492" s="67">
        <f t="shared" si="114"/>
        <v>479</v>
      </c>
      <c r="T492" s="67">
        <v>242</v>
      </c>
      <c r="U492" s="67">
        <v>237</v>
      </c>
      <c r="V492" s="67">
        <v>-201</v>
      </c>
      <c r="AB492" s="67">
        <v>27782</v>
      </c>
      <c r="AC492" s="67">
        <v>27982</v>
      </c>
      <c r="AF492" s="67">
        <f t="shared" si="117"/>
        <v>0.6750044284948864</v>
      </c>
      <c r="AH492" s="70">
        <v>0.5</v>
      </c>
      <c r="AI492" s="96">
        <f t="shared" si="118"/>
        <v>297.77582415005253</v>
      </c>
      <c r="AK492" s="68" t="s">
        <v>806</v>
      </c>
      <c r="AL492" s="68" t="s">
        <v>843</v>
      </c>
      <c r="AM492" s="67" t="s">
        <v>308</v>
      </c>
      <c r="AP492" s="67">
        <f t="shared" si="119"/>
        <v>-6.1686839913354871E-2</v>
      </c>
      <c r="AQ492" s="67">
        <f t="shared" si="120"/>
        <v>3258.3935290302425</v>
      </c>
      <c r="AS492" s="67">
        <f t="shared" si="121"/>
        <v>8.4028276641060669E-3</v>
      </c>
      <c r="AU492" s="67">
        <f t="shared" si="122"/>
        <v>477</v>
      </c>
      <c r="AV492" s="67">
        <f t="shared" si="123"/>
        <v>1</v>
      </c>
      <c r="AW492" s="67" t="s">
        <v>1350</v>
      </c>
    </row>
    <row r="493" spans="1:49" ht="30" customHeight="1" x14ac:dyDescent="0.25">
      <c r="A493" s="75" t="s">
        <v>105</v>
      </c>
      <c r="B493" s="67" t="s">
        <v>207</v>
      </c>
      <c r="C493" s="75" t="s">
        <v>105</v>
      </c>
      <c r="D493" s="67">
        <v>15</v>
      </c>
      <c r="E493" s="67" t="s">
        <v>605</v>
      </c>
      <c r="F493" s="67" t="s">
        <v>240</v>
      </c>
      <c r="G493" s="68" t="s">
        <v>846</v>
      </c>
      <c r="H493" s="67">
        <v>1</v>
      </c>
      <c r="I493" s="67" t="s">
        <v>240</v>
      </c>
      <c r="J493" s="67">
        <v>2</v>
      </c>
      <c r="K493" s="68" t="s">
        <v>848</v>
      </c>
      <c r="L493" s="67" t="s">
        <v>638</v>
      </c>
      <c r="M493" s="68" t="s">
        <v>849</v>
      </c>
      <c r="N493" s="67" t="s">
        <v>240</v>
      </c>
      <c r="O493" s="67" t="s">
        <v>240</v>
      </c>
      <c r="P493" s="67" t="s">
        <v>240</v>
      </c>
      <c r="Q493" s="67" t="s">
        <v>240</v>
      </c>
      <c r="R493" s="67" t="s">
        <v>675</v>
      </c>
      <c r="S493" s="67">
        <f t="shared" si="114"/>
        <v>697</v>
      </c>
      <c r="T493" s="67">
        <v>353</v>
      </c>
      <c r="U493" s="67">
        <v>344</v>
      </c>
      <c r="V493" s="67">
        <v>2552</v>
      </c>
      <c r="AB493" s="67">
        <v>33759</v>
      </c>
      <c r="AC493" s="67">
        <v>31207</v>
      </c>
      <c r="AF493" s="67">
        <f t="shared" si="117"/>
        <v>0.67484291464115831</v>
      </c>
      <c r="AH493" s="70">
        <v>0.5</v>
      </c>
      <c r="AI493" s="96">
        <f t="shared" si="118"/>
        <v>3781.6207959403459</v>
      </c>
      <c r="AK493" s="68" t="s">
        <v>806</v>
      </c>
      <c r="AL493" s="68" t="s">
        <v>843</v>
      </c>
      <c r="AM493" s="67" t="s">
        <v>308</v>
      </c>
      <c r="AP493" s="67">
        <f t="shared" si="119"/>
        <v>5.1127258680973883E-2</v>
      </c>
      <c r="AQ493" s="67">
        <f t="shared" si="120"/>
        <v>49914.665206755591</v>
      </c>
      <c r="AS493" s="67">
        <f t="shared" si="121"/>
        <v>5.7639471245049733E-3</v>
      </c>
      <c r="AU493" s="67">
        <f t="shared" si="122"/>
        <v>695</v>
      </c>
      <c r="AV493" s="67">
        <f t="shared" si="123"/>
        <v>1</v>
      </c>
      <c r="AW493" s="67" t="s">
        <v>1350</v>
      </c>
    </row>
    <row r="494" spans="1:49" ht="30" customHeight="1" x14ac:dyDescent="0.25">
      <c r="A494" s="75" t="s">
        <v>105</v>
      </c>
      <c r="B494" s="67" t="s">
        <v>207</v>
      </c>
      <c r="C494" s="75" t="s">
        <v>105</v>
      </c>
      <c r="D494" s="67">
        <v>16</v>
      </c>
      <c r="E494" s="67" t="s">
        <v>605</v>
      </c>
      <c r="F494" s="67" t="s">
        <v>240</v>
      </c>
      <c r="G494" s="68" t="s">
        <v>847</v>
      </c>
      <c r="H494" s="67">
        <v>1</v>
      </c>
      <c r="I494" s="67" t="s">
        <v>240</v>
      </c>
      <c r="J494" s="67">
        <v>2</v>
      </c>
      <c r="K494" s="68" t="s">
        <v>848</v>
      </c>
      <c r="L494" s="67" t="s">
        <v>638</v>
      </c>
      <c r="M494" s="68" t="s">
        <v>849</v>
      </c>
      <c r="N494" s="67" t="s">
        <v>240</v>
      </c>
      <c r="O494" s="67" t="s">
        <v>240</v>
      </c>
      <c r="P494" s="67" t="s">
        <v>240</v>
      </c>
      <c r="Q494" s="67" t="s">
        <v>240</v>
      </c>
      <c r="R494" s="67" t="s">
        <v>675</v>
      </c>
      <c r="S494" s="67">
        <f t="shared" si="114"/>
        <v>698</v>
      </c>
      <c r="T494" s="67">
        <v>349</v>
      </c>
      <c r="U494" s="67">
        <v>349</v>
      </c>
      <c r="V494" s="67">
        <v>1809</v>
      </c>
      <c r="AB494" s="67">
        <v>26036</v>
      </c>
      <c r="AC494" s="67">
        <v>24227</v>
      </c>
      <c r="AF494" s="67">
        <f t="shared" si="117"/>
        <v>0.67484240698486697</v>
      </c>
      <c r="AH494" s="70">
        <v>0.5</v>
      </c>
      <c r="AI494" s="96">
        <f t="shared" si="118"/>
        <v>2680.6258487554801</v>
      </c>
      <c r="AK494" s="68" t="s">
        <v>806</v>
      </c>
      <c r="AL494" s="68" t="s">
        <v>843</v>
      </c>
      <c r="AM494" s="67" t="s">
        <v>308</v>
      </c>
      <c r="AP494" s="67">
        <f t="shared" si="119"/>
        <v>5.1086323609867298E-2</v>
      </c>
      <c r="AQ494" s="67">
        <f t="shared" si="120"/>
        <v>35410.651465446077</v>
      </c>
      <c r="AS494" s="67">
        <f t="shared" si="121"/>
        <v>5.7546949666691209E-3</v>
      </c>
      <c r="AU494" s="67">
        <f t="shared" si="122"/>
        <v>696</v>
      </c>
      <c r="AV494" s="67">
        <f t="shared" si="123"/>
        <v>1</v>
      </c>
      <c r="AW494" s="67" t="s">
        <v>1350</v>
      </c>
    </row>
    <row r="495" spans="1:49" ht="30" customHeight="1" x14ac:dyDescent="0.25">
      <c r="A495" s="75" t="s">
        <v>105</v>
      </c>
      <c r="B495" s="67" t="s">
        <v>207</v>
      </c>
      <c r="C495" s="75" t="s">
        <v>105</v>
      </c>
      <c r="D495" s="67">
        <v>17</v>
      </c>
      <c r="E495" s="67" t="s">
        <v>605</v>
      </c>
      <c r="F495" s="67" t="s">
        <v>240</v>
      </c>
      <c r="G495" s="68" t="s">
        <v>840</v>
      </c>
      <c r="H495" s="67">
        <v>1</v>
      </c>
      <c r="I495" s="67" t="s">
        <v>240</v>
      </c>
      <c r="J495" s="67">
        <v>2</v>
      </c>
      <c r="K495" s="68" t="s">
        <v>850</v>
      </c>
      <c r="L495" s="67" t="s">
        <v>638</v>
      </c>
      <c r="M495" s="68" t="s">
        <v>849</v>
      </c>
      <c r="N495" s="67" t="s">
        <v>240</v>
      </c>
      <c r="O495" s="67" t="s">
        <v>240</v>
      </c>
      <c r="P495" s="67" t="s">
        <v>240</v>
      </c>
      <c r="Q495" s="67" t="s">
        <v>240</v>
      </c>
      <c r="R495" s="67" t="s">
        <v>851</v>
      </c>
      <c r="S495" s="67">
        <f t="shared" si="114"/>
        <v>690</v>
      </c>
      <c r="T495" s="67">
        <v>349</v>
      </c>
      <c r="U495" s="67">
        <v>341</v>
      </c>
      <c r="V495" s="67">
        <v>1351</v>
      </c>
      <c r="AB495" s="67">
        <v>5416</v>
      </c>
      <c r="AC495" s="67">
        <v>4064</v>
      </c>
      <c r="AF495" s="67">
        <f t="shared" si="117"/>
        <v>1.9634180239349139</v>
      </c>
      <c r="AH495" s="70">
        <v>0.05</v>
      </c>
      <c r="AI495" s="96">
        <f t="shared" si="118"/>
        <v>688.08576855805859</v>
      </c>
      <c r="AK495" s="68" t="s">
        <v>826</v>
      </c>
      <c r="AL495" s="68" t="s">
        <v>843</v>
      </c>
      <c r="AM495" s="67" t="s">
        <v>308</v>
      </c>
      <c r="AP495" s="67">
        <f t="shared" si="119"/>
        <v>0.14950214226049363</v>
      </c>
      <c r="AQ495" s="67">
        <f t="shared" si="120"/>
        <v>9036.6598068274343</v>
      </c>
      <c r="AS495" s="67">
        <f t="shared" si="121"/>
        <v>5.879947221384697E-3</v>
      </c>
      <c r="AU495" s="67">
        <f t="shared" si="122"/>
        <v>688</v>
      </c>
      <c r="AV495" s="67">
        <f t="shared" si="123"/>
        <v>1</v>
      </c>
      <c r="AW495" s="67" t="s">
        <v>1350</v>
      </c>
    </row>
    <row r="496" spans="1:49" ht="30" customHeight="1" x14ac:dyDescent="0.25">
      <c r="A496" s="75" t="s">
        <v>105</v>
      </c>
      <c r="B496" s="67" t="s">
        <v>207</v>
      </c>
      <c r="C496" s="75" t="s">
        <v>105</v>
      </c>
      <c r="D496" s="67">
        <v>18</v>
      </c>
      <c r="E496" s="67" t="s">
        <v>605</v>
      </c>
      <c r="F496" s="67" t="s">
        <v>240</v>
      </c>
      <c r="G496" s="68" t="s">
        <v>845</v>
      </c>
      <c r="H496" s="67">
        <v>1</v>
      </c>
      <c r="I496" s="67" t="s">
        <v>240</v>
      </c>
      <c r="J496" s="67">
        <v>2</v>
      </c>
      <c r="K496" s="68" t="s">
        <v>850</v>
      </c>
      <c r="L496" s="67" t="s">
        <v>638</v>
      </c>
      <c r="M496" s="68" t="s">
        <v>849</v>
      </c>
      <c r="N496" s="67" t="s">
        <v>240</v>
      </c>
      <c r="O496" s="67" t="s">
        <v>240</v>
      </c>
      <c r="P496" s="67" t="s">
        <v>240</v>
      </c>
      <c r="Q496" s="67" t="s">
        <v>240</v>
      </c>
      <c r="R496" s="67" t="s">
        <v>851</v>
      </c>
      <c r="S496" s="67">
        <f t="shared" si="114"/>
        <v>479</v>
      </c>
      <c r="T496" s="67">
        <v>242</v>
      </c>
      <c r="U496" s="67">
        <v>237</v>
      </c>
      <c r="V496" s="67">
        <v>-195</v>
      </c>
      <c r="AB496" s="67">
        <v>3938</v>
      </c>
      <c r="AC496" s="67">
        <v>4133</v>
      </c>
      <c r="AF496" s="67">
        <f t="shared" si="117"/>
        <v>0.6750044284948864</v>
      </c>
      <c r="AH496" s="70">
        <v>0.5</v>
      </c>
      <c r="AI496" s="96">
        <f t="shared" si="118"/>
        <v>288.88699357840915</v>
      </c>
      <c r="AK496" s="68" t="s">
        <v>806</v>
      </c>
      <c r="AL496" s="68" t="s">
        <v>843</v>
      </c>
      <c r="AM496" s="67" t="s">
        <v>308</v>
      </c>
      <c r="AP496" s="67">
        <f t="shared" si="119"/>
        <v>-6.1686839913354878E-2</v>
      </c>
      <c r="AQ496" s="67">
        <f t="shared" si="120"/>
        <v>3161.1280505517275</v>
      </c>
      <c r="AS496" s="67">
        <f t="shared" si="121"/>
        <v>8.4028276641060669E-3</v>
      </c>
      <c r="AU496" s="67">
        <f t="shared" si="122"/>
        <v>477</v>
      </c>
      <c r="AV496" s="67">
        <f t="shared" si="123"/>
        <v>1</v>
      </c>
      <c r="AW496" s="67" t="s">
        <v>1350</v>
      </c>
    </row>
    <row r="497" spans="1:49" ht="30" customHeight="1" x14ac:dyDescent="0.25">
      <c r="A497" s="75" t="s">
        <v>105</v>
      </c>
      <c r="B497" s="67" t="s">
        <v>207</v>
      </c>
      <c r="C497" s="75" t="s">
        <v>105</v>
      </c>
      <c r="D497" s="67">
        <v>19</v>
      </c>
      <c r="E497" s="67" t="s">
        <v>605</v>
      </c>
      <c r="F497" s="67" t="s">
        <v>240</v>
      </c>
      <c r="G497" s="68" t="s">
        <v>846</v>
      </c>
      <c r="H497" s="67">
        <v>1</v>
      </c>
      <c r="I497" s="67" t="s">
        <v>240</v>
      </c>
      <c r="J497" s="67">
        <v>2</v>
      </c>
      <c r="K497" s="68" t="s">
        <v>850</v>
      </c>
      <c r="L497" s="67" t="s">
        <v>638</v>
      </c>
      <c r="M497" s="68" t="s">
        <v>849</v>
      </c>
      <c r="N497" s="67" t="s">
        <v>240</v>
      </c>
      <c r="O497" s="67" t="s">
        <v>240</v>
      </c>
      <c r="P497" s="67" t="s">
        <v>240</v>
      </c>
      <c r="Q497" s="67" t="s">
        <v>240</v>
      </c>
      <c r="R497" s="67" t="s">
        <v>851</v>
      </c>
      <c r="S497" s="67">
        <f t="shared" si="114"/>
        <v>697</v>
      </c>
      <c r="T497" s="67">
        <v>353</v>
      </c>
      <c r="U497" s="67">
        <v>344</v>
      </c>
      <c r="V497" s="67">
        <v>400</v>
      </c>
      <c r="AB497" s="67">
        <v>3863</v>
      </c>
      <c r="AC497" s="67">
        <v>3463</v>
      </c>
      <c r="AF497" s="67">
        <f t="shared" si="117"/>
        <v>0.67484291464115831</v>
      </c>
      <c r="AH497" s="70">
        <v>0.5</v>
      </c>
      <c r="AI497" s="96">
        <f t="shared" si="118"/>
        <v>592.73053227905109</v>
      </c>
      <c r="AK497" s="68" t="s">
        <v>806</v>
      </c>
      <c r="AL497" s="68" t="s">
        <v>843</v>
      </c>
      <c r="AM497" s="67" t="s">
        <v>308</v>
      </c>
      <c r="AP497" s="67">
        <f t="shared" si="119"/>
        <v>5.1127258680973883E-2</v>
      </c>
      <c r="AQ497" s="67">
        <f t="shared" si="120"/>
        <v>7823.6152361685881</v>
      </c>
      <c r="AS497" s="67">
        <f t="shared" si="121"/>
        <v>5.7639471245049733E-3</v>
      </c>
      <c r="AU497" s="67">
        <f t="shared" si="122"/>
        <v>695</v>
      </c>
      <c r="AV497" s="67">
        <f t="shared" si="123"/>
        <v>1</v>
      </c>
      <c r="AW497" s="67" t="s">
        <v>1350</v>
      </c>
    </row>
    <row r="498" spans="1:49" ht="30" customHeight="1" x14ac:dyDescent="0.25">
      <c r="A498" s="75" t="s">
        <v>105</v>
      </c>
      <c r="B498" s="67" t="s">
        <v>207</v>
      </c>
      <c r="C498" s="75" t="s">
        <v>105</v>
      </c>
      <c r="D498" s="67">
        <v>20</v>
      </c>
      <c r="E498" s="67" t="s">
        <v>605</v>
      </c>
      <c r="F498" s="67" t="s">
        <v>240</v>
      </c>
      <c r="G498" s="68" t="s">
        <v>847</v>
      </c>
      <c r="H498" s="67">
        <v>1</v>
      </c>
      <c r="I498" s="67" t="s">
        <v>240</v>
      </c>
      <c r="J498" s="67">
        <v>2</v>
      </c>
      <c r="K498" s="68" t="s">
        <v>850</v>
      </c>
      <c r="L498" s="67" t="s">
        <v>638</v>
      </c>
      <c r="M498" s="68" t="s">
        <v>849</v>
      </c>
      <c r="N498" s="67" t="s">
        <v>240</v>
      </c>
      <c r="O498" s="67" t="s">
        <v>240</v>
      </c>
      <c r="P498" s="67" t="s">
        <v>240</v>
      </c>
      <c r="Q498" s="67" t="s">
        <v>240</v>
      </c>
      <c r="R498" s="67" t="s">
        <v>851</v>
      </c>
      <c r="S498" s="67">
        <f t="shared" si="114"/>
        <v>698</v>
      </c>
      <c r="T498" s="67">
        <v>349</v>
      </c>
      <c r="U498" s="67">
        <v>349</v>
      </c>
      <c r="V498" s="67">
        <v>167</v>
      </c>
      <c r="AB498" s="67">
        <v>3314</v>
      </c>
      <c r="AC498" s="67">
        <v>3146</v>
      </c>
      <c r="AF498" s="67">
        <f t="shared" si="117"/>
        <v>0.67484240698486697</v>
      </c>
      <c r="AH498" s="70">
        <v>0.5</v>
      </c>
      <c r="AI498" s="96">
        <f t="shared" si="118"/>
        <v>247.46518338428146</v>
      </c>
      <c r="AK498" s="68" t="s">
        <v>806</v>
      </c>
      <c r="AL498" s="68" t="s">
        <v>843</v>
      </c>
      <c r="AM498" s="67" t="s">
        <v>308</v>
      </c>
      <c r="AP498" s="67">
        <f t="shared" si="119"/>
        <v>5.1086323609867298E-2</v>
      </c>
      <c r="AQ498" s="67">
        <f t="shared" si="120"/>
        <v>3268.9766692810917</v>
      </c>
      <c r="AS498" s="67">
        <f t="shared" si="121"/>
        <v>5.7546949666691192E-3</v>
      </c>
      <c r="AU498" s="67">
        <f t="shared" si="122"/>
        <v>696</v>
      </c>
      <c r="AV498" s="67">
        <f t="shared" si="123"/>
        <v>1</v>
      </c>
      <c r="AW498" s="67" t="s">
        <v>1350</v>
      </c>
    </row>
    <row r="499" spans="1:49" ht="30" customHeight="1" x14ac:dyDescent="0.25">
      <c r="A499" s="67" t="s">
        <v>126</v>
      </c>
      <c r="B499" s="67" t="s">
        <v>293</v>
      </c>
      <c r="C499" s="67" t="s">
        <v>126</v>
      </c>
      <c r="D499" s="67">
        <v>1</v>
      </c>
      <c r="E499" s="67" t="s">
        <v>605</v>
      </c>
      <c r="F499" s="67" t="s">
        <v>240</v>
      </c>
      <c r="G499" s="68" t="s">
        <v>578</v>
      </c>
      <c r="H499" s="67">
        <v>1</v>
      </c>
      <c r="I499" s="67">
        <v>28</v>
      </c>
      <c r="J499" s="67">
        <v>5</v>
      </c>
      <c r="K499" s="68" t="s">
        <v>852</v>
      </c>
      <c r="L499" s="67" t="s">
        <v>853</v>
      </c>
      <c r="M499" s="68" t="s">
        <v>570</v>
      </c>
      <c r="N499" s="67" t="s">
        <v>240</v>
      </c>
      <c r="O499" s="95">
        <v>0.12</v>
      </c>
      <c r="P499" s="74">
        <v>-1.9E-2</v>
      </c>
      <c r="Q499" s="74">
        <v>1.7000000000000001E-2</v>
      </c>
      <c r="R499" s="67" t="s">
        <v>266</v>
      </c>
      <c r="S499" s="78">
        <v>1549</v>
      </c>
      <c r="T499" s="78">
        <f>S499/2</f>
        <v>774.5</v>
      </c>
      <c r="U499" s="78">
        <f>T499/2</f>
        <v>387.25</v>
      </c>
      <c r="V499" s="67">
        <v>-0.26</v>
      </c>
      <c r="W499" s="67">
        <v>0.123</v>
      </c>
      <c r="AC499" s="67">
        <v>7.6440000000000001</v>
      </c>
      <c r="AD499" s="67">
        <v>1.272</v>
      </c>
      <c r="AE499" s="67" t="s">
        <v>622</v>
      </c>
      <c r="AI499" s="70">
        <f t="shared" ref="AI499:AI530" si="124">+W499</f>
        <v>0.123</v>
      </c>
      <c r="AL499" s="68" t="s">
        <v>854</v>
      </c>
      <c r="AM499" s="67" t="s">
        <v>30</v>
      </c>
      <c r="AP499" s="67">
        <f t="shared" si="119"/>
        <v>-0.15191040484633439</v>
      </c>
      <c r="AQ499" s="67">
        <f>+W499*SQRT(T499*U499/S499)</f>
        <v>1.7115351661593168</v>
      </c>
      <c r="AS499" s="67">
        <f t="shared" si="121"/>
        <v>5.2011807750984955E-3</v>
      </c>
      <c r="AU499" s="67">
        <f t="shared" si="122"/>
        <v>1547</v>
      </c>
      <c r="AV499" s="67">
        <f t="shared" si="123"/>
        <v>1</v>
      </c>
      <c r="AW499" s="67" t="s">
        <v>1350</v>
      </c>
    </row>
    <row r="500" spans="1:49" ht="30" customHeight="1" x14ac:dyDescent="0.25">
      <c r="A500" s="67" t="s">
        <v>126</v>
      </c>
      <c r="B500" s="67" t="s">
        <v>293</v>
      </c>
      <c r="C500" s="67" t="s">
        <v>126</v>
      </c>
      <c r="D500" s="67">
        <v>2</v>
      </c>
      <c r="E500" s="67" t="s">
        <v>605</v>
      </c>
      <c r="F500" s="67" t="s">
        <v>240</v>
      </c>
      <c r="G500" s="68" t="s">
        <v>578</v>
      </c>
      <c r="H500" s="67">
        <v>1</v>
      </c>
      <c r="I500" s="67">
        <v>28</v>
      </c>
      <c r="J500" s="67">
        <v>7</v>
      </c>
      <c r="K500" s="68" t="s">
        <v>855</v>
      </c>
      <c r="L500" s="67" t="s">
        <v>853</v>
      </c>
      <c r="M500" s="68" t="s">
        <v>570</v>
      </c>
      <c r="N500" s="67" t="s">
        <v>240</v>
      </c>
      <c r="O500" s="95">
        <v>0.12</v>
      </c>
      <c r="P500" s="74">
        <v>-1.9E-2</v>
      </c>
      <c r="Q500" s="74">
        <v>1.7000000000000001E-2</v>
      </c>
      <c r="R500" s="67" t="s">
        <v>266</v>
      </c>
      <c r="S500" s="67">
        <v>579</v>
      </c>
      <c r="T500" s="78">
        <f>S500/2</f>
        <v>289.5</v>
      </c>
      <c r="U500" s="78">
        <f>T500/2</f>
        <v>144.75</v>
      </c>
      <c r="V500" s="67">
        <v>-8.0000000000000002E-3</v>
      </c>
      <c r="W500" s="67">
        <v>0.184</v>
      </c>
      <c r="AC500" s="67">
        <v>8.2520000000000007</v>
      </c>
      <c r="AD500" s="67">
        <v>1.081</v>
      </c>
      <c r="AE500" s="67" t="s">
        <v>622</v>
      </c>
      <c r="AI500" s="70">
        <f t="shared" si="124"/>
        <v>0.184</v>
      </c>
      <c r="AL500" s="68" t="s">
        <v>854</v>
      </c>
      <c r="AM500" s="67" t="s">
        <v>30</v>
      </c>
      <c r="AP500" s="67">
        <f t="shared" si="119"/>
        <v>-5.1106704294281166E-3</v>
      </c>
      <c r="AQ500" s="67">
        <f>+W500*SQRT(T500*U500/S500)</f>
        <v>1.565352356499967</v>
      </c>
      <c r="AS500" s="67">
        <f t="shared" si="121"/>
        <v>1.3865075454672053E-2</v>
      </c>
      <c r="AU500" s="67">
        <f t="shared" si="122"/>
        <v>577</v>
      </c>
      <c r="AV500" s="67">
        <f t="shared" si="123"/>
        <v>1</v>
      </c>
      <c r="AW500" s="67" t="s">
        <v>1350</v>
      </c>
    </row>
    <row r="501" spans="1:49" ht="30" customHeight="1" x14ac:dyDescent="0.25">
      <c r="A501" s="67" t="s">
        <v>126</v>
      </c>
      <c r="B501" s="72" t="s">
        <v>207</v>
      </c>
      <c r="C501" s="67" t="s">
        <v>126</v>
      </c>
      <c r="D501" s="67">
        <v>3</v>
      </c>
      <c r="E501" s="67" t="s">
        <v>568</v>
      </c>
      <c r="F501" s="76" t="s">
        <v>240</v>
      </c>
      <c r="G501" s="68" t="s">
        <v>578</v>
      </c>
      <c r="H501" s="67">
        <v>1</v>
      </c>
      <c r="I501" s="67">
        <v>28</v>
      </c>
      <c r="J501" s="67">
        <v>1</v>
      </c>
      <c r="K501" s="68" t="s">
        <v>856</v>
      </c>
      <c r="L501" s="76" t="s">
        <v>240</v>
      </c>
      <c r="M501" s="68" t="s">
        <v>570</v>
      </c>
      <c r="N501" s="76" t="s">
        <v>240</v>
      </c>
      <c r="O501" s="95">
        <f>1-0.877</f>
        <v>0.123</v>
      </c>
      <c r="P501" s="74">
        <v>-1.9E-2</v>
      </c>
      <c r="Q501" s="74">
        <v>1.7000000000000001E-2</v>
      </c>
      <c r="R501" s="67" t="s">
        <v>693</v>
      </c>
      <c r="S501" s="67">
        <v>1880</v>
      </c>
      <c r="T501" s="78">
        <f>S501*(1055/(1055+1108))</f>
        <v>916.96717521960238</v>
      </c>
      <c r="U501" s="78">
        <f>S501-T501</f>
        <v>963.03282478039762</v>
      </c>
      <c r="V501" s="67">
        <v>-6.9000000000000006E-2</v>
      </c>
      <c r="W501" s="67">
        <v>4.2000000000000003E-2</v>
      </c>
      <c r="AC501" s="67">
        <v>0.30099999999999999</v>
      </c>
      <c r="AD501" s="67">
        <v>0.45900000000000002</v>
      </c>
      <c r="AE501" s="67" t="s">
        <v>622</v>
      </c>
      <c r="AI501" s="70">
        <f t="shared" si="124"/>
        <v>4.2000000000000003E-2</v>
      </c>
      <c r="AL501" s="68" t="s">
        <v>854</v>
      </c>
      <c r="AM501" s="67" t="s">
        <v>30</v>
      </c>
    </row>
    <row r="502" spans="1:49" ht="30" customHeight="1" x14ac:dyDescent="0.25">
      <c r="A502" s="72" t="s">
        <v>56</v>
      </c>
      <c r="B502" s="67" t="s">
        <v>221</v>
      </c>
      <c r="C502" s="67" t="s">
        <v>154</v>
      </c>
      <c r="D502" s="67">
        <v>1</v>
      </c>
      <c r="E502" s="67" t="s">
        <v>605</v>
      </c>
      <c r="F502" s="73" t="s">
        <v>240</v>
      </c>
      <c r="G502" s="73" t="s">
        <v>578</v>
      </c>
      <c r="H502" s="67">
        <v>1</v>
      </c>
      <c r="I502" s="67">
        <v>12</v>
      </c>
      <c r="J502" s="73">
        <v>1</v>
      </c>
      <c r="K502" s="68" t="s">
        <v>579</v>
      </c>
      <c r="L502" s="67" t="s">
        <v>240</v>
      </c>
      <c r="M502" s="68" t="s">
        <v>570</v>
      </c>
      <c r="N502" s="67" t="s">
        <v>240</v>
      </c>
      <c r="O502" s="94">
        <v>0.06</v>
      </c>
      <c r="P502" s="79">
        <v>-1.4E-2</v>
      </c>
      <c r="Q502" s="79">
        <v>6.0000000000000001E-3</v>
      </c>
      <c r="R502" s="67" t="s">
        <v>376</v>
      </c>
      <c r="S502" s="67">
        <v>5497</v>
      </c>
      <c r="T502" s="67">
        <f t="shared" ref="T502:T518" si="125">+S502-U502</f>
        <v>2795</v>
      </c>
      <c r="U502" s="67">
        <f t="shared" ref="U502:U518" si="126">ROUND(S502*(2901/(3001+2901)),0)</f>
        <v>2702</v>
      </c>
      <c r="V502" s="67">
        <v>0.02</v>
      </c>
      <c r="W502" s="67">
        <v>1.2999999999999999E-2</v>
      </c>
      <c r="AC502" s="67">
        <v>0.42</v>
      </c>
      <c r="AD502" s="67">
        <v>0.49399999999999999</v>
      </c>
      <c r="AE502" s="67" t="s">
        <v>622</v>
      </c>
      <c r="AI502" s="70">
        <f t="shared" si="124"/>
        <v>1.2999999999999999E-2</v>
      </c>
      <c r="AL502" s="68" t="s">
        <v>857</v>
      </c>
    </row>
    <row r="503" spans="1:49" ht="30" customHeight="1" x14ac:dyDescent="0.25">
      <c r="A503" s="72" t="s">
        <v>56</v>
      </c>
      <c r="B503" s="67" t="s">
        <v>221</v>
      </c>
      <c r="C503" s="67" t="s">
        <v>154</v>
      </c>
      <c r="D503" s="67">
        <f t="shared" ref="D503:D518" si="127">D502+1</f>
        <v>2</v>
      </c>
      <c r="E503" s="67" t="s">
        <v>605</v>
      </c>
      <c r="F503" s="73" t="s">
        <v>240</v>
      </c>
      <c r="G503" s="73" t="s">
        <v>578</v>
      </c>
      <c r="H503" s="67">
        <v>1</v>
      </c>
      <c r="I503" s="67">
        <v>12</v>
      </c>
      <c r="J503" s="67">
        <v>2</v>
      </c>
      <c r="K503" s="68" t="s">
        <v>611</v>
      </c>
      <c r="L503" s="68" t="s">
        <v>858</v>
      </c>
      <c r="M503" s="68" t="s">
        <v>570</v>
      </c>
      <c r="N503" s="67" t="s">
        <v>240</v>
      </c>
      <c r="O503" s="94">
        <v>0.06</v>
      </c>
      <c r="P503" s="79">
        <v>-1.4E-2</v>
      </c>
      <c r="Q503" s="79">
        <v>6.0000000000000001E-3</v>
      </c>
      <c r="R503" s="67" t="s">
        <v>376</v>
      </c>
      <c r="S503" s="67">
        <v>5396</v>
      </c>
      <c r="T503" s="67">
        <f t="shared" si="125"/>
        <v>2744</v>
      </c>
      <c r="U503" s="67">
        <f t="shared" si="126"/>
        <v>2652</v>
      </c>
      <c r="V503" s="67">
        <v>17.315999999999999</v>
      </c>
      <c r="W503" s="67">
        <v>12.271000000000001</v>
      </c>
      <c r="AC503" s="67">
        <v>299.10899999999998</v>
      </c>
      <c r="AD503" s="67">
        <v>464.6</v>
      </c>
      <c r="AE503" s="67" t="s">
        <v>622</v>
      </c>
      <c r="AI503" s="70">
        <f t="shared" si="124"/>
        <v>12.271000000000001</v>
      </c>
      <c r="AL503" s="68" t="s">
        <v>857</v>
      </c>
      <c r="AP503" s="67">
        <f>+V503/AQ503</f>
        <v>3.8425964584540083E-2</v>
      </c>
      <c r="AQ503" s="67">
        <f>+W503*SQRT(T503*U503/S503)</f>
        <v>450.6327996504412</v>
      </c>
      <c r="AS503" s="67">
        <f>+AP503^2/(AU503-2)*(AU503/(V503/AI503)^2+AU503*AV503^2-AU503+2)</f>
        <v>7.423281159728213E-4</v>
      </c>
      <c r="AU503" s="67">
        <f>+S503-2</f>
        <v>5394</v>
      </c>
      <c r="AV503" s="67">
        <f>IFERROR(1/(SQRT(AU503/2)*_xlfn.GAMMA(AU503/2-0.5)/_xlfn.GAMMA(AU503/2)),1)</f>
        <v>1</v>
      </c>
      <c r="AW503" s="67" t="s">
        <v>1350</v>
      </c>
    </row>
    <row r="504" spans="1:49" ht="30" customHeight="1" x14ac:dyDescent="0.25">
      <c r="A504" s="72" t="s">
        <v>56</v>
      </c>
      <c r="B504" s="67" t="s">
        <v>221</v>
      </c>
      <c r="C504" s="67" t="s">
        <v>154</v>
      </c>
      <c r="D504" s="67">
        <f t="shared" si="127"/>
        <v>3</v>
      </c>
      <c r="E504" s="67" t="s">
        <v>605</v>
      </c>
      <c r="F504" s="73" t="s">
        <v>240</v>
      </c>
      <c r="G504" s="73" t="s">
        <v>578</v>
      </c>
      <c r="H504" s="67">
        <v>1</v>
      </c>
      <c r="I504" s="67">
        <v>12</v>
      </c>
      <c r="J504" s="67">
        <v>3</v>
      </c>
      <c r="K504" s="68" t="s">
        <v>606</v>
      </c>
      <c r="L504" s="67" t="s">
        <v>240</v>
      </c>
      <c r="M504" s="68" t="s">
        <v>570</v>
      </c>
      <c r="N504" s="67" t="s">
        <v>240</v>
      </c>
      <c r="O504" s="94">
        <v>0.06</v>
      </c>
      <c r="P504" s="79">
        <v>-1.4E-2</v>
      </c>
      <c r="Q504" s="79">
        <v>6.0000000000000001E-3</v>
      </c>
      <c r="R504" s="67" t="s">
        <v>376</v>
      </c>
      <c r="S504" s="67">
        <v>5508</v>
      </c>
      <c r="T504" s="67">
        <f t="shared" si="125"/>
        <v>2801</v>
      </c>
      <c r="U504" s="67">
        <f t="shared" si="126"/>
        <v>2707</v>
      </c>
      <c r="V504" s="67">
        <v>0.02</v>
      </c>
      <c r="W504" s="67">
        <v>1.2E-2</v>
      </c>
      <c r="AC504" s="67">
        <v>0.29299999999999998</v>
      </c>
      <c r="AD504" s="67">
        <v>0.45500000000000002</v>
      </c>
      <c r="AE504" s="67" t="s">
        <v>622</v>
      </c>
      <c r="AI504" s="70">
        <f t="shared" si="124"/>
        <v>1.2E-2</v>
      </c>
      <c r="AL504" s="68" t="s">
        <v>857</v>
      </c>
    </row>
    <row r="505" spans="1:49" ht="30" customHeight="1" x14ac:dyDescent="0.25">
      <c r="A505" s="72" t="s">
        <v>56</v>
      </c>
      <c r="B505" s="67" t="s">
        <v>221</v>
      </c>
      <c r="C505" s="67" t="s">
        <v>154</v>
      </c>
      <c r="D505" s="67">
        <f t="shared" si="127"/>
        <v>4</v>
      </c>
      <c r="E505" s="67" t="s">
        <v>605</v>
      </c>
      <c r="F505" s="73" t="s">
        <v>240</v>
      </c>
      <c r="G505" s="73" t="s">
        <v>578</v>
      </c>
      <c r="H505" s="67">
        <v>1</v>
      </c>
      <c r="I505" s="67">
        <v>28</v>
      </c>
      <c r="J505" s="67">
        <v>3</v>
      </c>
      <c r="K505" s="68" t="s">
        <v>606</v>
      </c>
      <c r="L505" s="67" t="s">
        <v>240</v>
      </c>
      <c r="M505" s="68" t="s">
        <v>587</v>
      </c>
      <c r="N505" s="67" t="s">
        <v>240</v>
      </c>
      <c r="O505" s="94">
        <v>0.06</v>
      </c>
      <c r="P505" s="79">
        <v>-1.4E-2</v>
      </c>
      <c r="Q505" s="79">
        <v>6.0000000000000001E-3</v>
      </c>
      <c r="R505" s="67" t="s">
        <v>338</v>
      </c>
      <c r="S505" s="67">
        <v>5896</v>
      </c>
      <c r="T505" s="67">
        <f t="shared" si="125"/>
        <v>2998</v>
      </c>
      <c r="U505" s="67">
        <f t="shared" si="126"/>
        <v>2898</v>
      </c>
      <c r="V505" s="67">
        <v>-8.9999999999999993E-3</v>
      </c>
      <c r="W505" s="67">
        <v>1.2E-2</v>
      </c>
      <c r="AC505" s="67">
        <v>0.42699999999999999</v>
      </c>
      <c r="AD505" s="67">
        <v>0.495</v>
      </c>
      <c r="AE505" s="67" t="s">
        <v>622</v>
      </c>
      <c r="AI505" s="70">
        <f t="shared" si="124"/>
        <v>1.2E-2</v>
      </c>
      <c r="AL505" s="68" t="s">
        <v>857</v>
      </c>
    </row>
    <row r="506" spans="1:49" ht="30" customHeight="1" x14ac:dyDescent="0.25">
      <c r="A506" s="72" t="s">
        <v>56</v>
      </c>
      <c r="B506" s="67" t="s">
        <v>273</v>
      </c>
      <c r="C506" s="67" t="s">
        <v>154</v>
      </c>
      <c r="D506" s="67">
        <f t="shared" si="127"/>
        <v>5</v>
      </c>
      <c r="E506" s="67" t="s">
        <v>605</v>
      </c>
      <c r="F506" s="73" t="s">
        <v>240</v>
      </c>
      <c r="G506" s="73" t="s">
        <v>578</v>
      </c>
      <c r="H506" s="67">
        <v>1</v>
      </c>
      <c r="I506" s="67">
        <v>28</v>
      </c>
      <c r="J506" s="67">
        <v>2</v>
      </c>
      <c r="K506" s="68" t="s">
        <v>859</v>
      </c>
      <c r="L506" s="68" t="s">
        <v>858</v>
      </c>
      <c r="M506" s="68" t="s">
        <v>587</v>
      </c>
      <c r="N506" s="67" t="s">
        <v>240</v>
      </c>
      <c r="O506" s="94">
        <v>0.06</v>
      </c>
      <c r="P506" s="79">
        <v>-1.4E-2</v>
      </c>
      <c r="Q506" s="79">
        <v>6.0000000000000001E-3</v>
      </c>
      <c r="R506" s="67" t="s">
        <v>338</v>
      </c>
      <c r="S506" s="67">
        <v>5896</v>
      </c>
      <c r="T506" s="67">
        <f t="shared" si="125"/>
        <v>2998</v>
      </c>
      <c r="U506" s="67">
        <f t="shared" si="126"/>
        <v>2898</v>
      </c>
      <c r="V506" s="67">
        <v>-4.4269999999999996</v>
      </c>
      <c r="W506" s="67">
        <v>19.934999999999999</v>
      </c>
      <c r="AC506" s="67">
        <v>553.82000000000005</v>
      </c>
      <c r="AD506" s="67">
        <v>796.57100000000003</v>
      </c>
      <c r="AE506" s="67" t="s">
        <v>622</v>
      </c>
      <c r="AI506" s="70">
        <f t="shared" si="124"/>
        <v>19.934999999999999</v>
      </c>
      <c r="AL506" s="68" t="s">
        <v>857</v>
      </c>
      <c r="AP506" s="67">
        <f>+V506/AQ506</f>
        <v>-5.7850486371070773E-3</v>
      </c>
      <c r="AQ506" s="67">
        <f>+W506*SQRT(T506*U506/S506)</f>
        <v>765.24853595938032</v>
      </c>
      <c r="AS506" s="67">
        <f>+AP506^2/(AU506-2)*(AU506/(V506/AI506)^2+AU506*AV506^2-AU506+2)</f>
        <v>6.7886297978757293E-4</v>
      </c>
      <c r="AU506" s="67">
        <f>+S506-2</f>
        <v>5894</v>
      </c>
      <c r="AV506" s="67">
        <f>IFERROR(1/(SQRT(AU506/2)*_xlfn.GAMMA(AU506/2-0.5)/_xlfn.GAMMA(AU506/2)),1)</f>
        <v>1</v>
      </c>
      <c r="AW506" s="67" t="s">
        <v>1350</v>
      </c>
    </row>
    <row r="507" spans="1:49" ht="30" customHeight="1" x14ac:dyDescent="0.25">
      <c r="A507" s="72" t="s">
        <v>56</v>
      </c>
      <c r="B507" s="67" t="s">
        <v>221</v>
      </c>
      <c r="C507" s="67" t="s">
        <v>154</v>
      </c>
      <c r="D507" s="67">
        <f t="shared" si="127"/>
        <v>6</v>
      </c>
      <c r="E507" s="67" t="s">
        <v>583</v>
      </c>
      <c r="F507" s="67" t="s">
        <v>1004</v>
      </c>
      <c r="G507" s="73" t="s">
        <v>578</v>
      </c>
      <c r="H507" s="67">
        <v>1</v>
      </c>
      <c r="I507" s="67">
        <v>12</v>
      </c>
      <c r="J507" s="73">
        <v>1</v>
      </c>
      <c r="K507" s="68" t="s">
        <v>579</v>
      </c>
      <c r="L507" s="67" t="s">
        <v>240</v>
      </c>
      <c r="M507" s="68" t="s">
        <v>570</v>
      </c>
      <c r="N507" s="67" t="s">
        <v>240</v>
      </c>
      <c r="O507" s="94">
        <v>3.1E-2</v>
      </c>
      <c r="P507" s="79">
        <v>-1.4999999999999999E-2</v>
      </c>
      <c r="Q507" s="79">
        <v>6.0000000000000001E-3</v>
      </c>
      <c r="R507" s="67" t="s">
        <v>462</v>
      </c>
      <c r="S507" s="67">
        <f>ROUND(5497*(1146/5902),0)</f>
        <v>1067</v>
      </c>
      <c r="T507" s="67">
        <f t="shared" si="125"/>
        <v>543</v>
      </c>
      <c r="U507" s="67">
        <f t="shared" si="126"/>
        <v>524</v>
      </c>
      <c r="V507" s="67">
        <v>-2.1000000000000001E-2</v>
      </c>
      <c r="W507" s="67">
        <v>0.03</v>
      </c>
      <c r="AC507" s="67">
        <v>0.48899999999999999</v>
      </c>
      <c r="AI507" s="70">
        <f t="shared" si="124"/>
        <v>0.03</v>
      </c>
      <c r="AL507" s="68" t="s">
        <v>860</v>
      </c>
    </row>
    <row r="508" spans="1:49" ht="30" customHeight="1" x14ac:dyDescent="0.25">
      <c r="A508" s="72" t="s">
        <v>56</v>
      </c>
      <c r="B508" s="67" t="s">
        <v>221</v>
      </c>
      <c r="C508" s="67" t="s">
        <v>154</v>
      </c>
      <c r="D508" s="67">
        <f t="shared" si="127"/>
        <v>7</v>
      </c>
      <c r="E508" s="67" t="s">
        <v>583</v>
      </c>
      <c r="F508" s="67" t="s">
        <v>1004</v>
      </c>
      <c r="G508" s="73" t="s">
        <v>578</v>
      </c>
      <c r="H508" s="67">
        <v>1</v>
      </c>
      <c r="I508" s="67">
        <v>12</v>
      </c>
      <c r="J508" s="67">
        <v>2</v>
      </c>
      <c r="K508" s="68" t="s">
        <v>611</v>
      </c>
      <c r="L508" s="68" t="s">
        <v>858</v>
      </c>
      <c r="M508" s="68" t="s">
        <v>570</v>
      </c>
      <c r="N508" s="67" t="s">
        <v>240</v>
      </c>
      <c r="O508" s="94">
        <v>3.1E-2</v>
      </c>
      <c r="P508" s="79">
        <v>-1.4999999999999999E-2</v>
      </c>
      <c r="Q508" s="79">
        <v>6.0000000000000001E-3</v>
      </c>
      <c r="R508" s="67" t="s">
        <v>462</v>
      </c>
      <c r="S508" s="67">
        <f>ROUND(5396*(1146/5902),0)</f>
        <v>1048</v>
      </c>
      <c r="T508" s="67">
        <f t="shared" si="125"/>
        <v>533</v>
      </c>
      <c r="U508" s="67">
        <f t="shared" si="126"/>
        <v>515</v>
      </c>
      <c r="V508" s="67">
        <v>-12.112</v>
      </c>
      <c r="W508" s="67">
        <v>31.384</v>
      </c>
      <c r="AC508" s="67">
        <v>347</v>
      </c>
      <c r="AI508" s="70">
        <f t="shared" si="124"/>
        <v>31.384</v>
      </c>
      <c r="AL508" s="68" t="s">
        <v>1366</v>
      </c>
      <c r="AP508" s="67">
        <f>+V508/AQ508</f>
        <v>-2.3846299231303832E-2</v>
      </c>
      <c r="AQ508" s="67">
        <f>+W508*SQRT(T508*U508/S508)</f>
        <v>507.91948396337216</v>
      </c>
      <c r="AS508" s="67">
        <f>+AP508^2/(AU508-2)*(AU508/(V508/AI508)^2+AU508*AV508^2-AU508+2)</f>
        <v>3.8263235641585332E-3</v>
      </c>
      <c r="AU508" s="67">
        <f>+S508-2</f>
        <v>1046</v>
      </c>
      <c r="AV508" s="67">
        <f>IFERROR(1/(SQRT(AU508/2)*_xlfn.GAMMA(AU508/2-0.5)/_xlfn.GAMMA(AU508/2)),1)</f>
        <v>1</v>
      </c>
      <c r="AW508" s="67" t="s">
        <v>1350</v>
      </c>
    </row>
    <row r="509" spans="1:49" ht="30" customHeight="1" x14ac:dyDescent="0.25">
      <c r="A509" s="72" t="s">
        <v>56</v>
      </c>
      <c r="B509" s="67" t="s">
        <v>221</v>
      </c>
      <c r="C509" s="67" t="s">
        <v>154</v>
      </c>
      <c r="D509" s="67">
        <f t="shared" si="127"/>
        <v>8</v>
      </c>
      <c r="E509" s="67" t="s">
        <v>583</v>
      </c>
      <c r="F509" s="67" t="s">
        <v>1004</v>
      </c>
      <c r="G509" s="73" t="s">
        <v>578</v>
      </c>
      <c r="H509" s="67">
        <v>1</v>
      </c>
      <c r="I509" s="67">
        <v>12</v>
      </c>
      <c r="J509" s="67">
        <v>3</v>
      </c>
      <c r="K509" s="68" t="s">
        <v>606</v>
      </c>
      <c r="L509" s="67" t="s">
        <v>240</v>
      </c>
      <c r="M509" s="68" t="s">
        <v>570</v>
      </c>
      <c r="N509" s="67" t="s">
        <v>240</v>
      </c>
      <c r="O509" s="94">
        <v>3.1E-2</v>
      </c>
      <c r="P509" s="79">
        <v>-1.4999999999999999E-2</v>
      </c>
      <c r="Q509" s="79">
        <v>6.0000000000000001E-3</v>
      </c>
      <c r="R509" s="67" t="s">
        <v>462</v>
      </c>
      <c r="S509" s="67">
        <f>ROUND(5508*(1146/5902),0)</f>
        <v>1069</v>
      </c>
      <c r="T509" s="67">
        <f t="shared" si="125"/>
        <v>544</v>
      </c>
      <c r="U509" s="67">
        <f t="shared" si="126"/>
        <v>525</v>
      </c>
      <c r="V509" s="67">
        <v>3.0000000000000001E-3</v>
      </c>
      <c r="W509" s="67">
        <v>2.8000000000000001E-2</v>
      </c>
      <c r="AC509" s="67">
        <v>0.307</v>
      </c>
      <c r="AI509" s="70">
        <f t="shared" si="124"/>
        <v>2.8000000000000001E-2</v>
      </c>
      <c r="AL509" s="68" t="s">
        <v>860</v>
      </c>
    </row>
    <row r="510" spans="1:49" ht="30" customHeight="1" x14ac:dyDescent="0.25">
      <c r="A510" s="72" t="s">
        <v>56</v>
      </c>
      <c r="B510" s="67" t="s">
        <v>221</v>
      </c>
      <c r="C510" s="67" t="s">
        <v>154</v>
      </c>
      <c r="D510" s="67">
        <f t="shared" si="127"/>
        <v>9</v>
      </c>
      <c r="E510" s="67" t="s">
        <v>583</v>
      </c>
      <c r="F510" s="67" t="s">
        <v>1005</v>
      </c>
      <c r="G510" s="73" t="s">
        <v>578</v>
      </c>
      <c r="H510" s="67">
        <v>1</v>
      </c>
      <c r="I510" s="67">
        <v>12</v>
      </c>
      <c r="J510" s="73">
        <v>1</v>
      </c>
      <c r="K510" s="68" t="s">
        <v>579</v>
      </c>
      <c r="L510" s="67" t="s">
        <v>240</v>
      </c>
      <c r="M510" s="68" t="s">
        <v>570</v>
      </c>
      <c r="N510" s="67" t="s">
        <v>240</v>
      </c>
      <c r="O510" s="94">
        <v>3.7999999999999999E-2</v>
      </c>
      <c r="P510" s="79">
        <v>-1.4999999999999999E-2</v>
      </c>
      <c r="Q510" s="79">
        <v>6.0000000000000001E-3</v>
      </c>
      <c r="R510" s="67" t="s">
        <v>462</v>
      </c>
      <c r="S510" s="67">
        <f>+ROUND(5497*(1059/5902),0)</f>
        <v>986</v>
      </c>
      <c r="T510" s="67">
        <f t="shared" si="125"/>
        <v>501</v>
      </c>
      <c r="U510" s="67">
        <f t="shared" si="126"/>
        <v>485</v>
      </c>
      <c r="V510" s="67">
        <v>6.9000000000000006E-2</v>
      </c>
      <c r="W510" s="67">
        <v>2.9000000000000001E-2</v>
      </c>
      <c r="AC510" s="67">
        <v>0.621</v>
      </c>
      <c r="AI510" s="70">
        <f t="shared" si="124"/>
        <v>2.9000000000000001E-2</v>
      </c>
      <c r="AL510" s="68" t="s">
        <v>860</v>
      </c>
    </row>
    <row r="511" spans="1:49" ht="30" customHeight="1" x14ac:dyDescent="0.25">
      <c r="A511" s="72" t="s">
        <v>56</v>
      </c>
      <c r="B511" s="67" t="s">
        <v>221</v>
      </c>
      <c r="C511" s="67" t="s">
        <v>154</v>
      </c>
      <c r="D511" s="67">
        <f t="shared" si="127"/>
        <v>10</v>
      </c>
      <c r="E511" s="67" t="s">
        <v>583</v>
      </c>
      <c r="F511" s="67" t="s">
        <v>1005</v>
      </c>
      <c r="G511" s="73" t="s">
        <v>578</v>
      </c>
      <c r="H511" s="67">
        <v>1</v>
      </c>
      <c r="I511" s="67">
        <v>12</v>
      </c>
      <c r="J511" s="67">
        <v>2</v>
      </c>
      <c r="K511" s="68" t="s">
        <v>611</v>
      </c>
      <c r="L511" s="68" t="s">
        <v>858</v>
      </c>
      <c r="M511" s="68" t="s">
        <v>570</v>
      </c>
      <c r="N511" s="67" t="s">
        <v>240</v>
      </c>
      <c r="O511" s="94">
        <v>3.7999999999999999E-2</v>
      </c>
      <c r="P511" s="79">
        <v>-1.4999999999999999E-2</v>
      </c>
      <c r="Q511" s="79">
        <v>6.0000000000000001E-3</v>
      </c>
      <c r="R511" s="67" t="s">
        <v>462</v>
      </c>
      <c r="S511" s="67">
        <f>ROUND(5396*(1059/5902),0)</f>
        <v>968</v>
      </c>
      <c r="T511" s="67">
        <f t="shared" si="125"/>
        <v>492</v>
      </c>
      <c r="U511" s="67">
        <f t="shared" si="126"/>
        <v>476</v>
      </c>
      <c r="V511" s="67">
        <v>35.304000000000002</v>
      </c>
      <c r="W511" s="67">
        <v>37.500999999999998</v>
      </c>
      <c r="AC511" s="67">
        <v>518</v>
      </c>
      <c r="AI511" s="70">
        <f t="shared" si="124"/>
        <v>37.500999999999998</v>
      </c>
      <c r="AL511" s="68" t="s">
        <v>1366</v>
      </c>
      <c r="AP511" s="67">
        <f>+V511/AQ511</f>
        <v>6.0524709911282323E-2</v>
      </c>
      <c r="AQ511" s="67">
        <f>+W511*SQRT(T511*U511/S511)</f>
        <v>583.29895429071746</v>
      </c>
      <c r="AS511" s="67">
        <f>+AP511^2/(AU511-2)*(AU511/(V511/AI511)^2+AU511*AV511^2-AU511+2)</f>
        <v>4.1495361824397453E-3</v>
      </c>
      <c r="AU511" s="67">
        <f>+S511-2</f>
        <v>966</v>
      </c>
      <c r="AV511" s="67">
        <f>IFERROR(1/(SQRT(AU511/2)*_xlfn.GAMMA(AU511/2-0.5)/_xlfn.GAMMA(AU511/2)),1)</f>
        <v>1</v>
      </c>
      <c r="AW511" s="67" t="s">
        <v>1350</v>
      </c>
    </row>
    <row r="512" spans="1:49" ht="30" customHeight="1" x14ac:dyDescent="0.25">
      <c r="A512" s="72" t="s">
        <v>56</v>
      </c>
      <c r="B512" s="67" t="s">
        <v>221</v>
      </c>
      <c r="C512" s="67" t="s">
        <v>154</v>
      </c>
      <c r="D512" s="67">
        <f t="shared" si="127"/>
        <v>11</v>
      </c>
      <c r="E512" s="67" t="s">
        <v>583</v>
      </c>
      <c r="F512" s="67" t="s">
        <v>1005</v>
      </c>
      <c r="G512" s="73" t="s">
        <v>578</v>
      </c>
      <c r="H512" s="67">
        <v>1</v>
      </c>
      <c r="I512" s="67">
        <v>12</v>
      </c>
      <c r="J512" s="67">
        <v>3</v>
      </c>
      <c r="K512" s="68" t="s">
        <v>606</v>
      </c>
      <c r="L512" s="67" t="s">
        <v>240</v>
      </c>
      <c r="M512" s="68" t="s">
        <v>570</v>
      </c>
      <c r="N512" s="67" t="s">
        <v>240</v>
      </c>
      <c r="O512" s="93">
        <v>3.7999999999999999E-2</v>
      </c>
      <c r="P512" s="79">
        <v>-1.4999999999999999E-2</v>
      </c>
      <c r="Q512" s="79">
        <v>6.0000000000000001E-3</v>
      </c>
      <c r="R512" s="67" t="s">
        <v>462</v>
      </c>
      <c r="S512" s="67">
        <f>ROUND(5508*(1059/5902),0)</f>
        <v>988</v>
      </c>
      <c r="T512" s="67">
        <f t="shared" si="125"/>
        <v>502</v>
      </c>
      <c r="U512" s="67">
        <f t="shared" si="126"/>
        <v>486</v>
      </c>
      <c r="V512" s="67">
        <v>4.7E-2</v>
      </c>
      <c r="W512" s="67">
        <v>3.2000000000000001E-2</v>
      </c>
      <c r="AC512" s="67">
        <v>0.46600000000000003</v>
      </c>
      <c r="AI512" s="70">
        <f t="shared" si="124"/>
        <v>3.2000000000000001E-2</v>
      </c>
      <c r="AL512" s="68" t="s">
        <v>860</v>
      </c>
    </row>
    <row r="513" spans="1:49" ht="30" customHeight="1" x14ac:dyDescent="0.25">
      <c r="A513" s="72" t="s">
        <v>56</v>
      </c>
      <c r="B513" s="67" t="s">
        <v>221</v>
      </c>
      <c r="C513" s="67" t="s">
        <v>154</v>
      </c>
      <c r="D513" s="67">
        <f t="shared" si="127"/>
        <v>12</v>
      </c>
      <c r="E513" s="67" t="s">
        <v>577</v>
      </c>
      <c r="F513" s="67" t="s">
        <v>1004</v>
      </c>
      <c r="G513" s="73" t="s">
        <v>578</v>
      </c>
      <c r="H513" s="67">
        <v>1</v>
      </c>
      <c r="I513" s="67">
        <v>12</v>
      </c>
      <c r="J513" s="73">
        <v>1</v>
      </c>
      <c r="K513" s="68" t="s">
        <v>579</v>
      </c>
      <c r="L513" s="67" t="s">
        <v>240</v>
      </c>
      <c r="M513" s="68" t="s">
        <v>570</v>
      </c>
      <c r="N513" s="67" t="s">
        <v>240</v>
      </c>
      <c r="O513" s="93">
        <v>0.02</v>
      </c>
      <c r="P513" s="79">
        <v>-1.4999999999999999E-2</v>
      </c>
      <c r="Q513" s="79">
        <v>6.0000000000000001E-3</v>
      </c>
      <c r="R513" s="67" t="s">
        <v>462</v>
      </c>
      <c r="S513" s="67">
        <f>+ROUND(5497*(1583/5902),0)</f>
        <v>1474</v>
      </c>
      <c r="T513" s="67">
        <f t="shared" si="125"/>
        <v>749</v>
      </c>
      <c r="U513" s="67">
        <f t="shared" si="126"/>
        <v>725</v>
      </c>
      <c r="V513" s="67">
        <v>1.0999999999999999E-2</v>
      </c>
      <c r="W513" s="67">
        <v>2.5000000000000001E-2</v>
      </c>
      <c r="AC513" s="67">
        <v>0.40300000000000002</v>
      </c>
      <c r="AI513" s="70">
        <f t="shared" si="124"/>
        <v>2.5000000000000001E-2</v>
      </c>
      <c r="AL513" s="68" t="s">
        <v>860</v>
      </c>
    </row>
    <row r="514" spans="1:49" ht="30" customHeight="1" x14ac:dyDescent="0.25">
      <c r="A514" s="72" t="s">
        <v>56</v>
      </c>
      <c r="B514" s="67" t="s">
        <v>221</v>
      </c>
      <c r="C514" s="67" t="s">
        <v>154</v>
      </c>
      <c r="D514" s="67">
        <f t="shared" si="127"/>
        <v>13</v>
      </c>
      <c r="E514" s="67" t="s">
        <v>577</v>
      </c>
      <c r="F514" s="67" t="s">
        <v>1004</v>
      </c>
      <c r="G514" s="73" t="s">
        <v>578</v>
      </c>
      <c r="H514" s="67">
        <v>1</v>
      </c>
      <c r="I514" s="67">
        <v>12</v>
      </c>
      <c r="J514" s="67">
        <v>2</v>
      </c>
      <c r="K514" s="68" t="s">
        <v>611</v>
      </c>
      <c r="L514" s="68" t="s">
        <v>858</v>
      </c>
      <c r="M514" s="68" t="s">
        <v>570</v>
      </c>
      <c r="N514" s="48" t="s">
        <v>240</v>
      </c>
      <c r="O514" s="93">
        <v>0.02</v>
      </c>
      <c r="P514" s="79">
        <v>-1.4999999999999999E-2</v>
      </c>
      <c r="Q514" s="79">
        <v>6.0000000000000001E-3</v>
      </c>
      <c r="R514" s="67" t="s">
        <v>462</v>
      </c>
      <c r="S514" s="67">
        <f>ROUND(5396*(1583/5902),0)</f>
        <v>1447</v>
      </c>
      <c r="T514" s="67">
        <f t="shared" si="125"/>
        <v>736</v>
      </c>
      <c r="U514" s="67">
        <f t="shared" si="126"/>
        <v>711</v>
      </c>
      <c r="V514" s="67">
        <v>14.938000000000001</v>
      </c>
      <c r="W514" s="67">
        <v>20.998999999999999</v>
      </c>
      <c r="AC514" s="67">
        <v>269</v>
      </c>
      <c r="AI514" s="70">
        <f t="shared" si="124"/>
        <v>20.998999999999999</v>
      </c>
      <c r="AL514" s="68" t="s">
        <v>1366</v>
      </c>
      <c r="AP514" s="67">
        <f>+V514/AQ514</f>
        <v>3.7407130915083894E-2</v>
      </c>
      <c r="AQ514" s="67">
        <f>+W514*SQRT(T514*U514/S514)</f>
        <v>399.33562490825682</v>
      </c>
      <c r="AS514" s="67">
        <f>+AP514^2/(AU514-2)*(AU514/(V514/AI514)^2+AU514*AV514^2-AU514+2)</f>
        <v>2.7709373588209315E-3</v>
      </c>
      <c r="AU514" s="67">
        <f>+S514-2</f>
        <v>1445</v>
      </c>
      <c r="AV514" s="67">
        <f>IFERROR(1/(SQRT(AU514/2)*_xlfn.GAMMA(AU514/2-0.5)/_xlfn.GAMMA(AU514/2)),1)</f>
        <v>1</v>
      </c>
      <c r="AW514" s="67" t="s">
        <v>1350</v>
      </c>
    </row>
    <row r="515" spans="1:49" ht="30" customHeight="1" x14ac:dyDescent="0.25">
      <c r="A515" s="72" t="s">
        <v>56</v>
      </c>
      <c r="B515" s="67" t="s">
        <v>221</v>
      </c>
      <c r="C515" s="67" t="s">
        <v>154</v>
      </c>
      <c r="D515" s="67">
        <f t="shared" si="127"/>
        <v>14</v>
      </c>
      <c r="E515" s="67" t="s">
        <v>577</v>
      </c>
      <c r="F515" s="67" t="s">
        <v>1004</v>
      </c>
      <c r="G515" s="73" t="s">
        <v>578</v>
      </c>
      <c r="H515" s="67">
        <v>1</v>
      </c>
      <c r="I515" s="67">
        <v>12</v>
      </c>
      <c r="J515" s="67">
        <v>3</v>
      </c>
      <c r="K515" s="68" t="s">
        <v>606</v>
      </c>
      <c r="L515" s="67" t="s">
        <v>240</v>
      </c>
      <c r="M515" s="68" t="s">
        <v>570</v>
      </c>
      <c r="N515" s="67" t="s">
        <v>240</v>
      </c>
      <c r="O515" s="93">
        <v>0.02</v>
      </c>
      <c r="P515" s="79">
        <v>-1.4999999999999999E-2</v>
      </c>
      <c r="Q515" s="79">
        <v>6.0000000000000001E-3</v>
      </c>
      <c r="R515" s="67" t="s">
        <v>462</v>
      </c>
      <c r="S515" s="67">
        <f>ROUND(5508*(1583/5902),0)</f>
        <v>1477</v>
      </c>
      <c r="T515" s="67">
        <f t="shared" si="125"/>
        <v>751</v>
      </c>
      <c r="U515" s="67">
        <f t="shared" si="126"/>
        <v>726</v>
      </c>
      <c r="V515" s="67">
        <v>1.7000000000000001E-2</v>
      </c>
      <c r="W515" s="67">
        <v>2.4E-2</v>
      </c>
      <c r="AC515" s="67">
        <v>0.29499999999999998</v>
      </c>
      <c r="AI515" s="70">
        <f t="shared" si="124"/>
        <v>2.4E-2</v>
      </c>
      <c r="AL515" s="68" t="s">
        <v>860</v>
      </c>
    </row>
    <row r="516" spans="1:49" ht="30" customHeight="1" x14ac:dyDescent="0.25">
      <c r="A516" s="72" t="s">
        <v>56</v>
      </c>
      <c r="B516" s="67" t="s">
        <v>221</v>
      </c>
      <c r="C516" s="67" t="s">
        <v>154</v>
      </c>
      <c r="D516" s="67">
        <f t="shared" si="127"/>
        <v>15</v>
      </c>
      <c r="E516" s="67" t="s">
        <v>577</v>
      </c>
      <c r="F516" s="67" t="s">
        <v>1005</v>
      </c>
      <c r="G516" s="73" t="s">
        <v>578</v>
      </c>
      <c r="H516" s="67">
        <v>1</v>
      </c>
      <c r="I516" s="67">
        <v>12</v>
      </c>
      <c r="J516" s="73">
        <v>1</v>
      </c>
      <c r="K516" s="68" t="s">
        <v>579</v>
      </c>
      <c r="L516" s="67" t="s">
        <v>240</v>
      </c>
      <c r="M516" s="68" t="s">
        <v>570</v>
      </c>
      <c r="N516" s="67" t="s">
        <v>240</v>
      </c>
      <c r="O516" s="93">
        <v>2E-3</v>
      </c>
      <c r="P516" s="79">
        <v>-0.01</v>
      </c>
      <c r="Q516" s="79">
        <v>6.0000000000000001E-3</v>
      </c>
      <c r="R516" s="67" t="s">
        <v>462</v>
      </c>
      <c r="S516" s="67">
        <f>+ROUND(5497*(1583/5902),0)</f>
        <v>1474</v>
      </c>
      <c r="T516" s="67">
        <f t="shared" si="125"/>
        <v>749</v>
      </c>
      <c r="U516" s="67">
        <f t="shared" si="126"/>
        <v>725</v>
      </c>
      <c r="V516" s="67">
        <v>2.3E-2</v>
      </c>
      <c r="W516" s="67">
        <v>0.02</v>
      </c>
      <c r="AC516" s="67">
        <v>0.29499999999999998</v>
      </c>
      <c r="AI516" s="70">
        <f t="shared" si="124"/>
        <v>0.02</v>
      </c>
      <c r="AL516" s="68" t="s">
        <v>860</v>
      </c>
    </row>
    <row r="517" spans="1:49" ht="30" customHeight="1" x14ac:dyDescent="0.25">
      <c r="A517" s="72" t="s">
        <v>56</v>
      </c>
      <c r="B517" s="67" t="s">
        <v>221</v>
      </c>
      <c r="C517" s="67" t="s">
        <v>154</v>
      </c>
      <c r="D517" s="67">
        <f t="shared" si="127"/>
        <v>16</v>
      </c>
      <c r="E517" s="67" t="s">
        <v>577</v>
      </c>
      <c r="F517" s="67" t="s">
        <v>1005</v>
      </c>
      <c r="G517" s="73" t="s">
        <v>578</v>
      </c>
      <c r="H517" s="67">
        <v>1</v>
      </c>
      <c r="I517" s="67">
        <v>12</v>
      </c>
      <c r="J517" s="67">
        <v>2</v>
      </c>
      <c r="K517" s="68" t="s">
        <v>611</v>
      </c>
      <c r="L517" s="68" t="s">
        <v>858</v>
      </c>
      <c r="M517" s="68" t="s">
        <v>570</v>
      </c>
      <c r="N517" s="48" t="s">
        <v>240</v>
      </c>
      <c r="O517" s="93">
        <v>2E-3</v>
      </c>
      <c r="P517" s="79">
        <v>-0.01</v>
      </c>
      <c r="Q517" s="79">
        <v>6.0000000000000001E-3</v>
      </c>
      <c r="R517" s="67" t="s">
        <v>462</v>
      </c>
      <c r="S517" s="67">
        <f>ROUND(5396*(1583/5902),0)</f>
        <v>1447</v>
      </c>
      <c r="T517" s="67">
        <f t="shared" si="125"/>
        <v>736</v>
      </c>
      <c r="U517" s="67">
        <f t="shared" si="126"/>
        <v>711</v>
      </c>
      <c r="V517" s="67">
        <v>26.052</v>
      </c>
      <c r="W517" s="67">
        <v>17.321000000000002</v>
      </c>
      <c r="AC517" s="67">
        <v>187</v>
      </c>
      <c r="AI517" s="70">
        <f t="shared" si="124"/>
        <v>17.321000000000002</v>
      </c>
      <c r="AL517" s="68" t="s">
        <v>1366</v>
      </c>
      <c r="AP517" s="67">
        <f>+V517/AQ517</f>
        <v>7.9091291233604005E-2</v>
      </c>
      <c r="AQ517" s="67">
        <f>+W517*SQRT(T517*U517/S517)</f>
        <v>329.3915119308499</v>
      </c>
      <c r="AS517" s="67">
        <f>+AP517^2/(AU517-2)*(AU517/(V517/AI517)^2+AU517*AV517^2-AU517+2)</f>
        <v>2.7776679740748478E-3</v>
      </c>
      <c r="AU517" s="67">
        <f>+S517-2</f>
        <v>1445</v>
      </c>
      <c r="AV517" s="67">
        <f>IFERROR(1/(SQRT(AU517/2)*_xlfn.GAMMA(AU517/2-0.5)/_xlfn.GAMMA(AU517/2)),1)</f>
        <v>1</v>
      </c>
      <c r="AW517" s="67" t="s">
        <v>1350</v>
      </c>
    </row>
    <row r="518" spans="1:49" ht="30" customHeight="1" x14ac:dyDescent="0.25">
      <c r="A518" s="72" t="s">
        <v>56</v>
      </c>
      <c r="B518" s="67" t="s">
        <v>221</v>
      </c>
      <c r="C518" s="67" t="s">
        <v>154</v>
      </c>
      <c r="D518" s="67">
        <f t="shared" si="127"/>
        <v>17</v>
      </c>
      <c r="E518" s="67" t="s">
        <v>577</v>
      </c>
      <c r="F518" s="67" t="s">
        <v>1005</v>
      </c>
      <c r="G518" s="73" t="s">
        <v>578</v>
      </c>
      <c r="H518" s="67">
        <v>1</v>
      </c>
      <c r="I518" s="67">
        <v>12</v>
      </c>
      <c r="J518" s="67">
        <v>3</v>
      </c>
      <c r="K518" s="68" t="s">
        <v>606</v>
      </c>
      <c r="L518" s="67" t="s">
        <v>240</v>
      </c>
      <c r="M518" s="68" t="s">
        <v>570</v>
      </c>
      <c r="N518" s="67" t="s">
        <v>240</v>
      </c>
      <c r="O518" s="93">
        <v>2E-3</v>
      </c>
      <c r="P518" s="79">
        <v>-0.01</v>
      </c>
      <c r="Q518" s="79">
        <v>6.0000000000000001E-3</v>
      </c>
      <c r="R518" s="67" t="s">
        <v>462</v>
      </c>
      <c r="S518" s="67">
        <f>ROUND(5508*(1583/5902),0)</f>
        <v>1477</v>
      </c>
      <c r="T518" s="67">
        <f t="shared" si="125"/>
        <v>751</v>
      </c>
      <c r="U518" s="67">
        <f t="shared" si="126"/>
        <v>726</v>
      </c>
      <c r="V518" s="67">
        <v>1.9E-2</v>
      </c>
      <c r="W518" s="67">
        <v>1.7999999999999999E-2</v>
      </c>
      <c r="AC518" s="67">
        <v>0.19600000000000001</v>
      </c>
      <c r="AI518" s="70">
        <f t="shared" si="124"/>
        <v>1.7999999999999999E-2</v>
      </c>
      <c r="AL518" s="68" t="s">
        <v>860</v>
      </c>
    </row>
    <row r="519" spans="1:49" ht="30" customHeight="1" x14ac:dyDescent="0.25">
      <c r="A519" s="67" t="s">
        <v>117</v>
      </c>
      <c r="B519" s="67" t="s">
        <v>293</v>
      </c>
      <c r="C519" s="67" t="s">
        <v>117</v>
      </c>
      <c r="D519" s="67">
        <v>1</v>
      </c>
      <c r="E519" s="67" t="s">
        <v>646</v>
      </c>
      <c r="F519" s="67" t="s">
        <v>240</v>
      </c>
      <c r="G519" s="68" t="s">
        <v>578</v>
      </c>
      <c r="H519" s="67">
        <v>1</v>
      </c>
      <c r="I519" s="67">
        <v>14</v>
      </c>
      <c r="J519" s="67">
        <v>1</v>
      </c>
      <c r="K519" s="68" t="s">
        <v>861</v>
      </c>
      <c r="L519" s="67" t="s">
        <v>240</v>
      </c>
      <c r="M519" s="68" t="s">
        <v>570</v>
      </c>
      <c r="N519" s="67" t="s">
        <v>240</v>
      </c>
      <c r="O519" s="69">
        <f t="shared" ref="O519:O527" si="128">(2113-1618)/2113</f>
        <v>0.23426407950780881</v>
      </c>
      <c r="P519" s="74">
        <v>8.1000000000000003E-2</v>
      </c>
      <c r="Q519" s="74">
        <v>1.7000000000000001E-2</v>
      </c>
      <c r="R519" s="67" t="s">
        <v>600</v>
      </c>
      <c r="S519" s="67">
        <v>808</v>
      </c>
      <c r="T519" s="67">
        <f>S519/2</f>
        <v>404</v>
      </c>
      <c r="U519" s="67">
        <f>S519/2</f>
        <v>404</v>
      </c>
      <c r="V519" s="67">
        <v>6.5000000000000002E-2</v>
      </c>
      <c r="W519" s="67">
        <v>3.7999999999999999E-2</v>
      </c>
      <c r="AC519" s="67">
        <v>0.69</v>
      </c>
      <c r="AI519" s="70">
        <f t="shared" si="124"/>
        <v>3.7999999999999999E-2</v>
      </c>
      <c r="AL519" s="68" t="s">
        <v>1365</v>
      </c>
    </row>
    <row r="520" spans="1:49" ht="30" customHeight="1" x14ac:dyDescent="0.25">
      <c r="A520" s="67" t="s">
        <v>117</v>
      </c>
      <c r="B520" s="67" t="s">
        <v>293</v>
      </c>
      <c r="C520" s="67" t="s">
        <v>117</v>
      </c>
      <c r="D520" s="67">
        <v>2</v>
      </c>
      <c r="E520" s="67" t="s">
        <v>577</v>
      </c>
      <c r="F520" s="67" t="s">
        <v>240</v>
      </c>
      <c r="G520" s="68" t="s">
        <v>578</v>
      </c>
      <c r="H520" s="67">
        <v>1</v>
      </c>
      <c r="I520" s="67">
        <v>14</v>
      </c>
      <c r="J520" s="67">
        <v>1</v>
      </c>
      <c r="K520" s="68" t="s">
        <v>861</v>
      </c>
      <c r="L520" s="67" t="s">
        <v>240</v>
      </c>
      <c r="M520" s="68" t="s">
        <v>570</v>
      </c>
      <c r="N520" s="67" t="s">
        <v>240</v>
      </c>
      <c r="O520" s="69">
        <f t="shared" si="128"/>
        <v>0.23426407950780881</v>
      </c>
      <c r="P520" s="74">
        <v>8.1000000000000003E-2</v>
      </c>
      <c r="Q520" s="74">
        <v>1.7000000000000001E-2</v>
      </c>
      <c r="R520" s="67" t="s">
        <v>600</v>
      </c>
      <c r="S520" s="67">
        <v>558</v>
      </c>
      <c r="T520" s="67">
        <f>S520/2</f>
        <v>279</v>
      </c>
      <c r="U520" s="67">
        <f>S520/2</f>
        <v>279</v>
      </c>
      <c r="V520" s="67">
        <v>4.4999999999999998E-2</v>
      </c>
      <c r="W520" s="67">
        <v>2.5999999999999999E-2</v>
      </c>
      <c r="AC520" s="67">
        <v>0.43</v>
      </c>
      <c r="AI520" s="70">
        <f t="shared" si="124"/>
        <v>2.5999999999999999E-2</v>
      </c>
      <c r="AL520" s="68" t="s">
        <v>1365</v>
      </c>
    </row>
    <row r="521" spans="1:49" ht="30" customHeight="1" x14ac:dyDescent="0.25">
      <c r="A521" s="75" t="s">
        <v>117</v>
      </c>
      <c r="B521" s="67" t="s">
        <v>207</v>
      </c>
      <c r="C521" s="75" t="s">
        <v>117</v>
      </c>
      <c r="D521" s="67">
        <v>3</v>
      </c>
      <c r="E521" s="67" t="s">
        <v>646</v>
      </c>
      <c r="F521" s="76" t="s">
        <v>240</v>
      </c>
      <c r="G521" s="68" t="s">
        <v>578</v>
      </c>
      <c r="H521" s="67">
        <v>1</v>
      </c>
      <c r="I521" s="67">
        <v>14</v>
      </c>
      <c r="J521" s="67">
        <v>3</v>
      </c>
      <c r="K521" s="68" t="s">
        <v>863</v>
      </c>
      <c r="L521" s="76" t="s">
        <v>240</v>
      </c>
      <c r="M521" s="68" t="s">
        <v>570</v>
      </c>
      <c r="N521" s="76" t="s">
        <v>240</v>
      </c>
      <c r="O521" s="69">
        <f t="shared" si="128"/>
        <v>0.23426407950780881</v>
      </c>
      <c r="P521" s="74">
        <v>8.1000000000000003E-2</v>
      </c>
      <c r="Q521" s="74">
        <v>1.7000000000000001E-2</v>
      </c>
      <c r="R521" s="67" t="s">
        <v>600</v>
      </c>
      <c r="S521" s="67">
        <v>808</v>
      </c>
      <c r="T521" s="78">
        <f>S521*(657/(657+709))</f>
        <v>388.62079062957542</v>
      </c>
      <c r="U521" s="78">
        <f>S521-T521</f>
        <v>419.37920937042458</v>
      </c>
      <c r="V521" s="67">
        <v>4.5999999999999999E-2</v>
      </c>
      <c r="W521" s="67">
        <v>2.7E-2</v>
      </c>
      <c r="AC521" s="67">
        <v>0.2</v>
      </c>
      <c r="AI521" s="70">
        <f t="shared" si="124"/>
        <v>2.7E-2</v>
      </c>
      <c r="AL521" s="68" t="s">
        <v>862</v>
      </c>
    </row>
    <row r="522" spans="1:49" ht="30" customHeight="1" x14ac:dyDescent="0.25">
      <c r="A522" s="75" t="s">
        <v>117</v>
      </c>
      <c r="B522" s="67" t="s">
        <v>207</v>
      </c>
      <c r="C522" s="75" t="s">
        <v>117</v>
      </c>
      <c r="D522" s="67">
        <v>4</v>
      </c>
      <c r="E522" s="67" t="s">
        <v>577</v>
      </c>
      <c r="F522" s="76" t="s">
        <v>240</v>
      </c>
      <c r="G522" s="68" t="s">
        <v>578</v>
      </c>
      <c r="H522" s="67">
        <v>1</v>
      </c>
      <c r="I522" s="67">
        <v>14</v>
      </c>
      <c r="J522" s="67">
        <v>3</v>
      </c>
      <c r="K522" s="68" t="s">
        <v>863</v>
      </c>
      <c r="L522" s="76" t="s">
        <v>240</v>
      </c>
      <c r="M522" s="68" t="s">
        <v>570</v>
      </c>
      <c r="N522" s="76" t="s">
        <v>240</v>
      </c>
      <c r="O522" s="69">
        <f t="shared" si="128"/>
        <v>0.23426407950780881</v>
      </c>
      <c r="P522" s="74">
        <v>8.1000000000000003E-2</v>
      </c>
      <c r="Q522" s="74">
        <v>1.7000000000000001E-2</v>
      </c>
      <c r="R522" s="67" t="s">
        <v>600</v>
      </c>
      <c r="S522" s="67">
        <v>558</v>
      </c>
      <c r="T522" s="78">
        <f>S522*(657/(657+709))</f>
        <v>268.37920937042463</v>
      </c>
      <c r="U522" s="78">
        <f>S522-T522</f>
        <v>289.62079062957537</v>
      </c>
      <c r="V522" s="67">
        <v>4.5999999999999999E-2</v>
      </c>
      <c r="W522" s="67">
        <v>3.3000000000000002E-2</v>
      </c>
      <c r="AC522" s="67">
        <v>0.12</v>
      </c>
      <c r="AI522" s="70">
        <f t="shared" si="124"/>
        <v>3.3000000000000002E-2</v>
      </c>
      <c r="AL522" s="68" t="s">
        <v>862</v>
      </c>
    </row>
    <row r="523" spans="1:49" ht="30" customHeight="1" x14ac:dyDescent="0.25">
      <c r="A523" s="75" t="s">
        <v>117</v>
      </c>
      <c r="B523" s="67" t="s">
        <v>207</v>
      </c>
      <c r="C523" s="75" t="s">
        <v>117</v>
      </c>
      <c r="D523" s="67">
        <v>5</v>
      </c>
      <c r="E523" s="67" t="s">
        <v>646</v>
      </c>
      <c r="F523" s="76" t="s">
        <v>240</v>
      </c>
      <c r="G523" s="68" t="s">
        <v>578</v>
      </c>
      <c r="H523" s="67">
        <v>1</v>
      </c>
      <c r="I523" s="67">
        <v>14</v>
      </c>
      <c r="J523" s="67">
        <v>6</v>
      </c>
      <c r="K523" s="68" t="s">
        <v>864</v>
      </c>
      <c r="L523" s="67" t="s">
        <v>853</v>
      </c>
      <c r="M523" s="68" t="s">
        <v>570</v>
      </c>
      <c r="N523" s="76" t="s">
        <v>240</v>
      </c>
      <c r="O523" s="69">
        <f t="shared" si="128"/>
        <v>0.23426407950780881</v>
      </c>
      <c r="P523" s="74">
        <v>8.1000000000000003E-2</v>
      </c>
      <c r="Q523" s="74">
        <v>1.7000000000000001E-2</v>
      </c>
      <c r="R523" s="67" t="s">
        <v>600</v>
      </c>
      <c r="S523" s="67">
        <v>808</v>
      </c>
      <c r="T523" s="78">
        <f>S523*(657/(657+709))</f>
        <v>388.62079062957542</v>
      </c>
      <c r="U523" s="78">
        <f>S523-T523</f>
        <v>419.37920937042458</v>
      </c>
      <c r="V523" s="67">
        <v>3108</v>
      </c>
      <c r="W523" s="67">
        <v>3560</v>
      </c>
      <c r="AC523" s="67">
        <v>19278</v>
      </c>
      <c r="AI523" s="70">
        <f t="shared" si="124"/>
        <v>3560</v>
      </c>
      <c r="AL523" s="68" t="s">
        <v>862</v>
      </c>
      <c r="AP523" s="67">
        <f>+V523/AQ523</f>
        <v>6.1470992998488197E-2</v>
      </c>
      <c r="AQ523" s="67">
        <f>+W523*SQRT(T523*U523/S523)</f>
        <v>50560.432626758404</v>
      </c>
      <c r="AS523" s="67">
        <f>+AP523^2/(AU523-2)*(AU523/(V523/AI523)^2+AU523*AV523^2-AU523+2)</f>
        <v>4.9794115818769507E-3</v>
      </c>
      <c r="AU523" s="67">
        <f>+S523-2</f>
        <v>806</v>
      </c>
      <c r="AV523" s="67">
        <f>IFERROR(1/(SQRT(AU523/2)*_xlfn.GAMMA(AU523/2-0.5)/_xlfn.GAMMA(AU523/2)),1)</f>
        <v>1</v>
      </c>
      <c r="AW523" s="67" t="s">
        <v>1350</v>
      </c>
    </row>
    <row r="524" spans="1:49" ht="30" customHeight="1" x14ac:dyDescent="0.25">
      <c r="A524" s="75" t="s">
        <v>117</v>
      </c>
      <c r="B524" s="67" t="s">
        <v>207</v>
      </c>
      <c r="C524" s="75" t="s">
        <v>117</v>
      </c>
      <c r="D524" s="67">
        <v>6</v>
      </c>
      <c r="E524" s="67" t="s">
        <v>577</v>
      </c>
      <c r="F524" s="76" t="s">
        <v>240</v>
      </c>
      <c r="G524" s="68" t="s">
        <v>578</v>
      </c>
      <c r="H524" s="67">
        <v>1</v>
      </c>
      <c r="I524" s="67">
        <v>14</v>
      </c>
      <c r="J524" s="67">
        <v>6</v>
      </c>
      <c r="K524" s="68" t="s">
        <v>864</v>
      </c>
      <c r="L524" s="67" t="s">
        <v>853</v>
      </c>
      <c r="M524" s="68" t="s">
        <v>570</v>
      </c>
      <c r="N524" s="76" t="s">
        <v>240</v>
      </c>
      <c r="O524" s="69">
        <f t="shared" si="128"/>
        <v>0.23426407950780881</v>
      </c>
      <c r="P524" s="74">
        <v>8.1000000000000003E-2</v>
      </c>
      <c r="Q524" s="74">
        <v>1.7000000000000001E-2</v>
      </c>
      <c r="R524" s="67" t="s">
        <v>600</v>
      </c>
      <c r="S524" s="67">
        <v>558</v>
      </c>
      <c r="T524" s="78">
        <f>S524*(657/(657+709))</f>
        <v>268.37920937042463</v>
      </c>
      <c r="U524" s="78">
        <f>S524-T524</f>
        <v>289.62079062957537</v>
      </c>
      <c r="V524" s="67">
        <v>5035.4570000000003</v>
      </c>
      <c r="W524" s="67">
        <v>2674</v>
      </c>
      <c r="AC524" s="67">
        <v>5654</v>
      </c>
      <c r="AI524" s="70">
        <f t="shared" si="124"/>
        <v>2674</v>
      </c>
      <c r="AL524" s="68" t="s">
        <v>862</v>
      </c>
      <c r="AP524" s="67">
        <f>+V524/AQ524</f>
        <v>0.15955311455951623</v>
      </c>
      <c r="AQ524" s="67">
        <f>+W524*SQRT(T524*U524/S524)</f>
        <v>31559.753715253752</v>
      </c>
      <c r="AS524" s="67">
        <f>+AP524^2/(AU524-2)*(AU524/(V524/AI524)^2+AU524*AV524^2-AU524+2)</f>
        <v>7.2966815407984244E-3</v>
      </c>
      <c r="AU524" s="67">
        <f>+S524-2</f>
        <v>556</v>
      </c>
      <c r="AV524" s="67">
        <f>IFERROR(1/(SQRT(AU524/2)*_xlfn.GAMMA(AU524/2-0.5)/_xlfn.GAMMA(AU524/2)),1)</f>
        <v>1</v>
      </c>
      <c r="AW524" s="67" t="s">
        <v>1350</v>
      </c>
    </row>
    <row r="525" spans="1:49" ht="30" customHeight="1" x14ac:dyDescent="0.25">
      <c r="A525" s="67" t="s">
        <v>117</v>
      </c>
      <c r="B525" s="67" t="s">
        <v>293</v>
      </c>
      <c r="C525" s="67" t="s">
        <v>117</v>
      </c>
      <c r="D525" s="67">
        <f>D524+1</f>
        <v>7</v>
      </c>
      <c r="E525" s="67" t="s">
        <v>646</v>
      </c>
      <c r="F525" s="67" t="s">
        <v>865</v>
      </c>
      <c r="G525" s="68" t="s">
        <v>578</v>
      </c>
      <c r="H525" s="67">
        <v>1</v>
      </c>
      <c r="I525" s="67">
        <v>14</v>
      </c>
      <c r="J525" s="67">
        <v>1</v>
      </c>
      <c r="K525" s="68" t="s">
        <v>861</v>
      </c>
      <c r="L525" s="67" t="s">
        <v>240</v>
      </c>
      <c r="M525" s="68" t="s">
        <v>570</v>
      </c>
      <c r="N525" s="67" t="s">
        <v>240</v>
      </c>
      <c r="O525" s="69">
        <f t="shared" si="128"/>
        <v>0.23426407950780881</v>
      </c>
      <c r="P525" s="74">
        <v>8.1000000000000003E-2</v>
      </c>
      <c r="Q525" s="74">
        <v>1.7000000000000001E-2</v>
      </c>
      <c r="R525" s="67" t="s">
        <v>693</v>
      </c>
      <c r="S525" s="67">
        <v>952</v>
      </c>
      <c r="T525" s="67">
        <f>S525/2</f>
        <v>476</v>
      </c>
      <c r="U525" s="67">
        <f>S525/2</f>
        <v>476</v>
      </c>
      <c r="V525" s="67">
        <v>-2.4E-2</v>
      </c>
      <c r="W525" s="67">
        <v>4.4999999999999998E-2</v>
      </c>
      <c r="AC525" s="67">
        <v>0.77900000000000003</v>
      </c>
      <c r="AI525" s="70">
        <f t="shared" si="124"/>
        <v>4.4999999999999998E-2</v>
      </c>
      <c r="AL525" s="68" t="s">
        <v>862</v>
      </c>
      <c r="AM525" s="67" t="s">
        <v>30</v>
      </c>
    </row>
    <row r="526" spans="1:49" ht="30" customHeight="1" x14ac:dyDescent="0.25">
      <c r="A526" s="67" t="s">
        <v>117</v>
      </c>
      <c r="B526" s="67" t="s">
        <v>293</v>
      </c>
      <c r="C526" s="67" t="s">
        <v>117</v>
      </c>
      <c r="D526" s="67">
        <f>D525+1</f>
        <v>8</v>
      </c>
      <c r="E526" s="67" t="s">
        <v>646</v>
      </c>
      <c r="F526" s="67" t="s">
        <v>865</v>
      </c>
      <c r="G526" s="68" t="s">
        <v>578</v>
      </c>
      <c r="H526" s="67">
        <v>1</v>
      </c>
      <c r="I526" s="67">
        <v>14</v>
      </c>
      <c r="J526" s="67">
        <v>3</v>
      </c>
      <c r="K526" s="68" t="s">
        <v>863</v>
      </c>
      <c r="L526" s="67" t="s">
        <v>240</v>
      </c>
      <c r="M526" s="68" t="s">
        <v>570</v>
      </c>
      <c r="N526" s="67" t="s">
        <v>240</v>
      </c>
      <c r="O526" s="69">
        <f t="shared" si="128"/>
        <v>0.23426407950780881</v>
      </c>
      <c r="P526" s="74">
        <v>8.1000000000000003E-2</v>
      </c>
      <c r="Q526" s="74">
        <v>1.7000000000000001E-2</v>
      </c>
      <c r="R526" s="67" t="s">
        <v>693</v>
      </c>
      <c r="S526" s="67">
        <v>952</v>
      </c>
      <c r="T526" s="67">
        <f>S526/2</f>
        <v>476</v>
      </c>
      <c r="U526" s="67">
        <f>S526/2</f>
        <v>476</v>
      </c>
      <c r="V526" s="67">
        <v>6.2E-2</v>
      </c>
      <c r="W526" s="67">
        <v>5.8000000000000003E-2</v>
      </c>
      <c r="AC526" s="67">
        <v>0.28499999999999998</v>
      </c>
      <c r="AI526" s="70">
        <f t="shared" si="124"/>
        <v>5.8000000000000003E-2</v>
      </c>
      <c r="AL526" s="68" t="s">
        <v>862</v>
      </c>
      <c r="AM526" s="67" t="s">
        <v>30</v>
      </c>
    </row>
    <row r="527" spans="1:49" ht="30" customHeight="1" x14ac:dyDescent="0.25">
      <c r="A527" s="67" t="s">
        <v>117</v>
      </c>
      <c r="B527" s="67" t="s">
        <v>293</v>
      </c>
      <c r="C527" s="67" t="s">
        <v>117</v>
      </c>
      <c r="D527" s="67">
        <f>D526+1</f>
        <v>9</v>
      </c>
      <c r="E527" s="67" t="s">
        <v>646</v>
      </c>
      <c r="F527" s="67" t="s">
        <v>865</v>
      </c>
      <c r="G527" s="68" t="s">
        <v>578</v>
      </c>
      <c r="H527" s="67">
        <v>1</v>
      </c>
      <c r="I527" s="67">
        <v>14</v>
      </c>
      <c r="J527" s="67">
        <v>6</v>
      </c>
      <c r="K527" s="68" t="s">
        <v>611</v>
      </c>
      <c r="L527" s="67" t="s">
        <v>853</v>
      </c>
      <c r="M527" s="68" t="s">
        <v>570</v>
      </c>
      <c r="N527" s="67" t="s">
        <v>240</v>
      </c>
      <c r="O527" s="69">
        <f t="shared" si="128"/>
        <v>0.23426407950780881</v>
      </c>
      <c r="P527" s="74">
        <v>8.1000000000000003E-2</v>
      </c>
      <c r="Q527" s="74">
        <v>1.7000000000000001E-2</v>
      </c>
      <c r="R527" s="67" t="s">
        <v>693</v>
      </c>
      <c r="S527" s="67">
        <v>952</v>
      </c>
      <c r="T527" s="67">
        <f>S527/2</f>
        <v>476</v>
      </c>
      <c r="U527" s="67">
        <f>S527/2</f>
        <v>476</v>
      </c>
      <c r="V527" s="67">
        <v>12604</v>
      </c>
      <c r="W527" s="67">
        <v>4204</v>
      </c>
      <c r="AC527" s="67">
        <v>20483</v>
      </c>
      <c r="AI527" s="70">
        <f t="shared" si="124"/>
        <v>4204</v>
      </c>
      <c r="AL527" s="68" t="s">
        <v>862</v>
      </c>
      <c r="AM527" s="67" t="s">
        <v>30</v>
      </c>
      <c r="AP527" s="67">
        <f>+V527/AQ527</f>
        <v>0.19433776716582968</v>
      </c>
      <c r="AQ527" s="67">
        <f>+W527*SQRT(T527*U527/S527)</f>
        <v>64856.153200756518</v>
      </c>
      <c r="AS527" s="67">
        <f>+AP527^2/(AU527-2)*(AU527/(V527/AI527)^2+AU527*AV527^2-AU527+2)</f>
        <v>4.2902225465711614E-3</v>
      </c>
      <c r="AU527" s="67">
        <f>+S527-2</f>
        <v>950</v>
      </c>
      <c r="AV527" s="67">
        <f>IFERROR(1/(SQRT(AU527/2)*_xlfn.GAMMA(AU527/2-0.5)/_xlfn.GAMMA(AU527/2)),1)</f>
        <v>1</v>
      </c>
      <c r="AW527" s="67" t="s">
        <v>1350</v>
      </c>
    </row>
    <row r="528" spans="1:49" ht="30" customHeight="1" x14ac:dyDescent="0.25">
      <c r="A528" s="67" t="s">
        <v>65</v>
      </c>
      <c r="B528" s="67" t="s">
        <v>207</v>
      </c>
      <c r="C528" s="67" t="s">
        <v>454</v>
      </c>
      <c r="D528" s="67">
        <v>1</v>
      </c>
      <c r="E528" s="67" t="s">
        <v>568</v>
      </c>
      <c r="F528" s="67" t="s">
        <v>240</v>
      </c>
      <c r="G528" s="68" t="s">
        <v>578</v>
      </c>
      <c r="H528" s="67">
        <v>1</v>
      </c>
      <c r="I528" s="67">
        <v>21</v>
      </c>
      <c r="J528" s="67">
        <v>1</v>
      </c>
      <c r="K528" s="68" t="s">
        <v>647</v>
      </c>
      <c r="L528" s="67" t="s">
        <v>240</v>
      </c>
      <c r="M528" s="68" t="s">
        <v>570</v>
      </c>
      <c r="N528" s="67" t="s">
        <v>240</v>
      </c>
      <c r="O528" s="79">
        <v>0.2</v>
      </c>
      <c r="P528" s="74">
        <v>-4.0000000000000001E-3</v>
      </c>
      <c r="Q528" s="67" t="s">
        <v>240</v>
      </c>
      <c r="R528" s="67" t="s">
        <v>580</v>
      </c>
      <c r="S528" s="67">
        <v>3761</v>
      </c>
      <c r="T528" s="67">
        <f t="shared" ref="T528:T539" si="129">S528-U528</f>
        <v>2449.8684340931613</v>
      </c>
      <c r="U528" s="67">
        <f t="shared" ref="U528:U539" si="130">S528*1407/(1407+2629)</f>
        <v>1311.1315659068384</v>
      </c>
      <c r="V528" s="67">
        <v>-1.2699999999999999E-2</v>
      </c>
      <c r="W528" s="67">
        <v>1.78E-2</v>
      </c>
      <c r="AC528" s="67">
        <v>0.625</v>
      </c>
      <c r="AI528" s="70">
        <f t="shared" si="124"/>
        <v>1.78E-2</v>
      </c>
      <c r="AL528" s="68" t="s">
        <v>866</v>
      </c>
    </row>
    <row r="529" spans="1:49" ht="30" customHeight="1" x14ac:dyDescent="0.25">
      <c r="A529" s="67" t="s">
        <v>65</v>
      </c>
      <c r="B529" s="67" t="s">
        <v>207</v>
      </c>
      <c r="C529" s="67" t="s">
        <v>454</v>
      </c>
      <c r="D529" s="67">
        <v>2</v>
      </c>
      <c r="E529" s="67" t="s">
        <v>568</v>
      </c>
      <c r="F529" s="67" t="s">
        <v>240</v>
      </c>
      <c r="G529" s="68" t="s">
        <v>578</v>
      </c>
      <c r="H529" s="67">
        <v>1</v>
      </c>
      <c r="I529" s="67">
        <v>21</v>
      </c>
      <c r="J529" s="67">
        <v>3</v>
      </c>
      <c r="K529" s="68" t="s">
        <v>867</v>
      </c>
      <c r="L529" s="67" t="s">
        <v>240</v>
      </c>
      <c r="M529" s="68" t="s">
        <v>570</v>
      </c>
      <c r="N529" s="67" t="s">
        <v>240</v>
      </c>
      <c r="O529" s="79">
        <v>0.2</v>
      </c>
      <c r="P529" s="74">
        <v>-4.0000000000000001E-3</v>
      </c>
      <c r="Q529" s="67" t="s">
        <v>240</v>
      </c>
      <c r="R529" s="67" t="s">
        <v>580</v>
      </c>
      <c r="S529" s="67">
        <v>3761</v>
      </c>
      <c r="T529" s="67">
        <f t="shared" si="129"/>
        <v>2449.8684340931613</v>
      </c>
      <c r="U529" s="67">
        <f t="shared" si="130"/>
        <v>1311.1315659068384</v>
      </c>
      <c r="V529" s="67">
        <v>1.83E-2</v>
      </c>
      <c r="W529" s="67">
        <v>1.0699999999999999E-2</v>
      </c>
      <c r="AC529" s="67">
        <v>0.123</v>
      </c>
      <c r="AI529" s="70">
        <f t="shared" si="124"/>
        <v>1.0699999999999999E-2</v>
      </c>
      <c r="AL529" s="68" t="s">
        <v>866</v>
      </c>
    </row>
    <row r="530" spans="1:49" ht="30" customHeight="1" x14ac:dyDescent="0.25">
      <c r="A530" s="67" t="s">
        <v>65</v>
      </c>
      <c r="B530" s="67" t="s">
        <v>207</v>
      </c>
      <c r="C530" s="67" t="s">
        <v>454</v>
      </c>
      <c r="D530" s="67">
        <v>3</v>
      </c>
      <c r="E530" s="67" t="s">
        <v>568</v>
      </c>
      <c r="F530" s="67" t="s">
        <v>240</v>
      </c>
      <c r="G530" s="68" t="s">
        <v>578</v>
      </c>
      <c r="H530" s="67">
        <v>1</v>
      </c>
      <c r="I530" s="67">
        <v>21</v>
      </c>
      <c r="J530" s="67">
        <v>2</v>
      </c>
      <c r="K530" s="68" t="s">
        <v>611</v>
      </c>
      <c r="L530" s="67" t="s">
        <v>868</v>
      </c>
      <c r="M530" s="68" t="s">
        <v>570</v>
      </c>
      <c r="N530" s="67" t="s">
        <v>240</v>
      </c>
      <c r="O530" s="79">
        <v>0.2</v>
      </c>
      <c r="P530" s="74">
        <v>-4.0000000000000001E-3</v>
      </c>
      <c r="Q530" s="67" t="s">
        <v>240</v>
      </c>
      <c r="R530" s="67" t="s">
        <v>580</v>
      </c>
      <c r="S530" s="67">
        <v>3761</v>
      </c>
      <c r="T530" s="67">
        <f t="shared" si="129"/>
        <v>2449.8684340931613</v>
      </c>
      <c r="U530" s="67">
        <f t="shared" si="130"/>
        <v>1311.1315659068384</v>
      </c>
      <c r="V530" s="67">
        <v>192.55090000000001</v>
      </c>
      <c r="W530" s="67">
        <v>170.21019999999999</v>
      </c>
      <c r="AC530" s="67">
        <v>2946</v>
      </c>
      <c r="AI530" s="70">
        <f t="shared" si="124"/>
        <v>170.21019999999999</v>
      </c>
      <c r="AL530" s="68" t="s">
        <v>866</v>
      </c>
      <c r="AP530" s="67">
        <f>+V530/AQ530</f>
        <v>3.8709460627563877E-2</v>
      </c>
      <c r="AQ530" s="67">
        <f>+W530*SQRT(T530*U530/S530)</f>
        <v>4974.2594414475034</v>
      </c>
      <c r="AS530" s="67">
        <f>+AP530^2/(AU530-2)*(AU530/(V530/AI530)^2+AU530*AV530^2-AU530+2)</f>
        <v>1.1723061286083474E-3</v>
      </c>
      <c r="AU530" s="67">
        <f>+S530-2</f>
        <v>3759</v>
      </c>
      <c r="AV530" s="67">
        <f>IFERROR(1/(SQRT(AU530/2)*_xlfn.GAMMA(AU530/2-0.5)/_xlfn.GAMMA(AU530/2)),1)</f>
        <v>1</v>
      </c>
      <c r="AW530" s="67" t="s">
        <v>1350</v>
      </c>
    </row>
    <row r="531" spans="1:49" ht="30" customHeight="1" x14ac:dyDescent="0.25">
      <c r="A531" s="67" t="s">
        <v>65</v>
      </c>
      <c r="B531" s="67" t="s">
        <v>207</v>
      </c>
      <c r="C531" s="67" t="s">
        <v>454</v>
      </c>
      <c r="D531" s="67">
        <v>4</v>
      </c>
      <c r="E531" s="67" t="s">
        <v>568</v>
      </c>
      <c r="F531" s="67" t="s">
        <v>240</v>
      </c>
      <c r="G531" s="68" t="s">
        <v>578</v>
      </c>
      <c r="H531" s="67">
        <v>1</v>
      </c>
      <c r="I531" s="67">
        <v>21</v>
      </c>
      <c r="J531" s="67">
        <v>5</v>
      </c>
      <c r="K531" s="68" t="s">
        <v>869</v>
      </c>
      <c r="L531" s="67" t="s">
        <v>868</v>
      </c>
      <c r="M531" s="68" t="s">
        <v>570</v>
      </c>
      <c r="N531" s="67" t="s">
        <v>240</v>
      </c>
      <c r="O531" s="79">
        <v>0.2</v>
      </c>
      <c r="P531" s="74">
        <v>-4.0000000000000001E-3</v>
      </c>
      <c r="Q531" s="67" t="s">
        <v>240</v>
      </c>
      <c r="R531" s="67" t="s">
        <v>580</v>
      </c>
      <c r="S531" s="67">
        <v>3761</v>
      </c>
      <c r="T531" s="67">
        <f t="shared" si="129"/>
        <v>2449.8684340931613</v>
      </c>
      <c r="U531" s="67">
        <f t="shared" si="130"/>
        <v>1311.1315659068384</v>
      </c>
      <c r="V531" s="67">
        <v>8.6599999999999996E-2</v>
      </c>
      <c r="W531" s="67">
        <v>4.36E-2</v>
      </c>
      <c r="AC531" s="67">
        <v>8.2230000000000008</v>
      </c>
      <c r="AI531" s="70">
        <f t="shared" ref="AI531:AI559" si="131">+W531</f>
        <v>4.36E-2</v>
      </c>
      <c r="AL531" s="68" t="s">
        <v>866</v>
      </c>
      <c r="AP531" s="67">
        <f>+V531/AQ531</f>
        <v>6.7965505574792626E-2</v>
      </c>
      <c r="AQ531" s="67">
        <f>+W531*SQRT(T531*U531/S531)</f>
        <v>1.2741757641264222</v>
      </c>
      <c r="AS531" s="67">
        <f>+AP531^2/(AU531-2)*(AU531/(V531/AI531)^2+AU531*AV531^2-AU531+2)</f>
        <v>1.1739675007701573E-3</v>
      </c>
      <c r="AU531" s="67">
        <f>+S531-2</f>
        <v>3759</v>
      </c>
      <c r="AV531" s="67">
        <f>IFERROR(1/(SQRT(AU531/2)*_xlfn.GAMMA(AU531/2-0.5)/_xlfn.GAMMA(AU531/2)),1)</f>
        <v>1</v>
      </c>
      <c r="AW531" s="67" t="s">
        <v>1350</v>
      </c>
    </row>
    <row r="532" spans="1:49" ht="30" customHeight="1" x14ac:dyDescent="0.25">
      <c r="A532" s="67" t="s">
        <v>65</v>
      </c>
      <c r="B532" s="67" t="s">
        <v>207</v>
      </c>
      <c r="C532" s="67" t="s">
        <v>454</v>
      </c>
      <c r="D532" s="67">
        <v>5</v>
      </c>
      <c r="E532" s="67" t="s">
        <v>644</v>
      </c>
      <c r="F532" s="67" t="s">
        <v>240</v>
      </c>
      <c r="G532" s="68" t="s">
        <v>578</v>
      </c>
      <c r="H532" s="67">
        <v>1</v>
      </c>
      <c r="I532" s="67">
        <v>21</v>
      </c>
      <c r="J532" s="67">
        <v>1</v>
      </c>
      <c r="K532" s="68" t="s">
        <v>647</v>
      </c>
      <c r="L532" s="67" t="s">
        <v>240</v>
      </c>
      <c r="M532" s="68" t="s">
        <v>570</v>
      </c>
      <c r="N532" s="67" t="s">
        <v>240</v>
      </c>
      <c r="O532" s="79">
        <v>0.2</v>
      </c>
      <c r="P532" s="74">
        <v>-4.0000000000000001E-3</v>
      </c>
      <c r="Q532" s="67" t="s">
        <v>240</v>
      </c>
      <c r="R532" s="67" t="s">
        <v>580</v>
      </c>
      <c r="S532" s="67">
        <v>2350</v>
      </c>
      <c r="T532" s="67">
        <f t="shared" si="129"/>
        <v>1530.760654112983</v>
      </c>
      <c r="U532" s="67">
        <f t="shared" si="130"/>
        <v>819.23934588701684</v>
      </c>
      <c r="V532" s="67">
        <v>6.8999999999999999E-3</v>
      </c>
      <c r="W532" s="67">
        <v>2.3699999999999999E-2</v>
      </c>
      <c r="AC532" s="67">
        <v>0.51600000000000001</v>
      </c>
      <c r="AI532" s="70">
        <f t="shared" si="131"/>
        <v>2.3699999999999999E-2</v>
      </c>
      <c r="AL532" s="68" t="s">
        <v>866</v>
      </c>
    </row>
    <row r="533" spans="1:49" ht="30" customHeight="1" x14ac:dyDescent="0.25">
      <c r="A533" s="67" t="s">
        <v>65</v>
      </c>
      <c r="B533" s="67" t="s">
        <v>207</v>
      </c>
      <c r="C533" s="67" t="s">
        <v>454</v>
      </c>
      <c r="D533" s="67">
        <v>6</v>
      </c>
      <c r="E533" s="67" t="s">
        <v>644</v>
      </c>
      <c r="F533" s="67" t="s">
        <v>240</v>
      </c>
      <c r="G533" s="68" t="s">
        <v>578</v>
      </c>
      <c r="H533" s="67">
        <v>1</v>
      </c>
      <c r="I533" s="67">
        <v>21</v>
      </c>
      <c r="J533" s="67">
        <v>3</v>
      </c>
      <c r="K533" s="68" t="s">
        <v>867</v>
      </c>
      <c r="L533" s="67" t="s">
        <v>240</v>
      </c>
      <c r="M533" s="68" t="s">
        <v>570</v>
      </c>
      <c r="N533" s="67" t="s">
        <v>240</v>
      </c>
      <c r="O533" s="79">
        <v>0.2</v>
      </c>
      <c r="P533" s="74">
        <v>-4.0000000000000001E-3</v>
      </c>
      <c r="Q533" s="67" t="s">
        <v>240</v>
      </c>
      <c r="R533" s="67" t="s">
        <v>580</v>
      </c>
      <c r="S533" s="67">
        <v>2350</v>
      </c>
      <c r="T533" s="67">
        <f t="shared" si="129"/>
        <v>1530.760654112983</v>
      </c>
      <c r="U533" s="67">
        <f t="shared" si="130"/>
        <v>819.23934588701684</v>
      </c>
      <c r="V533" s="67">
        <v>1.11E-2</v>
      </c>
      <c r="W533" s="67">
        <v>1.2800000000000001E-2</v>
      </c>
      <c r="AC533" s="67">
        <v>9.2399999999999996E-2</v>
      </c>
      <c r="AI533" s="70">
        <f t="shared" si="131"/>
        <v>1.2800000000000001E-2</v>
      </c>
      <c r="AL533" s="68" t="s">
        <v>866</v>
      </c>
    </row>
    <row r="534" spans="1:49" ht="30" customHeight="1" x14ac:dyDescent="0.25">
      <c r="A534" s="67" t="s">
        <v>65</v>
      </c>
      <c r="B534" s="67" t="s">
        <v>207</v>
      </c>
      <c r="C534" s="67" t="s">
        <v>454</v>
      </c>
      <c r="D534" s="67">
        <v>7</v>
      </c>
      <c r="E534" s="67" t="s">
        <v>644</v>
      </c>
      <c r="F534" s="67" t="s">
        <v>240</v>
      </c>
      <c r="G534" s="68" t="s">
        <v>578</v>
      </c>
      <c r="H534" s="67">
        <v>1</v>
      </c>
      <c r="I534" s="67">
        <v>21</v>
      </c>
      <c r="J534" s="67">
        <v>2</v>
      </c>
      <c r="K534" s="68" t="s">
        <v>611</v>
      </c>
      <c r="L534" s="67" t="s">
        <v>868</v>
      </c>
      <c r="M534" s="68" t="s">
        <v>570</v>
      </c>
      <c r="N534" s="67" t="s">
        <v>240</v>
      </c>
      <c r="O534" s="79">
        <v>0.2</v>
      </c>
      <c r="P534" s="74">
        <v>-4.0000000000000001E-3</v>
      </c>
      <c r="Q534" s="67" t="s">
        <v>240</v>
      </c>
      <c r="R534" s="67" t="s">
        <v>580</v>
      </c>
      <c r="S534" s="67">
        <v>2350</v>
      </c>
      <c r="T534" s="67">
        <f t="shared" si="129"/>
        <v>1530.760654112983</v>
      </c>
      <c r="U534" s="67">
        <f t="shared" si="130"/>
        <v>819.23934588701684</v>
      </c>
      <c r="V534" s="67">
        <v>249.28469999999999</v>
      </c>
      <c r="W534" s="67">
        <v>163.33090000000001</v>
      </c>
      <c r="AC534" s="67">
        <v>1932</v>
      </c>
      <c r="AI534" s="70">
        <f t="shared" si="131"/>
        <v>163.33090000000001</v>
      </c>
      <c r="AL534" s="68" t="s">
        <v>866</v>
      </c>
      <c r="AP534" s="67">
        <f>+V534/AQ534</f>
        <v>6.6069672449618408E-2</v>
      </c>
      <c r="AQ534" s="67">
        <f>+W534*SQRT(T534*U534/S534)</f>
        <v>3773.0579062593761</v>
      </c>
      <c r="AS534" s="67">
        <f>+AP534^2/(AU534-2)*(AU534/(V534/AI534)^2+AU534*AV534^2-AU534+2)</f>
        <v>1.8792334292643141E-3</v>
      </c>
      <c r="AU534" s="67">
        <f>+S534-2</f>
        <v>2348</v>
      </c>
      <c r="AV534" s="67">
        <f>IFERROR(1/(SQRT(AU534/2)*_xlfn.GAMMA(AU534/2-0.5)/_xlfn.GAMMA(AU534/2)),1)</f>
        <v>1</v>
      </c>
      <c r="AW534" s="67" t="s">
        <v>1350</v>
      </c>
    </row>
    <row r="535" spans="1:49" ht="30" customHeight="1" x14ac:dyDescent="0.25">
      <c r="A535" s="67" t="s">
        <v>65</v>
      </c>
      <c r="B535" s="67" t="s">
        <v>207</v>
      </c>
      <c r="C535" s="67" t="s">
        <v>454</v>
      </c>
      <c r="D535" s="67">
        <v>8</v>
      </c>
      <c r="E535" s="67" t="s">
        <v>644</v>
      </c>
      <c r="F535" s="67" t="s">
        <v>240</v>
      </c>
      <c r="G535" s="68" t="s">
        <v>578</v>
      </c>
      <c r="H535" s="67">
        <v>1</v>
      </c>
      <c r="I535" s="67">
        <v>21</v>
      </c>
      <c r="J535" s="67">
        <v>5</v>
      </c>
      <c r="K535" s="68" t="s">
        <v>869</v>
      </c>
      <c r="L535" s="67" t="s">
        <v>868</v>
      </c>
      <c r="M535" s="68" t="s">
        <v>570</v>
      </c>
      <c r="N535" s="67" t="s">
        <v>240</v>
      </c>
      <c r="O535" s="79">
        <v>0.2</v>
      </c>
      <c r="P535" s="74">
        <v>-4.0000000000000001E-3</v>
      </c>
      <c r="Q535" s="67" t="s">
        <v>240</v>
      </c>
      <c r="R535" s="67" t="s">
        <v>580</v>
      </c>
      <c r="S535" s="67">
        <v>2350</v>
      </c>
      <c r="T535" s="67">
        <f t="shared" si="129"/>
        <v>1530.760654112983</v>
      </c>
      <c r="U535" s="67">
        <f t="shared" si="130"/>
        <v>819.23934588701684</v>
      </c>
      <c r="V535" s="67">
        <v>0.14249999999999999</v>
      </c>
      <c r="W535" s="67">
        <v>6.4399999999999999E-2</v>
      </c>
      <c r="AC535" s="67">
        <v>7.9989999999999997</v>
      </c>
      <c r="AI535" s="70">
        <f t="shared" si="131"/>
        <v>6.4399999999999999E-2</v>
      </c>
      <c r="AL535" s="68" t="s">
        <v>866</v>
      </c>
      <c r="AP535" s="67">
        <f>+V535/AQ535</f>
        <v>9.5786406713219946E-2</v>
      </c>
      <c r="AQ535" s="67">
        <f>+W535*SQRT(T535*U535/S535)</f>
        <v>1.4876849950811744</v>
      </c>
      <c r="AS535" s="67">
        <f>+AP535^2/(AU535-2)*(AU535/(V535/AI535)^2+AU535*AV535^2-AU535+2)</f>
        <v>1.8833338845869313E-3</v>
      </c>
      <c r="AU535" s="67">
        <f>+S535-2</f>
        <v>2348</v>
      </c>
      <c r="AV535" s="67">
        <f>IFERROR(1/(SQRT(AU535/2)*_xlfn.GAMMA(AU535/2-0.5)/_xlfn.GAMMA(AU535/2)),1)</f>
        <v>1</v>
      </c>
      <c r="AW535" s="67" t="s">
        <v>1350</v>
      </c>
    </row>
    <row r="536" spans="1:49" ht="30" customHeight="1" x14ac:dyDescent="0.25">
      <c r="A536" s="67" t="s">
        <v>65</v>
      </c>
      <c r="B536" s="67" t="s">
        <v>207</v>
      </c>
      <c r="C536" s="67" t="s">
        <v>454</v>
      </c>
      <c r="D536" s="67">
        <v>9</v>
      </c>
      <c r="E536" s="67" t="s">
        <v>646</v>
      </c>
      <c r="F536" s="67" t="s">
        <v>240</v>
      </c>
      <c r="G536" s="68" t="s">
        <v>578</v>
      </c>
      <c r="H536" s="67">
        <v>1</v>
      </c>
      <c r="I536" s="67">
        <v>21</v>
      </c>
      <c r="J536" s="67">
        <v>1</v>
      </c>
      <c r="K536" s="68" t="s">
        <v>647</v>
      </c>
      <c r="L536" s="67" t="s">
        <v>240</v>
      </c>
      <c r="M536" s="68" t="s">
        <v>570</v>
      </c>
      <c r="N536" s="67" t="s">
        <v>240</v>
      </c>
      <c r="O536" s="79">
        <v>0.2</v>
      </c>
      <c r="P536" s="74">
        <v>-4.0000000000000001E-3</v>
      </c>
      <c r="Q536" s="67" t="s">
        <v>240</v>
      </c>
      <c r="R536" s="67" t="s">
        <v>580</v>
      </c>
      <c r="S536" s="67">
        <v>1411</v>
      </c>
      <c r="T536" s="67">
        <f t="shared" si="129"/>
        <v>919.10777998017841</v>
      </c>
      <c r="U536" s="67">
        <f t="shared" si="130"/>
        <v>491.89222001982159</v>
      </c>
      <c r="V536" s="67">
        <v>-2.4400000000000002E-2</v>
      </c>
      <c r="W536" s="67">
        <v>2.3400000000000001E-2</v>
      </c>
      <c r="AC536" s="67">
        <v>0.79700000000000004</v>
      </c>
      <c r="AI536" s="70">
        <f t="shared" si="131"/>
        <v>2.3400000000000001E-2</v>
      </c>
      <c r="AL536" s="68" t="s">
        <v>866</v>
      </c>
    </row>
    <row r="537" spans="1:49" ht="30" customHeight="1" x14ac:dyDescent="0.25">
      <c r="A537" s="67" t="s">
        <v>65</v>
      </c>
      <c r="B537" s="67" t="s">
        <v>207</v>
      </c>
      <c r="C537" s="67" t="s">
        <v>454</v>
      </c>
      <c r="D537" s="67">
        <v>10</v>
      </c>
      <c r="E537" s="67" t="s">
        <v>646</v>
      </c>
      <c r="F537" s="67" t="s">
        <v>240</v>
      </c>
      <c r="G537" s="68" t="s">
        <v>578</v>
      </c>
      <c r="H537" s="67">
        <v>1</v>
      </c>
      <c r="I537" s="67">
        <v>21</v>
      </c>
      <c r="J537" s="67">
        <v>3</v>
      </c>
      <c r="K537" s="68" t="s">
        <v>867</v>
      </c>
      <c r="L537" s="67" t="s">
        <v>240</v>
      </c>
      <c r="M537" s="68" t="s">
        <v>570</v>
      </c>
      <c r="N537" s="67" t="s">
        <v>240</v>
      </c>
      <c r="O537" s="79">
        <v>0.2</v>
      </c>
      <c r="P537" s="74">
        <v>-4.0000000000000001E-3</v>
      </c>
      <c r="Q537" s="67" t="s">
        <v>240</v>
      </c>
      <c r="R537" s="67" t="s">
        <v>580</v>
      </c>
      <c r="S537" s="67">
        <v>1411</v>
      </c>
      <c r="T537" s="67">
        <f t="shared" si="129"/>
        <v>919.10777998017841</v>
      </c>
      <c r="U537" s="67">
        <f t="shared" si="130"/>
        <v>491.89222001982159</v>
      </c>
      <c r="V537" s="67">
        <v>4.2999999999999997E-2</v>
      </c>
      <c r="W537" s="67">
        <v>2.0299999999999999E-2</v>
      </c>
      <c r="AC537" s="67">
        <v>0.17100000000000001</v>
      </c>
      <c r="AI537" s="70">
        <f t="shared" si="131"/>
        <v>2.0299999999999999E-2</v>
      </c>
      <c r="AL537" s="68" t="s">
        <v>866</v>
      </c>
    </row>
    <row r="538" spans="1:49" ht="30" customHeight="1" x14ac:dyDescent="0.25">
      <c r="A538" s="67" t="s">
        <v>65</v>
      </c>
      <c r="B538" s="67" t="s">
        <v>207</v>
      </c>
      <c r="C538" s="67" t="s">
        <v>454</v>
      </c>
      <c r="D538" s="67">
        <v>11</v>
      </c>
      <c r="E538" s="67" t="s">
        <v>646</v>
      </c>
      <c r="F538" s="67" t="s">
        <v>240</v>
      </c>
      <c r="G538" s="68" t="s">
        <v>578</v>
      </c>
      <c r="H538" s="67">
        <v>1</v>
      </c>
      <c r="I538" s="67">
        <v>21</v>
      </c>
      <c r="J538" s="67">
        <v>2</v>
      </c>
      <c r="K538" s="68" t="s">
        <v>611</v>
      </c>
      <c r="L538" s="67" t="s">
        <v>868</v>
      </c>
      <c r="M538" s="68" t="s">
        <v>570</v>
      </c>
      <c r="N538" s="67" t="s">
        <v>240</v>
      </c>
      <c r="O538" s="79">
        <v>0.2</v>
      </c>
      <c r="P538" s="74">
        <v>-4.0000000000000001E-3</v>
      </c>
      <c r="Q538" s="67" t="s">
        <v>240</v>
      </c>
      <c r="R538" s="67" t="s">
        <v>580</v>
      </c>
      <c r="S538" s="67">
        <v>1411</v>
      </c>
      <c r="T538" s="67">
        <f t="shared" si="129"/>
        <v>919.10777998017841</v>
      </c>
      <c r="U538" s="67">
        <f t="shared" si="130"/>
        <v>491.89222001982159</v>
      </c>
      <c r="V538" s="67">
        <v>284.27229999999997</v>
      </c>
      <c r="W538" s="67">
        <v>298.48129999999998</v>
      </c>
      <c r="AC538" s="67">
        <v>4558</v>
      </c>
      <c r="AI538" s="70">
        <f t="shared" si="131"/>
        <v>298.48129999999998</v>
      </c>
      <c r="AL538" s="68" t="s">
        <v>866</v>
      </c>
      <c r="AP538" s="67">
        <f>+V538/AQ538</f>
        <v>5.3206259059590456E-2</v>
      </c>
      <c r="AQ538" s="67">
        <f>+W538*SQRT(T538*U538/S538)</f>
        <v>5342.8356931017825</v>
      </c>
      <c r="AS538" s="67">
        <f>+AP538^2/(AU538-2)*(AU538/(V538/AI538)^2+AU538*AV538^2-AU538+2)</f>
        <v>3.1294377456221843E-3</v>
      </c>
      <c r="AU538" s="67">
        <f>+S538-2</f>
        <v>1409</v>
      </c>
      <c r="AV538" s="67">
        <f>IFERROR(1/(SQRT(AU538/2)*_xlfn.GAMMA(AU538/2-0.5)/_xlfn.GAMMA(AU538/2)),1)</f>
        <v>1</v>
      </c>
      <c r="AW538" s="67" t="s">
        <v>1350</v>
      </c>
    </row>
    <row r="539" spans="1:49" ht="30" customHeight="1" x14ac:dyDescent="0.25">
      <c r="A539" s="67" t="s">
        <v>65</v>
      </c>
      <c r="B539" s="67" t="s">
        <v>207</v>
      </c>
      <c r="C539" s="67" t="s">
        <v>454</v>
      </c>
      <c r="D539" s="67">
        <v>12</v>
      </c>
      <c r="E539" s="67" t="s">
        <v>646</v>
      </c>
      <c r="F539" s="67" t="s">
        <v>240</v>
      </c>
      <c r="G539" s="68" t="s">
        <v>578</v>
      </c>
      <c r="H539" s="67">
        <v>1</v>
      </c>
      <c r="I539" s="67">
        <v>21</v>
      </c>
      <c r="J539" s="67">
        <v>5</v>
      </c>
      <c r="K539" s="68" t="s">
        <v>869</v>
      </c>
      <c r="L539" s="67" t="s">
        <v>868</v>
      </c>
      <c r="M539" s="68" t="s">
        <v>570</v>
      </c>
      <c r="N539" s="67" t="s">
        <v>240</v>
      </c>
      <c r="O539" s="79">
        <v>0.2</v>
      </c>
      <c r="P539" s="74">
        <v>-4.0000000000000001E-3</v>
      </c>
      <c r="Q539" s="67" t="s">
        <v>240</v>
      </c>
      <c r="R539" s="67" t="s">
        <v>580</v>
      </c>
      <c r="S539" s="67">
        <v>1411</v>
      </c>
      <c r="T539" s="67">
        <f t="shared" si="129"/>
        <v>919.10777998017841</v>
      </c>
      <c r="U539" s="67">
        <f t="shared" si="130"/>
        <v>491.89222001982159</v>
      </c>
      <c r="V539" s="67">
        <v>9.3100000000000002E-2</v>
      </c>
      <c r="W539" s="67">
        <v>5.8599999999999999E-2</v>
      </c>
      <c r="AC539" s="67">
        <v>8.4410000000000007</v>
      </c>
      <c r="AI539" s="70">
        <f t="shared" si="131"/>
        <v>5.8599999999999999E-2</v>
      </c>
      <c r="AL539" s="68" t="s">
        <v>866</v>
      </c>
      <c r="AP539" s="67">
        <f>+V539/AQ539</f>
        <v>8.8755928959990432E-2</v>
      </c>
      <c r="AQ539" s="67">
        <f>+W539*SQRT(T539*U539/S539)</f>
        <v>1.0489440096105331</v>
      </c>
      <c r="AS539" s="67">
        <f>+AP539^2/(AU539-2)*(AU539/(V539/AI539)^2+AU539*AV539^2-AU539+2)</f>
        <v>3.1366114612191077E-3</v>
      </c>
      <c r="AU539" s="67">
        <f>+S539-2</f>
        <v>1409</v>
      </c>
      <c r="AV539" s="67">
        <f>IFERROR(1/(SQRT(AU539/2)*_xlfn.GAMMA(AU539/2-0.5)/_xlfn.GAMMA(AU539/2)),1)</f>
        <v>1</v>
      </c>
      <c r="AW539" s="67" t="s">
        <v>1350</v>
      </c>
    </row>
    <row r="540" spans="1:49" ht="30" customHeight="1" x14ac:dyDescent="0.25">
      <c r="A540" s="67" t="s">
        <v>66</v>
      </c>
      <c r="B540" s="67" t="s">
        <v>207</v>
      </c>
      <c r="C540" s="67" t="s">
        <v>454</v>
      </c>
      <c r="D540" s="67">
        <v>1</v>
      </c>
      <c r="E540" s="67" t="s">
        <v>568</v>
      </c>
      <c r="F540" s="67" t="s">
        <v>240</v>
      </c>
      <c r="G540" s="68" t="s">
        <v>578</v>
      </c>
      <c r="H540" s="67">
        <v>1</v>
      </c>
      <c r="I540" s="67">
        <v>72</v>
      </c>
      <c r="J540" s="67">
        <v>1</v>
      </c>
      <c r="K540" s="68" t="s">
        <v>647</v>
      </c>
      <c r="L540" s="67" t="s">
        <v>240</v>
      </c>
      <c r="M540" s="68" t="s">
        <v>570</v>
      </c>
      <c r="N540" s="67" t="s">
        <v>240</v>
      </c>
      <c r="O540" s="79">
        <f t="shared" ref="O540:O559" si="132">1-(0.8*0.8)</f>
        <v>0.35999999999999988</v>
      </c>
      <c r="P540" s="74" t="s">
        <v>240</v>
      </c>
      <c r="Q540" s="67" t="s">
        <v>240</v>
      </c>
      <c r="R540" s="67" t="s">
        <v>462</v>
      </c>
      <c r="S540" s="67">
        <v>3279</v>
      </c>
      <c r="T540" s="67">
        <v>2163</v>
      </c>
      <c r="U540" s="67">
        <v>1116</v>
      </c>
      <c r="V540" s="67">
        <v>-1.43E-2</v>
      </c>
      <c r="W540" s="67">
        <v>1.52E-2</v>
      </c>
      <c r="AC540" s="67">
        <v>0.74</v>
      </c>
      <c r="AI540" s="70">
        <f t="shared" si="131"/>
        <v>1.52E-2</v>
      </c>
      <c r="AL540" s="68" t="s">
        <v>870</v>
      </c>
    </row>
    <row r="541" spans="1:49" ht="30" customHeight="1" x14ac:dyDescent="0.25">
      <c r="A541" s="67" t="s">
        <v>66</v>
      </c>
      <c r="B541" s="67" t="s">
        <v>207</v>
      </c>
      <c r="C541" s="67" t="s">
        <v>454</v>
      </c>
      <c r="D541" s="67">
        <f t="shared" ref="D541:D559" si="133">D540+1</f>
        <v>2</v>
      </c>
      <c r="E541" s="67" t="s">
        <v>568</v>
      </c>
      <c r="F541" s="67" t="s">
        <v>240</v>
      </c>
      <c r="G541" s="68" t="s">
        <v>578</v>
      </c>
      <c r="H541" s="67">
        <v>1</v>
      </c>
      <c r="I541" s="67">
        <v>72</v>
      </c>
      <c r="J541" s="67">
        <v>3</v>
      </c>
      <c r="K541" s="68" t="s">
        <v>867</v>
      </c>
      <c r="L541" s="67" t="s">
        <v>240</v>
      </c>
      <c r="M541" s="68" t="s">
        <v>570</v>
      </c>
      <c r="N541" s="67" t="s">
        <v>240</v>
      </c>
      <c r="O541" s="79">
        <f t="shared" si="132"/>
        <v>0.35999999999999988</v>
      </c>
      <c r="P541" s="74" t="s">
        <v>240</v>
      </c>
      <c r="Q541" s="67" t="s">
        <v>240</v>
      </c>
      <c r="R541" s="67" t="s">
        <v>462</v>
      </c>
      <c r="S541" s="67">
        <v>3279</v>
      </c>
      <c r="T541" s="67">
        <v>2163</v>
      </c>
      <c r="U541" s="67">
        <v>1116</v>
      </c>
      <c r="V541" s="67">
        <v>1.7299999999999999E-2</v>
      </c>
      <c r="W541" s="67">
        <v>1.41E-2</v>
      </c>
      <c r="AC541" s="67">
        <v>0.2</v>
      </c>
      <c r="AI541" s="70">
        <f t="shared" si="131"/>
        <v>1.41E-2</v>
      </c>
      <c r="AL541" s="68" t="s">
        <v>870</v>
      </c>
    </row>
    <row r="542" spans="1:49" ht="30" customHeight="1" x14ac:dyDescent="0.25">
      <c r="A542" s="67" t="s">
        <v>66</v>
      </c>
      <c r="B542" s="67" t="s">
        <v>207</v>
      </c>
      <c r="C542" s="67" t="s">
        <v>454</v>
      </c>
      <c r="D542" s="67">
        <f t="shared" si="133"/>
        <v>3</v>
      </c>
      <c r="E542" s="67" t="s">
        <v>568</v>
      </c>
      <c r="F542" s="67" t="s">
        <v>240</v>
      </c>
      <c r="G542" s="68" t="s">
        <v>578</v>
      </c>
      <c r="H542" s="67">
        <v>1</v>
      </c>
      <c r="I542" s="67">
        <v>72</v>
      </c>
      <c r="J542" s="67">
        <v>2</v>
      </c>
      <c r="K542" s="68" t="s">
        <v>611</v>
      </c>
      <c r="L542" s="67" t="s">
        <v>868</v>
      </c>
      <c r="M542" s="68" t="s">
        <v>570</v>
      </c>
      <c r="N542" s="67" t="s">
        <v>240</v>
      </c>
      <c r="O542" s="79">
        <f t="shared" si="132"/>
        <v>0.35999999999999988</v>
      </c>
      <c r="P542" s="74" t="s">
        <v>240</v>
      </c>
      <c r="Q542" s="67" t="s">
        <v>240</v>
      </c>
      <c r="R542" s="67" t="s">
        <v>462</v>
      </c>
      <c r="S542" s="67">
        <v>3279</v>
      </c>
      <c r="T542" s="67">
        <v>2163</v>
      </c>
      <c r="U542" s="67">
        <v>1116</v>
      </c>
      <c r="V542" s="67">
        <v>-99.700599999999994</v>
      </c>
      <c r="W542" s="67">
        <v>222.91480000000001</v>
      </c>
      <c r="AC542" s="67">
        <v>5358</v>
      </c>
      <c r="AI542" s="70">
        <f t="shared" si="131"/>
        <v>222.91480000000001</v>
      </c>
      <c r="AL542" s="68" t="s">
        <v>870</v>
      </c>
      <c r="AP542" s="67">
        <f>+V542/AQ542</f>
        <v>-1.6484251033604121E-2</v>
      </c>
      <c r="AQ542" s="67">
        <f>+W542*SQRT(T542*U542/S542)</f>
        <v>6048.233541017692</v>
      </c>
      <c r="AS542" s="67">
        <f>+AP542^2/(AU542-2)*(AU542/(V542/AI542)^2+AU542*AV542^2-AU542+2)</f>
        <v>1.3593736845882378E-3</v>
      </c>
      <c r="AU542" s="67">
        <f>+S542-2</f>
        <v>3277</v>
      </c>
      <c r="AV542" s="67">
        <f>IFERROR(1/(SQRT(AU542/2)*_xlfn.GAMMA(AU542/2-0.5)/_xlfn.GAMMA(AU542/2)),1)</f>
        <v>1</v>
      </c>
      <c r="AW542" s="67" t="s">
        <v>1350</v>
      </c>
    </row>
    <row r="543" spans="1:49" ht="30" customHeight="1" x14ac:dyDescent="0.25">
      <c r="A543" s="67" t="s">
        <v>66</v>
      </c>
      <c r="B543" s="67" t="s">
        <v>207</v>
      </c>
      <c r="C543" s="67" t="s">
        <v>454</v>
      </c>
      <c r="D543" s="67">
        <f t="shared" si="133"/>
        <v>4</v>
      </c>
      <c r="E543" s="67" t="s">
        <v>568</v>
      </c>
      <c r="F543" s="67" t="s">
        <v>240</v>
      </c>
      <c r="G543" s="68" t="s">
        <v>578</v>
      </c>
      <c r="H543" s="67">
        <v>1</v>
      </c>
      <c r="I543" s="67">
        <v>72</v>
      </c>
      <c r="J543" s="67">
        <v>5</v>
      </c>
      <c r="K543" s="68" t="s">
        <v>869</v>
      </c>
      <c r="L543" s="67" t="s">
        <v>868</v>
      </c>
      <c r="M543" s="68" t="s">
        <v>570</v>
      </c>
      <c r="N543" s="67" t="s">
        <v>240</v>
      </c>
      <c r="O543" s="79">
        <f t="shared" si="132"/>
        <v>0.35999999999999988</v>
      </c>
      <c r="P543" s="74" t="s">
        <v>240</v>
      </c>
      <c r="Q543" s="67" t="s">
        <v>240</v>
      </c>
      <c r="R543" s="67" t="s">
        <v>462</v>
      </c>
      <c r="S543" s="67">
        <v>3279</v>
      </c>
      <c r="T543" s="67">
        <v>2163</v>
      </c>
      <c r="U543" s="67">
        <v>1116</v>
      </c>
      <c r="V543" s="67">
        <v>1.66E-2</v>
      </c>
      <c r="W543" s="67">
        <v>3.9600000000000003E-2</v>
      </c>
      <c r="AC543" s="67">
        <v>8.7010000000000005</v>
      </c>
      <c r="AI543" s="70">
        <f t="shared" si="131"/>
        <v>3.9600000000000003E-2</v>
      </c>
      <c r="AL543" s="68" t="s">
        <v>870</v>
      </c>
      <c r="AP543" s="67">
        <f>+V543/AQ543</f>
        <v>1.5449813932376637E-2</v>
      </c>
      <c r="AQ543" s="67">
        <f>+W543*SQRT(T543*U543/S543)</f>
        <v>1.0744465967459345</v>
      </c>
      <c r="AS543" s="67">
        <f>+AP543^2/(AU543-2)*(AU543/(V543/AI543)^2+AU543*AV543^2-AU543+2)</f>
        <v>1.3593535112865005E-3</v>
      </c>
      <c r="AU543" s="67">
        <f>+S543-2</f>
        <v>3277</v>
      </c>
      <c r="AV543" s="67">
        <f>IFERROR(1/(SQRT(AU543/2)*_xlfn.GAMMA(AU543/2-0.5)/_xlfn.GAMMA(AU543/2)),1)</f>
        <v>1</v>
      </c>
      <c r="AW543" s="67" t="s">
        <v>1350</v>
      </c>
    </row>
    <row r="544" spans="1:49" ht="30" customHeight="1" x14ac:dyDescent="0.25">
      <c r="A544" s="67" t="s">
        <v>66</v>
      </c>
      <c r="B544" s="67" t="s">
        <v>207</v>
      </c>
      <c r="C544" s="67" t="s">
        <v>454</v>
      </c>
      <c r="D544" s="67">
        <f t="shared" si="133"/>
        <v>5</v>
      </c>
      <c r="E544" s="67" t="s">
        <v>644</v>
      </c>
      <c r="F544" s="67" t="s">
        <v>240</v>
      </c>
      <c r="G544" s="68" t="s">
        <v>578</v>
      </c>
      <c r="H544" s="67">
        <v>1</v>
      </c>
      <c r="I544" s="67">
        <v>72</v>
      </c>
      <c r="J544" s="67">
        <v>1</v>
      </c>
      <c r="K544" s="68" t="s">
        <v>647</v>
      </c>
      <c r="L544" s="67" t="s">
        <v>240</v>
      </c>
      <c r="M544" s="68" t="s">
        <v>570</v>
      </c>
      <c r="N544" s="67" t="s">
        <v>240</v>
      </c>
      <c r="O544" s="79">
        <f t="shared" si="132"/>
        <v>0.35999999999999988</v>
      </c>
      <c r="P544" s="74" t="s">
        <v>240</v>
      </c>
      <c r="Q544" s="67" t="s">
        <v>240</v>
      </c>
      <c r="R544" s="67" t="s">
        <v>462</v>
      </c>
      <c r="S544" s="67">
        <v>2041</v>
      </c>
      <c r="T544" s="67">
        <f>2163*2041/3279</f>
        <v>1346.3504117108876</v>
      </c>
      <c r="U544" s="67">
        <f t="shared" ref="U544:U559" si="134">S544-T544</f>
        <v>694.64958828911244</v>
      </c>
      <c r="V544" s="67">
        <v>-1.6199999999999999E-2</v>
      </c>
      <c r="W544" s="67">
        <v>2.2200000000000001E-2</v>
      </c>
      <c r="AC544" s="67">
        <v>0.66500000000000004</v>
      </c>
      <c r="AI544" s="70">
        <f t="shared" si="131"/>
        <v>2.2200000000000001E-2</v>
      </c>
      <c r="AL544" s="68" t="s">
        <v>870</v>
      </c>
    </row>
    <row r="545" spans="1:49" ht="30" customHeight="1" x14ac:dyDescent="0.25">
      <c r="A545" s="67" t="s">
        <v>66</v>
      </c>
      <c r="B545" s="67" t="s">
        <v>207</v>
      </c>
      <c r="C545" s="67" t="s">
        <v>454</v>
      </c>
      <c r="D545" s="67">
        <f t="shared" si="133"/>
        <v>6</v>
      </c>
      <c r="E545" s="67" t="s">
        <v>644</v>
      </c>
      <c r="F545" s="67" t="s">
        <v>240</v>
      </c>
      <c r="G545" s="68" t="s">
        <v>578</v>
      </c>
      <c r="H545" s="67">
        <v>1</v>
      </c>
      <c r="I545" s="67">
        <v>72</v>
      </c>
      <c r="J545" s="67">
        <v>3</v>
      </c>
      <c r="K545" s="68" t="s">
        <v>867</v>
      </c>
      <c r="L545" s="67" t="s">
        <v>240</v>
      </c>
      <c r="M545" s="68" t="s">
        <v>570</v>
      </c>
      <c r="N545" s="67" t="s">
        <v>240</v>
      </c>
      <c r="O545" s="79">
        <f t="shared" si="132"/>
        <v>0.35999999999999988</v>
      </c>
      <c r="P545" s="74" t="s">
        <v>240</v>
      </c>
      <c r="Q545" s="67" t="s">
        <v>240</v>
      </c>
      <c r="R545" s="67" t="s">
        <v>462</v>
      </c>
      <c r="S545" s="67">
        <v>2041</v>
      </c>
      <c r="T545" s="67">
        <f>2163*2041/3279</f>
        <v>1346.3504117108876</v>
      </c>
      <c r="U545" s="67">
        <f t="shared" si="134"/>
        <v>694.64958828911244</v>
      </c>
      <c r="V545" s="67">
        <v>1.0999999999999999E-2</v>
      </c>
      <c r="W545" s="67">
        <v>1.7600000000000001E-2</v>
      </c>
      <c r="AC545" s="67">
        <v>0.16300000000000001</v>
      </c>
      <c r="AI545" s="70">
        <f t="shared" si="131"/>
        <v>1.7600000000000001E-2</v>
      </c>
      <c r="AL545" s="68" t="s">
        <v>870</v>
      </c>
    </row>
    <row r="546" spans="1:49" ht="30" customHeight="1" x14ac:dyDescent="0.25">
      <c r="A546" s="67" t="s">
        <v>66</v>
      </c>
      <c r="B546" s="67" t="s">
        <v>207</v>
      </c>
      <c r="C546" s="67" t="s">
        <v>454</v>
      </c>
      <c r="D546" s="67">
        <f t="shared" si="133"/>
        <v>7</v>
      </c>
      <c r="E546" s="67" t="s">
        <v>644</v>
      </c>
      <c r="F546" s="67" t="s">
        <v>240</v>
      </c>
      <c r="G546" s="68" t="s">
        <v>578</v>
      </c>
      <c r="H546" s="67">
        <v>1</v>
      </c>
      <c r="I546" s="67">
        <v>72</v>
      </c>
      <c r="J546" s="67">
        <v>2</v>
      </c>
      <c r="K546" s="68" t="s">
        <v>611</v>
      </c>
      <c r="L546" s="67" t="s">
        <v>868</v>
      </c>
      <c r="M546" s="68" t="s">
        <v>570</v>
      </c>
      <c r="N546" s="67" t="s">
        <v>240</v>
      </c>
      <c r="O546" s="79">
        <f t="shared" si="132"/>
        <v>0.35999999999999988</v>
      </c>
      <c r="P546" s="74" t="s">
        <v>240</v>
      </c>
      <c r="Q546" s="67" t="s">
        <v>240</v>
      </c>
      <c r="R546" s="67" t="s">
        <v>462</v>
      </c>
      <c r="S546" s="67">
        <v>2041</v>
      </c>
      <c r="T546" s="67">
        <f>2163*2041/3279</f>
        <v>1346.3504117108876</v>
      </c>
      <c r="U546" s="67">
        <f t="shared" si="134"/>
        <v>694.64958828911244</v>
      </c>
      <c r="V546" s="67">
        <v>82.184100000000001</v>
      </c>
      <c r="W546" s="67">
        <v>221.23169999999999</v>
      </c>
      <c r="AC546" s="67">
        <v>3772</v>
      </c>
      <c r="AI546" s="70">
        <f t="shared" si="131"/>
        <v>221.23169999999999</v>
      </c>
      <c r="AL546" s="68" t="s">
        <v>870</v>
      </c>
      <c r="AP546" s="67">
        <f>+V546/AQ546</f>
        <v>1.7354016428964395E-2</v>
      </c>
      <c r="AQ546" s="67">
        <f>+W546*SQRT(T546*U546/S546)</f>
        <v>4735.7394374037913</v>
      </c>
      <c r="AS546" s="67">
        <f>+AP546^2/(AU546-2)*(AU546/(V546/AI546)^2+AU546*AV546^2-AU546+2)</f>
        <v>2.1847618013153746E-3</v>
      </c>
      <c r="AU546" s="67">
        <f>+S546-2</f>
        <v>2039</v>
      </c>
      <c r="AV546" s="67">
        <f>IFERROR(1/(SQRT(AU546/2)*_xlfn.GAMMA(AU546/2-0.5)/_xlfn.GAMMA(AU546/2)),1)</f>
        <v>1</v>
      </c>
      <c r="AW546" s="67" t="s">
        <v>1350</v>
      </c>
    </row>
    <row r="547" spans="1:49" ht="30" customHeight="1" x14ac:dyDescent="0.25">
      <c r="A547" s="67" t="s">
        <v>66</v>
      </c>
      <c r="B547" s="67" t="s">
        <v>207</v>
      </c>
      <c r="C547" s="67" t="s">
        <v>454</v>
      </c>
      <c r="D547" s="67">
        <f t="shared" si="133"/>
        <v>8</v>
      </c>
      <c r="E547" s="67" t="s">
        <v>644</v>
      </c>
      <c r="F547" s="67" t="s">
        <v>240</v>
      </c>
      <c r="G547" s="68" t="s">
        <v>578</v>
      </c>
      <c r="H547" s="67">
        <v>1</v>
      </c>
      <c r="I547" s="67">
        <v>72</v>
      </c>
      <c r="J547" s="67">
        <v>5</v>
      </c>
      <c r="K547" s="68" t="s">
        <v>869</v>
      </c>
      <c r="L547" s="67" t="s">
        <v>868</v>
      </c>
      <c r="M547" s="68" t="s">
        <v>570</v>
      </c>
      <c r="N547" s="67" t="s">
        <v>240</v>
      </c>
      <c r="O547" s="79">
        <f t="shared" si="132"/>
        <v>0.35999999999999988</v>
      </c>
      <c r="P547" s="74" t="s">
        <v>240</v>
      </c>
      <c r="Q547" s="67" t="s">
        <v>240</v>
      </c>
      <c r="R547" s="67" t="s">
        <v>462</v>
      </c>
      <c r="S547" s="67">
        <v>2041</v>
      </c>
      <c r="T547" s="67">
        <f>2163*2041/3279</f>
        <v>1346.3504117108876</v>
      </c>
      <c r="U547" s="67">
        <f t="shared" si="134"/>
        <v>694.64958828911244</v>
      </c>
      <c r="V547" s="67">
        <v>-8.0999999999999996E-3</v>
      </c>
      <c r="W547" s="67">
        <v>0.06</v>
      </c>
      <c r="AC547" s="67">
        <v>8.4979999999999993</v>
      </c>
      <c r="AI547" s="70">
        <f t="shared" si="131"/>
        <v>0.06</v>
      </c>
      <c r="AL547" s="68" t="s">
        <v>870</v>
      </c>
      <c r="AP547" s="67">
        <f>+V547/AQ547</f>
        <v>-6.3065715280089772E-3</v>
      </c>
      <c r="AQ547" s="67">
        <f>+W547*SQRT(T547*U547/S547)</f>
        <v>1.2843745550218502</v>
      </c>
      <c r="AS547" s="67">
        <f>+AP547^2/(AU547-2)*(AU547/(V547/AI547)^2+AU547*AV547^2-AU547+2)</f>
        <v>2.1845051601354251E-3</v>
      </c>
      <c r="AU547" s="67">
        <f>+S547-2</f>
        <v>2039</v>
      </c>
      <c r="AV547" s="67">
        <f>IFERROR(1/(SQRT(AU547/2)*_xlfn.GAMMA(AU547/2-0.5)/_xlfn.GAMMA(AU547/2)),1)</f>
        <v>1</v>
      </c>
      <c r="AW547" s="67" t="s">
        <v>1350</v>
      </c>
    </row>
    <row r="548" spans="1:49" ht="30" customHeight="1" x14ac:dyDescent="0.25">
      <c r="A548" s="67" t="s">
        <v>66</v>
      </c>
      <c r="B548" s="67" t="s">
        <v>207</v>
      </c>
      <c r="C548" s="67" t="s">
        <v>454</v>
      </c>
      <c r="D548" s="67">
        <f t="shared" si="133"/>
        <v>9</v>
      </c>
      <c r="E548" s="67" t="s">
        <v>646</v>
      </c>
      <c r="F548" s="67" t="s">
        <v>240</v>
      </c>
      <c r="G548" s="68" t="s">
        <v>578</v>
      </c>
      <c r="H548" s="67">
        <v>1</v>
      </c>
      <c r="I548" s="67">
        <v>72</v>
      </c>
      <c r="J548" s="67">
        <v>1</v>
      </c>
      <c r="K548" s="68" t="s">
        <v>647</v>
      </c>
      <c r="L548" s="67" t="s">
        <v>240</v>
      </c>
      <c r="M548" s="68" t="s">
        <v>570</v>
      </c>
      <c r="N548" s="67" t="s">
        <v>240</v>
      </c>
      <c r="O548" s="79">
        <f t="shared" si="132"/>
        <v>0.35999999999999988</v>
      </c>
      <c r="P548" s="74" t="s">
        <v>240</v>
      </c>
      <c r="Q548" s="67" t="s">
        <v>240</v>
      </c>
      <c r="R548" s="67" t="s">
        <v>462</v>
      </c>
      <c r="S548" s="67">
        <v>1238</v>
      </c>
      <c r="T548" s="67">
        <f>2163*1238/3279</f>
        <v>816.64958828911256</v>
      </c>
      <c r="U548" s="67">
        <f t="shared" si="134"/>
        <v>421.35041171088744</v>
      </c>
      <c r="V548" s="67">
        <v>2.8E-3</v>
      </c>
      <c r="W548" s="67">
        <v>1.9199999999999998E-2</v>
      </c>
      <c r="AC548" s="67">
        <v>0.86</v>
      </c>
      <c r="AI548" s="70">
        <f t="shared" si="131"/>
        <v>1.9199999999999998E-2</v>
      </c>
      <c r="AL548" s="68" t="s">
        <v>870</v>
      </c>
    </row>
    <row r="549" spans="1:49" ht="30" customHeight="1" x14ac:dyDescent="0.25">
      <c r="A549" s="67" t="s">
        <v>66</v>
      </c>
      <c r="B549" s="67" t="s">
        <v>207</v>
      </c>
      <c r="C549" s="67" t="s">
        <v>454</v>
      </c>
      <c r="D549" s="67">
        <f t="shared" si="133"/>
        <v>10</v>
      </c>
      <c r="E549" s="67" t="s">
        <v>646</v>
      </c>
      <c r="F549" s="67" t="s">
        <v>240</v>
      </c>
      <c r="G549" s="68" t="s">
        <v>578</v>
      </c>
      <c r="H549" s="67">
        <v>1</v>
      </c>
      <c r="I549" s="67">
        <v>72</v>
      </c>
      <c r="J549" s="67">
        <v>3</v>
      </c>
      <c r="K549" s="68" t="s">
        <v>867</v>
      </c>
      <c r="L549" s="67" t="s">
        <v>240</v>
      </c>
      <c r="M549" s="68" t="s">
        <v>570</v>
      </c>
      <c r="N549" s="67" t="s">
        <v>240</v>
      </c>
      <c r="O549" s="79">
        <f t="shared" si="132"/>
        <v>0.35999999999999988</v>
      </c>
      <c r="P549" s="74" t="s">
        <v>240</v>
      </c>
      <c r="Q549" s="67" t="s">
        <v>240</v>
      </c>
      <c r="R549" s="67" t="s">
        <v>462</v>
      </c>
      <c r="S549" s="67">
        <v>1238</v>
      </c>
      <c r="T549" s="67">
        <f>2163*1238/3279</f>
        <v>816.64958828911256</v>
      </c>
      <c r="U549" s="67">
        <f t="shared" si="134"/>
        <v>421.35041171088744</v>
      </c>
      <c r="V549" s="67">
        <v>3.8300000000000001E-2</v>
      </c>
      <c r="W549" s="67">
        <v>2.5899999999999999E-2</v>
      </c>
      <c r="AC549" s="67">
        <v>0.25800000000000001</v>
      </c>
      <c r="AI549" s="70">
        <f t="shared" si="131"/>
        <v>2.5899999999999999E-2</v>
      </c>
      <c r="AL549" s="68" t="s">
        <v>870</v>
      </c>
    </row>
    <row r="550" spans="1:49" ht="30" customHeight="1" x14ac:dyDescent="0.25">
      <c r="A550" s="67" t="s">
        <v>66</v>
      </c>
      <c r="B550" s="67" t="s">
        <v>207</v>
      </c>
      <c r="C550" s="67" t="s">
        <v>454</v>
      </c>
      <c r="D550" s="67">
        <f t="shared" si="133"/>
        <v>11</v>
      </c>
      <c r="E550" s="67" t="s">
        <v>646</v>
      </c>
      <c r="F550" s="67" t="s">
        <v>240</v>
      </c>
      <c r="G550" s="68" t="s">
        <v>578</v>
      </c>
      <c r="H550" s="67">
        <v>1</v>
      </c>
      <c r="I550" s="67">
        <v>72</v>
      </c>
      <c r="J550" s="67">
        <v>2</v>
      </c>
      <c r="K550" s="68" t="s">
        <v>611</v>
      </c>
      <c r="L550" s="67" t="s">
        <v>868</v>
      </c>
      <c r="M550" s="68" t="s">
        <v>570</v>
      </c>
      <c r="N550" s="67" t="s">
        <v>240</v>
      </c>
      <c r="O550" s="79">
        <f t="shared" si="132"/>
        <v>0.35999999999999988</v>
      </c>
      <c r="P550" s="74" t="s">
        <v>240</v>
      </c>
      <c r="Q550" s="67" t="s">
        <v>240</v>
      </c>
      <c r="R550" s="67" t="s">
        <v>462</v>
      </c>
      <c r="S550" s="67">
        <v>1238</v>
      </c>
      <c r="T550" s="67">
        <f>2163*1238/3279</f>
        <v>816.64958828911256</v>
      </c>
      <c r="U550" s="67">
        <f t="shared" si="134"/>
        <v>421.35041171088744</v>
      </c>
      <c r="V550" s="67">
        <v>-91.811099999999996</v>
      </c>
      <c r="W550" s="67">
        <v>477.25639999999999</v>
      </c>
      <c r="AC550" s="67">
        <v>7888</v>
      </c>
      <c r="AI550" s="70">
        <f t="shared" si="131"/>
        <v>477.25639999999999</v>
      </c>
      <c r="AL550" s="68" t="s">
        <v>870</v>
      </c>
      <c r="AP550" s="67">
        <f>+V550/AQ550</f>
        <v>-1.153889355570824E-2</v>
      </c>
      <c r="AQ550" s="67">
        <f>+W550*SQRT(T550*U550/S550)</f>
        <v>7956.6640906035091</v>
      </c>
      <c r="AS550" s="67">
        <f>+AP550^2/(AU550-2)*(AU550/(V550/AI550)^2+AU550*AV550^2-AU550+2)</f>
        <v>3.6038838984109698E-3</v>
      </c>
      <c r="AU550" s="67">
        <f>+S550-2</f>
        <v>1236</v>
      </c>
      <c r="AV550" s="67">
        <f>IFERROR(1/(SQRT(AU550/2)*_xlfn.GAMMA(AU550/2-0.5)/_xlfn.GAMMA(AU550/2)),1)</f>
        <v>1</v>
      </c>
      <c r="AW550" s="67" t="s">
        <v>1350</v>
      </c>
    </row>
    <row r="551" spans="1:49" ht="30" customHeight="1" x14ac:dyDescent="0.25">
      <c r="A551" s="67" t="s">
        <v>66</v>
      </c>
      <c r="B551" s="67" t="s">
        <v>207</v>
      </c>
      <c r="C551" s="67" t="s">
        <v>454</v>
      </c>
      <c r="D551" s="67">
        <f t="shared" si="133"/>
        <v>12</v>
      </c>
      <c r="E551" s="67" t="s">
        <v>646</v>
      </c>
      <c r="F551" s="67" t="s">
        <v>240</v>
      </c>
      <c r="G551" s="68" t="s">
        <v>578</v>
      </c>
      <c r="H551" s="67">
        <v>1</v>
      </c>
      <c r="I551" s="67">
        <v>72</v>
      </c>
      <c r="J551" s="67">
        <v>5</v>
      </c>
      <c r="K551" s="68" t="s">
        <v>869</v>
      </c>
      <c r="L551" s="67" t="s">
        <v>868</v>
      </c>
      <c r="M551" s="68" t="s">
        <v>570</v>
      </c>
      <c r="N551" s="67" t="s">
        <v>240</v>
      </c>
      <c r="O551" s="79">
        <f t="shared" si="132"/>
        <v>0.35999999999999988</v>
      </c>
      <c r="P551" s="74" t="s">
        <v>240</v>
      </c>
      <c r="Q551" s="67" t="s">
        <v>240</v>
      </c>
      <c r="R551" s="67" t="s">
        <v>462</v>
      </c>
      <c r="S551" s="67">
        <v>1238</v>
      </c>
      <c r="T551" s="67">
        <f>2163*1238/3279</f>
        <v>816.64958828911256</v>
      </c>
      <c r="U551" s="67">
        <f t="shared" si="134"/>
        <v>421.35041171088744</v>
      </c>
      <c r="V551" s="67">
        <v>6.3100000000000003E-2</v>
      </c>
      <c r="W551" s="67">
        <v>5.4199999999999998E-2</v>
      </c>
      <c r="AC551" s="67">
        <v>8.93</v>
      </c>
      <c r="AI551" s="70">
        <f t="shared" si="131"/>
        <v>5.4199999999999998E-2</v>
      </c>
      <c r="AL551" s="68" t="s">
        <v>870</v>
      </c>
      <c r="AP551" s="67">
        <f>+V551/AQ551</f>
        <v>6.9831409812169745E-2</v>
      </c>
      <c r="AQ551" s="67">
        <f>+W551*SQRT(T551*U551/S551)</f>
        <v>0.90360484157092535</v>
      </c>
      <c r="AS551" s="67">
        <f>+AP551^2/(AU551-2)*(AU551/(V551/AI551)^2+AU551*AV551^2-AU551+2)</f>
        <v>3.611571547895355E-3</v>
      </c>
      <c r="AU551" s="67">
        <f>+S551-2</f>
        <v>1236</v>
      </c>
      <c r="AV551" s="67">
        <f>IFERROR(1/(SQRT(AU551/2)*_xlfn.GAMMA(AU551/2-0.5)/_xlfn.GAMMA(AU551/2)),1)</f>
        <v>1</v>
      </c>
      <c r="AW551" s="67" t="s">
        <v>1350</v>
      </c>
    </row>
    <row r="552" spans="1:49" ht="30" customHeight="1" x14ac:dyDescent="0.25">
      <c r="A552" s="67" t="s">
        <v>66</v>
      </c>
      <c r="B552" s="67" t="s">
        <v>293</v>
      </c>
      <c r="C552" s="67" t="s">
        <v>454</v>
      </c>
      <c r="D552" s="67">
        <f t="shared" si="133"/>
        <v>13</v>
      </c>
      <c r="E552" s="67" t="s">
        <v>605</v>
      </c>
      <c r="F552" s="67" t="s">
        <v>640</v>
      </c>
      <c r="G552" s="68" t="s">
        <v>578</v>
      </c>
      <c r="H552" s="67">
        <v>1</v>
      </c>
      <c r="I552" s="67">
        <v>72</v>
      </c>
      <c r="J552" s="67">
        <v>1</v>
      </c>
      <c r="K552" s="68" t="s">
        <v>647</v>
      </c>
      <c r="L552" s="67" t="s">
        <v>240</v>
      </c>
      <c r="M552" s="68" t="s">
        <v>570</v>
      </c>
      <c r="N552" s="67" t="s">
        <v>240</v>
      </c>
      <c r="O552" s="79">
        <f t="shared" si="132"/>
        <v>0.35999999999999988</v>
      </c>
      <c r="P552" s="74" t="s">
        <v>240</v>
      </c>
      <c r="Q552" s="67" t="s">
        <v>240</v>
      </c>
      <c r="R552" s="67" t="s">
        <v>462</v>
      </c>
      <c r="S552" s="67">
        <v>1729</v>
      </c>
      <c r="T552" s="67">
        <f t="shared" ref="T552:T559" si="135">S552*(2163/3279)</f>
        <v>1140.5388838060385</v>
      </c>
      <c r="U552" s="67">
        <f t="shared" si="134"/>
        <v>588.46111619396152</v>
      </c>
      <c r="V552" s="67">
        <v>-3.5000000000000001E-3</v>
      </c>
      <c r="W552" s="67">
        <v>2.24E-2</v>
      </c>
      <c r="AC552" s="67">
        <v>0.73899999999999999</v>
      </c>
      <c r="AI552" s="70">
        <f t="shared" si="131"/>
        <v>2.24E-2</v>
      </c>
      <c r="AM552" s="67" t="s">
        <v>30</v>
      </c>
    </row>
    <row r="553" spans="1:49" ht="30" customHeight="1" x14ac:dyDescent="0.25">
      <c r="A553" s="67" t="s">
        <v>66</v>
      </c>
      <c r="B553" s="67" t="s">
        <v>293</v>
      </c>
      <c r="C553" s="67" t="s">
        <v>454</v>
      </c>
      <c r="D553" s="67">
        <f t="shared" si="133"/>
        <v>14</v>
      </c>
      <c r="E553" s="67" t="s">
        <v>605</v>
      </c>
      <c r="F553" s="67" t="s">
        <v>640</v>
      </c>
      <c r="G553" s="68" t="s">
        <v>578</v>
      </c>
      <c r="H553" s="67">
        <v>1</v>
      </c>
      <c r="I553" s="67">
        <v>72</v>
      </c>
      <c r="J553" s="67">
        <v>3</v>
      </c>
      <c r="K553" s="68" t="s">
        <v>867</v>
      </c>
      <c r="L553" s="67" t="s">
        <v>240</v>
      </c>
      <c r="M553" s="68" t="s">
        <v>570</v>
      </c>
      <c r="N553" s="67" t="s">
        <v>240</v>
      </c>
      <c r="O553" s="79">
        <f t="shared" si="132"/>
        <v>0.35999999999999988</v>
      </c>
      <c r="P553" s="74" t="s">
        <v>240</v>
      </c>
      <c r="Q553" s="67" t="s">
        <v>240</v>
      </c>
      <c r="R553" s="67" t="s">
        <v>462</v>
      </c>
      <c r="S553" s="67">
        <v>1729</v>
      </c>
      <c r="T553" s="67">
        <f t="shared" si="135"/>
        <v>1140.5388838060385</v>
      </c>
      <c r="U553" s="67">
        <f t="shared" si="134"/>
        <v>588.46111619396152</v>
      </c>
      <c r="V553" s="67">
        <v>2.1100000000000001E-2</v>
      </c>
      <c r="W553" s="67">
        <v>2.1899999999999999E-2</v>
      </c>
      <c r="AC553" s="67">
        <v>0.23200000000000001</v>
      </c>
      <c r="AI553" s="70">
        <f t="shared" si="131"/>
        <v>2.1899999999999999E-2</v>
      </c>
      <c r="AM553" s="67" t="s">
        <v>30</v>
      </c>
    </row>
    <row r="554" spans="1:49" ht="30" customHeight="1" x14ac:dyDescent="0.25">
      <c r="A554" s="67" t="s">
        <v>66</v>
      </c>
      <c r="B554" s="67" t="s">
        <v>293</v>
      </c>
      <c r="C554" s="67" t="s">
        <v>454</v>
      </c>
      <c r="D554" s="67">
        <f t="shared" si="133"/>
        <v>15</v>
      </c>
      <c r="E554" s="67" t="s">
        <v>605</v>
      </c>
      <c r="F554" s="67" t="s">
        <v>640</v>
      </c>
      <c r="G554" s="68" t="s">
        <v>578</v>
      </c>
      <c r="H554" s="67">
        <v>1</v>
      </c>
      <c r="I554" s="67">
        <v>72</v>
      </c>
      <c r="J554" s="67">
        <v>2</v>
      </c>
      <c r="K554" s="68" t="s">
        <v>611</v>
      </c>
      <c r="L554" s="67" t="s">
        <v>868</v>
      </c>
      <c r="M554" s="68" t="s">
        <v>570</v>
      </c>
      <c r="N554" s="67" t="s">
        <v>240</v>
      </c>
      <c r="O554" s="79">
        <f t="shared" si="132"/>
        <v>0.35999999999999988</v>
      </c>
      <c r="P554" s="74" t="s">
        <v>240</v>
      </c>
      <c r="Q554" s="67" t="s">
        <v>240</v>
      </c>
      <c r="R554" s="67" t="s">
        <v>462</v>
      </c>
      <c r="S554" s="67">
        <v>1729</v>
      </c>
      <c r="T554" s="67">
        <f t="shared" si="135"/>
        <v>1140.5388838060385</v>
      </c>
      <c r="U554" s="67">
        <f t="shared" si="134"/>
        <v>588.46111619396152</v>
      </c>
      <c r="V554" s="67">
        <v>44.421999999999997</v>
      </c>
      <c r="W554" s="67">
        <v>311.16430000000003</v>
      </c>
      <c r="AC554" s="67">
        <v>5549</v>
      </c>
      <c r="AI554" s="70">
        <f t="shared" si="131"/>
        <v>311.16430000000003</v>
      </c>
      <c r="AM554" s="67" t="s">
        <v>30</v>
      </c>
      <c r="AP554" s="67">
        <f>+V554/AQ554</f>
        <v>7.2458928308682044E-3</v>
      </c>
      <c r="AQ554" s="67">
        <f>+W554*SQRT(T554*U554/S554)</f>
        <v>6130.6454617653162</v>
      </c>
      <c r="AS554" s="67">
        <f>+AP554^2/(AU554-2)*(AU554/(V554/AI554)^2+AU554*AV554^2-AU554+2)</f>
        <v>2.5791738353541215E-3</v>
      </c>
      <c r="AU554" s="67">
        <f>+S554-2</f>
        <v>1727</v>
      </c>
      <c r="AV554" s="67">
        <f>IFERROR(1/(SQRT(AU554/2)*_xlfn.GAMMA(AU554/2-0.5)/_xlfn.GAMMA(AU554/2)),1)</f>
        <v>1</v>
      </c>
      <c r="AW554" s="67" t="s">
        <v>1350</v>
      </c>
    </row>
    <row r="555" spans="1:49" ht="30" customHeight="1" x14ac:dyDescent="0.25">
      <c r="A555" s="67" t="s">
        <v>66</v>
      </c>
      <c r="B555" s="67" t="s">
        <v>293</v>
      </c>
      <c r="C555" s="67" t="s">
        <v>454</v>
      </c>
      <c r="D555" s="67">
        <f t="shared" si="133"/>
        <v>16</v>
      </c>
      <c r="E555" s="67" t="s">
        <v>605</v>
      </c>
      <c r="F555" s="67" t="s">
        <v>640</v>
      </c>
      <c r="G555" s="68" t="s">
        <v>578</v>
      </c>
      <c r="H555" s="67">
        <v>1</v>
      </c>
      <c r="I555" s="67">
        <v>72</v>
      </c>
      <c r="J555" s="67">
        <v>5</v>
      </c>
      <c r="K555" s="68" t="s">
        <v>869</v>
      </c>
      <c r="L555" s="67" t="s">
        <v>868</v>
      </c>
      <c r="M555" s="68" t="s">
        <v>570</v>
      </c>
      <c r="N555" s="67" t="s">
        <v>240</v>
      </c>
      <c r="O555" s="79">
        <f t="shared" si="132"/>
        <v>0.35999999999999988</v>
      </c>
      <c r="P555" s="74" t="s">
        <v>240</v>
      </c>
      <c r="Q555" s="67" t="s">
        <v>240</v>
      </c>
      <c r="R555" s="67" t="s">
        <v>462</v>
      </c>
      <c r="S555" s="67">
        <v>1729</v>
      </c>
      <c r="T555" s="67">
        <f t="shared" si="135"/>
        <v>1140.5388838060385</v>
      </c>
      <c r="U555" s="67">
        <f t="shared" si="134"/>
        <v>588.46111619396152</v>
      </c>
      <c r="V555" s="67">
        <v>6.3100000000000003E-2</v>
      </c>
      <c r="W555" s="67">
        <v>5.5399999999999998E-2</v>
      </c>
      <c r="AC555" s="67">
        <v>8.6539999999999999</v>
      </c>
      <c r="AI555" s="70">
        <f t="shared" si="131"/>
        <v>5.5399999999999998E-2</v>
      </c>
      <c r="AM555" s="67" t="s">
        <v>30</v>
      </c>
      <c r="AP555" s="67">
        <f>+V555/AQ555</f>
        <v>5.7810025045466874E-2</v>
      </c>
      <c r="AQ555" s="67">
        <f>+W555*SQRT(T555*U555/S555)</f>
        <v>1.0915061868659048</v>
      </c>
      <c r="AS555" s="67">
        <f>+AP555^2/(AU555-2)*(AU555/(V555/AI555)^2+AU555*AV555^2-AU555+2)</f>
        <v>2.5829877437979947E-3</v>
      </c>
      <c r="AU555" s="67">
        <f>+S555-2</f>
        <v>1727</v>
      </c>
      <c r="AV555" s="67">
        <f>IFERROR(1/(SQRT(AU555/2)*_xlfn.GAMMA(AU555/2-0.5)/_xlfn.GAMMA(AU555/2)),1)</f>
        <v>1</v>
      </c>
      <c r="AW555" s="67" t="s">
        <v>1350</v>
      </c>
    </row>
    <row r="556" spans="1:49" ht="30" customHeight="1" x14ac:dyDescent="0.25">
      <c r="A556" s="67" t="s">
        <v>66</v>
      </c>
      <c r="B556" s="67" t="s">
        <v>293</v>
      </c>
      <c r="C556" s="67" t="s">
        <v>454</v>
      </c>
      <c r="D556" s="67">
        <f t="shared" si="133"/>
        <v>17</v>
      </c>
      <c r="E556" s="67" t="s">
        <v>605</v>
      </c>
      <c r="F556" s="67" t="s">
        <v>871</v>
      </c>
      <c r="G556" s="68" t="s">
        <v>578</v>
      </c>
      <c r="H556" s="67">
        <v>1</v>
      </c>
      <c r="I556" s="67">
        <v>72</v>
      </c>
      <c r="J556" s="67">
        <v>1</v>
      </c>
      <c r="K556" s="68" t="s">
        <v>647</v>
      </c>
      <c r="L556" s="67" t="s">
        <v>240</v>
      </c>
      <c r="M556" s="68" t="s">
        <v>570</v>
      </c>
      <c r="N556" s="67" t="s">
        <v>240</v>
      </c>
      <c r="O556" s="79">
        <f t="shared" si="132"/>
        <v>0.35999999999999988</v>
      </c>
      <c r="P556" s="74" t="s">
        <v>240</v>
      </c>
      <c r="Q556" s="67" t="s">
        <v>240</v>
      </c>
      <c r="R556" s="67" t="s">
        <v>462</v>
      </c>
      <c r="S556" s="67">
        <v>1549</v>
      </c>
      <c r="T556" s="67">
        <f t="shared" si="135"/>
        <v>1021.8014638609333</v>
      </c>
      <c r="U556" s="67">
        <f t="shared" si="134"/>
        <v>527.19853613906673</v>
      </c>
      <c r="V556" s="67">
        <v>-2.5600000000000001E-2</v>
      </c>
      <c r="W556" s="67">
        <v>2.3900000000000001E-2</v>
      </c>
      <c r="AC556" s="67">
        <v>0.74099999999999999</v>
      </c>
      <c r="AI556" s="70">
        <f t="shared" si="131"/>
        <v>2.3900000000000001E-2</v>
      </c>
      <c r="AM556" s="67" t="s">
        <v>30</v>
      </c>
    </row>
    <row r="557" spans="1:49" ht="30" customHeight="1" x14ac:dyDescent="0.25">
      <c r="A557" s="67" t="s">
        <v>66</v>
      </c>
      <c r="B557" s="67" t="s">
        <v>293</v>
      </c>
      <c r="C557" s="67" t="s">
        <v>454</v>
      </c>
      <c r="D557" s="67">
        <f t="shared" si="133"/>
        <v>18</v>
      </c>
      <c r="E557" s="67" t="s">
        <v>605</v>
      </c>
      <c r="F557" s="67" t="s">
        <v>871</v>
      </c>
      <c r="G557" s="68" t="s">
        <v>578</v>
      </c>
      <c r="H557" s="67">
        <v>1</v>
      </c>
      <c r="I557" s="67">
        <v>72</v>
      </c>
      <c r="J557" s="67">
        <v>3</v>
      </c>
      <c r="K557" s="68" t="s">
        <v>867</v>
      </c>
      <c r="L557" s="67" t="s">
        <v>240</v>
      </c>
      <c r="M557" s="68" t="s">
        <v>570</v>
      </c>
      <c r="N557" s="67" t="s">
        <v>240</v>
      </c>
      <c r="O557" s="79">
        <f t="shared" si="132"/>
        <v>0.35999999999999988</v>
      </c>
      <c r="P557" s="74" t="s">
        <v>240</v>
      </c>
      <c r="Q557" s="67" t="s">
        <v>240</v>
      </c>
      <c r="R557" s="67" t="s">
        <v>462</v>
      </c>
      <c r="S557" s="67">
        <v>1549</v>
      </c>
      <c r="T557" s="67">
        <f t="shared" si="135"/>
        <v>1021.8014638609333</v>
      </c>
      <c r="U557" s="67">
        <f t="shared" si="134"/>
        <v>527.19853613906673</v>
      </c>
      <c r="V557" s="67">
        <v>3.3E-3</v>
      </c>
      <c r="W557" s="67">
        <v>1.9699999999999999E-2</v>
      </c>
      <c r="AC557" s="67">
        <v>0.16400000000000001</v>
      </c>
      <c r="AI557" s="70">
        <f t="shared" si="131"/>
        <v>1.9699999999999999E-2</v>
      </c>
      <c r="AM557" s="67" t="s">
        <v>30</v>
      </c>
    </row>
    <row r="558" spans="1:49" ht="30" customHeight="1" x14ac:dyDescent="0.25">
      <c r="A558" s="67" t="s">
        <v>66</v>
      </c>
      <c r="B558" s="67" t="s">
        <v>293</v>
      </c>
      <c r="C558" s="67" t="s">
        <v>454</v>
      </c>
      <c r="D558" s="67">
        <f t="shared" si="133"/>
        <v>19</v>
      </c>
      <c r="E558" s="67" t="s">
        <v>605</v>
      </c>
      <c r="F558" s="67" t="s">
        <v>871</v>
      </c>
      <c r="G558" s="68" t="s">
        <v>578</v>
      </c>
      <c r="H558" s="67">
        <v>1</v>
      </c>
      <c r="I558" s="67">
        <v>72</v>
      </c>
      <c r="J558" s="67">
        <v>2</v>
      </c>
      <c r="K558" s="68" t="s">
        <v>611</v>
      </c>
      <c r="L558" s="67" t="s">
        <v>868</v>
      </c>
      <c r="M558" s="68" t="s">
        <v>570</v>
      </c>
      <c r="N558" s="67" t="s">
        <v>240</v>
      </c>
      <c r="O558" s="79">
        <f t="shared" si="132"/>
        <v>0.35999999999999988</v>
      </c>
      <c r="P558" s="74" t="s">
        <v>240</v>
      </c>
      <c r="Q558" s="67" t="s">
        <v>240</v>
      </c>
      <c r="R558" s="67" t="s">
        <v>462</v>
      </c>
      <c r="S558" s="67">
        <v>1549</v>
      </c>
      <c r="T558" s="67">
        <f t="shared" si="135"/>
        <v>1021.8014638609333</v>
      </c>
      <c r="U558" s="67">
        <f t="shared" si="134"/>
        <v>527.19853613906673</v>
      </c>
      <c r="V558" s="67">
        <v>-312.09530000000001</v>
      </c>
      <c r="W558" s="67">
        <v>337.29680000000002</v>
      </c>
      <c r="AC558" s="67">
        <v>5145</v>
      </c>
      <c r="AI558" s="70">
        <f t="shared" si="131"/>
        <v>337.29680000000002</v>
      </c>
      <c r="AM558" s="67" t="s">
        <v>30</v>
      </c>
      <c r="AP558" s="67">
        <f>+V558/AQ558</f>
        <v>-4.9616983586488896E-2</v>
      </c>
      <c r="AQ558" s="67">
        <f>+W558*SQRT(T558*U558/S558)</f>
        <v>6290.0901554399625</v>
      </c>
      <c r="AS558" s="67">
        <f>+AP558^2/(AU558-2)*(AU558/(V558/AI558)^2+AU558*AV558^2-AU558+2)</f>
        <v>2.8823914808032555E-3</v>
      </c>
      <c r="AU558" s="67">
        <f>+S558-2</f>
        <v>1547</v>
      </c>
      <c r="AV558" s="67">
        <f>IFERROR(1/(SQRT(AU558/2)*_xlfn.GAMMA(AU558/2-0.5)/_xlfn.GAMMA(AU558/2)),1)</f>
        <v>1</v>
      </c>
      <c r="AW558" s="67" t="s">
        <v>1350</v>
      </c>
    </row>
    <row r="559" spans="1:49" ht="30" customHeight="1" x14ac:dyDescent="0.25">
      <c r="A559" s="67" t="s">
        <v>66</v>
      </c>
      <c r="B559" s="67" t="s">
        <v>293</v>
      </c>
      <c r="C559" s="67" t="s">
        <v>454</v>
      </c>
      <c r="D559" s="67">
        <f t="shared" si="133"/>
        <v>20</v>
      </c>
      <c r="E559" s="67" t="s">
        <v>605</v>
      </c>
      <c r="F559" s="67" t="s">
        <v>871</v>
      </c>
      <c r="G559" s="68" t="s">
        <v>578</v>
      </c>
      <c r="H559" s="67">
        <v>1</v>
      </c>
      <c r="I559" s="67">
        <v>72</v>
      </c>
      <c r="J559" s="67">
        <v>5</v>
      </c>
      <c r="K559" s="68" t="s">
        <v>869</v>
      </c>
      <c r="L559" s="67" t="s">
        <v>868</v>
      </c>
      <c r="M559" s="68" t="s">
        <v>570</v>
      </c>
      <c r="N559" s="67" t="s">
        <v>240</v>
      </c>
      <c r="O559" s="79">
        <f t="shared" si="132"/>
        <v>0.35999999999999988</v>
      </c>
      <c r="P559" s="74" t="s">
        <v>240</v>
      </c>
      <c r="Q559" s="67" t="s">
        <v>240</v>
      </c>
      <c r="R559" s="67" t="s">
        <v>462</v>
      </c>
      <c r="S559" s="67">
        <v>1549</v>
      </c>
      <c r="T559" s="67">
        <f t="shared" si="135"/>
        <v>1021.8014638609333</v>
      </c>
      <c r="U559" s="67">
        <f t="shared" si="134"/>
        <v>527.19853613906673</v>
      </c>
      <c r="V559" s="67">
        <v>-2.9000000000000001E-2</v>
      </c>
      <c r="W559" s="67">
        <v>6.1600000000000002E-2</v>
      </c>
      <c r="AC559" s="67">
        <v>8.6539999999999999</v>
      </c>
      <c r="AI559" s="70">
        <f t="shared" si="131"/>
        <v>6.1600000000000002E-2</v>
      </c>
      <c r="AM559" s="67" t="s">
        <v>30</v>
      </c>
      <c r="AP559" s="67">
        <f>+V559/AQ559</f>
        <v>-2.5244840813290044E-2</v>
      </c>
      <c r="AQ559" s="67">
        <f>+W559*SQRT(T559*U559/S559)</f>
        <v>1.1487495688518292</v>
      </c>
      <c r="AS559" s="67">
        <f>+AP559^2/(AU559-2)*(AU559/(V559/AI559)^2+AU559*AV559^2-AU559+2)</f>
        <v>2.8800296127481956E-3</v>
      </c>
      <c r="AU559" s="67">
        <f>+S559-2</f>
        <v>1547</v>
      </c>
      <c r="AV559" s="67">
        <f>IFERROR(1/(SQRT(AU559/2)*_xlfn.GAMMA(AU559/2-0.5)/_xlfn.GAMMA(AU559/2)),1)</f>
        <v>1</v>
      </c>
      <c r="AW559" s="67" t="s">
        <v>1350</v>
      </c>
    </row>
    <row r="560" spans="1:49" ht="30" customHeight="1" x14ac:dyDescent="0.25">
      <c r="A560" s="67" t="s">
        <v>85</v>
      </c>
      <c r="B560" s="67" t="s">
        <v>293</v>
      </c>
      <c r="C560" s="67" t="s">
        <v>463</v>
      </c>
      <c r="D560" s="67">
        <v>1</v>
      </c>
      <c r="E560" s="67" t="s">
        <v>605</v>
      </c>
      <c r="F560" s="67" t="s">
        <v>240</v>
      </c>
      <c r="G560" s="68" t="s">
        <v>578</v>
      </c>
      <c r="H560" s="67">
        <v>0</v>
      </c>
      <c r="I560" s="67">
        <v>8</v>
      </c>
      <c r="J560" s="67">
        <v>1</v>
      </c>
      <c r="K560" s="68" t="s">
        <v>579</v>
      </c>
      <c r="L560" s="67" t="s">
        <v>240</v>
      </c>
      <c r="M560" s="68" t="s">
        <v>872</v>
      </c>
      <c r="N560" s="67" t="s">
        <v>240</v>
      </c>
      <c r="O560" s="67" t="s">
        <v>240</v>
      </c>
      <c r="P560" s="67" t="s">
        <v>240</v>
      </c>
      <c r="Q560" s="67" t="s">
        <v>240</v>
      </c>
      <c r="R560" s="67" t="s">
        <v>311</v>
      </c>
      <c r="S560" s="67">
        <f>T560+U560</f>
        <v>99955</v>
      </c>
      <c r="T560" s="67">
        <v>29917</v>
      </c>
      <c r="U560" s="67">
        <v>70038</v>
      </c>
      <c r="V560" s="67">
        <v>-6.0000000000000001E-3</v>
      </c>
      <c r="W560" s="67">
        <v>0</v>
      </c>
      <c r="AI560" s="96">
        <v>2E-3</v>
      </c>
      <c r="AL560" s="68" t="s">
        <v>873</v>
      </c>
    </row>
    <row r="561" spans="1:49" ht="30" customHeight="1" x14ac:dyDescent="0.25">
      <c r="A561" s="67" t="s">
        <v>85</v>
      </c>
      <c r="B561" s="67" t="s">
        <v>293</v>
      </c>
      <c r="C561" s="67" t="s">
        <v>463</v>
      </c>
      <c r="D561" s="67">
        <f>D560+1</f>
        <v>2</v>
      </c>
      <c r="E561" s="67" t="s">
        <v>605</v>
      </c>
      <c r="F561" s="67" t="s">
        <v>240</v>
      </c>
      <c r="G561" s="68" t="s">
        <v>578</v>
      </c>
      <c r="H561" s="67">
        <v>0</v>
      </c>
      <c r="I561" s="67">
        <v>8</v>
      </c>
      <c r="J561" s="67">
        <v>8</v>
      </c>
      <c r="K561" s="68" t="s">
        <v>874</v>
      </c>
      <c r="L561" s="67" t="s">
        <v>638</v>
      </c>
      <c r="M561" s="68" t="s">
        <v>872</v>
      </c>
      <c r="N561" s="67" t="s">
        <v>240</v>
      </c>
      <c r="O561" s="67" t="s">
        <v>240</v>
      </c>
      <c r="P561" s="67" t="s">
        <v>240</v>
      </c>
      <c r="Q561" s="67" t="s">
        <v>240</v>
      </c>
      <c r="R561" s="67" t="s">
        <v>311</v>
      </c>
      <c r="S561" s="67">
        <f>T561+U561</f>
        <v>99955</v>
      </c>
      <c r="T561" s="67">
        <v>29917</v>
      </c>
      <c r="U561" s="67">
        <v>70038</v>
      </c>
      <c r="V561" s="67">
        <v>-0.122</v>
      </c>
      <c r="W561" s="67">
        <v>8.9999999999999993E-3</v>
      </c>
      <c r="AI561" s="70">
        <f t="shared" ref="AI561:AI572" si="136">+W561</f>
        <v>8.9999999999999993E-3</v>
      </c>
      <c r="AL561" s="68" t="s">
        <v>873</v>
      </c>
      <c r="AP561" s="67">
        <f>+V561/AQ561</f>
        <v>-9.3625401755618246E-2</v>
      </c>
      <c r="AQ561" s="67">
        <f>+W561*SQRT(T561*U561/S561)</f>
        <v>1.3030651694125206</v>
      </c>
      <c r="AS561" s="67">
        <f>+AP561^2/(AU561-2)*(AU561/(V561/AI561)^2+AU561*AV561^2-AU561+2)</f>
        <v>4.7880129609302975E-5</v>
      </c>
      <c r="AU561" s="67">
        <f>+S561-2</f>
        <v>99953</v>
      </c>
      <c r="AV561" s="67">
        <f>IFERROR(1/(SQRT(AU561/2)*_xlfn.GAMMA(AU561/2-0.5)/_xlfn.GAMMA(AU561/2)),1)</f>
        <v>1</v>
      </c>
      <c r="AW561" s="67" t="s">
        <v>1350</v>
      </c>
    </row>
    <row r="562" spans="1:49" ht="30" customHeight="1" x14ac:dyDescent="0.25">
      <c r="A562" s="77" t="s">
        <v>98</v>
      </c>
      <c r="B562" s="72" t="s">
        <v>207</v>
      </c>
      <c r="C562" s="77" t="s">
        <v>98</v>
      </c>
      <c r="D562" s="67">
        <v>1</v>
      </c>
      <c r="E562" s="67" t="s">
        <v>568</v>
      </c>
      <c r="F562" s="76" t="s">
        <v>240</v>
      </c>
      <c r="G562" s="68" t="s">
        <v>578</v>
      </c>
      <c r="H562" s="67">
        <v>0</v>
      </c>
      <c r="I562" s="76">
        <v>5.5</v>
      </c>
      <c r="J562" s="67">
        <v>1</v>
      </c>
      <c r="K562" s="68" t="s">
        <v>875</v>
      </c>
      <c r="L562" s="67" t="s">
        <v>240</v>
      </c>
      <c r="M562" s="68" t="s">
        <v>570</v>
      </c>
      <c r="N562" s="67" t="s">
        <v>240</v>
      </c>
      <c r="O562" s="67" t="s">
        <v>240</v>
      </c>
      <c r="P562" s="67" t="s">
        <v>240</v>
      </c>
      <c r="Q562" s="67" t="s">
        <v>240</v>
      </c>
      <c r="R562" s="67" t="s">
        <v>462</v>
      </c>
      <c r="S562" s="67">
        <f>T562+U562</f>
        <v>198</v>
      </c>
      <c r="T562" s="67">
        <v>87</v>
      </c>
      <c r="U562" s="67">
        <v>111</v>
      </c>
      <c r="V562" s="67">
        <v>0.13800000000000001</v>
      </c>
      <c r="W562" s="67">
        <v>5.8999999999999997E-2</v>
      </c>
      <c r="AI562" s="70">
        <f t="shared" si="136"/>
        <v>5.8999999999999997E-2</v>
      </c>
      <c r="AL562" s="68" t="s">
        <v>1364</v>
      </c>
    </row>
    <row r="563" spans="1:49" ht="30" customHeight="1" x14ac:dyDescent="0.25">
      <c r="A563" s="67" t="s">
        <v>135</v>
      </c>
      <c r="B563" s="67" t="s">
        <v>293</v>
      </c>
      <c r="C563" s="67" t="s">
        <v>474</v>
      </c>
      <c r="D563" s="67">
        <v>1</v>
      </c>
      <c r="E563" s="67" t="s">
        <v>605</v>
      </c>
      <c r="F563" s="67" t="s">
        <v>240</v>
      </c>
      <c r="G563" s="68" t="s">
        <v>578</v>
      </c>
      <c r="H563" s="67">
        <v>1</v>
      </c>
      <c r="I563" s="67">
        <v>24</v>
      </c>
      <c r="J563" s="67">
        <v>1</v>
      </c>
      <c r="K563" s="68" t="s">
        <v>876</v>
      </c>
      <c r="L563" s="67" t="s">
        <v>240</v>
      </c>
      <c r="M563" s="68" t="s">
        <v>570</v>
      </c>
      <c r="N563" s="67" t="s">
        <v>240</v>
      </c>
      <c r="O563" s="79">
        <v>2.4E-2</v>
      </c>
      <c r="P563" s="67" t="s">
        <v>240</v>
      </c>
      <c r="Q563" s="67" t="s">
        <v>240</v>
      </c>
      <c r="R563" s="67" t="s">
        <v>238</v>
      </c>
      <c r="S563" s="67">
        <f>T563+U563</f>
        <v>1968</v>
      </c>
      <c r="T563" s="67">
        <v>972</v>
      </c>
      <c r="U563" s="67">
        <v>996</v>
      </c>
      <c r="V563" s="67">
        <v>2.07E-2</v>
      </c>
      <c r="W563" s="67">
        <v>2.2200000000000001E-2</v>
      </c>
      <c r="AC563" s="67">
        <v>0.35799999999999998</v>
      </c>
      <c r="AI563" s="70">
        <f t="shared" si="136"/>
        <v>2.2200000000000001E-2</v>
      </c>
      <c r="AM563" s="67" t="s">
        <v>30</v>
      </c>
    </row>
    <row r="564" spans="1:49" ht="30" customHeight="1" x14ac:dyDescent="0.25">
      <c r="A564" s="67" t="s">
        <v>135</v>
      </c>
      <c r="B564" s="67" t="s">
        <v>293</v>
      </c>
      <c r="C564" s="67" t="s">
        <v>474</v>
      </c>
      <c r="D564" s="67">
        <f>D563+1</f>
        <v>2</v>
      </c>
      <c r="E564" s="67" t="s">
        <v>605</v>
      </c>
      <c r="F564" s="67" t="s">
        <v>240</v>
      </c>
      <c r="G564" s="68" t="s">
        <v>578</v>
      </c>
      <c r="H564" s="67">
        <v>1</v>
      </c>
      <c r="I564" s="67">
        <v>24</v>
      </c>
      <c r="J564" s="67">
        <v>6</v>
      </c>
      <c r="K564" s="68" t="s">
        <v>877</v>
      </c>
      <c r="L564" s="67" t="s">
        <v>240</v>
      </c>
      <c r="M564" s="68" t="s">
        <v>570</v>
      </c>
      <c r="N564" s="67" t="s">
        <v>240</v>
      </c>
      <c r="O564" s="79">
        <v>2.4E-2</v>
      </c>
      <c r="P564" s="67" t="s">
        <v>240</v>
      </c>
      <c r="Q564" s="67" t="s">
        <v>240</v>
      </c>
      <c r="R564" s="67" t="s">
        <v>238</v>
      </c>
      <c r="S564" s="67">
        <f>T564+U564</f>
        <v>1968</v>
      </c>
      <c r="T564" s="67">
        <v>972</v>
      </c>
      <c r="U564" s="67">
        <v>996</v>
      </c>
      <c r="V564" s="67">
        <v>509.4</v>
      </c>
      <c r="W564" s="67">
        <v>527.79999999999995</v>
      </c>
      <c r="AC564" s="67">
        <v>4950</v>
      </c>
      <c r="AI564" s="70">
        <f t="shared" si="136"/>
        <v>527.79999999999995</v>
      </c>
      <c r="AL564" s="68" t="s">
        <v>878</v>
      </c>
      <c r="AM564" s="67" t="s">
        <v>30</v>
      </c>
      <c r="AP564" s="67">
        <f>+V564/AQ564</f>
        <v>4.351503128731251E-2</v>
      </c>
      <c r="AQ564" s="67">
        <f>+W564*SQRT(T564*U564/S564)</f>
        <v>11706.299752759767</v>
      </c>
      <c r="AS564" s="67">
        <f>+AP564^2/(AU564-2)*(AU564/(V564/AI564)^2+AU564*AV564^2-AU564+2)</f>
        <v>2.0368209995321566E-3</v>
      </c>
      <c r="AU564" s="67">
        <f>+S564-2</f>
        <v>1966</v>
      </c>
      <c r="AV564" s="67">
        <f>IFERROR(1/(SQRT(AU564/2)*_xlfn.GAMMA(AU564/2-0.5)/_xlfn.GAMMA(AU564/2)),1)</f>
        <v>1</v>
      </c>
      <c r="AW564" s="67" t="s">
        <v>1350</v>
      </c>
    </row>
    <row r="565" spans="1:49" ht="30" customHeight="1" x14ac:dyDescent="0.25">
      <c r="A565" s="72" t="s">
        <v>72</v>
      </c>
      <c r="B565" s="67" t="s">
        <v>221</v>
      </c>
      <c r="C565" s="72" t="s">
        <v>159</v>
      </c>
      <c r="D565" s="67">
        <v>1</v>
      </c>
      <c r="E565" s="67" t="s">
        <v>577</v>
      </c>
      <c r="F565" s="73" t="s">
        <v>240</v>
      </c>
      <c r="G565" s="73" t="s">
        <v>578</v>
      </c>
      <c r="H565" s="67">
        <v>1</v>
      </c>
      <c r="I565" s="67">
        <v>6</v>
      </c>
      <c r="J565" s="67">
        <v>1</v>
      </c>
      <c r="K565" s="68" t="s">
        <v>879</v>
      </c>
      <c r="L565" s="67" t="s">
        <v>240</v>
      </c>
      <c r="M565" s="73" t="s">
        <v>570</v>
      </c>
      <c r="N565" s="73" t="s">
        <v>240</v>
      </c>
      <c r="O565" s="97">
        <f t="shared" ref="O565:O572" si="137">1-439/594</f>
        <v>0.26094276094276092</v>
      </c>
      <c r="P565" s="98">
        <v>3.5000000000000003E-2</v>
      </c>
      <c r="Q565" s="98">
        <v>3.7999999999999999E-2</v>
      </c>
      <c r="R565" s="67" t="s">
        <v>462</v>
      </c>
      <c r="S565" s="67">
        <v>439</v>
      </c>
      <c r="T565" s="67">
        <v>298</v>
      </c>
      <c r="U565" s="67">
        <v>141</v>
      </c>
      <c r="V565" s="67">
        <v>5.2999999999999999E-2</v>
      </c>
      <c r="W565" s="67">
        <v>0.02</v>
      </c>
      <c r="X565" s="67">
        <v>3.6999999999999998E-2</v>
      </c>
      <c r="Y565" s="67">
        <v>2.8000000000000001E-2</v>
      </c>
      <c r="Z565" s="67">
        <v>1.6E-2</v>
      </c>
      <c r="AC565" s="67">
        <v>0.05</v>
      </c>
      <c r="AI565" s="70">
        <f t="shared" si="136"/>
        <v>0.02</v>
      </c>
      <c r="AL565" s="68" t="s">
        <v>880</v>
      </c>
    </row>
    <row r="566" spans="1:49" ht="30" customHeight="1" x14ac:dyDescent="0.25">
      <c r="A566" s="72" t="s">
        <v>72</v>
      </c>
      <c r="B566" s="67" t="s">
        <v>221</v>
      </c>
      <c r="C566" s="72" t="s">
        <v>159</v>
      </c>
      <c r="D566" s="67">
        <f t="shared" ref="D566:D572" si="138">D565+1</f>
        <v>2</v>
      </c>
      <c r="E566" s="67" t="s">
        <v>577</v>
      </c>
      <c r="F566" s="73" t="s">
        <v>240</v>
      </c>
      <c r="G566" s="73" t="s">
        <v>578</v>
      </c>
      <c r="H566" s="67">
        <v>1</v>
      </c>
      <c r="I566" s="67">
        <v>18</v>
      </c>
      <c r="J566" s="67">
        <v>1</v>
      </c>
      <c r="K566" s="68" t="s">
        <v>879</v>
      </c>
      <c r="L566" s="67" t="s">
        <v>240</v>
      </c>
      <c r="M566" s="73" t="s">
        <v>570</v>
      </c>
      <c r="N566" s="73" t="s">
        <v>240</v>
      </c>
      <c r="O566" s="97">
        <f t="shared" si="137"/>
        <v>0.26094276094276092</v>
      </c>
      <c r="P566" s="98">
        <v>3.5000000000000003E-2</v>
      </c>
      <c r="Q566" s="98">
        <v>3.7999999999999999E-2</v>
      </c>
      <c r="R566" s="67" t="s">
        <v>462</v>
      </c>
      <c r="S566" s="67">
        <v>439</v>
      </c>
      <c r="T566" s="67">
        <v>298</v>
      </c>
      <c r="U566" s="67">
        <v>141</v>
      </c>
      <c r="V566" s="67">
        <v>6.4000000000000001E-2</v>
      </c>
      <c r="W566" s="67">
        <v>0.03</v>
      </c>
      <c r="X566" s="67">
        <v>3.6999999999999998E-2</v>
      </c>
      <c r="Y566" s="67">
        <v>2.8000000000000001E-2</v>
      </c>
      <c r="Z566" s="67">
        <v>1.6E-2</v>
      </c>
      <c r="AC566" s="67">
        <v>0.08</v>
      </c>
      <c r="AI566" s="70">
        <f t="shared" si="136"/>
        <v>0.03</v>
      </c>
      <c r="AL566" s="68" t="s">
        <v>880</v>
      </c>
    </row>
    <row r="567" spans="1:49" ht="30" customHeight="1" x14ac:dyDescent="0.25">
      <c r="A567" s="72" t="s">
        <v>72</v>
      </c>
      <c r="B567" s="67" t="s">
        <v>221</v>
      </c>
      <c r="C567" s="72" t="s">
        <v>159</v>
      </c>
      <c r="D567" s="67">
        <f t="shared" si="138"/>
        <v>3</v>
      </c>
      <c r="E567" s="67" t="s">
        <v>577</v>
      </c>
      <c r="F567" s="73" t="s">
        <v>240</v>
      </c>
      <c r="G567" s="73" t="s">
        <v>578</v>
      </c>
      <c r="H567" s="67">
        <v>1</v>
      </c>
      <c r="I567" s="67">
        <v>6</v>
      </c>
      <c r="J567" s="67">
        <v>2</v>
      </c>
      <c r="K567" s="68" t="s">
        <v>611</v>
      </c>
      <c r="L567" s="68" t="s">
        <v>881</v>
      </c>
      <c r="M567" s="73" t="s">
        <v>570</v>
      </c>
      <c r="N567" s="67" t="s">
        <v>240</v>
      </c>
      <c r="O567" s="97">
        <f t="shared" si="137"/>
        <v>0.26094276094276092</v>
      </c>
      <c r="P567" s="98">
        <v>3.5000000000000003E-2</v>
      </c>
      <c r="Q567" s="98">
        <v>3.7999999999999999E-2</v>
      </c>
      <c r="R567" s="67" t="s">
        <v>462</v>
      </c>
      <c r="S567" s="67">
        <v>439</v>
      </c>
      <c r="T567" s="67">
        <v>298</v>
      </c>
      <c r="U567" s="67">
        <v>141</v>
      </c>
      <c r="V567" s="67">
        <v>138.19</v>
      </c>
      <c r="W567" s="67">
        <v>69</v>
      </c>
      <c r="X567" s="67">
        <v>52.91</v>
      </c>
      <c r="Y567" s="67">
        <v>30.41</v>
      </c>
      <c r="Z567" s="67">
        <v>187.17</v>
      </c>
      <c r="AC567" s="67">
        <v>91.23</v>
      </c>
      <c r="AI567" s="70">
        <f t="shared" si="136"/>
        <v>69</v>
      </c>
      <c r="AL567" s="68" t="s">
        <v>880</v>
      </c>
      <c r="AP567" s="67">
        <f>+V567/AQ567</f>
        <v>0.20471143273827491</v>
      </c>
      <c r="AQ567" s="67">
        <f>+W567*SQRT(T567*U567/S567)</f>
        <v>675.04778874112492</v>
      </c>
      <c r="AS567" s="67">
        <f>+AP567^2/(AU567-2)*(AU567/(V567/AI567)^2+AU567*AV567^2-AU567+2)</f>
        <v>1.0688614424251718E-2</v>
      </c>
      <c r="AU567" s="67">
        <f>+S567-2</f>
        <v>437</v>
      </c>
      <c r="AV567" s="67">
        <f>IFERROR(1/(SQRT(AU567/2)*_xlfn.GAMMA(AU567/2-0.5)/_xlfn.GAMMA(AU567/2)),1)</f>
        <v>1</v>
      </c>
      <c r="AW567" s="67" t="s">
        <v>1350</v>
      </c>
    </row>
    <row r="568" spans="1:49" ht="30" customHeight="1" x14ac:dyDescent="0.25">
      <c r="A568" s="72" t="s">
        <v>72</v>
      </c>
      <c r="B568" s="67" t="s">
        <v>221</v>
      </c>
      <c r="C568" s="72" t="s">
        <v>159</v>
      </c>
      <c r="D568" s="67">
        <f t="shared" si="138"/>
        <v>4</v>
      </c>
      <c r="E568" s="67" t="s">
        <v>577</v>
      </c>
      <c r="F568" s="73" t="s">
        <v>240</v>
      </c>
      <c r="G568" s="73" t="s">
        <v>578</v>
      </c>
      <c r="H568" s="67">
        <v>1</v>
      </c>
      <c r="I568" s="67">
        <v>18</v>
      </c>
      <c r="J568" s="67">
        <v>2</v>
      </c>
      <c r="K568" s="68" t="s">
        <v>611</v>
      </c>
      <c r="L568" s="68" t="s">
        <v>881</v>
      </c>
      <c r="M568" s="73" t="s">
        <v>570</v>
      </c>
      <c r="N568" s="67" t="s">
        <v>240</v>
      </c>
      <c r="O568" s="97">
        <f t="shared" si="137"/>
        <v>0.26094276094276092</v>
      </c>
      <c r="P568" s="98">
        <v>3.5000000000000003E-2</v>
      </c>
      <c r="Q568" s="98">
        <v>3.7999999999999999E-2</v>
      </c>
      <c r="R568" s="67" t="s">
        <v>462</v>
      </c>
      <c r="S568" s="67">
        <v>439</v>
      </c>
      <c r="T568" s="67">
        <v>298</v>
      </c>
      <c r="U568" s="67">
        <v>141</v>
      </c>
      <c r="V568" s="67">
        <v>199.05</v>
      </c>
      <c r="W568" s="67">
        <v>95.74</v>
      </c>
      <c r="X568" s="67">
        <v>52.91</v>
      </c>
      <c r="Y568" s="67">
        <v>30.41</v>
      </c>
      <c r="Z568" s="67">
        <v>187.17</v>
      </c>
      <c r="AC568" s="67">
        <v>207.9</v>
      </c>
      <c r="AI568" s="70">
        <f t="shared" si="136"/>
        <v>95.74</v>
      </c>
      <c r="AL568" s="68" t="s">
        <v>880</v>
      </c>
      <c r="AP568" s="67">
        <f>+V568/AQ568</f>
        <v>0.21251193735181093</v>
      </c>
      <c r="AQ568" s="67">
        <f>+W568*SQRT(T568*U568/S568)</f>
        <v>936.65326513152604</v>
      </c>
      <c r="AS568" s="67">
        <f>+AP568^2/(AU568-2)*(AU568/(V568/AI568)^2+AU568*AV568^2-AU568+2)</f>
        <v>1.0703577885508091E-2</v>
      </c>
      <c r="AU568" s="67">
        <f>+S568-2</f>
        <v>437</v>
      </c>
      <c r="AV568" s="67">
        <f>IFERROR(1/(SQRT(AU568/2)*_xlfn.GAMMA(AU568/2-0.5)/_xlfn.GAMMA(AU568/2)),1)</f>
        <v>1</v>
      </c>
      <c r="AW568" s="67" t="s">
        <v>1350</v>
      </c>
    </row>
    <row r="569" spans="1:49" ht="30" customHeight="1" x14ac:dyDescent="0.25">
      <c r="A569" s="72" t="s">
        <v>72</v>
      </c>
      <c r="B569" s="67" t="s">
        <v>221</v>
      </c>
      <c r="C569" s="72" t="s">
        <v>159</v>
      </c>
      <c r="D569" s="67">
        <f t="shared" si="138"/>
        <v>5</v>
      </c>
      <c r="E569" s="67" t="s">
        <v>577</v>
      </c>
      <c r="F569" s="73" t="s">
        <v>240</v>
      </c>
      <c r="G569" s="73" t="s">
        <v>578</v>
      </c>
      <c r="H569" s="67">
        <v>0</v>
      </c>
      <c r="I569" s="67">
        <v>6</v>
      </c>
      <c r="J569" s="67">
        <v>1</v>
      </c>
      <c r="K569" s="68" t="s">
        <v>879</v>
      </c>
      <c r="L569" s="67" t="s">
        <v>240</v>
      </c>
      <c r="M569" s="73" t="s">
        <v>570</v>
      </c>
      <c r="N569" s="73" t="s">
        <v>240</v>
      </c>
      <c r="O569" s="97">
        <f t="shared" si="137"/>
        <v>0.26094276094276092</v>
      </c>
      <c r="P569" s="98">
        <v>3.5000000000000003E-2</v>
      </c>
      <c r="Q569" s="98">
        <v>3.7999999999999999E-2</v>
      </c>
      <c r="R569" s="67" t="s">
        <v>712</v>
      </c>
      <c r="S569" s="67">
        <v>439</v>
      </c>
      <c r="T569" s="67">
        <v>298</v>
      </c>
      <c r="U569" s="67">
        <v>141</v>
      </c>
      <c r="V569" s="67">
        <v>9.2999999999999999E-2</v>
      </c>
      <c r="W569" s="67">
        <v>4.2999999999999997E-2</v>
      </c>
      <c r="X569" s="67">
        <v>3.6999999999999998E-2</v>
      </c>
      <c r="Y569" s="67">
        <v>2.8000000000000001E-2</v>
      </c>
      <c r="Z569" s="67">
        <v>1.6E-2</v>
      </c>
      <c r="AC569" s="67">
        <v>0.05</v>
      </c>
      <c r="AI569" s="70">
        <f t="shared" si="136"/>
        <v>4.2999999999999997E-2</v>
      </c>
      <c r="AL569" s="68" t="s">
        <v>880</v>
      </c>
    </row>
    <row r="570" spans="1:49" ht="30" customHeight="1" x14ac:dyDescent="0.25">
      <c r="A570" s="72" t="s">
        <v>72</v>
      </c>
      <c r="B570" s="67" t="s">
        <v>221</v>
      </c>
      <c r="C570" s="72" t="s">
        <v>159</v>
      </c>
      <c r="D570" s="67">
        <f t="shared" si="138"/>
        <v>6</v>
      </c>
      <c r="E570" s="67" t="s">
        <v>577</v>
      </c>
      <c r="F570" s="73" t="s">
        <v>240</v>
      </c>
      <c r="G570" s="73" t="s">
        <v>578</v>
      </c>
      <c r="H570" s="67">
        <v>0</v>
      </c>
      <c r="I570" s="67">
        <v>18</v>
      </c>
      <c r="J570" s="67">
        <v>1</v>
      </c>
      <c r="K570" s="68" t="s">
        <v>879</v>
      </c>
      <c r="L570" s="67" t="s">
        <v>240</v>
      </c>
      <c r="M570" s="73" t="s">
        <v>570</v>
      </c>
      <c r="N570" s="73" t="s">
        <v>240</v>
      </c>
      <c r="O570" s="97">
        <f t="shared" si="137"/>
        <v>0.26094276094276092</v>
      </c>
      <c r="P570" s="98">
        <v>3.5000000000000003E-2</v>
      </c>
      <c r="Q570" s="98">
        <v>3.7999999999999999E-2</v>
      </c>
      <c r="R570" s="67" t="s">
        <v>712</v>
      </c>
      <c r="S570" s="67">
        <v>439</v>
      </c>
      <c r="T570" s="67">
        <v>298</v>
      </c>
      <c r="U570" s="67">
        <v>141</v>
      </c>
      <c r="V570" s="67">
        <v>0.114</v>
      </c>
      <c r="W570" s="67">
        <v>5.3999999999999999E-2</v>
      </c>
      <c r="X570" s="67">
        <v>3.6999999999999998E-2</v>
      </c>
      <c r="Y570" s="67">
        <v>2.8000000000000001E-2</v>
      </c>
      <c r="Z570" s="67">
        <v>1.6E-2</v>
      </c>
      <c r="AC570" s="67">
        <v>0.08</v>
      </c>
      <c r="AI570" s="70">
        <f t="shared" si="136"/>
        <v>5.3999999999999999E-2</v>
      </c>
      <c r="AL570" s="68" t="s">
        <v>880</v>
      </c>
    </row>
    <row r="571" spans="1:49" ht="30" customHeight="1" x14ac:dyDescent="0.25">
      <c r="A571" s="72" t="s">
        <v>72</v>
      </c>
      <c r="B571" s="67" t="s">
        <v>221</v>
      </c>
      <c r="C571" s="72" t="s">
        <v>159</v>
      </c>
      <c r="D571" s="67">
        <f t="shared" si="138"/>
        <v>7</v>
      </c>
      <c r="E571" s="67" t="s">
        <v>577</v>
      </c>
      <c r="F571" s="73" t="s">
        <v>240</v>
      </c>
      <c r="G571" s="73" t="s">
        <v>578</v>
      </c>
      <c r="H571" s="67">
        <v>0</v>
      </c>
      <c r="I571" s="67">
        <v>6</v>
      </c>
      <c r="J571" s="67">
        <v>2</v>
      </c>
      <c r="K571" s="68" t="s">
        <v>611</v>
      </c>
      <c r="L571" s="68" t="s">
        <v>881</v>
      </c>
      <c r="M571" s="73" t="s">
        <v>570</v>
      </c>
      <c r="N571" s="67" t="s">
        <v>240</v>
      </c>
      <c r="O571" s="97">
        <f t="shared" si="137"/>
        <v>0.26094276094276092</v>
      </c>
      <c r="P571" s="98">
        <v>3.5000000000000003E-2</v>
      </c>
      <c r="Q571" s="98">
        <v>3.7999999999999999E-2</v>
      </c>
      <c r="R571" s="67" t="s">
        <v>712</v>
      </c>
      <c r="S571" s="67">
        <v>439</v>
      </c>
      <c r="T571" s="67">
        <v>298</v>
      </c>
      <c r="U571" s="67">
        <v>141</v>
      </c>
      <c r="V571" s="67">
        <v>244.02</v>
      </c>
      <c r="W571" s="67">
        <v>120.95</v>
      </c>
      <c r="X571" s="67">
        <v>52.91</v>
      </c>
      <c r="Y571" s="67">
        <v>30.41</v>
      </c>
      <c r="Z571" s="67">
        <v>187.17</v>
      </c>
      <c r="AC571" s="67">
        <v>91.23</v>
      </c>
      <c r="AI571" s="70">
        <f t="shared" si="136"/>
        <v>120.95</v>
      </c>
      <c r="AL571" s="68" t="s">
        <v>880</v>
      </c>
      <c r="AP571" s="67">
        <f>+V571/AQ571</f>
        <v>0.20622158564802742</v>
      </c>
      <c r="AQ571" s="67">
        <f>+W571*SQRT(T571*U571/S571)</f>
        <v>1183.2902905541894</v>
      </c>
      <c r="AS571" s="67">
        <f>+AP571^2/(AU571-2)*(AU571/(V571/AI571)^2+AU571*AV571^2-AU571+2)</f>
        <v>1.0691467627439884E-2</v>
      </c>
      <c r="AU571" s="67">
        <f>+S571-2</f>
        <v>437</v>
      </c>
      <c r="AV571" s="67">
        <f>IFERROR(1/(SQRT(AU571/2)*_xlfn.GAMMA(AU571/2-0.5)/_xlfn.GAMMA(AU571/2)),1)</f>
        <v>1</v>
      </c>
      <c r="AW571" s="67" t="s">
        <v>1350</v>
      </c>
    </row>
    <row r="572" spans="1:49" ht="30" customHeight="1" x14ac:dyDescent="0.25">
      <c r="A572" s="72" t="s">
        <v>72</v>
      </c>
      <c r="B572" s="67" t="s">
        <v>221</v>
      </c>
      <c r="C572" s="72" t="s">
        <v>159</v>
      </c>
      <c r="D572" s="67">
        <f t="shared" si="138"/>
        <v>8</v>
      </c>
      <c r="E572" s="67" t="s">
        <v>577</v>
      </c>
      <c r="F572" s="73" t="s">
        <v>240</v>
      </c>
      <c r="G572" s="73" t="s">
        <v>578</v>
      </c>
      <c r="H572" s="67">
        <v>0</v>
      </c>
      <c r="I572" s="67">
        <v>18</v>
      </c>
      <c r="J572" s="67">
        <v>2</v>
      </c>
      <c r="K572" s="68" t="s">
        <v>611</v>
      </c>
      <c r="L572" s="68" t="s">
        <v>881</v>
      </c>
      <c r="M572" s="73" t="s">
        <v>570</v>
      </c>
      <c r="N572" s="67" t="s">
        <v>240</v>
      </c>
      <c r="O572" s="97">
        <f t="shared" si="137"/>
        <v>0.26094276094276092</v>
      </c>
      <c r="P572" s="98">
        <v>3.5000000000000003E-2</v>
      </c>
      <c r="Q572" s="98">
        <v>3.7999999999999999E-2</v>
      </c>
      <c r="R572" s="67" t="s">
        <v>712</v>
      </c>
      <c r="S572" s="67">
        <v>439</v>
      </c>
      <c r="T572" s="67">
        <v>298</v>
      </c>
      <c r="U572" s="67">
        <v>141</v>
      </c>
      <c r="V572" s="67">
        <v>352.62</v>
      </c>
      <c r="W572" s="67">
        <v>168.84</v>
      </c>
      <c r="X572" s="67">
        <v>52.91</v>
      </c>
      <c r="Y572" s="67">
        <v>30.41</v>
      </c>
      <c r="Z572" s="67">
        <v>187.17</v>
      </c>
      <c r="AC572" s="67">
        <v>207.9</v>
      </c>
      <c r="AI572" s="70">
        <f t="shared" si="136"/>
        <v>168.84</v>
      </c>
      <c r="AL572" s="68" t="s">
        <v>880</v>
      </c>
      <c r="AP572" s="67">
        <f>+V572/AQ572</f>
        <v>0.21347458078302742</v>
      </c>
      <c r="AQ572" s="67">
        <f>+W572*SQRT(T572*U572/S572)</f>
        <v>1651.8125891456746</v>
      </c>
      <c r="AS572" s="67">
        <f>+AP572^2/(AU572-2)*(AU572/(V572/AI572)^2+AU572*AV572^2-AU572+2)</f>
        <v>1.0705463279179209E-2</v>
      </c>
      <c r="AU572" s="67">
        <f>+S572-2</f>
        <v>437</v>
      </c>
      <c r="AV572" s="67">
        <f>IFERROR(1/(SQRT(AU572/2)*_xlfn.GAMMA(AU572/2-0.5)/_xlfn.GAMMA(AU572/2)),1)</f>
        <v>1</v>
      </c>
      <c r="AW572" s="67" t="s">
        <v>1350</v>
      </c>
    </row>
    <row r="573" spans="1:49" ht="30" customHeight="1" x14ac:dyDescent="0.25">
      <c r="A573" s="67" t="s">
        <v>106</v>
      </c>
      <c r="B573" s="67" t="s">
        <v>293</v>
      </c>
      <c r="C573" s="67" t="s">
        <v>485</v>
      </c>
      <c r="D573" s="67">
        <v>1</v>
      </c>
      <c r="E573" s="67" t="s">
        <v>605</v>
      </c>
      <c r="F573" s="67" t="s">
        <v>240</v>
      </c>
      <c r="G573" s="68" t="s">
        <v>578</v>
      </c>
      <c r="H573" s="67">
        <v>1</v>
      </c>
      <c r="I573" s="67">
        <v>24</v>
      </c>
      <c r="J573" s="67">
        <v>1</v>
      </c>
      <c r="K573" s="68" t="s">
        <v>882</v>
      </c>
      <c r="L573" s="67" t="s">
        <v>240</v>
      </c>
      <c r="M573" s="68" t="s">
        <v>570</v>
      </c>
      <c r="N573" s="67" t="s">
        <v>240</v>
      </c>
      <c r="O573" s="69">
        <f t="shared" ref="O573:O584" si="139">1-0.88</f>
        <v>0.12</v>
      </c>
      <c r="P573" s="74">
        <v>-2.4E-2</v>
      </c>
      <c r="Q573" s="67" t="s">
        <v>240</v>
      </c>
      <c r="R573" s="67" t="s">
        <v>883</v>
      </c>
      <c r="S573" s="67">
        <f>T573+U573</f>
        <v>1306</v>
      </c>
      <c r="T573" s="67">
        <v>665</v>
      </c>
      <c r="U573" s="67">
        <v>641</v>
      </c>
      <c r="V573" s="67">
        <v>-2.5999999999999999E-2</v>
      </c>
      <c r="AB573" s="67">
        <v>54.7</v>
      </c>
      <c r="AC573" s="67">
        <v>57.3</v>
      </c>
      <c r="AF573" s="67">
        <f t="shared" ref="AF573:AF616" si="140">_xlfn.T.INV.2T(AH573,S573-2)</f>
        <v>0.93881420580469266</v>
      </c>
      <c r="AH573" s="70">
        <v>0.34799999999999998</v>
      </c>
      <c r="AI573" s="67">
        <f t="shared" ref="AI573:AI616" si="141">ABS(V573/AF573)</f>
        <v>2.7694510627600089E-2</v>
      </c>
      <c r="AL573" s="68" t="s">
        <v>884</v>
      </c>
      <c r="AM573" s="67" t="s">
        <v>308</v>
      </c>
      <c r="AN573" s="67" t="s">
        <v>24</v>
      </c>
      <c r="AO573" s="67" t="s">
        <v>885</v>
      </c>
    </row>
    <row r="574" spans="1:49" ht="30" customHeight="1" x14ac:dyDescent="0.25">
      <c r="A574" s="67" t="s">
        <v>106</v>
      </c>
      <c r="B574" s="67" t="s">
        <v>293</v>
      </c>
      <c r="C574" s="67" t="s">
        <v>485</v>
      </c>
      <c r="D574" s="67">
        <f t="shared" ref="D574:D584" si="142">D573+1</f>
        <v>2</v>
      </c>
      <c r="E574" s="67" t="s">
        <v>605</v>
      </c>
      <c r="F574" s="67" t="s">
        <v>240</v>
      </c>
      <c r="G574" s="68" t="s">
        <v>578</v>
      </c>
      <c r="H574" s="67">
        <v>1</v>
      </c>
      <c r="I574" s="67">
        <v>24</v>
      </c>
      <c r="J574" s="67">
        <v>2</v>
      </c>
      <c r="K574" s="68" t="s">
        <v>886</v>
      </c>
      <c r="L574" s="67" t="s">
        <v>887</v>
      </c>
      <c r="M574" s="68" t="s">
        <v>570</v>
      </c>
      <c r="N574" s="67" t="s">
        <v>240</v>
      </c>
      <c r="O574" s="69">
        <f t="shared" si="139"/>
        <v>0.12</v>
      </c>
      <c r="P574" s="74">
        <v>-2.4E-2</v>
      </c>
      <c r="Q574" s="67" t="s">
        <v>240</v>
      </c>
      <c r="R574" s="67" t="s">
        <v>883</v>
      </c>
      <c r="S574" s="67">
        <f>T574+U574</f>
        <v>1306</v>
      </c>
      <c r="T574" s="67">
        <v>665</v>
      </c>
      <c r="U574" s="67">
        <v>641</v>
      </c>
      <c r="V574" s="67">
        <v>-592</v>
      </c>
      <c r="AB574" s="67">
        <v>13502</v>
      </c>
      <c r="AC574" s="67">
        <v>14094</v>
      </c>
      <c r="AF574" s="67">
        <f t="shared" si="140"/>
        <v>0.70329094107689527</v>
      </c>
      <c r="AH574" s="70">
        <v>0.48199999999999998</v>
      </c>
      <c r="AI574" s="67">
        <f t="shared" si="141"/>
        <v>841.75689664581205</v>
      </c>
      <c r="AL574" s="68" t="s">
        <v>884</v>
      </c>
      <c r="AM574" s="67" t="s">
        <v>308</v>
      </c>
      <c r="AN574" s="67" t="s">
        <v>24</v>
      </c>
      <c r="AO574" s="67" t="s">
        <v>885</v>
      </c>
      <c r="AP574" s="67">
        <f>+V574/AQ574</f>
        <v>-3.8928419752137629E-2</v>
      </c>
      <c r="AQ574" s="67">
        <f>+AI574*SQRT(T574*U574/S574)</f>
        <v>15207.398701754191</v>
      </c>
      <c r="AS574" s="67">
        <f>+AP574^2/(AU574-2)*(AU574/(V574/AI574)^2+AU574*AV574^2-AU574+2)</f>
        <v>3.0708559694491619E-3</v>
      </c>
      <c r="AU574" s="67">
        <f>+S574-2</f>
        <v>1304</v>
      </c>
      <c r="AV574" s="67">
        <f>IFERROR(1/(SQRT(AU574/2)*_xlfn.GAMMA(AU574/2-0.5)/_xlfn.GAMMA(AU574/2)),1)</f>
        <v>1</v>
      </c>
      <c r="AW574" s="67" t="s">
        <v>1350</v>
      </c>
    </row>
    <row r="575" spans="1:49" ht="30" customHeight="1" x14ac:dyDescent="0.25">
      <c r="A575" s="67" t="s">
        <v>106</v>
      </c>
      <c r="B575" s="67" t="s">
        <v>293</v>
      </c>
      <c r="C575" s="67" t="s">
        <v>485</v>
      </c>
      <c r="D575" s="67">
        <f t="shared" si="142"/>
        <v>3</v>
      </c>
      <c r="E575" s="67" t="s">
        <v>605</v>
      </c>
      <c r="F575" s="67" t="s">
        <v>240</v>
      </c>
      <c r="G575" s="68" t="s">
        <v>578</v>
      </c>
      <c r="H575" s="67">
        <v>1</v>
      </c>
      <c r="I575" s="67">
        <v>24</v>
      </c>
      <c r="J575" s="67">
        <v>6</v>
      </c>
      <c r="K575" s="68" t="s">
        <v>888</v>
      </c>
      <c r="L575" s="67" t="s">
        <v>887</v>
      </c>
      <c r="M575" s="68" t="s">
        <v>570</v>
      </c>
      <c r="N575" s="67" t="s">
        <v>240</v>
      </c>
      <c r="O575" s="69">
        <f t="shared" si="139"/>
        <v>0.12</v>
      </c>
      <c r="P575" s="74">
        <v>-2.4E-2</v>
      </c>
      <c r="Q575" s="67" t="s">
        <v>240</v>
      </c>
      <c r="R575" s="67" t="s">
        <v>889</v>
      </c>
      <c r="S575" s="67">
        <f>T575+U575</f>
        <v>1306</v>
      </c>
      <c r="T575" s="67">
        <v>665</v>
      </c>
      <c r="U575" s="67">
        <v>641</v>
      </c>
      <c r="V575" s="67">
        <f>AB575-AC575</f>
        <v>9.9999999999999645E-2</v>
      </c>
      <c r="AB575" s="67">
        <v>7.54</v>
      </c>
      <c r="AC575" s="67">
        <v>7.44</v>
      </c>
      <c r="AF575" s="67">
        <f t="shared" si="140"/>
        <v>0.67467793722188896</v>
      </c>
      <c r="AH575" s="70">
        <v>0.5</v>
      </c>
      <c r="AI575" s="67">
        <f t="shared" si="141"/>
        <v>0.14821886782272459</v>
      </c>
      <c r="AL575" s="68" t="s">
        <v>884</v>
      </c>
      <c r="AM575" s="67" t="s">
        <v>308</v>
      </c>
      <c r="AN575" s="67" t="s">
        <v>24</v>
      </c>
      <c r="AP575" s="67">
        <f>+V575/AQ575</f>
        <v>3.7344638475598435E-2</v>
      </c>
      <c r="AQ575" s="67">
        <f>+AI575*SQRT(T575*U575/S575)</f>
        <v>2.6777605589980791</v>
      </c>
      <c r="AS575" s="67">
        <f>+AP575^2/(AU575-2)*(AU575/(V575/AI575)^2+AU575*AV575^2-AU575+2)</f>
        <v>3.0706704090167109E-3</v>
      </c>
      <c r="AU575" s="67">
        <f>+S575-2</f>
        <v>1304</v>
      </c>
      <c r="AV575" s="67">
        <f>IFERROR(1/(SQRT(AU575/2)*_xlfn.GAMMA(AU575/2-0.5)/_xlfn.GAMMA(AU575/2)),1)</f>
        <v>1</v>
      </c>
      <c r="AW575" s="67" t="s">
        <v>1350</v>
      </c>
    </row>
    <row r="576" spans="1:49" ht="30" customHeight="1" x14ac:dyDescent="0.25">
      <c r="A576" s="67" t="s">
        <v>106</v>
      </c>
      <c r="B576" s="67" t="s">
        <v>293</v>
      </c>
      <c r="C576" s="67" t="s">
        <v>485</v>
      </c>
      <c r="D576" s="67">
        <f t="shared" si="142"/>
        <v>4</v>
      </c>
      <c r="E576" s="67" t="s">
        <v>605</v>
      </c>
      <c r="F576" s="67" t="s">
        <v>240</v>
      </c>
      <c r="G576" s="68" t="s">
        <v>578</v>
      </c>
      <c r="H576" s="67">
        <v>1</v>
      </c>
      <c r="I576" s="67">
        <v>24</v>
      </c>
      <c r="J576" s="67">
        <v>3</v>
      </c>
      <c r="K576" s="68" t="s">
        <v>890</v>
      </c>
      <c r="L576" s="67" t="s">
        <v>240</v>
      </c>
      <c r="M576" s="68" t="s">
        <v>570</v>
      </c>
      <c r="N576" s="67" t="s">
        <v>240</v>
      </c>
      <c r="O576" s="69">
        <f t="shared" si="139"/>
        <v>0.12</v>
      </c>
      <c r="P576" s="74">
        <v>-2.4E-2</v>
      </c>
      <c r="Q576" s="67" t="s">
        <v>240</v>
      </c>
      <c r="R576" s="67" t="s">
        <v>889</v>
      </c>
      <c r="S576" s="67">
        <f>T576+U576</f>
        <v>1306</v>
      </c>
      <c r="T576" s="67">
        <v>665</v>
      </c>
      <c r="U576" s="67">
        <v>641</v>
      </c>
      <c r="V576" s="67">
        <v>-0.4</v>
      </c>
      <c r="AB576" s="67">
        <v>37</v>
      </c>
      <c r="AC576" s="67">
        <v>37.4</v>
      </c>
      <c r="AF576" s="67">
        <f t="shared" si="140"/>
        <v>0.15734159348015073</v>
      </c>
      <c r="AH576" s="70">
        <v>0.875</v>
      </c>
      <c r="AI576" s="67">
        <f t="shared" si="141"/>
        <v>2.5422394114145135</v>
      </c>
      <c r="AL576" s="68" t="s">
        <v>884</v>
      </c>
      <c r="AM576" s="67" t="s">
        <v>308</v>
      </c>
      <c r="AN576" s="67" t="s">
        <v>24</v>
      </c>
    </row>
    <row r="577" spans="1:49" ht="30" customHeight="1" x14ac:dyDescent="0.25">
      <c r="A577" s="67" t="s">
        <v>106</v>
      </c>
      <c r="B577" s="67" t="s">
        <v>293</v>
      </c>
      <c r="C577" s="67" t="s">
        <v>485</v>
      </c>
      <c r="D577" s="67">
        <f t="shared" si="142"/>
        <v>5</v>
      </c>
      <c r="E577" s="67" t="s">
        <v>644</v>
      </c>
      <c r="F577" s="67" t="s">
        <v>240</v>
      </c>
      <c r="G577" s="68" t="s">
        <v>578</v>
      </c>
      <c r="H577" s="67">
        <v>1</v>
      </c>
      <c r="I577" s="67">
        <v>24</v>
      </c>
      <c r="J577" s="67">
        <v>1</v>
      </c>
      <c r="K577" s="68" t="s">
        <v>882</v>
      </c>
      <c r="L577" s="67" t="s">
        <v>240</v>
      </c>
      <c r="M577" s="68" t="s">
        <v>570</v>
      </c>
      <c r="N577" s="67" t="s">
        <v>240</v>
      </c>
      <c r="O577" s="69">
        <f t="shared" si="139"/>
        <v>0.12</v>
      </c>
      <c r="P577" s="74">
        <v>-2.4E-2</v>
      </c>
      <c r="Q577" s="67" t="s">
        <v>240</v>
      </c>
      <c r="R577" s="67" t="s">
        <v>891</v>
      </c>
      <c r="S577" s="67">
        <v>753</v>
      </c>
      <c r="T577" s="78">
        <f t="shared" ref="T577:T584" si="143">S577*(665/1306)</f>
        <v>383.41883614088823</v>
      </c>
      <c r="U577" s="78">
        <f t="shared" ref="U577:U584" si="144">S577-T577</f>
        <v>369.58116385911177</v>
      </c>
      <c r="V577" s="67">
        <v>-1.9E-2</v>
      </c>
      <c r="AB577" s="67">
        <v>52.7</v>
      </c>
      <c r="AC577" s="67">
        <v>54.6</v>
      </c>
      <c r="AF577" s="67">
        <f t="shared" si="140"/>
        <v>0.92166370251692875</v>
      </c>
      <c r="AH577" s="70">
        <v>0.35699999999999998</v>
      </c>
      <c r="AI577" s="67">
        <f t="shared" si="141"/>
        <v>2.0614894508825483E-2</v>
      </c>
      <c r="AL577" s="68" t="s">
        <v>884</v>
      </c>
      <c r="AM577" s="67" t="s">
        <v>308</v>
      </c>
      <c r="AN577" s="67" t="s">
        <v>24</v>
      </c>
    </row>
    <row r="578" spans="1:49" ht="30" customHeight="1" x14ac:dyDescent="0.25">
      <c r="A578" s="67" t="s">
        <v>106</v>
      </c>
      <c r="B578" s="67" t="s">
        <v>293</v>
      </c>
      <c r="C578" s="67" t="s">
        <v>485</v>
      </c>
      <c r="D578" s="67">
        <f t="shared" si="142"/>
        <v>6</v>
      </c>
      <c r="E578" s="67" t="s">
        <v>644</v>
      </c>
      <c r="F578" s="67" t="s">
        <v>240</v>
      </c>
      <c r="G578" s="68" t="s">
        <v>578</v>
      </c>
      <c r="H578" s="67">
        <v>1</v>
      </c>
      <c r="I578" s="67">
        <v>24</v>
      </c>
      <c r="J578" s="67">
        <v>2</v>
      </c>
      <c r="K578" s="68" t="s">
        <v>886</v>
      </c>
      <c r="L578" s="67" t="s">
        <v>887</v>
      </c>
      <c r="M578" s="68" t="s">
        <v>570</v>
      </c>
      <c r="N578" s="67" t="s">
        <v>240</v>
      </c>
      <c r="O578" s="69">
        <f t="shared" si="139"/>
        <v>0.12</v>
      </c>
      <c r="P578" s="74">
        <v>-2.4E-2</v>
      </c>
      <c r="Q578" s="67" t="s">
        <v>240</v>
      </c>
      <c r="R578" s="67" t="s">
        <v>891</v>
      </c>
      <c r="S578" s="67">
        <v>753</v>
      </c>
      <c r="T578" s="78">
        <f t="shared" si="143"/>
        <v>383.41883614088823</v>
      </c>
      <c r="U578" s="78">
        <f t="shared" si="144"/>
        <v>369.58116385911177</v>
      </c>
      <c r="V578" s="67">
        <v>112</v>
      </c>
      <c r="AB578" s="67">
        <v>11998</v>
      </c>
      <c r="AC578" s="67">
        <v>11886</v>
      </c>
      <c r="AF578" s="67">
        <f t="shared" si="140"/>
        <v>0.52462316074931048</v>
      </c>
      <c r="AH578" s="70">
        <v>0.6</v>
      </c>
      <c r="AI578" s="67">
        <f t="shared" si="141"/>
        <v>213.48657165656255</v>
      </c>
      <c r="AL578" s="68" t="s">
        <v>884</v>
      </c>
      <c r="AM578" s="67" t="s">
        <v>308</v>
      </c>
      <c r="AN578" s="67" t="s">
        <v>24</v>
      </c>
      <c r="AP578" s="67">
        <f>+V578/AQ578</f>
        <v>3.8243119546584971E-2</v>
      </c>
      <c r="AQ578" s="67">
        <f>+AI578*SQRT(T578*U578/S578)</f>
        <v>2928.6313807002534</v>
      </c>
      <c r="AS578" s="67">
        <f>+AP578^2/(AU578-2)*(AU578/(V578/AI578)^2+AU578*AV578^2-AU578+2)</f>
        <v>5.3319740793838092E-3</v>
      </c>
      <c r="AU578" s="67">
        <f>+S578-2</f>
        <v>751</v>
      </c>
      <c r="AV578" s="67">
        <f>IFERROR(1/(SQRT(AU578/2)*_xlfn.GAMMA(AU578/2-0.5)/_xlfn.GAMMA(AU578/2)),1)</f>
        <v>1</v>
      </c>
      <c r="AW578" s="67" t="s">
        <v>1350</v>
      </c>
    </row>
    <row r="579" spans="1:49" ht="30" customHeight="1" x14ac:dyDescent="0.25">
      <c r="A579" s="67" t="s">
        <v>106</v>
      </c>
      <c r="B579" s="67" t="s">
        <v>293</v>
      </c>
      <c r="C579" s="67" t="s">
        <v>485</v>
      </c>
      <c r="D579" s="67">
        <f t="shared" si="142"/>
        <v>7</v>
      </c>
      <c r="E579" s="67" t="s">
        <v>646</v>
      </c>
      <c r="F579" s="67" t="s">
        <v>240</v>
      </c>
      <c r="G579" s="68" t="s">
        <v>578</v>
      </c>
      <c r="H579" s="67">
        <v>1</v>
      </c>
      <c r="I579" s="67">
        <v>24</v>
      </c>
      <c r="J579" s="67">
        <v>1</v>
      </c>
      <c r="K579" s="68" t="s">
        <v>882</v>
      </c>
      <c r="L579" s="67" t="s">
        <v>240</v>
      </c>
      <c r="M579" s="68" t="s">
        <v>570</v>
      </c>
      <c r="N579" s="67" t="s">
        <v>240</v>
      </c>
      <c r="O579" s="69">
        <f t="shared" si="139"/>
        <v>0.12</v>
      </c>
      <c r="P579" s="74">
        <v>-2.4E-2</v>
      </c>
      <c r="Q579" s="67" t="s">
        <v>240</v>
      </c>
      <c r="R579" s="67" t="s">
        <v>891</v>
      </c>
      <c r="S579" s="67">
        <v>517</v>
      </c>
      <c r="T579" s="78">
        <f t="shared" si="143"/>
        <v>263.25038284839206</v>
      </c>
      <c r="U579" s="78">
        <f t="shared" si="144"/>
        <v>253.74961715160794</v>
      </c>
      <c r="V579" s="67">
        <v>-3.5999999999999997E-2</v>
      </c>
      <c r="AB579" s="67">
        <v>58.6</v>
      </c>
      <c r="AC579" s="67">
        <v>62.2</v>
      </c>
      <c r="AF579" s="67">
        <f t="shared" si="140"/>
        <v>0.84053240991069</v>
      </c>
      <c r="AH579" s="67">
        <v>0.40100000000000002</v>
      </c>
      <c r="AI579" s="67">
        <f t="shared" si="141"/>
        <v>4.2829996292260933E-2</v>
      </c>
      <c r="AL579" s="68" t="s">
        <v>884</v>
      </c>
      <c r="AM579" s="67" t="s">
        <v>308</v>
      </c>
      <c r="AN579" s="67" t="s">
        <v>24</v>
      </c>
    </row>
    <row r="580" spans="1:49" ht="30" customHeight="1" x14ac:dyDescent="0.25">
      <c r="A580" s="67" t="s">
        <v>106</v>
      </c>
      <c r="B580" s="67" t="s">
        <v>293</v>
      </c>
      <c r="C580" s="67" t="s">
        <v>485</v>
      </c>
      <c r="D580" s="67">
        <f t="shared" si="142"/>
        <v>8</v>
      </c>
      <c r="E580" s="67" t="s">
        <v>646</v>
      </c>
      <c r="F580" s="67" t="s">
        <v>240</v>
      </c>
      <c r="G580" s="68" t="s">
        <v>578</v>
      </c>
      <c r="H580" s="67">
        <v>1</v>
      </c>
      <c r="I580" s="67">
        <v>24</v>
      </c>
      <c r="J580" s="67">
        <v>2</v>
      </c>
      <c r="K580" s="68" t="s">
        <v>886</v>
      </c>
      <c r="L580" s="67" t="s">
        <v>887</v>
      </c>
      <c r="M580" s="68" t="s">
        <v>570</v>
      </c>
      <c r="N580" s="67" t="s">
        <v>240</v>
      </c>
      <c r="O580" s="69">
        <f t="shared" si="139"/>
        <v>0.12</v>
      </c>
      <c r="P580" s="74">
        <v>-2.4E-2</v>
      </c>
      <c r="Q580" s="67" t="s">
        <v>240</v>
      </c>
      <c r="R580" s="67" t="s">
        <v>891</v>
      </c>
      <c r="S580" s="67">
        <v>517</v>
      </c>
      <c r="T580" s="78">
        <f t="shared" si="143"/>
        <v>263.25038284839206</v>
      </c>
      <c r="U580" s="78">
        <f t="shared" si="144"/>
        <v>253.74961715160794</v>
      </c>
      <c r="V580" s="67">
        <v>-1321</v>
      </c>
      <c r="AB580" s="67">
        <v>15981</v>
      </c>
      <c r="AC580" s="67">
        <v>17302</v>
      </c>
      <c r="AF580" s="67">
        <f t="shared" si="140"/>
        <v>0.84249861440849028</v>
      </c>
      <c r="AH580" s="67">
        <v>0.39989999999999998</v>
      </c>
      <c r="AI580" s="67">
        <f t="shared" si="141"/>
        <v>1567.9551009439472</v>
      </c>
      <c r="AL580" s="68" t="s">
        <v>884</v>
      </c>
      <c r="AM580" s="67" t="s">
        <v>308</v>
      </c>
      <c r="AN580" s="67" t="s">
        <v>24</v>
      </c>
      <c r="AP580" s="67">
        <f>+V580/AQ580</f>
        <v>-7.4118609520575487E-2</v>
      </c>
      <c r="AQ580" s="67">
        <f>+AI580*SQRT(T580*U580/S580)</f>
        <v>17822.784433554269</v>
      </c>
      <c r="AS580" s="67">
        <f>+AP580^2/(AU580-2)*(AU580/(V580/AI580)^2+AU580*AV580^2-AU580+2)</f>
        <v>7.7911487202300322E-3</v>
      </c>
      <c r="AU580" s="67">
        <f>+S580-2</f>
        <v>515</v>
      </c>
      <c r="AV580" s="67">
        <f>IFERROR(1/(SQRT(AU580/2)*_xlfn.GAMMA(AU580/2-0.5)/_xlfn.GAMMA(AU580/2)),1)</f>
        <v>1</v>
      </c>
      <c r="AW580" s="67" t="s">
        <v>1350</v>
      </c>
    </row>
    <row r="581" spans="1:49" ht="30" customHeight="1" x14ac:dyDescent="0.25">
      <c r="A581" s="67" t="s">
        <v>106</v>
      </c>
      <c r="B581" s="67" t="s">
        <v>293</v>
      </c>
      <c r="C581" s="67" t="s">
        <v>485</v>
      </c>
      <c r="D581" s="67">
        <f t="shared" si="142"/>
        <v>9</v>
      </c>
      <c r="E581" s="67" t="s">
        <v>605</v>
      </c>
      <c r="F581" s="67" t="s">
        <v>1007</v>
      </c>
      <c r="G581" s="68" t="s">
        <v>578</v>
      </c>
      <c r="H581" s="67">
        <v>1</v>
      </c>
      <c r="I581" s="67">
        <v>24</v>
      </c>
      <c r="J581" s="67">
        <v>1</v>
      </c>
      <c r="K581" s="68" t="s">
        <v>882</v>
      </c>
      <c r="L581" s="67" t="s">
        <v>240</v>
      </c>
      <c r="M581" s="68" t="s">
        <v>570</v>
      </c>
      <c r="N581" s="67" t="s">
        <v>240</v>
      </c>
      <c r="O581" s="69">
        <f t="shared" si="139"/>
        <v>0.12</v>
      </c>
      <c r="P581" s="74">
        <v>-2.4E-2</v>
      </c>
      <c r="Q581" s="67" t="s">
        <v>240</v>
      </c>
      <c r="R581" s="67" t="s">
        <v>892</v>
      </c>
      <c r="S581" s="67">
        <v>393</v>
      </c>
      <c r="T581" s="78">
        <f t="shared" si="143"/>
        <v>200.11102603369068</v>
      </c>
      <c r="U581" s="78">
        <f t="shared" si="144"/>
        <v>192.88897396630932</v>
      </c>
      <c r="V581" s="67">
        <v>-6.0000000000000001E-3</v>
      </c>
      <c r="AB581" s="67">
        <v>53.9</v>
      </c>
      <c r="AC581" s="67">
        <v>54.5</v>
      </c>
      <c r="AF581" s="67">
        <f t="shared" si="140"/>
        <v>0.12447899486677014</v>
      </c>
      <c r="AH581" s="70">
        <v>0.90100000000000002</v>
      </c>
      <c r="AI581" s="67">
        <f t="shared" si="141"/>
        <v>4.820090334455062E-2</v>
      </c>
      <c r="AL581" s="68" t="s">
        <v>884</v>
      </c>
      <c r="AM581" s="67" t="s">
        <v>308</v>
      </c>
      <c r="AN581" s="67" t="s">
        <v>24</v>
      </c>
    </row>
    <row r="582" spans="1:49" ht="30" customHeight="1" x14ac:dyDescent="0.25">
      <c r="A582" s="67" t="s">
        <v>106</v>
      </c>
      <c r="B582" s="67" t="s">
        <v>293</v>
      </c>
      <c r="C582" s="67" t="s">
        <v>485</v>
      </c>
      <c r="D582" s="67">
        <f t="shared" si="142"/>
        <v>10</v>
      </c>
      <c r="E582" s="67" t="s">
        <v>605</v>
      </c>
      <c r="F582" s="67" t="s">
        <v>1007</v>
      </c>
      <c r="G582" s="68" t="s">
        <v>578</v>
      </c>
      <c r="H582" s="67">
        <v>1</v>
      </c>
      <c r="I582" s="67">
        <v>24</v>
      </c>
      <c r="J582" s="67">
        <v>2</v>
      </c>
      <c r="K582" s="68" t="s">
        <v>886</v>
      </c>
      <c r="L582" s="67" t="s">
        <v>887</v>
      </c>
      <c r="M582" s="68" t="s">
        <v>570</v>
      </c>
      <c r="N582" s="67" t="s">
        <v>240</v>
      </c>
      <c r="O582" s="69">
        <f t="shared" si="139"/>
        <v>0.12</v>
      </c>
      <c r="P582" s="74">
        <v>-2.4E-2</v>
      </c>
      <c r="Q582" s="67" t="s">
        <v>240</v>
      </c>
      <c r="R582" s="67" t="s">
        <v>892</v>
      </c>
      <c r="S582" s="67">
        <v>393</v>
      </c>
      <c r="T582" s="78">
        <f t="shared" si="143"/>
        <v>200.11102603369068</v>
      </c>
      <c r="U582" s="78">
        <f t="shared" si="144"/>
        <v>192.88897396630932</v>
      </c>
      <c r="V582" s="67">
        <v>-2433</v>
      </c>
      <c r="AB582" s="67">
        <v>11434</v>
      </c>
      <c r="AC582" s="67">
        <v>13866</v>
      </c>
      <c r="AF582" s="67">
        <f t="shared" si="140"/>
        <v>1.683895317263715</v>
      </c>
      <c r="AH582" s="70">
        <v>9.2999999999999999E-2</v>
      </c>
      <c r="AI582" s="67">
        <f t="shared" si="141"/>
        <v>1444.8641640939773</v>
      </c>
      <c r="AL582" s="68" t="s">
        <v>884</v>
      </c>
      <c r="AM582" s="67" t="s">
        <v>308</v>
      </c>
      <c r="AN582" s="67" t="s">
        <v>24</v>
      </c>
      <c r="AP582" s="67">
        <f>+V582/AQ582</f>
        <v>-0.16991125729461415</v>
      </c>
      <c r="AQ582" s="67">
        <f>+AI582*SQRT(T582*U582/S582)</f>
        <v>14319.239576818323</v>
      </c>
      <c r="AS582" s="67">
        <f>+AP582^2/(AU582-2)*(AU582/(V582/AI582)^2+AU582*AV582^2-AU582+2)</f>
        <v>1.0382333758373776E-2</v>
      </c>
      <c r="AU582" s="67">
        <f>+S582-2</f>
        <v>391</v>
      </c>
      <c r="AV582" s="67">
        <f>IFERROR(1/(SQRT(AU582/2)*_xlfn.GAMMA(AU582/2-0.5)/_xlfn.GAMMA(AU582/2)),1)</f>
        <v>1</v>
      </c>
      <c r="AW582" s="67" t="s">
        <v>1350</v>
      </c>
    </row>
    <row r="583" spans="1:49" ht="30" customHeight="1" x14ac:dyDescent="0.25">
      <c r="A583" s="67" t="s">
        <v>106</v>
      </c>
      <c r="B583" s="67" t="s">
        <v>293</v>
      </c>
      <c r="C583" s="67" t="s">
        <v>485</v>
      </c>
      <c r="D583" s="67">
        <f t="shared" si="142"/>
        <v>11</v>
      </c>
      <c r="E583" s="67" t="s">
        <v>605</v>
      </c>
      <c r="F583" s="67" t="s">
        <v>893</v>
      </c>
      <c r="G583" s="68" t="s">
        <v>578</v>
      </c>
      <c r="H583" s="67">
        <v>1</v>
      </c>
      <c r="I583" s="67">
        <v>24</v>
      </c>
      <c r="J583" s="67">
        <v>1</v>
      </c>
      <c r="K583" s="68" t="s">
        <v>882</v>
      </c>
      <c r="L583" s="67" t="s">
        <v>240</v>
      </c>
      <c r="M583" s="68" t="s">
        <v>570</v>
      </c>
      <c r="N583" s="67" t="s">
        <v>240</v>
      </c>
      <c r="O583" s="69">
        <f t="shared" si="139"/>
        <v>0.12</v>
      </c>
      <c r="P583" s="74">
        <v>-2.4E-2</v>
      </c>
      <c r="Q583" s="67" t="s">
        <v>240</v>
      </c>
      <c r="R583" s="67" t="s">
        <v>892</v>
      </c>
      <c r="S583" s="67">
        <v>811</v>
      </c>
      <c r="T583" s="78">
        <f t="shared" si="143"/>
        <v>412.95176110260343</v>
      </c>
      <c r="U583" s="78">
        <f t="shared" si="144"/>
        <v>398.04823889739657</v>
      </c>
      <c r="V583" s="67">
        <v>-2.1999999999999999E-2</v>
      </c>
      <c r="AB583" s="67">
        <v>56.5</v>
      </c>
      <c r="AC583" s="67">
        <v>58.7</v>
      </c>
      <c r="AF583" s="67">
        <f t="shared" si="140"/>
        <v>0.65135860917272248</v>
      </c>
      <c r="AH583" s="70">
        <v>0.51500000000000001</v>
      </c>
      <c r="AI583" s="67">
        <f t="shared" si="141"/>
        <v>3.377555725860714E-2</v>
      </c>
      <c r="AL583" s="68" t="s">
        <v>884</v>
      </c>
      <c r="AM583" s="67" t="s">
        <v>308</v>
      </c>
      <c r="AN583" s="67" t="s">
        <v>24</v>
      </c>
    </row>
    <row r="584" spans="1:49" ht="30" customHeight="1" x14ac:dyDescent="0.25">
      <c r="A584" s="67" t="s">
        <v>106</v>
      </c>
      <c r="B584" s="67" t="s">
        <v>293</v>
      </c>
      <c r="C584" s="67" t="s">
        <v>485</v>
      </c>
      <c r="D584" s="67">
        <f t="shared" si="142"/>
        <v>12</v>
      </c>
      <c r="E584" s="67" t="s">
        <v>605</v>
      </c>
      <c r="F584" s="67" t="s">
        <v>893</v>
      </c>
      <c r="G584" s="68" t="s">
        <v>578</v>
      </c>
      <c r="H584" s="67">
        <v>1</v>
      </c>
      <c r="I584" s="67">
        <v>24</v>
      </c>
      <c r="J584" s="67">
        <v>2</v>
      </c>
      <c r="K584" s="68" t="s">
        <v>886</v>
      </c>
      <c r="L584" s="67" t="s">
        <v>887</v>
      </c>
      <c r="M584" s="68" t="s">
        <v>570</v>
      </c>
      <c r="N584" s="67" t="s">
        <v>240</v>
      </c>
      <c r="O584" s="69">
        <f t="shared" si="139"/>
        <v>0.12</v>
      </c>
      <c r="P584" s="74">
        <v>-2.4E-2</v>
      </c>
      <c r="Q584" s="67" t="s">
        <v>240</v>
      </c>
      <c r="R584" s="67" t="s">
        <v>892</v>
      </c>
      <c r="S584" s="67">
        <v>811</v>
      </c>
      <c r="T584" s="78">
        <f t="shared" si="143"/>
        <v>412.95176110260343</v>
      </c>
      <c r="U584" s="78">
        <f t="shared" si="144"/>
        <v>398.04823889739657</v>
      </c>
      <c r="V584" s="67">
        <v>144</v>
      </c>
      <c r="AB584" s="67">
        <v>14317</v>
      </c>
      <c r="AC584" s="67">
        <v>14172</v>
      </c>
      <c r="AF584" s="67">
        <f t="shared" si="140"/>
        <v>0.12949268553161497</v>
      </c>
      <c r="AH584" s="70">
        <v>0.89700000000000002</v>
      </c>
      <c r="AI584" s="67">
        <f t="shared" si="141"/>
        <v>1112.0319221802156</v>
      </c>
      <c r="AL584" s="68" t="s">
        <v>884</v>
      </c>
      <c r="AM584" s="67" t="s">
        <v>308</v>
      </c>
      <c r="AN584" s="67" t="s">
        <v>24</v>
      </c>
      <c r="AP584" s="67">
        <f>+V584/AQ584</f>
        <v>9.0957423567676454E-3</v>
      </c>
      <c r="AQ584" s="67">
        <f>+AI584*SQRT(T584*U584/S584)</f>
        <v>15831.582992547877</v>
      </c>
      <c r="AS584" s="67">
        <f>+AP584^2/(AU584-2)*(AU584/(V584/AI584)^2+AU584*AV584^2-AU584+2)</f>
        <v>4.9462813380573081E-3</v>
      </c>
      <c r="AU584" s="67">
        <f>+S584-2</f>
        <v>809</v>
      </c>
      <c r="AV584" s="67">
        <f>IFERROR(1/(SQRT(AU584/2)*_xlfn.GAMMA(AU584/2-0.5)/_xlfn.GAMMA(AU584/2)),1)</f>
        <v>1</v>
      </c>
      <c r="AW584" s="67" t="s">
        <v>1350</v>
      </c>
    </row>
    <row r="585" spans="1:49" ht="30" customHeight="1" x14ac:dyDescent="0.25">
      <c r="A585" s="67" t="s">
        <v>162</v>
      </c>
      <c r="B585" s="72" t="s">
        <v>293</v>
      </c>
      <c r="C585" s="72" t="s">
        <v>485</v>
      </c>
      <c r="D585" s="67">
        <v>1</v>
      </c>
      <c r="E585" s="67" t="s">
        <v>605</v>
      </c>
      <c r="F585" s="67" t="s">
        <v>240</v>
      </c>
      <c r="G585" s="68" t="s">
        <v>578</v>
      </c>
      <c r="H585" s="67">
        <v>1</v>
      </c>
      <c r="I585" s="67">
        <v>54</v>
      </c>
      <c r="J585" s="67">
        <v>1</v>
      </c>
      <c r="K585" s="68" t="s">
        <v>894</v>
      </c>
      <c r="L585" s="67" t="s">
        <v>240</v>
      </c>
      <c r="M585" s="68" t="s">
        <v>570</v>
      </c>
      <c r="N585" s="67" t="s">
        <v>240</v>
      </c>
      <c r="O585" s="69">
        <f t="shared" ref="O585:O616" si="145">1-0.77</f>
        <v>0.22999999999999998</v>
      </c>
      <c r="P585" s="67" t="s">
        <v>240</v>
      </c>
      <c r="Q585" s="67" t="s">
        <v>240</v>
      </c>
      <c r="R585" s="67" t="s">
        <v>493</v>
      </c>
      <c r="S585" s="67">
        <f t="shared" ref="S585:S592" si="146">T585+U585</f>
        <v>1136</v>
      </c>
      <c r="T585" s="67">
        <v>595</v>
      </c>
      <c r="U585" s="67">
        <v>541</v>
      </c>
      <c r="V585" s="67">
        <v>-1.2999999999999999E-2</v>
      </c>
      <c r="AB585" s="67">
        <v>56.2</v>
      </c>
      <c r="AC585" s="67">
        <v>57.6</v>
      </c>
      <c r="AF585" s="67">
        <f t="shared" si="140"/>
        <v>0.45249357099531978</v>
      </c>
      <c r="AH585" s="70">
        <v>0.65100000000000002</v>
      </c>
      <c r="AI585" s="67">
        <f t="shared" si="141"/>
        <v>2.8729689952068867E-2</v>
      </c>
      <c r="AL585" s="68" t="s">
        <v>895</v>
      </c>
      <c r="AM585" s="67" t="s">
        <v>308</v>
      </c>
      <c r="AN585" s="67" t="s">
        <v>24</v>
      </c>
    </row>
    <row r="586" spans="1:49" ht="30" customHeight="1" x14ac:dyDescent="0.25">
      <c r="A586" s="67" t="s">
        <v>162</v>
      </c>
      <c r="B586" s="72" t="s">
        <v>293</v>
      </c>
      <c r="C586" s="72" t="s">
        <v>485</v>
      </c>
      <c r="D586" s="67">
        <f>D585+1</f>
        <v>2</v>
      </c>
      <c r="E586" s="67" t="s">
        <v>605</v>
      </c>
      <c r="F586" s="67" t="s">
        <v>240</v>
      </c>
      <c r="G586" s="68" t="s">
        <v>578</v>
      </c>
      <c r="H586" s="67">
        <v>1</v>
      </c>
      <c r="I586" s="67">
        <v>6</v>
      </c>
      <c r="J586" s="67">
        <v>2</v>
      </c>
      <c r="K586" s="68" t="s">
        <v>896</v>
      </c>
      <c r="L586" s="67" t="s">
        <v>638</v>
      </c>
      <c r="M586" s="68" t="s">
        <v>570</v>
      </c>
      <c r="N586" s="67" t="s">
        <v>240</v>
      </c>
      <c r="O586" s="69">
        <f t="shared" si="145"/>
        <v>0.22999999999999998</v>
      </c>
      <c r="P586" s="67" t="s">
        <v>240</v>
      </c>
      <c r="Q586" s="67" t="s">
        <v>240</v>
      </c>
      <c r="R586" s="67" t="s">
        <v>493</v>
      </c>
      <c r="S586" s="67">
        <f t="shared" si="146"/>
        <v>1136</v>
      </c>
      <c r="T586" s="67">
        <v>595</v>
      </c>
      <c r="U586" s="67">
        <v>541</v>
      </c>
      <c r="V586" s="67">
        <v>-127</v>
      </c>
      <c r="AB586" s="67">
        <v>3640</v>
      </c>
      <c r="AC586" s="67">
        <v>3767</v>
      </c>
      <c r="AF586" s="67">
        <f t="shared" si="140"/>
        <v>0.35587549387249634</v>
      </c>
      <c r="AH586" s="70">
        <v>0.72199999999999998</v>
      </c>
      <c r="AI586" s="67">
        <f t="shared" si="141"/>
        <v>356.8663821665163</v>
      </c>
      <c r="AL586" s="68" t="s">
        <v>895</v>
      </c>
      <c r="AM586" s="67" t="s">
        <v>308</v>
      </c>
      <c r="AN586" s="67" t="s">
        <v>24</v>
      </c>
      <c r="AP586" s="67">
        <f t="shared" ref="AP586:AP591" si="147">+V586/AQ586</f>
        <v>-2.1141224260653485E-2</v>
      </c>
      <c r="AQ586" s="67">
        <f t="shared" ref="AQ586:AQ591" si="148">+AI586*SQRT(T586*U586/S586)</f>
        <v>6007.2206999082455</v>
      </c>
      <c r="AS586" s="67">
        <f t="shared" ref="AS586:AS591" si="149">+AP586^2/(AU586-2)*(AU586/(V586/AI586)^2+AU586*AV586^2-AU586+2)</f>
        <v>3.5361259320787334E-3</v>
      </c>
      <c r="AU586" s="67">
        <f t="shared" ref="AU586:AU591" si="150">+S586-2</f>
        <v>1134</v>
      </c>
      <c r="AV586" s="67">
        <f t="shared" ref="AV586:AV591" si="151">IFERROR(1/(SQRT(AU586/2)*_xlfn.GAMMA(AU586/2-0.5)/_xlfn.GAMMA(AU586/2)),1)</f>
        <v>1</v>
      </c>
      <c r="AW586" s="67" t="s">
        <v>1350</v>
      </c>
    </row>
    <row r="587" spans="1:49" ht="30" customHeight="1" x14ac:dyDescent="0.25">
      <c r="A587" s="67" t="s">
        <v>162</v>
      </c>
      <c r="B587" s="72" t="s">
        <v>293</v>
      </c>
      <c r="C587" s="72" t="s">
        <v>485</v>
      </c>
      <c r="D587" s="67">
        <f>D586+1</f>
        <v>3</v>
      </c>
      <c r="E587" s="67" t="s">
        <v>605</v>
      </c>
      <c r="F587" s="67" t="s">
        <v>240</v>
      </c>
      <c r="G587" s="68" t="s">
        <v>578</v>
      </c>
      <c r="H587" s="67">
        <v>1</v>
      </c>
      <c r="I587" s="67">
        <v>18</v>
      </c>
      <c r="J587" s="67">
        <v>2</v>
      </c>
      <c r="K587" s="68" t="s">
        <v>897</v>
      </c>
      <c r="L587" s="67" t="s">
        <v>638</v>
      </c>
      <c r="M587" s="68" t="s">
        <v>570</v>
      </c>
      <c r="N587" s="67" t="s">
        <v>240</v>
      </c>
      <c r="O587" s="69">
        <f t="shared" si="145"/>
        <v>0.22999999999999998</v>
      </c>
      <c r="P587" s="67" t="s">
        <v>240</v>
      </c>
      <c r="Q587" s="67" t="s">
        <v>240</v>
      </c>
      <c r="R587" s="67" t="s">
        <v>493</v>
      </c>
      <c r="S587" s="67">
        <f t="shared" si="146"/>
        <v>1136</v>
      </c>
      <c r="T587" s="67">
        <v>595</v>
      </c>
      <c r="U587" s="67">
        <v>541</v>
      </c>
      <c r="V587" s="67">
        <v>-149</v>
      </c>
      <c r="AB587" s="67">
        <v>7008</v>
      </c>
      <c r="AC587" s="67">
        <v>7156</v>
      </c>
      <c r="AF587" s="67">
        <f t="shared" si="140"/>
        <v>0.29637235889280861</v>
      </c>
      <c r="AH587" s="70">
        <v>0.76700000000000002</v>
      </c>
      <c r="AI587" s="67">
        <f t="shared" si="141"/>
        <v>502.74593945479927</v>
      </c>
      <c r="AL587" s="68" t="s">
        <v>895</v>
      </c>
      <c r="AM587" s="67" t="s">
        <v>308</v>
      </c>
      <c r="AN587" s="67" t="s">
        <v>24</v>
      </c>
      <c r="AP587" s="67">
        <f t="shared" si="147"/>
        <v>-1.7606366866768922E-2</v>
      </c>
      <c r="AQ587" s="67">
        <f t="shared" si="148"/>
        <v>8462.8476236758161</v>
      </c>
      <c r="AS587" s="67">
        <f t="shared" si="149"/>
        <v>3.5358839405434119E-3</v>
      </c>
      <c r="AU587" s="67">
        <f t="shared" si="150"/>
        <v>1134</v>
      </c>
      <c r="AV587" s="67">
        <f t="shared" si="151"/>
        <v>1</v>
      </c>
      <c r="AW587" s="67" t="s">
        <v>1350</v>
      </c>
    </row>
    <row r="588" spans="1:49" ht="30" customHeight="1" x14ac:dyDescent="0.25">
      <c r="A588" s="67" t="s">
        <v>162</v>
      </c>
      <c r="B588" s="72" t="s">
        <v>293</v>
      </c>
      <c r="C588" s="72" t="s">
        <v>485</v>
      </c>
      <c r="D588" s="67">
        <f>D587+1</f>
        <v>4</v>
      </c>
      <c r="E588" s="67" t="s">
        <v>605</v>
      </c>
      <c r="F588" s="67" t="s">
        <v>240</v>
      </c>
      <c r="G588" s="68" t="s">
        <v>578</v>
      </c>
      <c r="H588" s="67">
        <v>1</v>
      </c>
      <c r="I588" s="67">
        <v>30</v>
      </c>
      <c r="J588" s="67">
        <v>2</v>
      </c>
      <c r="K588" s="68" t="s">
        <v>898</v>
      </c>
      <c r="L588" s="67" t="s">
        <v>638</v>
      </c>
      <c r="M588" s="68" t="s">
        <v>570</v>
      </c>
      <c r="N588" s="67" t="s">
        <v>240</v>
      </c>
      <c r="O588" s="69">
        <f t="shared" si="145"/>
        <v>0.22999999999999998</v>
      </c>
      <c r="P588" s="67" t="s">
        <v>240</v>
      </c>
      <c r="Q588" s="67" t="s">
        <v>240</v>
      </c>
      <c r="R588" s="67" t="s">
        <v>493</v>
      </c>
      <c r="S588" s="67">
        <f t="shared" si="146"/>
        <v>1136</v>
      </c>
      <c r="T588" s="67">
        <v>595</v>
      </c>
      <c r="U588" s="67">
        <v>541</v>
      </c>
      <c r="V588" s="67">
        <v>-674</v>
      </c>
      <c r="AB588" s="67">
        <v>9600</v>
      </c>
      <c r="AC588" s="67">
        <v>10274</v>
      </c>
      <c r="AF588" s="67">
        <f t="shared" si="140"/>
        <v>1.1984301328296321</v>
      </c>
      <c r="AH588" s="70">
        <v>0.23100000000000001</v>
      </c>
      <c r="AI588" s="67">
        <f t="shared" si="141"/>
        <v>562.40241423887437</v>
      </c>
      <c r="AL588" s="68" t="s">
        <v>895</v>
      </c>
      <c r="AM588" s="67" t="s">
        <v>308</v>
      </c>
      <c r="AN588" s="67" t="s">
        <v>24</v>
      </c>
      <c r="AP588" s="67">
        <f t="shared" si="147"/>
        <v>-7.1194225607322997E-2</v>
      </c>
      <c r="AQ588" s="67">
        <f t="shared" si="148"/>
        <v>9467.0599230546686</v>
      </c>
      <c r="AS588" s="67">
        <f t="shared" si="149"/>
        <v>3.5442914204119277E-3</v>
      </c>
      <c r="AU588" s="67">
        <f t="shared" si="150"/>
        <v>1134</v>
      </c>
      <c r="AV588" s="67">
        <f t="shared" si="151"/>
        <v>1</v>
      </c>
      <c r="AW588" s="67" t="s">
        <v>1350</v>
      </c>
    </row>
    <row r="589" spans="1:49" ht="30" customHeight="1" x14ac:dyDescent="0.25">
      <c r="A589" s="67" t="s">
        <v>162</v>
      </c>
      <c r="B589" s="72" t="s">
        <v>293</v>
      </c>
      <c r="C589" s="72" t="s">
        <v>485</v>
      </c>
      <c r="D589" s="67">
        <f>D588+1</f>
        <v>5</v>
      </c>
      <c r="E589" s="67" t="s">
        <v>605</v>
      </c>
      <c r="F589" s="67" t="s">
        <v>240</v>
      </c>
      <c r="G589" s="68" t="s">
        <v>578</v>
      </c>
      <c r="H589" s="67">
        <v>1</v>
      </c>
      <c r="I589" s="67">
        <v>42</v>
      </c>
      <c r="J589" s="67">
        <v>2</v>
      </c>
      <c r="K589" s="68" t="s">
        <v>899</v>
      </c>
      <c r="L589" s="67" t="s">
        <v>638</v>
      </c>
      <c r="M589" s="68" t="s">
        <v>570</v>
      </c>
      <c r="N589" s="67" t="s">
        <v>240</v>
      </c>
      <c r="O589" s="69">
        <f t="shared" si="145"/>
        <v>0.22999999999999998</v>
      </c>
      <c r="P589" s="67" t="s">
        <v>240</v>
      </c>
      <c r="Q589" s="67" t="s">
        <v>240</v>
      </c>
      <c r="R589" s="67" t="s">
        <v>493</v>
      </c>
      <c r="S589" s="67">
        <f t="shared" si="146"/>
        <v>1136</v>
      </c>
      <c r="T589" s="67">
        <v>595</v>
      </c>
      <c r="U589" s="67">
        <v>541</v>
      </c>
      <c r="V589" s="67">
        <v>-461</v>
      </c>
      <c r="AB589" s="67">
        <v>12550</v>
      </c>
      <c r="AC589" s="67">
        <v>13011</v>
      </c>
      <c r="AF589" s="67">
        <f t="shared" si="140"/>
        <v>0.61299887446661494</v>
      </c>
      <c r="AH589" s="70">
        <v>0.54</v>
      </c>
      <c r="AI589" s="67">
        <f t="shared" si="141"/>
        <v>752.04053253952088</v>
      </c>
      <c r="AL589" s="68" t="s">
        <v>895</v>
      </c>
      <c r="AM589" s="67" t="s">
        <v>308</v>
      </c>
      <c r="AN589" s="67" t="s">
        <v>24</v>
      </c>
      <c r="AP589" s="67">
        <f t="shared" si="147"/>
        <v>-3.641595698429869E-2</v>
      </c>
      <c r="AQ589" s="67">
        <f t="shared" si="148"/>
        <v>12659.285603801854</v>
      </c>
      <c r="AS589" s="67">
        <f t="shared" si="149"/>
        <v>3.5376792369547819E-3</v>
      </c>
      <c r="AU589" s="67">
        <f t="shared" si="150"/>
        <v>1134</v>
      </c>
      <c r="AV589" s="67">
        <f t="shared" si="151"/>
        <v>1</v>
      </c>
      <c r="AW589" s="67" t="s">
        <v>1350</v>
      </c>
    </row>
    <row r="590" spans="1:49" ht="30" customHeight="1" x14ac:dyDescent="0.25">
      <c r="A590" s="67" t="s">
        <v>162</v>
      </c>
      <c r="B590" s="72" t="s">
        <v>293</v>
      </c>
      <c r="C590" s="72" t="s">
        <v>485</v>
      </c>
      <c r="D590" s="67">
        <f>D589+1</f>
        <v>6</v>
      </c>
      <c r="E590" s="67" t="s">
        <v>605</v>
      </c>
      <c r="F590" s="67" t="s">
        <v>240</v>
      </c>
      <c r="G590" s="68" t="s">
        <v>578</v>
      </c>
      <c r="H590" s="67">
        <v>1</v>
      </c>
      <c r="I590" s="67">
        <v>54</v>
      </c>
      <c r="J590" s="67">
        <v>2</v>
      </c>
      <c r="K590" s="68" t="s">
        <v>900</v>
      </c>
      <c r="L590" s="67" t="s">
        <v>638</v>
      </c>
      <c r="M590" s="68" t="s">
        <v>570</v>
      </c>
      <c r="N590" s="67" t="s">
        <v>240</v>
      </c>
      <c r="O590" s="69">
        <f t="shared" si="145"/>
        <v>0.22999999999999998</v>
      </c>
      <c r="P590" s="67" t="s">
        <v>240</v>
      </c>
      <c r="Q590" s="67" t="s">
        <v>240</v>
      </c>
      <c r="R590" s="67" t="s">
        <v>493</v>
      </c>
      <c r="S590" s="67">
        <f t="shared" si="146"/>
        <v>1136</v>
      </c>
      <c r="T590" s="67">
        <v>595</v>
      </c>
      <c r="U590" s="67">
        <v>541</v>
      </c>
      <c r="V590" s="67">
        <v>-145</v>
      </c>
      <c r="AB590" s="67">
        <v>12857</v>
      </c>
      <c r="AC590" s="67">
        <v>13002</v>
      </c>
      <c r="AF590" s="67">
        <f t="shared" si="140"/>
        <v>0.17005145825660628</v>
      </c>
      <c r="AH590" s="70">
        <v>0.86499999999999999</v>
      </c>
      <c r="AI590" s="67">
        <f t="shared" si="141"/>
        <v>852.68307303308256</v>
      </c>
      <c r="AL590" s="68" t="s">
        <v>895</v>
      </c>
      <c r="AM590" s="67" t="s">
        <v>308</v>
      </c>
      <c r="AN590" s="67" t="s">
        <v>24</v>
      </c>
      <c r="AP590" s="67">
        <f t="shared" si="147"/>
        <v>-1.0102117388678987E-2</v>
      </c>
      <c r="AQ590" s="67">
        <f t="shared" si="148"/>
        <v>14353.426556149043</v>
      </c>
      <c r="AS590" s="67">
        <f t="shared" si="149"/>
        <v>3.5355165706167108E-3</v>
      </c>
      <c r="AU590" s="67">
        <f t="shared" si="150"/>
        <v>1134</v>
      </c>
      <c r="AV590" s="67">
        <f t="shared" si="151"/>
        <v>1</v>
      </c>
      <c r="AW590" s="67" t="s">
        <v>1350</v>
      </c>
    </row>
    <row r="591" spans="1:49" ht="30" customHeight="1" x14ac:dyDescent="0.25">
      <c r="A591" s="77" t="s">
        <v>162</v>
      </c>
      <c r="B591" s="72" t="s">
        <v>207</v>
      </c>
      <c r="C591" s="72" t="s">
        <v>485</v>
      </c>
      <c r="D591" s="67">
        <v>12</v>
      </c>
      <c r="E591" s="67" t="s">
        <v>605</v>
      </c>
      <c r="F591" s="76" t="s">
        <v>240</v>
      </c>
      <c r="G591" s="68" t="s">
        <v>578</v>
      </c>
      <c r="H591" s="67">
        <v>1</v>
      </c>
      <c r="I591" s="67">
        <v>54</v>
      </c>
      <c r="J591" s="67">
        <v>2</v>
      </c>
      <c r="K591" s="68" t="s">
        <v>901</v>
      </c>
      <c r="L591" s="67" t="s">
        <v>638</v>
      </c>
      <c r="M591" s="68" t="s">
        <v>570</v>
      </c>
      <c r="N591" s="67" t="s">
        <v>240</v>
      </c>
      <c r="O591" s="69">
        <f t="shared" si="145"/>
        <v>0.22999999999999998</v>
      </c>
      <c r="P591" s="67" t="s">
        <v>240</v>
      </c>
      <c r="Q591" s="67" t="s">
        <v>240</v>
      </c>
      <c r="R591" s="67" t="s">
        <v>493</v>
      </c>
      <c r="S591" s="67">
        <f t="shared" si="146"/>
        <v>1136</v>
      </c>
      <c r="T591" s="67">
        <v>595</v>
      </c>
      <c r="U591" s="67">
        <v>541</v>
      </c>
      <c r="V591" s="67">
        <v>-2735</v>
      </c>
      <c r="AB591" s="67">
        <v>37508</v>
      </c>
      <c r="AC591" s="67">
        <v>40243</v>
      </c>
      <c r="AF591" s="67">
        <f t="shared" si="140"/>
        <v>1.2379252768164737</v>
      </c>
      <c r="AH591" s="70">
        <v>0.216</v>
      </c>
      <c r="AI591" s="67">
        <f t="shared" si="141"/>
        <v>2209.341752059137</v>
      </c>
      <c r="AL591" s="68" t="s">
        <v>895</v>
      </c>
      <c r="AM591" s="67" t="s">
        <v>308</v>
      </c>
      <c r="AP591" s="67">
        <f t="shared" si="147"/>
        <v>-7.3540483527886003E-2</v>
      </c>
      <c r="AQ591" s="67">
        <f t="shared" si="148"/>
        <v>37190.400019098437</v>
      </c>
      <c r="AS591" s="67">
        <f t="shared" si="149"/>
        <v>3.5448913938354058E-3</v>
      </c>
      <c r="AU591" s="67">
        <f t="shared" si="150"/>
        <v>1134</v>
      </c>
      <c r="AV591" s="67">
        <f t="shared" si="151"/>
        <v>1</v>
      </c>
      <c r="AW591" s="67" t="s">
        <v>1350</v>
      </c>
    </row>
    <row r="592" spans="1:49" ht="30" customHeight="1" x14ac:dyDescent="0.25">
      <c r="A592" s="67" t="s">
        <v>162</v>
      </c>
      <c r="B592" s="72" t="s">
        <v>293</v>
      </c>
      <c r="C592" s="72" t="s">
        <v>485</v>
      </c>
      <c r="D592" s="67">
        <f t="shared" ref="D592:D616" si="152">D591+1</f>
        <v>13</v>
      </c>
      <c r="E592" s="67" t="s">
        <v>605</v>
      </c>
      <c r="F592" s="67" t="s">
        <v>240</v>
      </c>
      <c r="G592" s="68" t="s">
        <v>578</v>
      </c>
      <c r="H592" s="67">
        <v>1</v>
      </c>
      <c r="I592" s="67">
        <v>54</v>
      </c>
      <c r="J592" s="67">
        <v>3</v>
      </c>
      <c r="K592" s="68" t="s">
        <v>890</v>
      </c>
      <c r="L592" s="67" t="s">
        <v>240</v>
      </c>
      <c r="M592" s="68" t="s">
        <v>570</v>
      </c>
      <c r="N592" s="67" t="s">
        <v>240</v>
      </c>
      <c r="O592" s="69">
        <f t="shared" si="145"/>
        <v>0.22999999999999998</v>
      </c>
      <c r="P592" s="67" t="s">
        <v>240</v>
      </c>
      <c r="Q592" s="67" t="s">
        <v>240</v>
      </c>
      <c r="R592" s="67" t="s">
        <v>889</v>
      </c>
      <c r="S592" s="67">
        <f t="shared" si="146"/>
        <v>1136</v>
      </c>
      <c r="T592" s="67">
        <v>595</v>
      </c>
      <c r="U592" s="67">
        <v>541</v>
      </c>
      <c r="V592" s="67">
        <v>-0.9</v>
      </c>
      <c r="AB592" s="67">
        <v>39.5</v>
      </c>
      <c r="AC592" s="67">
        <v>40.4</v>
      </c>
      <c r="AF592" s="67">
        <f t="shared" si="140"/>
        <v>0.31607993861005185</v>
      </c>
      <c r="AH592" s="70">
        <v>0.752</v>
      </c>
      <c r="AI592" s="67">
        <f t="shared" si="141"/>
        <v>2.8473809630491322</v>
      </c>
      <c r="AL592" s="68" t="s">
        <v>895</v>
      </c>
      <c r="AM592" s="67" t="s">
        <v>308</v>
      </c>
      <c r="AN592" s="67" t="s">
        <v>24</v>
      </c>
    </row>
    <row r="593" spans="1:49" ht="30" customHeight="1" x14ac:dyDescent="0.25">
      <c r="A593" s="67" t="s">
        <v>162</v>
      </c>
      <c r="B593" s="72" t="s">
        <v>293</v>
      </c>
      <c r="C593" s="72" t="s">
        <v>485</v>
      </c>
      <c r="D593" s="67">
        <f t="shared" si="152"/>
        <v>14</v>
      </c>
      <c r="E593" s="67" t="s">
        <v>644</v>
      </c>
      <c r="F593" s="67" t="s">
        <v>240</v>
      </c>
      <c r="G593" s="68" t="s">
        <v>902</v>
      </c>
      <c r="H593" s="67">
        <v>1</v>
      </c>
      <c r="I593" s="67">
        <v>54</v>
      </c>
      <c r="J593" s="67">
        <v>1</v>
      </c>
      <c r="K593" s="68" t="s">
        <v>894</v>
      </c>
      <c r="L593" s="67" t="s">
        <v>240</v>
      </c>
      <c r="M593" s="68" t="s">
        <v>570</v>
      </c>
      <c r="N593" s="67" t="s">
        <v>240</v>
      </c>
      <c r="O593" s="69">
        <f t="shared" si="145"/>
        <v>0.22999999999999998</v>
      </c>
      <c r="P593" s="67" t="s">
        <v>240</v>
      </c>
      <c r="Q593" s="67" t="s">
        <v>240</v>
      </c>
      <c r="R593" s="67" t="s">
        <v>903</v>
      </c>
      <c r="S593" s="67">
        <v>163</v>
      </c>
      <c r="T593" s="78">
        <f t="shared" ref="T593:T616" si="153">S593*(595/1136)</f>
        <v>85.374119718309871</v>
      </c>
      <c r="U593" s="78">
        <f t="shared" ref="U593:U617" si="154">S593-T593</f>
        <v>77.625880281690129</v>
      </c>
      <c r="V593" s="67">
        <v>-7.0000000000000007E-2</v>
      </c>
      <c r="AB593" s="67">
        <v>54.1</v>
      </c>
      <c r="AC593" s="67">
        <v>61.1</v>
      </c>
      <c r="AF593" s="67">
        <f t="shared" si="140"/>
        <v>0.85830509829797186</v>
      </c>
      <c r="AH593" s="70">
        <v>0.39200000000000002</v>
      </c>
      <c r="AI593" s="67">
        <f t="shared" si="141"/>
        <v>8.1556080860769389E-2</v>
      </c>
      <c r="AL593" s="68" t="s">
        <v>895</v>
      </c>
      <c r="AM593" s="67" t="s">
        <v>308</v>
      </c>
      <c r="AN593" s="67" t="s">
        <v>24</v>
      </c>
    </row>
    <row r="594" spans="1:49" ht="30" customHeight="1" x14ac:dyDescent="0.25">
      <c r="A594" s="67" t="s">
        <v>162</v>
      </c>
      <c r="B594" s="72" t="s">
        <v>293</v>
      </c>
      <c r="C594" s="72" t="s">
        <v>485</v>
      </c>
      <c r="D594" s="67">
        <f t="shared" si="152"/>
        <v>15</v>
      </c>
      <c r="E594" s="67" t="s">
        <v>644</v>
      </c>
      <c r="F594" s="67" t="s">
        <v>240</v>
      </c>
      <c r="G594" s="68" t="s">
        <v>902</v>
      </c>
      <c r="H594" s="67">
        <v>1</v>
      </c>
      <c r="I594" s="67">
        <v>6</v>
      </c>
      <c r="J594" s="67">
        <v>2</v>
      </c>
      <c r="K594" s="68" t="s">
        <v>896</v>
      </c>
      <c r="L594" s="67" t="s">
        <v>638</v>
      </c>
      <c r="M594" s="68" t="s">
        <v>570</v>
      </c>
      <c r="N594" s="67" t="s">
        <v>240</v>
      </c>
      <c r="O594" s="69">
        <f t="shared" si="145"/>
        <v>0.22999999999999998</v>
      </c>
      <c r="P594" s="67" t="s">
        <v>240</v>
      </c>
      <c r="Q594" s="67" t="s">
        <v>240</v>
      </c>
      <c r="R594" s="67" t="s">
        <v>903</v>
      </c>
      <c r="S594" s="67">
        <v>163</v>
      </c>
      <c r="T594" s="78">
        <f t="shared" si="153"/>
        <v>85.374119718309871</v>
      </c>
      <c r="U594" s="78">
        <f t="shared" si="154"/>
        <v>77.625880281690129</v>
      </c>
      <c r="V594" s="67">
        <v>-420.3</v>
      </c>
      <c r="AB594" s="67">
        <v>3202</v>
      </c>
      <c r="AC594" s="67">
        <v>3623</v>
      </c>
      <c r="AF594" s="67">
        <f t="shared" si="140"/>
        <v>0.53411311364582104</v>
      </c>
      <c r="AH594" s="70">
        <v>0.59399999999999997</v>
      </c>
      <c r="AI594" s="67">
        <f t="shared" si="141"/>
        <v>786.91196539073871</v>
      </c>
      <c r="AL594" s="68" t="s">
        <v>895</v>
      </c>
      <c r="AM594" s="67" t="s">
        <v>308</v>
      </c>
      <c r="AN594" s="67" t="s">
        <v>24</v>
      </c>
      <c r="AP594" s="67">
        <f>+V594/AQ594</f>
        <v>-8.3764626188778807E-2</v>
      </c>
      <c r="AQ594" s="67">
        <f>+AI594*SQRT(T594*U594/S594)</f>
        <v>5017.631178258679</v>
      </c>
      <c r="AS594" s="67">
        <f>+AP594^2/(AU594-2)*(AU594/(V594/AI594)^2+AU594*AV594^2-AU594+2)</f>
        <v>2.4926928952308882E-2</v>
      </c>
      <c r="AU594" s="67">
        <f>+S594-2</f>
        <v>161</v>
      </c>
      <c r="AV594" s="67">
        <f>IFERROR(1/(SQRT(AU594/2)*_xlfn.GAMMA(AU594/2-0.5)/_xlfn.GAMMA(AU594/2)),1)</f>
        <v>0.99533315899856711</v>
      </c>
      <c r="AW594" s="67" t="s">
        <v>1350</v>
      </c>
    </row>
    <row r="595" spans="1:49" ht="30" customHeight="1" x14ac:dyDescent="0.25">
      <c r="A595" s="67" t="s">
        <v>162</v>
      </c>
      <c r="B595" s="72" t="s">
        <v>293</v>
      </c>
      <c r="C595" s="72" t="s">
        <v>485</v>
      </c>
      <c r="D595" s="67">
        <f t="shared" si="152"/>
        <v>16</v>
      </c>
      <c r="E595" s="67" t="s">
        <v>644</v>
      </c>
      <c r="F595" s="67" t="s">
        <v>240</v>
      </c>
      <c r="G595" s="68" t="s">
        <v>902</v>
      </c>
      <c r="H595" s="67">
        <v>1</v>
      </c>
      <c r="I595" s="67">
        <v>18</v>
      </c>
      <c r="J595" s="67">
        <v>2</v>
      </c>
      <c r="K595" s="68" t="s">
        <v>897</v>
      </c>
      <c r="L595" s="67" t="s">
        <v>638</v>
      </c>
      <c r="M595" s="68" t="s">
        <v>570</v>
      </c>
      <c r="N595" s="67" t="s">
        <v>240</v>
      </c>
      <c r="O595" s="69">
        <f t="shared" si="145"/>
        <v>0.22999999999999998</v>
      </c>
      <c r="P595" s="67" t="s">
        <v>240</v>
      </c>
      <c r="Q595" s="67" t="s">
        <v>240</v>
      </c>
      <c r="R595" s="67" t="s">
        <v>903</v>
      </c>
      <c r="S595" s="67">
        <v>163</v>
      </c>
      <c r="T595" s="78">
        <f t="shared" si="153"/>
        <v>85.374119718309871</v>
      </c>
      <c r="U595" s="78">
        <f t="shared" si="154"/>
        <v>77.625880281690129</v>
      </c>
      <c r="V595" s="67">
        <v>866.9</v>
      </c>
      <c r="AB595" s="67">
        <v>7482</v>
      </c>
      <c r="AC595" s="67">
        <v>6615</v>
      </c>
      <c r="AF595" s="67">
        <f t="shared" si="140"/>
        <v>0.72255758425317007</v>
      </c>
      <c r="AH595" s="70">
        <v>0.47099999999999997</v>
      </c>
      <c r="AI595" s="67">
        <f t="shared" si="141"/>
        <v>1199.7659686819579</v>
      </c>
      <c r="AL595" s="68" t="s">
        <v>895</v>
      </c>
      <c r="AM595" s="67" t="s">
        <v>308</v>
      </c>
      <c r="AN595" s="67" t="s">
        <v>24</v>
      </c>
      <c r="AP595" s="67">
        <f>+V595/AQ595</f>
        <v>0.11331825487619235</v>
      </c>
      <c r="AQ595" s="67">
        <f>+AI595*SQRT(T595*U595/S595)</f>
        <v>7650.1354609382688</v>
      </c>
      <c r="AS595" s="67">
        <f>+AP595^2/(AU595-2)*(AU595/(V595/AI595)^2+AU595*AV595^2-AU595+2)</f>
        <v>2.4945273742933215E-2</v>
      </c>
      <c r="AU595" s="67">
        <f>+S595-2</f>
        <v>161</v>
      </c>
      <c r="AV595" s="67">
        <f>IFERROR(1/(SQRT(AU595/2)*_xlfn.GAMMA(AU595/2-0.5)/_xlfn.GAMMA(AU595/2)),1)</f>
        <v>0.99533315899856711</v>
      </c>
      <c r="AW595" s="67" t="s">
        <v>1350</v>
      </c>
    </row>
    <row r="596" spans="1:49" ht="30" customHeight="1" x14ac:dyDescent="0.25">
      <c r="A596" s="67" t="s">
        <v>162</v>
      </c>
      <c r="B596" s="72" t="s">
        <v>293</v>
      </c>
      <c r="C596" s="72" t="s">
        <v>485</v>
      </c>
      <c r="D596" s="67">
        <f t="shared" si="152"/>
        <v>17</v>
      </c>
      <c r="E596" s="67" t="s">
        <v>644</v>
      </c>
      <c r="F596" s="67" t="s">
        <v>240</v>
      </c>
      <c r="G596" s="68" t="s">
        <v>902</v>
      </c>
      <c r="H596" s="67">
        <v>1</v>
      </c>
      <c r="I596" s="67">
        <v>30</v>
      </c>
      <c r="J596" s="67">
        <v>2</v>
      </c>
      <c r="K596" s="68" t="s">
        <v>898</v>
      </c>
      <c r="L596" s="67" t="s">
        <v>638</v>
      </c>
      <c r="M596" s="68" t="s">
        <v>570</v>
      </c>
      <c r="N596" s="67" t="s">
        <v>240</v>
      </c>
      <c r="O596" s="69">
        <f t="shared" si="145"/>
        <v>0.22999999999999998</v>
      </c>
      <c r="P596" s="67" t="s">
        <v>240</v>
      </c>
      <c r="Q596" s="67" t="s">
        <v>240</v>
      </c>
      <c r="R596" s="67" t="s">
        <v>903</v>
      </c>
      <c r="S596" s="67">
        <v>163</v>
      </c>
      <c r="T596" s="78">
        <f t="shared" si="153"/>
        <v>85.374119718309871</v>
      </c>
      <c r="U596" s="78">
        <f t="shared" si="154"/>
        <v>77.625880281690129</v>
      </c>
      <c r="V596" s="67">
        <v>380.7</v>
      </c>
      <c r="AB596" s="67">
        <v>9511</v>
      </c>
      <c r="AC596" s="67">
        <v>9131</v>
      </c>
      <c r="AF596" s="67">
        <f t="shared" si="140"/>
        <v>0.26545313265805426</v>
      </c>
      <c r="AH596" s="70">
        <v>0.79100000000000004</v>
      </c>
      <c r="AI596" s="67">
        <f t="shared" si="141"/>
        <v>1434.1514684266392</v>
      </c>
      <c r="AL596" s="68" t="s">
        <v>895</v>
      </c>
      <c r="AM596" s="67" t="s">
        <v>308</v>
      </c>
      <c r="AN596" s="67" t="s">
        <v>24</v>
      </c>
      <c r="AP596" s="67">
        <f>+V596/AQ596</f>
        <v>4.1630849083565097E-2</v>
      </c>
      <c r="AQ596" s="67">
        <f>+AI596*SQRT(T596*U596/S596)</f>
        <v>9144.6609516857443</v>
      </c>
      <c r="AS596" s="67">
        <f>+AP596^2/(AU596-2)*(AU596/(V596/AI596)^2+AU596*AV596^2-AU596+2)</f>
        <v>2.4910288493221602E-2</v>
      </c>
      <c r="AU596" s="67">
        <f>+S596-2</f>
        <v>161</v>
      </c>
      <c r="AV596" s="67">
        <f>IFERROR(1/(SQRT(AU596/2)*_xlfn.GAMMA(AU596/2-0.5)/_xlfn.GAMMA(AU596/2)),1)</f>
        <v>0.99533315899856711</v>
      </c>
      <c r="AW596" s="67" t="s">
        <v>1350</v>
      </c>
    </row>
    <row r="597" spans="1:49" ht="30" customHeight="1" x14ac:dyDescent="0.25">
      <c r="A597" s="67" t="s">
        <v>162</v>
      </c>
      <c r="B597" s="72" t="s">
        <v>293</v>
      </c>
      <c r="C597" s="72" t="s">
        <v>485</v>
      </c>
      <c r="D597" s="67">
        <f t="shared" si="152"/>
        <v>18</v>
      </c>
      <c r="E597" s="67" t="s">
        <v>644</v>
      </c>
      <c r="F597" s="67" t="s">
        <v>240</v>
      </c>
      <c r="G597" s="68" t="s">
        <v>902</v>
      </c>
      <c r="H597" s="67">
        <v>1</v>
      </c>
      <c r="I597" s="67">
        <v>42</v>
      </c>
      <c r="J597" s="67">
        <v>2</v>
      </c>
      <c r="K597" s="68" t="s">
        <v>899</v>
      </c>
      <c r="L597" s="67" t="s">
        <v>638</v>
      </c>
      <c r="M597" s="68" t="s">
        <v>570</v>
      </c>
      <c r="N597" s="67" t="s">
        <v>240</v>
      </c>
      <c r="O597" s="69">
        <f t="shared" si="145"/>
        <v>0.22999999999999998</v>
      </c>
      <c r="P597" s="67" t="s">
        <v>240</v>
      </c>
      <c r="Q597" s="67" t="s">
        <v>240</v>
      </c>
      <c r="R597" s="67" t="s">
        <v>903</v>
      </c>
      <c r="S597" s="67">
        <v>163</v>
      </c>
      <c r="T597" s="78">
        <f t="shared" si="153"/>
        <v>85.374119718309871</v>
      </c>
      <c r="U597" s="78">
        <f t="shared" si="154"/>
        <v>77.625880281690129</v>
      </c>
      <c r="V597" s="67">
        <v>147.6</v>
      </c>
      <c r="AB597" s="67">
        <v>12474</v>
      </c>
      <c r="AC597" s="67">
        <v>12326</v>
      </c>
      <c r="AF597" s="67">
        <f t="shared" si="140"/>
        <v>8.4202548991196391E-2</v>
      </c>
      <c r="AH597" s="70">
        <v>0.93300000000000005</v>
      </c>
      <c r="AI597" s="67">
        <f t="shared" si="141"/>
        <v>1752.9160550167192</v>
      </c>
      <c r="AL597" s="68" t="s">
        <v>895</v>
      </c>
      <c r="AM597" s="67" t="s">
        <v>308</v>
      </c>
      <c r="AN597" s="67" t="s">
        <v>24</v>
      </c>
      <c r="AP597" s="67">
        <f>+V597/AQ597</f>
        <v>1.3205433194188498E-2</v>
      </c>
      <c r="AQ597" s="67">
        <f>+AI597*SQRT(T597*U597/S597)</f>
        <v>11177.217576244027</v>
      </c>
      <c r="AS597" s="67">
        <f>+AP597^2/(AU597-2)*(AU597/(V597/AI597)^2+AU597*AV597^2-AU597+2)</f>
        <v>2.4905379099359408E-2</v>
      </c>
      <c r="AU597" s="67">
        <f>+S597-2</f>
        <v>161</v>
      </c>
      <c r="AV597" s="67">
        <f>IFERROR(1/(SQRT(AU597/2)*_xlfn.GAMMA(AU597/2-0.5)/_xlfn.GAMMA(AU597/2)),1)</f>
        <v>0.99533315899856711</v>
      </c>
      <c r="AW597" s="67" t="s">
        <v>1350</v>
      </c>
    </row>
    <row r="598" spans="1:49" ht="30" customHeight="1" x14ac:dyDescent="0.25">
      <c r="A598" s="67" t="s">
        <v>162</v>
      </c>
      <c r="B598" s="72" t="s">
        <v>293</v>
      </c>
      <c r="C598" s="72" t="s">
        <v>485</v>
      </c>
      <c r="D598" s="67">
        <f t="shared" si="152"/>
        <v>19</v>
      </c>
      <c r="E598" s="67" t="s">
        <v>644</v>
      </c>
      <c r="F598" s="67" t="s">
        <v>240</v>
      </c>
      <c r="G598" s="68" t="s">
        <v>902</v>
      </c>
      <c r="H598" s="67">
        <v>1</v>
      </c>
      <c r="I598" s="67">
        <v>54</v>
      </c>
      <c r="J598" s="67">
        <v>2</v>
      </c>
      <c r="K598" s="68" t="s">
        <v>900</v>
      </c>
      <c r="L598" s="67" t="s">
        <v>638</v>
      </c>
      <c r="M598" s="68" t="s">
        <v>570</v>
      </c>
      <c r="N598" s="67" t="s">
        <v>240</v>
      </c>
      <c r="O598" s="69">
        <f t="shared" si="145"/>
        <v>0.22999999999999998</v>
      </c>
      <c r="P598" s="67" t="s">
        <v>240</v>
      </c>
      <c r="Q598" s="67" t="s">
        <v>240</v>
      </c>
      <c r="R598" s="67" t="s">
        <v>903</v>
      </c>
      <c r="S598" s="67">
        <v>163</v>
      </c>
      <c r="T598" s="78">
        <f t="shared" si="153"/>
        <v>85.374119718309871</v>
      </c>
      <c r="U598" s="78">
        <f t="shared" si="154"/>
        <v>77.625880281690129</v>
      </c>
      <c r="V598" s="67">
        <v>-440</v>
      </c>
      <c r="AB598" s="67">
        <v>11693</v>
      </c>
      <c r="AC598" s="67">
        <v>12133</v>
      </c>
      <c r="AF598" s="67">
        <f t="shared" si="140"/>
        <v>0.23694587235980583</v>
      </c>
      <c r="AH598" s="70">
        <v>0.81299999999999994</v>
      </c>
      <c r="AI598" s="67">
        <f t="shared" si="141"/>
        <v>1856.9641902512378</v>
      </c>
      <c r="AL598" s="68" t="s">
        <v>895</v>
      </c>
      <c r="AM598" s="67" t="s">
        <v>308</v>
      </c>
      <c r="AN598" s="67" t="s">
        <v>24</v>
      </c>
      <c r="AP598" s="67">
        <f>+V598/AQ598</f>
        <v>-3.7160073246871358E-2</v>
      </c>
      <c r="AQ598" s="67">
        <f>+AI598*SQRT(T598*U598/S598)</f>
        <v>11840.665573420129</v>
      </c>
      <c r="AS598" s="67">
        <f>+AP598^2/(AU598-2)*(AU598/(V598/AI598)^2+AU598*AV598^2-AU598+2)</f>
        <v>2.4909179032008538E-2</v>
      </c>
      <c r="AU598" s="67">
        <f>+S598-2</f>
        <v>161</v>
      </c>
      <c r="AV598" s="67">
        <f>IFERROR(1/(SQRT(AU598/2)*_xlfn.GAMMA(AU598/2-0.5)/_xlfn.GAMMA(AU598/2)),1)</f>
        <v>0.99533315899856711</v>
      </c>
      <c r="AW598" s="67" t="s">
        <v>1350</v>
      </c>
    </row>
    <row r="599" spans="1:49" ht="30" customHeight="1" x14ac:dyDescent="0.25">
      <c r="A599" s="67" t="s">
        <v>162</v>
      </c>
      <c r="B599" s="72" t="s">
        <v>293</v>
      </c>
      <c r="C599" s="72" t="s">
        <v>485</v>
      </c>
      <c r="D599" s="67">
        <f t="shared" si="152"/>
        <v>20</v>
      </c>
      <c r="E599" s="67" t="s">
        <v>646</v>
      </c>
      <c r="F599" s="67" t="s">
        <v>240</v>
      </c>
      <c r="G599" s="68" t="s">
        <v>902</v>
      </c>
      <c r="H599" s="67">
        <v>1</v>
      </c>
      <c r="I599" s="67">
        <v>54</v>
      </c>
      <c r="J599" s="67">
        <v>1</v>
      </c>
      <c r="K599" s="68" t="s">
        <v>894</v>
      </c>
      <c r="L599" s="67" t="s">
        <v>240</v>
      </c>
      <c r="M599" s="68" t="s">
        <v>570</v>
      </c>
      <c r="N599" s="67" t="s">
        <v>240</v>
      </c>
      <c r="O599" s="69">
        <f t="shared" si="145"/>
        <v>0.22999999999999998</v>
      </c>
      <c r="P599" s="67" t="s">
        <v>240</v>
      </c>
      <c r="Q599" s="67" t="s">
        <v>240</v>
      </c>
      <c r="R599" s="67" t="s">
        <v>903</v>
      </c>
      <c r="S599" s="67">
        <v>167</v>
      </c>
      <c r="T599" s="78">
        <f t="shared" si="153"/>
        <v>87.469190140845086</v>
      </c>
      <c r="U599" s="78">
        <f t="shared" si="154"/>
        <v>79.530809859154914</v>
      </c>
      <c r="V599" s="67">
        <v>7.0000000000000001E-3</v>
      </c>
      <c r="AB599" s="67">
        <v>65</v>
      </c>
      <c r="AC599" s="67">
        <v>64.3</v>
      </c>
      <c r="AF599" s="67">
        <f t="shared" si="140"/>
        <v>9.8064629510096674E-2</v>
      </c>
      <c r="AH599" s="70">
        <v>0.92200000000000004</v>
      </c>
      <c r="AI599" s="67">
        <f t="shared" si="141"/>
        <v>7.1381496416904167E-2</v>
      </c>
      <c r="AL599" s="68" t="s">
        <v>895</v>
      </c>
      <c r="AM599" s="67" t="s">
        <v>308</v>
      </c>
    </row>
    <row r="600" spans="1:49" ht="30" customHeight="1" x14ac:dyDescent="0.25">
      <c r="A600" s="67" t="s">
        <v>162</v>
      </c>
      <c r="B600" s="72" t="s">
        <v>293</v>
      </c>
      <c r="C600" s="72" t="s">
        <v>485</v>
      </c>
      <c r="D600" s="67">
        <f t="shared" si="152"/>
        <v>21</v>
      </c>
      <c r="E600" s="67" t="s">
        <v>646</v>
      </c>
      <c r="F600" s="67" t="s">
        <v>240</v>
      </c>
      <c r="G600" s="68" t="s">
        <v>902</v>
      </c>
      <c r="H600" s="67">
        <v>1</v>
      </c>
      <c r="I600" s="67">
        <v>6</v>
      </c>
      <c r="J600" s="67">
        <v>2</v>
      </c>
      <c r="K600" s="68" t="s">
        <v>896</v>
      </c>
      <c r="L600" s="67" t="s">
        <v>638</v>
      </c>
      <c r="M600" s="68" t="s">
        <v>570</v>
      </c>
      <c r="N600" s="67" t="s">
        <v>240</v>
      </c>
      <c r="O600" s="69">
        <f t="shared" si="145"/>
        <v>0.22999999999999998</v>
      </c>
      <c r="P600" s="67" t="s">
        <v>240</v>
      </c>
      <c r="Q600" s="67" t="s">
        <v>240</v>
      </c>
      <c r="R600" s="67" t="s">
        <v>903</v>
      </c>
      <c r="S600" s="67">
        <v>167</v>
      </c>
      <c r="T600" s="78">
        <f t="shared" si="153"/>
        <v>87.469190140845086</v>
      </c>
      <c r="U600" s="78">
        <f t="shared" si="154"/>
        <v>79.530809859154914</v>
      </c>
      <c r="V600" s="67">
        <v>-856.1</v>
      </c>
      <c r="AB600" s="67">
        <v>4636</v>
      </c>
      <c r="AC600" s="67">
        <v>5492</v>
      </c>
      <c r="AF600" s="67">
        <f t="shared" si="140"/>
        <v>0.77067789427430922</v>
      </c>
      <c r="AH600" s="70">
        <v>0.442</v>
      </c>
      <c r="AI600" s="67">
        <f t="shared" si="141"/>
        <v>1110.8402178917127</v>
      </c>
      <c r="AL600" s="68" t="s">
        <v>895</v>
      </c>
      <c r="AM600" s="67" t="s">
        <v>308</v>
      </c>
      <c r="AP600" s="67">
        <f>+V600/AQ600</f>
        <v>-0.11940867587515866</v>
      </c>
      <c r="AQ600" s="67">
        <f>+AI600*SQRT(T600*U600/S600)</f>
        <v>7169.4957985720357</v>
      </c>
      <c r="AS600" s="67">
        <f>+AP600^2/(AU600-2)*(AU600/(V600/AI600)^2+AU600*AV600^2-AU600+2)</f>
        <v>2.4344701167801554E-2</v>
      </c>
      <c r="AU600" s="67">
        <f>+S600-2</f>
        <v>165</v>
      </c>
      <c r="AV600" s="67">
        <f>IFERROR(1/(SQRT(AU600/2)*_xlfn.GAMMA(AU600/2-0.5)/_xlfn.GAMMA(AU600/2)),1)</f>
        <v>0.99544649494710324</v>
      </c>
      <c r="AW600" s="67" t="s">
        <v>1350</v>
      </c>
    </row>
    <row r="601" spans="1:49" ht="30" customHeight="1" x14ac:dyDescent="0.25">
      <c r="A601" s="67" t="s">
        <v>162</v>
      </c>
      <c r="B601" s="72" t="s">
        <v>293</v>
      </c>
      <c r="C601" s="72" t="s">
        <v>485</v>
      </c>
      <c r="D601" s="67">
        <f t="shared" si="152"/>
        <v>22</v>
      </c>
      <c r="E601" s="67" t="s">
        <v>646</v>
      </c>
      <c r="F601" s="67" t="s">
        <v>240</v>
      </c>
      <c r="G601" s="68" t="s">
        <v>902</v>
      </c>
      <c r="H601" s="67">
        <v>1</v>
      </c>
      <c r="I601" s="67">
        <v>18</v>
      </c>
      <c r="J601" s="67">
        <v>2</v>
      </c>
      <c r="K601" s="68" t="s">
        <v>897</v>
      </c>
      <c r="L601" s="67" t="s">
        <v>638</v>
      </c>
      <c r="M601" s="68" t="s">
        <v>570</v>
      </c>
      <c r="N601" s="67" t="s">
        <v>240</v>
      </c>
      <c r="O601" s="69">
        <f t="shared" si="145"/>
        <v>0.22999999999999998</v>
      </c>
      <c r="P601" s="67" t="s">
        <v>240</v>
      </c>
      <c r="Q601" s="67" t="s">
        <v>240</v>
      </c>
      <c r="R601" s="67" t="s">
        <v>903</v>
      </c>
      <c r="S601" s="67">
        <v>167</v>
      </c>
      <c r="T601" s="78">
        <f t="shared" si="153"/>
        <v>87.469190140845086</v>
      </c>
      <c r="U601" s="78">
        <f t="shared" si="154"/>
        <v>79.530809859154914</v>
      </c>
      <c r="V601" s="67">
        <v>-1204.5</v>
      </c>
      <c r="AB601" s="67">
        <v>9520</v>
      </c>
      <c r="AC601" s="67">
        <v>10724</v>
      </c>
      <c r="AF601" s="67">
        <f t="shared" si="140"/>
        <v>0.76898762210881932</v>
      </c>
      <c r="AH601" s="70">
        <v>0.443</v>
      </c>
      <c r="AI601" s="67">
        <f t="shared" si="141"/>
        <v>1566.3451079964866</v>
      </c>
      <c r="AL601" s="68" t="s">
        <v>895</v>
      </c>
      <c r="AM601" s="67" t="s">
        <v>308</v>
      </c>
      <c r="AP601" s="67">
        <f>+V601/AQ601</f>
        <v>-0.11914678545031411</v>
      </c>
      <c r="AQ601" s="67">
        <f>+AI601*SQRT(T601*U601/S601)</f>
        <v>10109.378909784296</v>
      </c>
      <c r="AS601" s="67">
        <f>+AP601^2/(AU601-2)*(AU601/(V601/AI601)^2+AU601*AV601^2-AU601+2)</f>
        <v>2.4344509232472642E-2</v>
      </c>
      <c r="AU601" s="67">
        <f>+S601-2</f>
        <v>165</v>
      </c>
      <c r="AV601" s="67">
        <f>IFERROR(1/(SQRT(AU601/2)*_xlfn.GAMMA(AU601/2-0.5)/_xlfn.GAMMA(AU601/2)),1)</f>
        <v>0.99544649494710324</v>
      </c>
      <c r="AW601" s="67" t="s">
        <v>1350</v>
      </c>
    </row>
    <row r="602" spans="1:49" ht="30" customHeight="1" x14ac:dyDescent="0.25">
      <c r="A602" s="67" t="s">
        <v>162</v>
      </c>
      <c r="B602" s="72" t="s">
        <v>293</v>
      </c>
      <c r="C602" s="72" t="s">
        <v>485</v>
      </c>
      <c r="D602" s="67">
        <f t="shared" si="152"/>
        <v>23</v>
      </c>
      <c r="E602" s="67" t="s">
        <v>646</v>
      </c>
      <c r="F602" s="67" t="s">
        <v>240</v>
      </c>
      <c r="G602" s="68" t="s">
        <v>902</v>
      </c>
      <c r="H602" s="67">
        <v>1</v>
      </c>
      <c r="I602" s="67">
        <v>30</v>
      </c>
      <c r="J602" s="67">
        <v>2</v>
      </c>
      <c r="K602" s="68" t="s">
        <v>898</v>
      </c>
      <c r="L602" s="67" t="s">
        <v>638</v>
      </c>
      <c r="M602" s="68" t="s">
        <v>570</v>
      </c>
      <c r="N602" s="67" t="s">
        <v>240</v>
      </c>
      <c r="O602" s="69">
        <f t="shared" si="145"/>
        <v>0.22999999999999998</v>
      </c>
      <c r="P602" s="67" t="s">
        <v>240</v>
      </c>
      <c r="Q602" s="67" t="s">
        <v>240</v>
      </c>
      <c r="R602" s="67" t="s">
        <v>903</v>
      </c>
      <c r="S602" s="67">
        <v>167</v>
      </c>
      <c r="T602" s="78">
        <f t="shared" si="153"/>
        <v>87.469190140845086</v>
      </c>
      <c r="U602" s="78">
        <f t="shared" si="154"/>
        <v>79.530809859154914</v>
      </c>
      <c r="V602" s="67">
        <v>-3405.1</v>
      </c>
      <c r="AB602" s="67">
        <v>12859</v>
      </c>
      <c r="AC602" s="67">
        <v>16264</v>
      </c>
      <c r="AF602" s="67">
        <f t="shared" si="140"/>
        <v>2.0012935972870323</v>
      </c>
      <c r="AH602" s="70">
        <v>4.7E-2</v>
      </c>
      <c r="AI602" s="67">
        <f t="shared" si="141"/>
        <v>1701.4495047683047</v>
      </c>
      <c r="AL602" s="68" t="s">
        <v>895</v>
      </c>
      <c r="AM602" s="67" t="s">
        <v>308</v>
      </c>
      <c r="AP602" s="67">
        <f>+V602/AQ602</f>
        <v>-0.31008002210119151</v>
      </c>
      <c r="AQ602" s="67">
        <f>+AI602*SQRT(T602*U602/S602)</f>
        <v>10981.358866417972</v>
      </c>
      <c r="AS602" s="67">
        <f>+AP602^2/(AU602-2)*(AU602/(V602/AI602)^2+AU602*AV602^2-AU602+2)</f>
        <v>2.4596285221426078E-2</v>
      </c>
      <c r="AU602" s="67">
        <f>+S602-2</f>
        <v>165</v>
      </c>
      <c r="AV602" s="67">
        <f>IFERROR(1/(SQRT(AU602/2)*_xlfn.GAMMA(AU602/2-0.5)/_xlfn.GAMMA(AU602/2)),1)</f>
        <v>0.99544649494710324</v>
      </c>
      <c r="AW602" s="67" t="s">
        <v>1350</v>
      </c>
    </row>
    <row r="603" spans="1:49" ht="30" customHeight="1" x14ac:dyDescent="0.25">
      <c r="A603" s="67" t="s">
        <v>162</v>
      </c>
      <c r="B603" s="72" t="s">
        <v>293</v>
      </c>
      <c r="C603" s="72" t="s">
        <v>485</v>
      </c>
      <c r="D603" s="67">
        <f t="shared" si="152"/>
        <v>24</v>
      </c>
      <c r="E603" s="67" t="s">
        <v>646</v>
      </c>
      <c r="F603" s="67" t="s">
        <v>240</v>
      </c>
      <c r="G603" s="68" t="s">
        <v>902</v>
      </c>
      <c r="H603" s="67">
        <v>1</v>
      </c>
      <c r="I603" s="67">
        <v>42</v>
      </c>
      <c r="J603" s="67">
        <v>2</v>
      </c>
      <c r="K603" s="68" t="s">
        <v>899</v>
      </c>
      <c r="L603" s="67" t="s">
        <v>638</v>
      </c>
      <c r="M603" s="68" t="s">
        <v>570</v>
      </c>
      <c r="N603" s="67" t="s">
        <v>240</v>
      </c>
      <c r="O603" s="69">
        <f t="shared" si="145"/>
        <v>0.22999999999999998</v>
      </c>
      <c r="P603" s="67" t="s">
        <v>240</v>
      </c>
      <c r="Q603" s="67" t="s">
        <v>240</v>
      </c>
      <c r="R603" s="67" t="s">
        <v>903</v>
      </c>
      <c r="S603" s="67">
        <v>167</v>
      </c>
      <c r="T603" s="78">
        <f t="shared" si="153"/>
        <v>87.469190140845086</v>
      </c>
      <c r="U603" s="78">
        <f t="shared" si="154"/>
        <v>79.530809859154914</v>
      </c>
      <c r="V603" s="67">
        <v>860.6</v>
      </c>
      <c r="AB603" s="67">
        <v>19183</v>
      </c>
      <c r="AC603" s="67">
        <v>18322</v>
      </c>
      <c r="AF603" s="67">
        <f t="shared" si="140"/>
        <v>0.34038444174619359</v>
      </c>
      <c r="AH603" s="70">
        <v>0.73399999999999999</v>
      </c>
      <c r="AI603" s="67">
        <f t="shared" si="141"/>
        <v>2528.3176739367636</v>
      </c>
      <c r="AL603" s="68" t="s">
        <v>895</v>
      </c>
      <c r="AM603" s="67" t="s">
        <v>308</v>
      </c>
      <c r="AP603" s="67">
        <f>+V603/AQ603</f>
        <v>5.2739096034005659E-2</v>
      </c>
      <c r="AQ603" s="67">
        <f>+AI603*SQRT(T603*U603/S603)</f>
        <v>16318.065054529821</v>
      </c>
      <c r="AS603" s="67">
        <f>+AP603^2/(AU603-2)*(AU603/(V603/AI603)^2+AU603*AV603^2-AU603+2)</f>
        <v>2.430944175610153E-2</v>
      </c>
      <c r="AU603" s="67">
        <f>+S603-2</f>
        <v>165</v>
      </c>
      <c r="AV603" s="67">
        <f>IFERROR(1/(SQRT(AU603/2)*_xlfn.GAMMA(AU603/2-0.5)/_xlfn.GAMMA(AU603/2)),1)</f>
        <v>0.99544649494710324</v>
      </c>
      <c r="AW603" s="67" t="s">
        <v>1350</v>
      </c>
    </row>
    <row r="604" spans="1:49" ht="30" customHeight="1" x14ac:dyDescent="0.25">
      <c r="A604" s="67" t="s">
        <v>162</v>
      </c>
      <c r="B604" s="72" t="s">
        <v>293</v>
      </c>
      <c r="C604" s="72" t="s">
        <v>485</v>
      </c>
      <c r="D604" s="67">
        <f t="shared" si="152"/>
        <v>25</v>
      </c>
      <c r="E604" s="67" t="s">
        <v>646</v>
      </c>
      <c r="F604" s="67" t="s">
        <v>240</v>
      </c>
      <c r="G604" s="68" t="s">
        <v>902</v>
      </c>
      <c r="H604" s="67">
        <v>1</v>
      </c>
      <c r="I604" s="67">
        <v>54</v>
      </c>
      <c r="J604" s="67">
        <v>2</v>
      </c>
      <c r="K604" s="68" t="s">
        <v>900</v>
      </c>
      <c r="L604" s="67" t="s">
        <v>638</v>
      </c>
      <c r="M604" s="68" t="s">
        <v>570</v>
      </c>
      <c r="N604" s="67" t="s">
        <v>240</v>
      </c>
      <c r="O604" s="69">
        <f t="shared" si="145"/>
        <v>0.22999999999999998</v>
      </c>
      <c r="P604" s="67" t="s">
        <v>240</v>
      </c>
      <c r="Q604" s="67" t="s">
        <v>240</v>
      </c>
      <c r="R604" s="67" t="s">
        <v>903</v>
      </c>
      <c r="S604" s="67">
        <v>167</v>
      </c>
      <c r="T604" s="78">
        <f t="shared" si="153"/>
        <v>87.469190140845086</v>
      </c>
      <c r="U604" s="78">
        <f t="shared" si="154"/>
        <v>79.530809859154914</v>
      </c>
      <c r="V604" s="67">
        <v>3885.9</v>
      </c>
      <c r="AB604" s="67">
        <v>20725</v>
      </c>
      <c r="AC604" s="67">
        <v>16839</v>
      </c>
      <c r="AF604" s="67">
        <f t="shared" si="140"/>
        <v>1.4606977134744206</v>
      </c>
      <c r="AH604" s="70">
        <v>0.14599999999999999</v>
      </c>
      <c r="AI604" s="67">
        <f t="shared" si="141"/>
        <v>2660.3040205745137</v>
      </c>
      <c r="AL604" s="68" t="s">
        <v>895</v>
      </c>
      <c r="AM604" s="67" t="s">
        <v>308</v>
      </c>
      <c r="AP604" s="67">
        <f>+V604/AQ604</f>
        <v>0.2263202060363895</v>
      </c>
      <c r="AQ604" s="67">
        <f>+AI604*SQRT(T604*U604/S604)</f>
        <v>17169.920742185943</v>
      </c>
      <c r="AS604" s="67">
        <f>+AP604^2/(AU604-2)*(AU604/(V604/AI604)^2+AU604*AV604^2-AU604+2)</f>
        <v>2.4458256137230825E-2</v>
      </c>
      <c r="AU604" s="67">
        <f>+S604-2</f>
        <v>165</v>
      </c>
      <c r="AV604" s="67">
        <f>IFERROR(1/(SQRT(AU604/2)*_xlfn.GAMMA(AU604/2-0.5)/_xlfn.GAMMA(AU604/2)),1)</f>
        <v>0.99544649494710324</v>
      </c>
      <c r="AW604" s="67" t="s">
        <v>1350</v>
      </c>
    </row>
    <row r="605" spans="1:49" ht="30" customHeight="1" x14ac:dyDescent="0.25">
      <c r="A605" s="67" t="s">
        <v>162</v>
      </c>
      <c r="B605" s="67" t="s">
        <v>344</v>
      </c>
      <c r="C605" s="67" t="s">
        <v>485</v>
      </c>
      <c r="D605" s="67">
        <f t="shared" si="152"/>
        <v>26</v>
      </c>
      <c r="E605" s="67" t="s">
        <v>605</v>
      </c>
      <c r="F605" s="67" t="s">
        <v>904</v>
      </c>
      <c r="G605" s="68" t="s">
        <v>902</v>
      </c>
      <c r="H605" s="67">
        <v>1</v>
      </c>
      <c r="I605" s="67">
        <v>54</v>
      </c>
      <c r="J605" s="67">
        <v>1</v>
      </c>
      <c r="K605" s="68" t="s">
        <v>894</v>
      </c>
      <c r="L605" s="67" t="s">
        <v>240</v>
      </c>
      <c r="M605" s="68" t="s">
        <v>570</v>
      </c>
      <c r="N605" s="67" t="s">
        <v>240</v>
      </c>
      <c r="O605" s="69">
        <f t="shared" si="145"/>
        <v>0.22999999999999998</v>
      </c>
      <c r="P605" s="67" t="s">
        <v>240</v>
      </c>
      <c r="Q605" s="67" t="s">
        <v>240</v>
      </c>
      <c r="R605" s="67" t="s">
        <v>905</v>
      </c>
      <c r="S605" s="67">
        <v>115</v>
      </c>
      <c r="T605" s="78">
        <f t="shared" si="153"/>
        <v>60.233274647887328</v>
      </c>
      <c r="U605" s="78">
        <f t="shared" si="154"/>
        <v>54.766725352112672</v>
      </c>
      <c r="V605" s="67">
        <v>4.9000000000000002E-2</v>
      </c>
      <c r="AB605" s="67">
        <v>59.7</v>
      </c>
      <c r="AC605" s="67">
        <v>54.8</v>
      </c>
      <c r="AF605" s="67">
        <f t="shared" si="140"/>
        <v>0.49864323399974353</v>
      </c>
      <c r="AH605" s="70">
        <v>0.61899999999999999</v>
      </c>
      <c r="AI605" s="67">
        <f t="shared" si="141"/>
        <v>9.8266649698540182E-2</v>
      </c>
      <c r="AL605" s="68" t="s">
        <v>906</v>
      </c>
    </row>
    <row r="606" spans="1:49" ht="30" customHeight="1" x14ac:dyDescent="0.25">
      <c r="A606" s="67" t="s">
        <v>162</v>
      </c>
      <c r="B606" s="67" t="s">
        <v>344</v>
      </c>
      <c r="C606" s="67" t="s">
        <v>485</v>
      </c>
      <c r="D606" s="67">
        <f t="shared" si="152"/>
        <v>27</v>
      </c>
      <c r="E606" s="67" t="s">
        <v>605</v>
      </c>
      <c r="F606" s="67" t="s">
        <v>904</v>
      </c>
      <c r="G606" s="68" t="s">
        <v>902</v>
      </c>
      <c r="H606" s="67">
        <v>1</v>
      </c>
      <c r="I606" s="67">
        <v>6</v>
      </c>
      <c r="J606" s="67">
        <v>2</v>
      </c>
      <c r="K606" s="68" t="s">
        <v>896</v>
      </c>
      <c r="L606" s="67" t="s">
        <v>638</v>
      </c>
      <c r="M606" s="68" t="s">
        <v>570</v>
      </c>
      <c r="N606" s="67" t="s">
        <v>240</v>
      </c>
      <c r="O606" s="69">
        <f t="shared" si="145"/>
        <v>0.22999999999999998</v>
      </c>
      <c r="P606" s="67" t="s">
        <v>240</v>
      </c>
      <c r="Q606" s="67" t="s">
        <v>240</v>
      </c>
      <c r="R606" s="67" t="s">
        <v>905</v>
      </c>
      <c r="S606" s="67">
        <v>115</v>
      </c>
      <c r="T606" s="78">
        <f t="shared" si="153"/>
        <v>60.233274647887328</v>
      </c>
      <c r="U606" s="78">
        <f t="shared" si="154"/>
        <v>54.766725352112672</v>
      </c>
      <c r="V606" s="67">
        <v>-389.3</v>
      </c>
      <c r="AB606" s="67">
        <v>2859</v>
      </c>
      <c r="AC606" s="67">
        <v>3248</v>
      </c>
      <c r="AF606" s="67">
        <f t="shared" si="140"/>
        <v>0.41490242308615144</v>
      </c>
      <c r="AH606" s="70">
        <v>0.67900000000000005</v>
      </c>
      <c r="AI606" s="67">
        <f t="shared" si="141"/>
        <v>938.29290536383473</v>
      </c>
      <c r="AL606" s="68" t="s">
        <v>906</v>
      </c>
      <c r="AP606" s="67">
        <f>+V606/AQ606</f>
        <v>-7.7467272774792886E-2</v>
      </c>
      <c r="AQ606" s="67">
        <f>+AI606*SQRT(T606*U606/S606)</f>
        <v>5025.3479444376999</v>
      </c>
      <c r="AS606" s="67">
        <f>+AP606^2/(AU606-2)*(AU606/(V606/AI606)^2+AU606*AV606^2-AU606+2)</f>
        <v>3.551660728429263E-2</v>
      </c>
      <c r="AU606" s="67">
        <f>+S606-2</f>
        <v>113</v>
      </c>
      <c r="AV606" s="67">
        <f>IFERROR(1/(SQRT(AU606/2)*_xlfn.GAMMA(AU606/2-0.5)/_xlfn.GAMMA(AU606/2)),1)</f>
        <v>0.99334565197449032</v>
      </c>
      <c r="AW606" s="67" t="s">
        <v>1350</v>
      </c>
    </row>
    <row r="607" spans="1:49" ht="30" customHeight="1" x14ac:dyDescent="0.25">
      <c r="A607" s="67" t="s">
        <v>162</v>
      </c>
      <c r="B607" s="67" t="s">
        <v>344</v>
      </c>
      <c r="C607" s="67" t="s">
        <v>485</v>
      </c>
      <c r="D607" s="67">
        <f t="shared" si="152"/>
        <v>28</v>
      </c>
      <c r="E607" s="67" t="s">
        <v>605</v>
      </c>
      <c r="F607" s="67" t="s">
        <v>904</v>
      </c>
      <c r="G607" s="68" t="s">
        <v>902</v>
      </c>
      <c r="H607" s="67">
        <v>1</v>
      </c>
      <c r="I607" s="67">
        <v>18</v>
      </c>
      <c r="J607" s="67">
        <v>2</v>
      </c>
      <c r="K607" s="68" t="s">
        <v>897</v>
      </c>
      <c r="L607" s="67" t="s">
        <v>638</v>
      </c>
      <c r="M607" s="68" t="s">
        <v>570</v>
      </c>
      <c r="N607" s="67" t="s">
        <v>240</v>
      </c>
      <c r="O607" s="69">
        <f t="shared" si="145"/>
        <v>0.22999999999999998</v>
      </c>
      <c r="P607" s="67" t="s">
        <v>240</v>
      </c>
      <c r="Q607" s="67" t="s">
        <v>240</v>
      </c>
      <c r="R607" s="67" t="s">
        <v>905</v>
      </c>
      <c r="S607" s="67">
        <v>115</v>
      </c>
      <c r="T607" s="78">
        <f t="shared" si="153"/>
        <v>60.233274647887328</v>
      </c>
      <c r="U607" s="78">
        <f t="shared" si="154"/>
        <v>54.766725352112672</v>
      </c>
      <c r="V607" s="67">
        <v>-1625.5</v>
      </c>
      <c r="AB607" s="67">
        <v>7636</v>
      </c>
      <c r="AC607" s="67">
        <v>9262</v>
      </c>
      <c r="AF607" s="67">
        <f t="shared" si="140"/>
        <v>0.95225524475030709</v>
      </c>
      <c r="AH607" s="70">
        <v>0.34300000000000003</v>
      </c>
      <c r="AI607" s="67">
        <f t="shared" si="141"/>
        <v>1707.0003121129839</v>
      </c>
      <c r="AL607" s="68" t="s">
        <v>906</v>
      </c>
      <c r="AP607" s="67">
        <f>+V607/AQ607</f>
        <v>-0.17779750777927292</v>
      </c>
      <c r="AQ607" s="67">
        <f>+AI607*SQRT(T607*U607/S607)</f>
        <v>9142.4228624058123</v>
      </c>
      <c r="AS607" s="67">
        <f>+AP607^2/(AU607-2)*(AU607/(V607/AI607)^2+AU607*AV607^2-AU607+2)</f>
        <v>3.5632229789188827E-2</v>
      </c>
      <c r="AU607" s="67">
        <f>+S607-2</f>
        <v>113</v>
      </c>
      <c r="AV607" s="67">
        <f>IFERROR(1/(SQRT(AU607/2)*_xlfn.GAMMA(AU607/2-0.5)/_xlfn.GAMMA(AU607/2)),1)</f>
        <v>0.99334565197449032</v>
      </c>
      <c r="AW607" s="67" t="s">
        <v>1350</v>
      </c>
    </row>
    <row r="608" spans="1:49" ht="30" customHeight="1" x14ac:dyDescent="0.25">
      <c r="A608" s="67" t="s">
        <v>162</v>
      </c>
      <c r="B608" s="67" t="s">
        <v>344</v>
      </c>
      <c r="C608" s="67" t="s">
        <v>485</v>
      </c>
      <c r="D608" s="67">
        <f t="shared" si="152"/>
        <v>29</v>
      </c>
      <c r="E608" s="67" t="s">
        <v>605</v>
      </c>
      <c r="F608" s="67" t="s">
        <v>904</v>
      </c>
      <c r="G608" s="68" t="s">
        <v>902</v>
      </c>
      <c r="H608" s="67">
        <v>1</v>
      </c>
      <c r="I608" s="67">
        <v>30</v>
      </c>
      <c r="J608" s="67">
        <v>2</v>
      </c>
      <c r="K608" s="68" t="s">
        <v>898</v>
      </c>
      <c r="L608" s="67" t="s">
        <v>638</v>
      </c>
      <c r="M608" s="68" t="s">
        <v>570</v>
      </c>
      <c r="N608" s="67" t="s">
        <v>240</v>
      </c>
      <c r="O608" s="69">
        <f t="shared" si="145"/>
        <v>0.22999999999999998</v>
      </c>
      <c r="P608" s="67" t="s">
        <v>240</v>
      </c>
      <c r="Q608" s="67" t="s">
        <v>240</v>
      </c>
      <c r="R608" s="67" t="s">
        <v>905</v>
      </c>
      <c r="S608" s="67">
        <v>115</v>
      </c>
      <c r="T608" s="78">
        <f t="shared" si="153"/>
        <v>60.233274647887328</v>
      </c>
      <c r="U608" s="78">
        <f t="shared" si="154"/>
        <v>54.766725352112672</v>
      </c>
      <c r="V608" s="67">
        <v>-1131</v>
      </c>
      <c r="AB608" s="67">
        <v>10927</v>
      </c>
      <c r="AC608" s="67">
        <v>12058</v>
      </c>
      <c r="AF608" s="67">
        <f t="shared" si="140"/>
        <v>0.57861570108179239</v>
      </c>
      <c r="AH608" s="70">
        <v>0.56399999999999995</v>
      </c>
      <c r="AI608" s="67">
        <f t="shared" si="141"/>
        <v>1954.6652430714514</v>
      </c>
      <c r="AL608" s="68" t="s">
        <v>906</v>
      </c>
      <c r="AP608" s="67">
        <f>+V608/AQ608</f>
        <v>-0.10803451089552663</v>
      </c>
      <c r="AQ608" s="67">
        <f>+AI608*SQRT(T608*U608/S608)</f>
        <v>10468.876941496212</v>
      </c>
      <c r="AS608" s="67">
        <f>+AP608^2/(AU608-2)*(AU608/(V608/AI608)^2+AU608*AV608^2-AU608+2)</f>
        <v>3.5542206339446374E-2</v>
      </c>
      <c r="AU608" s="67">
        <f>+S608-2</f>
        <v>113</v>
      </c>
      <c r="AV608" s="67">
        <f>IFERROR(1/(SQRT(AU608/2)*_xlfn.GAMMA(AU608/2-0.5)/_xlfn.GAMMA(AU608/2)),1)</f>
        <v>0.99334565197449032</v>
      </c>
      <c r="AW608" s="67" t="s">
        <v>1350</v>
      </c>
    </row>
    <row r="609" spans="1:49" ht="30" customHeight="1" x14ac:dyDescent="0.25">
      <c r="A609" s="67" t="s">
        <v>162</v>
      </c>
      <c r="B609" s="67" t="s">
        <v>344</v>
      </c>
      <c r="C609" s="67" t="s">
        <v>485</v>
      </c>
      <c r="D609" s="67">
        <f t="shared" si="152"/>
        <v>30</v>
      </c>
      <c r="E609" s="67" t="s">
        <v>605</v>
      </c>
      <c r="F609" s="67" t="s">
        <v>904</v>
      </c>
      <c r="G609" s="68" t="s">
        <v>902</v>
      </c>
      <c r="H609" s="67">
        <v>1</v>
      </c>
      <c r="I609" s="67">
        <v>42</v>
      </c>
      <c r="J609" s="67">
        <v>2</v>
      </c>
      <c r="K609" s="68" t="s">
        <v>899</v>
      </c>
      <c r="L609" s="67" t="s">
        <v>638</v>
      </c>
      <c r="M609" s="68" t="s">
        <v>570</v>
      </c>
      <c r="N609" s="67" t="s">
        <v>240</v>
      </c>
      <c r="O609" s="69">
        <f t="shared" si="145"/>
        <v>0.22999999999999998</v>
      </c>
      <c r="P609" s="67" t="s">
        <v>240</v>
      </c>
      <c r="Q609" s="67" t="s">
        <v>240</v>
      </c>
      <c r="R609" s="67" t="s">
        <v>905</v>
      </c>
      <c r="S609" s="67">
        <v>115</v>
      </c>
      <c r="T609" s="78">
        <f t="shared" si="153"/>
        <v>60.233274647887328</v>
      </c>
      <c r="U609" s="78">
        <f t="shared" si="154"/>
        <v>54.766725352112672</v>
      </c>
      <c r="V609" s="67">
        <v>4403.5</v>
      </c>
      <c r="AB609" s="67">
        <v>16630</v>
      </c>
      <c r="AC609" s="67">
        <v>12226</v>
      </c>
      <c r="AF609" s="67">
        <f t="shared" si="140"/>
        <v>1.8777029695853991</v>
      </c>
      <c r="AH609" s="70">
        <v>6.3E-2</v>
      </c>
      <c r="AI609" s="67">
        <f t="shared" si="141"/>
        <v>2345.15259938706</v>
      </c>
      <c r="AL609" s="68" t="s">
        <v>906</v>
      </c>
      <c r="AP609" s="67">
        <f>+V609/AQ609</f>
        <v>0.3505897291535145</v>
      </c>
      <c r="AQ609" s="67">
        <f>+AI609*SQRT(T609*U609/S609)</f>
        <v>12560.265272551145</v>
      </c>
      <c r="AS609" s="67">
        <f>+AP609^2/(AU609-2)*(AU609/(V609/AI609)^2+AU609*AV609^2-AU609+2)</f>
        <v>3.6044418556645932E-2</v>
      </c>
      <c r="AU609" s="67">
        <f>+S609-2</f>
        <v>113</v>
      </c>
      <c r="AV609" s="67">
        <f>IFERROR(1/(SQRT(AU609/2)*_xlfn.GAMMA(AU609/2-0.5)/_xlfn.GAMMA(AU609/2)),1)</f>
        <v>0.99334565197449032</v>
      </c>
      <c r="AW609" s="67" t="s">
        <v>1350</v>
      </c>
    </row>
    <row r="610" spans="1:49" ht="30" customHeight="1" x14ac:dyDescent="0.25">
      <c r="A610" s="67" t="s">
        <v>162</v>
      </c>
      <c r="B610" s="67" t="s">
        <v>344</v>
      </c>
      <c r="C610" s="67" t="s">
        <v>485</v>
      </c>
      <c r="D610" s="67">
        <f t="shared" si="152"/>
        <v>31</v>
      </c>
      <c r="E610" s="67" t="s">
        <v>605</v>
      </c>
      <c r="F610" s="67" t="s">
        <v>904</v>
      </c>
      <c r="G610" s="68" t="s">
        <v>902</v>
      </c>
      <c r="H610" s="67">
        <v>1</v>
      </c>
      <c r="I610" s="67">
        <v>54</v>
      </c>
      <c r="J610" s="67">
        <v>2</v>
      </c>
      <c r="K610" s="68" t="s">
        <v>900</v>
      </c>
      <c r="L610" s="67" t="s">
        <v>638</v>
      </c>
      <c r="M610" s="68" t="s">
        <v>570</v>
      </c>
      <c r="N610" s="67" t="s">
        <v>240</v>
      </c>
      <c r="O610" s="69">
        <f t="shared" si="145"/>
        <v>0.22999999999999998</v>
      </c>
      <c r="P610" s="67" t="s">
        <v>240</v>
      </c>
      <c r="Q610" s="67" t="s">
        <v>240</v>
      </c>
      <c r="R610" s="67" t="s">
        <v>905</v>
      </c>
      <c r="S610" s="67">
        <v>115</v>
      </c>
      <c r="T610" s="78">
        <f t="shared" si="153"/>
        <v>60.233274647887328</v>
      </c>
      <c r="U610" s="78">
        <f t="shared" si="154"/>
        <v>54.766725352112672</v>
      </c>
      <c r="V610" s="67">
        <v>5623.7</v>
      </c>
      <c r="AB610" s="67">
        <v>16181</v>
      </c>
      <c r="AC610" s="67">
        <v>10558</v>
      </c>
      <c r="AF610" s="67">
        <f t="shared" si="140"/>
        <v>2.1712932772804168</v>
      </c>
      <c r="AH610" s="70">
        <v>3.2000000000000001E-2</v>
      </c>
      <c r="AI610" s="67">
        <f t="shared" si="141"/>
        <v>2590.0232174272578</v>
      </c>
      <c r="AL610" s="68" t="s">
        <v>906</v>
      </c>
      <c r="AP610" s="67">
        <f>+V610/AQ610</f>
        <v>0.40540657086070975</v>
      </c>
      <c r="AQ610" s="67">
        <f>+AI610*SQRT(T610*U610/S610)</f>
        <v>13871.753454958676</v>
      </c>
      <c r="AS610" s="67">
        <f>+AP610^2/(AU610-2)*(AU610/(V610/AI610)^2+AU610*AV610^2-AU610+2)</f>
        <v>3.6231509741713144E-2</v>
      </c>
      <c r="AU610" s="67">
        <f>+S610-2</f>
        <v>113</v>
      </c>
      <c r="AV610" s="67">
        <f>IFERROR(1/(SQRT(AU610/2)*_xlfn.GAMMA(AU610/2-0.5)/_xlfn.GAMMA(AU610/2)),1)</f>
        <v>0.99334565197449032</v>
      </c>
      <c r="AW610" s="67" t="s">
        <v>1350</v>
      </c>
    </row>
    <row r="611" spans="1:49" ht="30" customHeight="1" x14ac:dyDescent="0.25">
      <c r="A611" s="67" t="s">
        <v>162</v>
      </c>
      <c r="B611" s="67" t="s">
        <v>344</v>
      </c>
      <c r="C611" s="67" t="s">
        <v>485</v>
      </c>
      <c r="D611" s="67">
        <f t="shared" si="152"/>
        <v>32</v>
      </c>
      <c r="E611" s="67" t="s">
        <v>605</v>
      </c>
      <c r="F611" s="67" t="s">
        <v>893</v>
      </c>
      <c r="G611" s="68" t="s">
        <v>902</v>
      </c>
      <c r="H611" s="67">
        <v>1</v>
      </c>
      <c r="I611" s="67">
        <v>54</v>
      </c>
      <c r="J611" s="67">
        <v>1</v>
      </c>
      <c r="K611" s="68" t="s">
        <v>894</v>
      </c>
      <c r="L611" s="67" t="s">
        <v>240</v>
      </c>
      <c r="M611" s="68" t="s">
        <v>570</v>
      </c>
      <c r="N611" s="67" t="s">
        <v>240</v>
      </c>
      <c r="O611" s="69">
        <f t="shared" si="145"/>
        <v>0.22999999999999998</v>
      </c>
      <c r="P611" s="67" t="s">
        <v>240</v>
      </c>
      <c r="Q611" s="67" t="s">
        <v>240</v>
      </c>
      <c r="R611" s="67" t="s">
        <v>905</v>
      </c>
      <c r="S611" s="67">
        <v>215</v>
      </c>
      <c r="T611" s="78">
        <f t="shared" si="153"/>
        <v>112.61003521126761</v>
      </c>
      <c r="U611" s="78">
        <f t="shared" si="154"/>
        <v>102.38996478873239</v>
      </c>
      <c r="V611" s="67">
        <v>-8.1000000000000003E-2</v>
      </c>
      <c r="AB611" s="67">
        <v>59.2</v>
      </c>
      <c r="AC611" s="67">
        <v>67.400000000000006</v>
      </c>
      <c r="AF611" s="67">
        <f t="shared" si="140"/>
        <v>1.2328249775103313</v>
      </c>
      <c r="AH611" s="70">
        <v>0.219</v>
      </c>
      <c r="AI611" s="67">
        <f t="shared" si="141"/>
        <v>6.5702757064168268E-2</v>
      </c>
      <c r="AL611" s="68" t="s">
        <v>906</v>
      </c>
    </row>
    <row r="612" spans="1:49" ht="30" customHeight="1" x14ac:dyDescent="0.25">
      <c r="A612" s="67" t="s">
        <v>162</v>
      </c>
      <c r="B612" s="67" t="s">
        <v>344</v>
      </c>
      <c r="C612" s="67" t="s">
        <v>485</v>
      </c>
      <c r="D612" s="67">
        <f t="shared" si="152"/>
        <v>33</v>
      </c>
      <c r="E612" s="67" t="s">
        <v>605</v>
      </c>
      <c r="F612" s="67" t="s">
        <v>893</v>
      </c>
      <c r="G612" s="68" t="s">
        <v>902</v>
      </c>
      <c r="H612" s="67">
        <v>1</v>
      </c>
      <c r="I612" s="67">
        <v>6</v>
      </c>
      <c r="J612" s="67">
        <v>2</v>
      </c>
      <c r="K612" s="68" t="s">
        <v>896</v>
      </c>
      <c r="L612" s="67" t="s">
        <v>638</v>
      </c>
      <c r="M612" s="68" t="s">
        <v>570</v>
      </c>
      <c r="N612" s="67" t="s">
        <v>240</v>
      </c>
      <c r="O612" s="69">
        <f t="shared" si="145"/>
        <v>0.22999999999999998</v>
      </c>
      <c r="P612" s="67" t="s">
        <v>240</v>
      </c>
      <c r="Q612" s="67" t="s">
        <v>240</v>
      </c>
      <c r="R612" s="67" t="s">
        <v>905</v>
      </c>
      <c r="S612" s="67">
        <v>215</v>
      </c>
      <c r="T612" s="78">
        <f t="shared" si="153"/>
        <v>112.61003521126761</v>
      </c>
      <c r="U612" s="78">
        <f t="shared" si="154"/>
        <v>102.38996478873239</v>
      </c>
      <c r="V612" s="67">
        <v>-903.7</v>
      </c>
      <c r="AB612" s="67">
        <v>4415</v>
      </c>
      <c r="AC612" s="67">
        <v>5319</v>
      </c>
      <c r="AF612" s="67">
        <f t="shared" si="140"/>
        <v>0.99678481026632226</v>
      </c>
      <c r="AH612" s="70">
        <v>0.32</v>
      </c>
      <c r="AI612" s="67">
        <f t="shared" si="141"/>
        <v>906.61493904441454</v>
      </c>
      <c r="AL612" s="68" t="s">
        <v>906</v>
      </c>
      <c r="AP612" s="67">
        <f>+V612/AQ612</f>
        <v>-0.13611418818239779</v>
      </c>
      <c r="AQ612" s="67">
        <f>+AI612*SQRT(T612*U612/S612)</f>
        <v>6639.2784768991924</v>
      </c>
      <c r="AS612" s="67">
        <f>+AP612^2/(AU612-2)*(AU612/(V612/AI612)^2+AU612*AV612^2-AU612+2)</f>
        <v>1.886748705988571E-2</v>
      </c>
      <c r="AU612" s="67">
        <f>+S612-2</f>
        <v>213</v>
      </c>
      <c r="AV612" s="67">
        <f>IFERROR(1/(SQRT(AU612/2)*_xlfn.GAMMA(AU612/2-0.5)/_xlfn.GAMMA(AU612/2)),1)</f>
        <v>0.99647404440334597</v>
      </c>
      <c r="AW612" s="67" t="s">
        <v>1350</v>
      </c>
    </row>
    <row r="613" spans="1:49" ht="30" customHeight="1" x14ac:dyDescent="0.25">
      <c r="A613" s="67" t="s">
        <v>162</v>
      </c>
      <c r="B613" s="67" t="s">
        <v>344</v>
      </c>
      <c r="C613" s="67" t="s">
        <v>485</v>
      </c>
      <c r="D613" s="67">
        <f t="shared" si="152"/>
        <v>34</v>
      </c>
      <c r="E613" s="67" t="s">
        <v>605</v>
      </c>
      <c r="F613" s="67" t="s">
        <v>893</v>
      </c>
      <c r="G613" s="68" t="s">
        <v>902</v>
      </c>
      <c r="H613" s="67">
        <v>1</v>
      </c>
      <c r="I613" s="67">
        <v>18</v>
      </c>
      <c r="J613" s="67">
        <v>2</v>
      </c>
      <c r="K613" s="68" t="s">
        <v>897</v>
      </c>
      <c r="L613" s="67" t="s">
        <v>638</v>
      </c>
      <c r="M613" s="68" t="s">
        <v>570</v>
      </c>
      <c r="N613" s="67" t="s">
        <v>240</v>
      </c>
      <c r="O613" s="69">
        <f t="shared" si="145"/>
        <v>0.22999999999999998</v>
      </c>
      <c r="P613" s="67" t="s">
        <v>240</v>
      </c>
      <c r="Q613" s="67" t="s">
        <v>240</v>
      </c>
      <c r="R613" s="67" t="s">
        <v>905</v>
      </c>
      <c r="S613" s="67">
        <v>215</v>
      </c>
      <c r="T613" s="78">
        <f t="shared" si="153"/>
        <v>112.61003521126761</v>
      </c>
      <c r="U613" s="78">
        <f t="shared" si="154"/>
        <v>102.38996478873239</v>
      </c>
      <c r="V613" s="67">
        <v>-218.3</v>
      </c>
      <c r="AB613" s="67">
        <v>8567</v>
      </c>
      <c r="AC613" s="67">
        <v>8785</v>
      </c>
      <c r="AF613" s="67">
        <f t="shared" si="140"/>
        <v>0.1791375275122985</v>
      </c>
      <c r="AH613" s="70">
        <v>0.85799999999999998</v>
      </c>
      <c r="AI613" s="67">
        <f t="shared" si="141"/>
        <v>1218.616797002587</v>
      </c>
      <c r="AL613" s="68" t="s">
        <v>906</v>
      </c>
      <c r="AP613" s="67">
        <f>+V613/AQ613</f>
        <v>-2.4461808485849355E-2</v>
      </c>
      <c r="AQ613" s="67">
        <f>+AI613*SQRT(T613*U613/S613)</f>
        <v>8924.1153255811805</v>
      </c>
      <c r="AS613" s="67">
        <f>+AP613^2/(AU613-2)*(AU613/(V613/AI613)^2+AU613*AV613^2-AU613+2)</f>
        <v>1.8824951789290514E-2</v>
      </c>
      <c r="AU613" s="67">
        <f>+S613-2</f>
        <v>213</v>
      </c>
      <c r="AV613" s="67">
        <f>IFERROR(1/(SQRT(AU613/2)*_xlfn.GAMMA(AU613/2-0.5)/_xlfn.GAMMA(AU613/2)),1)</f>
        <v>0.99647404440334597</v>
      </c>
      <c r="AW613" s="67" t="s">
        <v>1350</v>
      </c>
    </row>
    <row r="614" spans="1:49" ht="30" customHeight="1" x14ac:dyDescent="0.25">
      <c r="A614" s="67" t="s">
        <v>162</v>
      </c>
      <c r="B614" s="67" t="s">
        <v>344</v>
      </c>
      <c r="C614" s="67" t="s">
        <v>485</v>
      </c>
      <c r="D614" s="67">
        <f t="shared" si="152"/>
        <v>35</v>
      </c>
      <c r="E614" s="67" t="s">
        <v>605</v>
      </c>
      <c r="F614" s="67" t="s">
        <v>893</v>
      </c>
      <c r="G614" s="68" t="s">
        <v>902</v>
      </c>
      <c r="H614" s="67">
        <v>1</v>
      </c>
      <c r="I614" s="67">
        <v>30</v>
      </c>
      <c r="J614" s="67">
        <v>2</v>
      </c>
      <c r="K614" s="68" t="s">
        <v>898</v>
      </c>
      <c r="L614" s="67" t="s">
        <v>638</v>
      </c>
      <c r="M614" s="68" t="s">
        <v>570</v>
      </c>
      <c r="N614" s="67" t="s">
        <v>240</v>
      </c>
      <c r="O614" s="69">
        <f t="shared" si="145"/>
        <v>0.22999999999999998</v>
      </c>
      <c r="P614" s="67" t="s">
        <v>240</v>
      </c>
      <c r="Q614" s="67" t="s">
        <v>240</v>
      </c>
      <c r="R614" s="67" t="s">
        <v>905</v>
      </c>
      <c r="S614" s="67">
        <v>215</v>
      </c>
      <c r="T614" s="78">
        <f t="shared" si="153"/>
        <v>112.61003521126761</v>
      </c>
      <c r="U614" s="78">
        <f t="shared" si="154"/>
        <v>102.38996478873239</v>
      </c>
      <c r="V614" s="67">
        <v>-2089.6</v>
      </c>
      <c r="AB614" s="67">
        <v>11146</v>
      </c>
      <c r="AC614" s="67">
        <v>13235</v>
      </c>
      <c r="AF614" s="67">
        <f t="shared" si="140"/>
        <v>1.556810681931444</v>
      </c>
      <c r="AH614" s="70">
        <v>0.121</v>
      </c>
      <c r="AI614" s="67">
        <f t="shared" si="141"/>
        <v>1342.2312836442998</v>
      </c>
      <c r="AL614" s="68" t="s">
        <v>906</v>
      </c>
      <c r="AP614" s="67">
        <f>+V614/AQ614</f>
        <v>-0.21258753137316252</v>
      </c>
      <c r="AQ614" s="67">
        <f>+AI614*SQRT(T614*U614/S614)</f>
        <v>9829.3629287789699</v>
      </c>
      <c r="AS614" s="67">
        <f>+AP614^2/(AU614-2)*(AU614/(V614/AI614)^2+AU614*AV614^2-AU614+2)</f>
        <v>1.8930752240988964E-2</v>
      </c>
      <c r="AU614" s="67">
        <f>+S614-2</f>
        <v>213</v>
      </c>
      <c r="AV614" s="67">
        <f>IFERROR(1/(SQRT(AU614/2)*_xlfn.GAMMA(AU614/2-0.5)/_xlfn.GAMMA(AU614/2)),1)</f>
        <v>0.99647404440334597</v>
      </c>
      <c r="AW614" s="67" t="s">
        <v>1350</v>
      </c>
    </row>
    <row r="615" spans="1:49" ht="30" customHeight="1" x14ac:dyDescent="0.25">
      <c r="A615" s="67" t="s">
        <v>162</v>
      </c>
      <c r="B615" s="67" t="s">
        <v>344</v>
      </c>
      <c r="C615" s="67" t="s">
        <v>485</v>
      </c>
      <c r="D615" s="67">
        <f t="shared" si="152"/>
        <v>36</v>
      </c>
      <c r="E615" s="67" t="s">
        <v>605</v>
      </c>
      <c r="F615" s="67" t="s">
        <v>893</v>
      </c>
      <c r="G615" s="68" t="s">
        <v>902</v>
      </c>
      <c r="H615" s="67">
        <v>1</v>
      </c>
      <c r="I615" s="67">
        <v>42</v>
      </c>
      <c r="J615" s="67">
        <v>2</v>
      </c>
      <c r="K615" s="68" t="s">
        <v>899</v>
      </c>
      <c r="L615" s="67" t="s">
        <v>638</v>
      </c>
      <c r="M615" s="68" t="s">
        <v>570</v>
      </c>
      <c r="N615" s="67" t="s">
        <v>240</v>
      </c>
      <c r="O615" s="69">
        <f t="shared" si="145"/>
        <v>0.22999999999999998</v>
      </c>
      <c r="P615" s="67" t="s">
        <v>240</v>
      </c>
      <c r="Q615" s="67" t="s">
        <v>240</v>
      </c>
      <c r="R615" s="67" t="s">
        <v>905</v>
      </c>
      <c r="S615" s="67">
        <v>215</v>
      </c>
      <c r="T615" s="78">
        <f t="shared" si="153"/>
        <v>112.61003521126761</v>
      </c>
      <c r="U615" s="78">
        <f t="shared" si="154"/>
        <v>102.38996478873239</v>
      </c>
      <c r="V615" s="67">
        <v>-2028.9</v>
      </c>
      <c r="AB615" s="67">
        <v>15080</v>
      </c>
      <c r="AC615" s="67">
        <v>17289</v>
      </c>
      <c r="AF615" s="67">
        <f t="shared" si="140"/>
        <v>1.1486223551495185</v>
      </c>
      <c r="AH615" s="70">
        <v>0.252</v>
      </c>
      <c r="AI615" s="67">
        <f t="shared" si="141"/>
        <v>1766.3769043881216</v>
      </c>
      <c r="AL615" s="68" t="s">
        <v>906</v>
      </c>
      <c r="AP615" s="67">
        <f>+V615/AQ615</f>
        <v>-0.15684809578665065</v>
      </c>
      <c r="AQ615" s="67">
        <f>+AI615*SQRT(T615*U615/S615)</f>
        <v>12935.445532980961</v>
      </c>
      <c r="AS615" s="67">
        <f>+AP615^2/(AU615-2)*(AU615/(V615/AI615)^2+AU615*AV615^2-AU615+2)</f>
        <v>1.8881898038096756E-2</v>
      </c>
      <c r="AU615" s="67">
        <f>+S615-2</f>
        <v>213</v>
      </c>
      <c r="AV615" s="67">
        <f>IFERROR(1/(SQRT(AU615/2)*_xlfn.GAMMA(AU615/2-0.5)/_xlfn.GAMMA(AU615/2)),1)</f>
        <v>0.99647404440334597</v>
      </c>
      <c r="AW615" s="67" t="s">
        <v>1350</v>
      </c>
    </row>
    <row r="616" spans="1:49" ht="30" customHeight="1" x14ac:dyDescent="0.25">
      <c r="A616" s="67" t="s">
        <v>162</v>
      </c>
      <c r="B616" s="67" t="s">
        <v>344</v>
      </c>
      <c r="C616" s="67" t="s">
        <v>485</v>
      </c>
      <c r="D616" s="67">
        <f t="shared" si="152"/>
        <v>37</v>
      </c>
      <c r="E616" s="67" t="s">
        <v>605</v>
      </c>
      <c r="F616" s="67" t="s">
        <v>893</v>
      </c>
      <c r="G616" s="68" t="s">
        <v>902</v>
      </c>
      <c r="H616" s="67">
        <v>1</v>
      </c>
      <c r="I616" s="67">
        <v>54</v>
      </c>
      <c r="J616" s="67">
        <v>2</v>
      </c>
      <c r="K616" s="68" t="s">
        <v>900</v>
      </c>
      <c r="L616" s="67" t="s">
        <v>638</v>
      </c>
      <c r="M616" s="68" t="s">
        <v>570</v>
      </c>
      <c r="N616" s="67" t="s">
        <v>240</v>
      </c>
      <c r="O616" s="69">
        <f t="shared" si="145"/>
        <v>0.22999999999999998</v>
      </c>
      <c r="P616" s="67" t="s">
        <v>240</v>
      </c>
      <c r="Q616" s="67" t="s">
        <v>240</v>
      </c>
      <c r="R616" s="67" t="s">
        <v>905</v>
      </c>
      <c r="S616" s="67">
        <v>215</v>
      </c>
      <c r="T616" s="78">
        <f t="shared" si="153"/>
        <v>112.61003521126761</v>
      </c>
      <c r="U616" s="78">
        <f t="shared" si="154"/>
        <v>102.38996478873239</v>
      </c>
      <c r="V616" s="67">
        <v>-841.6</v>
      </c>
      <c r="AB616" s="67">
        <v>15895</v>
      </c>
      <c r="AC616" s="67">
        <v>16737</v>
      </c>
      <c r="AF616" s="67">
        <f t="shared" si="140"/>
        <v>0.41303015529362586</v>
      </c>
      <c r="AH616" s="70">
        <v>0.68</v>
      </c>
      <c r="AI616" s="67">
        <f t="shared" si="141"/>
        <v>2037.62361951926</v>
      </c>
      <c r="AL616" s="68" t="s">
        <v>906</v>
      </c>
      <c r="AP616" s="67">
        <f>+V616/AQ616</f>
        <v>-5.6400602922130047E-2</v>
      </c>
      <c r="AQ616" s="67">
        <f>+AI616*SQRT(T616*U616/S616)</f>
        <v>14921.82629965786</v>
      </c>
      <c r="AS616" s="67">
        <f>+AP616^2/(AU616-2)*(AU616/(V616/AI616)^2+AU616*AV616^2-AU616+2)</f>
        <v>1.8831079042069026E-2</v>
      </c>
      <c r="AU616" s="67">
        <f>+S616-2</f>
        <v>213</v>
      </c>
      <c r="AV616" s="67">
        <f>IFERROR(1/(SQRT(AU616/2)*_xlfn.GAMMA(AU616/2-0.5)/_xlfn.GAMMA(AU616/2)),1)</f>
        <v>0.99647404440334597</v>
      </c>
      <c r="AW616" s="67" t="s">
        <v>1350</v>
      </c>
    </row>
    <row r="617" spans="1:49" ht="30" customHeight="1" x14ac:dyDescent="0.25">
      <c r="A617" s="10" t="s">
        <v>163</v>
      </c>
      <c r="B617" s="67" t="s">
        <v>293</v>
      </c>
      <c r="C617" s="10" t="s">
        <v>163</v>
      </c>
      <c r="D617" s="67">
        <v>1</v>
      </c>
      <c r="E617" s="67" t="s">
        <v>605</v>
      </c>
      <c r="F617" s="67" t="s">
        <v>240</v>
      </c>
      <c r="G617" s="68" t="s">
        <v>578</v>
      </c>
      <c r="H617" s="67">
        <v>0</v>
      </c>
      <c r="I617" s="153" t="s">
        <v>240</v>
      </c>
      <c r="J617" s="67">
        <v>1</v>
      </c>
      <c r="K617" s="68" t="s">
        <v>647</v>
      </c>
      <c r="L617" s="67" t="s">
        <v>240</v>
      </c>
      <c r="M617" s="68" t="s">
        <v>587</v>
      </c>
      <c r="N617" s="67" t="s">
        <v>240</v>
      </c>
      <c r="O617" s="67" t="s">
        <v>240</v>
      </c>
      <c r="P617" s="67" t="s">
        <v>240</v>
      </c>
      <c r="Q617" s="67" t="s">
        <v>240</v>
      </c>
      <c r="R617" s="67" t="s">
        <v>462</v>
      </c>
      <c r="S617" s="67">
        <v>3404</v>
      </c>
      <c r="T617" s="67">
        <f>S617/2</f>
        <v>1702</v>
      </c>
      <c r="U617" s="67">
        <f t="shared" si="154"/>
        <v>1702</v>
      </c>
      <c r="V617" s="81">
        <v>0</v>
      </c>
      <c r="W617" s="67">
        <v>0.01</v>
      </c>
      <c r="AI617" s="67">
        <f>+W617</f>
        <v>0.01</v>
      </c>
      <c r="AL617" s="68" t="s">
        <v>1363</v>
      </c>
    </row>
    <row r="618" spans="1:49" ht="30" customHeight="1" x14ac:dyDescent="0.25">
      <c r="A618" s="10" t="s">
        <v>163</v>
      </c>
      <c r="B618" s="67" t="s">
        <v>293</v>
      </c>
      <c r="C618" s="10" t="s">
        <v>163</v>
      </c>
      <c r="D618" s="67">
        <f>D617+1</f>
        <v>2</v>
      </c>
      <c r="E618" s="67" t="s">
        <v>605</v>
      </c>
      <c r="F618" s="67" t="s">
        <v>240</v>
      </c>
      <c r="G618" s="68" t="s">
        <v>578</v>
      </c>
      <c r="H618" s="67">
        <v>0</v>
      </c>
      <c r="J618" s="67">
        <v>7</v>
      </c>
      <c r="K618" s="68" t="s">
        <v>907</v>
      </c>
      <c r="L618" s="67" t="s">
        <v>240</v>
      </c>
      <c r="M618" s="68" t="s">
        <v>587</v>
      </c>
      <c r="N618" s="67" t="s">
        <v>240</v>
      </c>
      <c r="O618" s="67" t="s">
        <v>240</v>
      </c>
      <c r="P618" s="67" t="s">
        <v>240</v>
      </c>
      <c r="Q618" s="67" t="s">
        <v>240</v>
      </c>
      <c r="R618" s="67" t="s">
        <v>462</v>
      </c>
      <c r="S618" s="67">
        <v>2127</v>
      </c>
      <c r="T618" s="78">
        <f>S618/2</f>
        <v>1063.5</v>
      </c>
      <c r="U618" s="78">
        <f>S618/2</f>
        <v>1063.5</v>
      </c>
      <c r="V618" s="81">
        <v>0.16</v>
      </c>
      <c r="W618" s="67">
        <v>0.02</v>
      </c>
      <c r="AI618" s="67">
        <f>+W618</f>
        <v>0.02</v>
      </c>
      <c r="AL618" s="68" t="s">
        <v>1362</v>
      </c>
      <c r="AP618" s="67">
        <f>+V618/AQ618</f>
        <v>0.34692551184128495</v>
      </c>
      <c r="AQ618" s="67">
        <f>+AI618*SQRT(T618*U618/S618)</f>
        <v>0.46119410230400826</v>
      </c>
      <c r="AS618" s="67">
        <f>+AP618^2/(AU618-2)*(AU618/(V618/AI618)^2+AU618*AV618^2-AU618+2)</f>
        <v>1.9957387920731167E-3</v>
      </c>
      <c r="AU618" s="67">
        <f>+S618-2</f>
        <v>2125</v>
      </c>
      <c r="AV618" s="67">
        <f>IFERROR(1/(SQRT(AU618/2)*_xlfn.GAMMA(AU618/2-0.5)/_xlfn.GAMMA(AU618/2)),1)</f>
        <v>1</v>
      </c>
      <c r="AW618" s="67" t="s">
        <v>1350</v>
      </c>
    </row>
    <row r="619" spans="1:49" ht="30" customHeight="1" x14ac:dyDescent="0.25">
      <c r="A619" s="67" t="s">
        <v>109</v>
      </c>
      <c r="B619" s="72" t="s">
        <v>293</v>
      </c>
      <c r="C619" s="72" t="s">
        <v>109</v>
      </c>
      <c r="D619" s="67">
        <v>1</v>
      </c>
      <c r="E619" s="67" t="s">
        <v>583</v>
      </c>
      <c r="F619" s="67" t="s">
        <v>240</v>
      </c>
      <c r="G619" s="68" t="s">
        <v>578</v>
      </c>
      <c r="H619" s="67">
        <v>0</v>
      </c>
      <c r="I619" s="67">
        <v>19</v>
      </c>
      <c r="J619" s="67">
        <v>2</v>
      </c>
      <c r="K619" s="68" t="s">
        <v>667</v>
      </c>
      <c r="L619" s="67" t="s">
        <v>638</v>
      </c>
      <c r="M619" s="68" t="s">
        <v>587</v>
      </c>
      <c r="N619" s="67" t="s">
        <v>240</v>
      </c>
      <c r="O619" s="69" t="s">
        <v>240</v>
      </c>
      <c r="P619" s="67" t="s">
        <v>240</v>
      </c>
      <c r="Q619" s="67" t="s">
        <v>240</v>
      </c>
      <c r="R619" s="67" t="s">
        <v>376</v>
      </c>
      <c r="S619" s="67">
        <f t="shared" ref="S619:S642" si="155">T619+U619</f>
        <v>48109</v>
      </c>
      <c r="T619" s="78">
        <v>2770</v>
      </c>
      <c r="U619" s="78">
        <v>45339</v>
      </c>
      <c r="V619" s="67">
        <v>628</v>
      </c>
      <c r="AC619" s="67">
        <v>7708</v>
      </c>
      <c r="AI619" s="67">
        <v>177</v>
      </c>
      <c r="AL619" s="68" t="s">
        <v>908</v>
      </c>
      <c r="AM619" s="67" t="s">
        <v>308</v>
      </c>
      <c r="AP619" s="67">
        <f>+V619/AQ619</f>
        <v>6.9442234837621436E-2</v>
      </c>
      <c r="AQ619" s="67">
        <f>+AI619*SQRT(T619*U619/S619)</f>
        <v>9043.4877487521608</v>
      </c>
      <c r="AS619" s="67">
        <f>+AP619^2/(AU619-2)*(AU619/(V619/AI619)^2+AU619*AV619^2-AU619+2)</f>
        <v>3.832833105608419E-4</v>
      </c>
      <c r="AU619" s="67">
        <f>+S619-2</f>
        <v>48107</v>
      </c>
      <c r="AV619" s="67">
        <f>IFERROR(1/(SQRT(AU619/2)*_xlfn.GAMMA(AU619/2-0.5)/_xlfn.GAMMA(AU619/2)),1)</f>
        <v>1</v>
      </c>
      <c r="AW619" s="67" t="s">
        <v>1350</v>
      </c>
    </row>
    <row r="620" spans="1:49" ht="30" customHeight="1" x14ac:dyDescent="0.25">
      <c r="A620" s="67" t="s">
        <v>109</v>
      </c>
      <c r="B620" s="72" t="s">
        <v>293</v>
      </c>
      <c r="C620" s="72" t="s">
        <v>109</v>
      </c>
      <c r="D620" s="67">
        <f>D619+1</f>
        <v>2</v>
      </c>
      <c r="E620" s="67" t="s">
        <v>577</v>
      </c>
      <c r="F620" s="67" t="s">
        <v>240</v>
      </c>
      <c r="G620" s="68" t="s">
        <v>578</v>
      </c>
      <c r="H620" s="67">
        <v>0</v>
      </c>
      <c r="I620" s="67">
        <v>19</v>
      </c>
      <c r="J620" s="67">
        <v>2</v>
      </c>
      <c r="K620" s="68" t="s">
        <v>667</v>
      </c>
      <c r="L620" s="67" t="s">
        <v>638</v>
      </c>
      <c r="M620" s="68" t="s">
        <v>587</v>
      </c>
      <c r="N620" s="67" t="s">
        <v>240</v>
      </c>
      <c r="O620" s="69" t="s">
        <v>240</v>
      </c>
      <c r="P620" s="67" t="s">
        <v>240</v>
      </c>
      <c r="Q620" s="67" t="s">
        <v>240</v>
      </c>
      <c r="R620" s="67" t="s">
        <v>376</v>
      </c>
      <c r="S620" s="67">
        <f t="shared" si="155"/>
        <v>59226</v>
      </c>
      <c r="T620" s="78">
        <v>6331</v>
      </c>
      <c r="U620" s="78">
        <v>52895</v>
      </c>
      <c r="V620" s="67">
        <v>693</v>
      </c>
      <c r="AC620" s="67">
        <v>6392</v>
      </c>
      <c r="AI620" s="67">
        <v>98</v>
      </c>
      <c r="AL620" s="68" t="s">
        <v>908</v>
      </c>
      <c r="AM620" s="67" t="s">
        <v>308</v>
      </c>
      <c r="AP620" s="67">
        <f>+V620/AQ620</f>
        <v>9.4041574681957146E-2</v>
      </c>
      <c r="AQ620" s="67">
        <f>+AI620*SQRT(T620*U620/S620)</f>
        <v>7369.0811999233701</v>
      </c>
      <c r="AS620" s="67">
        <f>+AP620^2/(AU620-2)*(AU620/(V620/AI620)^2+AU620*AV620^2-AU620+2)</f>
        <v>1.7716294796666282E-4</v>
      </c>
      <c r="AU620" s="67">
        <f>+S620-2</f>
        <v>59224</v>
      </c>
      <c r="AV620" s="67">
        <f>IFERROR(1/(SQRT(AU620/2)*_xlfn.GAMMA(AU620/2-0.5)/_xlfn.GAMMA(AU620/2)),1)</f>
        <v>1</v>
      </c>
      <c r="AW620" s="67" t="s">
        <v>1350</v>
      </c>
    </row>
    <row r="621" spans="1:49" ht="30" customHeight="1" x14ac:dyDescent="0.25">
      <c r="A621" s="67" t="s">
        <v>166</v>
      </c>
      <c r="B621" s="67" t="s">
        <v>293</v>
      </c>
      <c r="C621" s="10" t="s">
        <v>166</v>
      </c>
      <c r="D621" s="67">
        <v>1</v>
      </c>
      <c r="E621" s="67" t="s">
        <v>605</v>
      </c>
      <c r="F621" s="67" t="s">
        <v>240</v>
      </c>
      <c r="G621" s="68" t="s">
        <v>578</v>
      </c>
      <c r="H621" s="67">
        <v>0</v>
      </c>
      <c r="J621" s="67">
        <v>6</v>
      </c>
      <c r="K621" s="68" t="s">
        <v>909</v>
      </c>
      <c r="L621" s="67" t="s">
        <v>671</v>
      </c>
      <c r="M621" s="68" t="s">
        <v>587</v>
      </c>
      <c r="N621" s="67" t="s">
        <v>240</v>
      </c>
      <c r="O621" s="67" t="s">
        <v>240</v>
      </c>
      <c r="P621" s="67" t="s">
        <v>240</v>
      </c>
      <c r="Q621" s="67" t="s">
        <v>240</v>
      </c>
      <c r="R621" s="67" t="s">
        <v>462</v>
      </c>
      <c r="S621" s="67">
        <f t="shared" si="155"/>
        <v>178636</v>
      </c>
      <c r="T621" s="67">
        <v>28328</v>
      </c>
      <c r="U621" s="67">
        <v>150308</v>
      </c>
      <c r="V621" s="67">
        <v>79.567999999999998</v>
      </c>
      <c r="AC621" s="99">
        <f>V621/0.0678</f>
        <v>1173.5693215339234</v>
      </c>
      <c r="AI621" s="67">
        <v>19.98</v>
      </c>
      <c r="AL621" s="68" t="s">
        <v>910</v>
      </c>
      <c r="AP621" s="67">
        <f>+V621/AQ621</f>
        <v>2.57945791056549E-2</v>
      </c>
      <c r="AQ621" s="67">
        <f>+AI621*SQRT(T621*U621/S621)</f>
        <v>3084.6791364219798</v>
      </c>
      <c r="AS621" s="67">
        <f>+AP621^2/(AU621-2)*(AU621/(V621/AI621)^2+AU621*AV621^2-AU621+2)</f>
        <v>4.1961687555990807E-5</v>
      </c>
      <c r="AU621" s="67">
        <f>+S621-2</f>
        <v>178634</v>
      </c>
      <c r="AV621" s="67">
        <f>IFERROR(1/(SQRT(AU621/2)*_xlfn.GAMMA(AU621/2-0.5)/_xlfn.GAMMA(AU621/2)),1)</f>
        <v>1</v>
      </c>
      <c r="AW621" s="67" t="s">
        <v>1350</v>
      </c>
    </row>
    <row r="622" spans="1:49" ht="30" customHeight="1" x14ac:dyDescent="0.25">
      <c r="A622" s="67" t="s">
        <v>166</v>
      </c>
      <c r="B622" s="67" t="s">
        <v>293</v>
      </c>
      <c r="C622" s="10" t="s">
        <v>166</v>
      </c>
      <c r="D622" s="67">
        <f t="shared" ref="D622:D640" si="156">D621+1</f>
        <v>2</v>
      </c>
      <c r="E622" s="67" t="s">
        <v>605</v>
      </c>
      <c r="F622" s="67" t="s">
        <v>240</v>
      </c>
      <c r="G622" s="68" t="s">
        <v>578</v>
      </c>
      <c r="H622" s="67">
        <v>0</v>
      </c>
      <c r="J622" s="67">
        <v>6</v>
      </c>
      <c r="K622" s="68" t="s">
        <v>911</v>
      </c>
      <c r="L622" s="67" t="s">
        <v>671</v>
      </c>
      <c r="M622" s="68" t="s">
        <v>587</v>
      </c>
      <c r="N622" s="67" t="s">
        <v>240</v>
      </c>
      <c r="O622" s="67" t="s">
        <v>240</v>
      </c>
      <c r="P622" s="67" t="s">
        <v>240</v>
      </c>
      <c r="Q622" s="67" t="s">
        <v>240</v>
      </c>
      <c r="R622" s="67" t="s">
        <v>462</v>
      </c>
      <c r="S622" s="67">
        <f t="shared" si="155"/>
        <v>178636</v>
      </c>
      <c r="T622" s="67">
        <v>28328</v>
      </c>
      <c r="U622" s="67">
        <v>150308</v>
      </c>
      <c r="V622" s="67">
        <v>0.56299999999999994</v>
      </c>
      <c r="AC622" s="99">
        <f>V622/0.0785</f>
        <v>7.1719745222929925</v>
      </c>
      <c r="AI622" s="67">
        <v>0.13100000000000001</v>
      </c>
      <c r="AL622" s="68" t="s">
        <v>910</v>
      </c>
      <c r="AP622" s="67">
        <f>+V622/AQ622</f>
        <v>2.7837010099666486E-2</v>
      </c>
      <c r="AQ622" s="67">
        <f>+AI622*SQRT(T622*U622/S622)</f>
        <v>20.22487321678075</v>
      </c>
      <c r="AS622" s="67">
        <f>+AP622^2/(AU622-2)*(AU622/(V622/AI622)^2+AU622*AV622^2-AU622+2)</f>
        <v>4.1962913974774121E-5</v>
      </c>
      <c r="AU622" s="67">
        <f>+S622-2</f>
        <v>178634</v>
      </c>
      <c r="AV622" s="67">
        <f>IFERROR(1/(SQRT(AU622/2)*_xlfn.GAMMA(AU622/2-0.5)/_xlfn.GAMMA(AU622/2)),1)</f>
        <v>1</v>
      </c>
      <c r="AW622" s="67" t="s">
        <v>1350</v>
      </c>
    </row>
    <row r="623" spans="1:49" ht="30" customHeight="1" x14ac:dyDescent="0.25">
      <c r="A623" s="67" t="s">
        <v>166</v>
      </c>
      <c r="B623" s="67" t="s">
        <v>293</v>
      </c>
      <c r="C623" s="10" t="s">
        <v>166</v>
      </c>
      <c r="D623" s="67">
        <f t="shared" si="156"/>
        <v>3</v>
      </c>
      <c r="E623" s="67" t="s">
        <v>605</v>
      </c>
      <c r="F623" s="67" t="s">
        <v>240</v>
      </c>
      <c r="G623" s="68" t="s">
        <v>578</v>
      </c>
      <c r="H623" s="67">
        <v>0</v>
      </c>
      <c r="J623" s="67">
        <v>1</v>
      </c>
      <c r="K623" s="68" t="s">
        <v>579</v>
      </c>
      <c r="L623" s="67" t="s">
        <v>240</v>
      </c>
      <c r="M623" s="68" t="s">
        <v>587</v>
      </c>
      <c r="N623" s="67" t="s">
        <v>240</v>
      </c>
      <c r="O623" s="67" t="s">
        <v>240</v>
      </c>
      <c r="P623" s="67" t="s">
        <v>240</v>
      </c>
      <c r="Q623" s="67" t="s">
        <v>240</v>
      </c>
      <c r="R623" s="67" t="s">
        <v>462</v>
      </c>
      <c r="S623" s="67">
        <f t="shared" si="155"/>
        <v>178636</v>
      </c>
      <c r="T623" s="67">
        <v>28328</v>
      </c>
      <c r="U623" s="67">
        <v>150308</v>
      </c>
      <c r="V623" s="67">
        <v>1.0999999999999999E-2</v>
      </c>
      <c r="AI623" s="67">
        <v>3.0000000000000001E-3</v>
      </c>
      <c r="AL623" s="68" t="s">
        <v>910</v>
      </c>
    </row>
    <row r="624" spans="1:49" ht="30" customHeight="1" x14ac:dyDescent="0.25">
      <c r="A624" s="67" t="s">
        <v>166</v>
      </c>
      <c r="B624" s="67" t="s">
        <v>293</v>
      </c>
      <c r="C624" s="10" t="s">
        <v>166</v>
      </c>
      <c r="D624" s="67">
        <f t="shared" si="156"/>
        <v>4</v>
      </c>
      <c r="E624" s="67" t="s">
        <v>605</v>
      </c>
      <c r="F624" s="67" t="s">
        <v>240</v>
      </c>
      <c r="G624" s="68" t="s">
        <v>578</v>
      </c>
      <c r="H624" s="67">
        <v>0</v>
      </c>
      <c r="J624" s="67">
        <v>3</v>
      </c>
      <c r="K624" s="68" t="s">
        <v>606</v>
      </c>
      <c r="L624" s="67" t="s">
        <v>240</v>
      </c>
      <c r="M624" s="68" t="s">
        <v>587</v>
      </c>
      <c r="N624" s="67" t="s">
        <v>240</v>
      </c>
      <c r="O624" s="67" t="s">
        <v>240</v>
      </c>
      <c r="P624" s="67" t="s">
        <v>240</v>
      </c>
      <c r="Q624" s="67" t="s">
        <v>240</v>
      </c>
      <c r="R624" s="67" t="s">
        <v>462</v>
      </c>
      <c r="S624" s="67">
        <f t="shared" si="155"/>
        <v>178636</v>
      </c>
      <c r="T624" s="67">
        <v>28328</v>
      </c>
      <c r="U624" s="67">
        <v>150308</v>
      </c>
      <c r="V624" s="67">
        <v>6.0000000000000001E-3</v>
      </c>
      <c r="AI624" s="67">
        <v>5.0000000000000001E-3</v>
      </c>
      <c r="AL624" s="68" t="s">
        <v>910</v>
      </c>
    </row>
    <row r="625" spans="1:49" ht="30" customHeight="1" x14ac:dyDescent="0.25">
      <c r="A625" s="67" t="s">
        <v>166</v>
      </c>
      <c r="B625" s="67" t="s">
        <v>293</v>
      </c>
      <c r="C625" s="10" t="s">
        <v>166</v>
      </c>
      <c r="D625" s="67">
        <f t="shared" si="156"/>
        <v>5</v>
      </c>
      <c r="E625" s="67" t="s">
        <v>577</v>
      </c>
      <c r="F625" s="67" t="s">
        <v>240</v>
      </c>
      <c r="G625" s="68" t="s">
        <v>578</v>
      </c>
      <c r="H625" s="67">
        <v>0</v>
      </c>
      <c r="J625" s="67">
        <v>6</v>
      </c>
      <c r="K625" s="68" t="s">
        <v>909</v>
      </c>
      <c r="L625" s="67" t="s">
        <v>671</v>
      </c>
      <c r="M625" s="68" t="s">
        <v>587</v>
      </c>
      <c r="N625" s="67" t="s">
        <v>240</v>
      </c>
      <c r="O625" s="67" t="s">
        <v>240</v>
      </c>
      <c r="P625" s="67" t="s">
        <v>240</v>
      </c>
      <c r="Q625" s="67" t="s">
        <v>240</v>
      </c>
      <c r="R625" s="67" t="s">
        <v>722</v>
      </c>
      <c r="S625" s="67">
        <f t="shared" si="155"/>
        <v>83386</v>
      </c>
      <c r="T625" s="67">
        <v>12964</v>
      </c>
      <c r="U625" s="67">
        <v>70422</v>
      </c>
      <c r="V625" s="67">
        <v>57.41</v>
      </c>
      <c r="AC625" s="99">
        <f>V625/0.0597</f>
        <v>961.64154103852582</v>
      </c>
      <c r="AI625" s="67">
        <v>23.635000000000002</v>
      </c>
      <c r="AL625" s="68" t="s">
        <v>910</v>
      </c>
      <c r="AP625" s="67">
        <f>+V625/AQ625</f>
        <v>2.321425882476201E-2</v>
      </c>
      <c r="AQ625" s="67">
        <f>+AI625*SQRT(T625*U625/S625)</f>
        <v>2473.0490184232085</v>
      </c>
      <c r="AS625" s="67">
        <f>+AP625^2/(AU625-2)*(AU625/(V625/AI625)^2+AU625*AV625^2-AU625+2)</f>
        <v>9.1351911027078009E-5</v>
      </c>
      <c r="AU625" s="67">
        <f>+S625-2</f>
        <v>83384</v>
      </c>
      <c r="AV625" s="67">
        <f>IFERROR(1/(SQRT(AU625/2)*_xlfn.GAMMA(AU625/2-0.5)/_xlfn.GAMMA(AU625/2)),1)</f>
        <v>1</v>
      </c>
      <c r="AW625" s="67" t="s">
        <v>1350</v>
      </c>
    </row>
    <row r="626" spans="1:49" ht="30" customHeight="1" x14ac:dyDescent="0.25">
      <c r="A626" s="67" t="s">
        <v>166</v>
      </c>
      <c r="B626" s="67" t="s">
        <v>293</v>
      </c>
      <c r="C626" s="10" t="s">
        <v>166</v>
      </c>
      <c r="D626" s="67">
        <f t="shared" si="156"/>
        <v>6</v>
      </c>
      <c r="E626" s="67" t="s">
        <v>583</v>
      </c>
      <c r="F626" s="67" t="s">
        <v>240</v>
      </c>
      <c r="G626" s="68" t="s">
        <v>578</v>
      </c>
      <c r="H626" s="67">
        <v>0</v>
      </c>
      <c r="J626" s="67">
        <v>6</v>
      </c>
      <c r="K626" s="68" t="s">
        <v>909</v>
      </c>
      <c r="L626" s="67" t="s">
        <v>671</v>
      </c>
      <c r="M626" s="68" t="s">
        <v>587</v>
      </c>
      <c r="N626" s="67" t="s">
        <v>240</v>
      </c>
      <c r="O626" s="67" t="s">
        <v>240</v>
      </c>
      <c r="P626" s="67" t="s">
        <v>240</v>
      </c>
      <c r="Q626" s="67" t="s">
        <v>240</v>
      </c>
      <c r="R626" s="67" t="s">
        <v>722</v>
      </c>
      <c r="S626" s="67">
        <f t="shared" si="155"/>
        <v>93986</v>
      </c>
      <c r="T626" s="67">
        <v>15352</v>
      </c>
      <c r="U626" s="67">
        <v>78634</v>
      </c>
      <c r="V626" s="67">
        <v>99.37</v>
      </c>
      <c r="AC626" s="99">
        <f>V626/0.0728</f>
        <v>1364.9725274725274</v>
      </c>
      <c r="AI626" s="67">
        <v>30.969000000000001</v>
      </c>
      <c r="AL626" s="68" t="s">
        <v>910</v>
      </c>
      <c r="AP626" s="67">
        <f>+V626/AQ626</f>
        <v>2.8312096253931416E-2</v>
      </c>
      <c r="AQ626" s="67">
        <f>+AI626*SQRT(T626*U626/S626)</f>
        <v>3509.8072254611488</v>
      </c>
      <c r="AS626" s="67">
        <f>+AP626^2/(AU626-2)*(AU626/(V626/AI626)^2+AU626*AV626^2-AU626+2)</f>
        <v>7.7873952872857012E-5</v>
      </c>
      <c r="AU626" s="67">
        <f>+S626-2</f>
        <v>93984</v>
      </c>
      <c r="AV626" s="67">
        <f>IFERROR(1/(SQRT(AU626/2)*_xlfn.GAMMA(AU626/2-0.5)/_xlfn.GAMMA(AU626/2)),1)</f>
        <v>1</v>
      </c>
      <c r="AW626" s="67" t="s">
        <v>1350</v>
      </c>
    </row>
    <row r="627" spans="1:49" ht="30" customHeight="1" x14ac:dyDescent="0.25">
      <c r="A627" s="67" t="s">
        <v>166</v>
      </c>
      <c r="B627" s="67" t="s">
        <v>293</v>
      </c>
      <c r="C627" s="10" t="s">
        <v>166</v>
      </c>
      <c r="D627" s="67">
        <f t="shared" si="156"/>
        <v>7</v>
      </c>
      <c r="E627" s="67" t="s">
        <v>577</v>
      </c>
      <c r="F627" s="67" t="s">
        <v>240</v>
      </c>
      <c r="G627" s="68" t="s">
        <v>578</v>
      </c>
      <c r="H627" s="67">
        <v>0</v>
      </c>
      <c r="J627" s="67">
        <v>6</v>
      </c>
      <c r="K627" s="68" t="s">
        <v>911</v>
      </c>
      <c r="L627" s="67" t="s">
        <v>671</v>
      </c>
      <c r="M627" s="68" t="s">
        <v>587</v>
      </c>
      <c r="N627" s="67" t="s">
        <v>240</v>
      </c>
      <c r="O627" s="67" t="s">
        <v>240</v>
      </c>
      <c r="P627" s="67" t="s">
        <v>240</v>
      </c>
      <c r="Q627" s="67" t="s">
        <v>240</v>
      </c>
      <c r="R627" s="67" t="s">
        <v>722</v>
      </c>
      <c r="S627" s="67">
        <f t="shared" si="155"/>
        <v>83386</v>
      </c>
      <c r="T627" s="67">
        <v>12964</v>
      </c>
      <c r="U627" s="67">
        <v>70422</v>
      </c>
      <c r="V627" s="67">
        <v>0.34599999999999997</v>
      </c>
      <c r="AC627" s="99">
        <f>V627/0.0577</f>
        <v>5.9965337954939333</v>
      </c>
      <c r="AI627" s="67">
        <v>0.161</v>
      </c>
      <c r="AL627" s="68" t="s">
        <v>910</v>
      </c>
      <c r="AP627" s="67">
        <f>+V627/AQ627</f>
        <v>2.0538707253789031E-2</v>
      </c>
      <c r="AQ627" s="67">
        <f>+AI627*SQRT(T627*U627/S627)</f>
        <v>16.846240404744513</v>
      </c>
      <c r="AS627" s="67">
        <f>+AP627^2/(AU627-2)*(AU627/(V627/AI627)^2+AU627*AV627^2-AU627+2)</f>
        <v>9.1349103147268798E-5</v>
      </c>
      <c r="AU627" s="67">
        <f>+S627-2</f>
        <v>83384</v>
      </c>
      <c r="AV627" s="67">
        <f>IFERROR(1/(SQRT(AU627/2)*_xlfn.GAMMA(AU627/2-0.5)/_xlfn.GAMMA(AU627/2)),1)</f>
        <v>1</v>
      </c>
      <c r="AW627" s="67" t="s">
        <v>1350</v>
      </c>
    </row>
    <row r="628" spans="1:49" ht="30" customHeight="1" x14ac:dyDescent="0.25">
      <c r="A628" s="67" t="s">
        <v>166</v>
      </c>
      <c r="B628" s="67" t="s">
        <v>293</v>
      </c>
      <c r="C628" s="10" t="s">
        <v>166</v>
      </c>
      <c r="D628" s="67">
        <f t="shared" si="156"/>
        <v>8</v>
      </c>
      <c r="E628" s="67" t="s">
        <v>583</v>
      </c>
      <c r="F628" s="67" t="s">
        <v>240</v>
      </c>
      <c r="G628" s="68" t="s">
        <v>578</v>
      </c>
      <c r="H628" s="67">
        <v>0</v>
      </c>
      <c r="J628" s="67">
        <v>6</v>
      </c>
      <c r="K628" s="68" t="s">
        <v>911</v>
      </c>
      <c r="L628" s="67" t="s">
        <v>671</v>
      </c>
      <c r="M628" s="68" t="s">
        <v>587</v>
      </c>
      <c r="N628" s="67" t="s">
        <v>240</v>
      </c>
      <c r="O628" s="67" t="s">
        <v>240</v>
      </c>
      <c r="P628" s="67" t="s">
        <v>240</v>
      </c>
      <c r="Q628" s="67" t="s">
        <v>240</v>
      </c>
      <c r="R628" s="67" t="s">
        <v>722</v>
      </c>
      <c r="S628" s="67">
        <f t="shared" si="155"/>
        <v>93986</v>
      </c>
      <c r="T628" s="67">
        <v>15352</v>
      </c>
      <c r="U628" s="67">
        <v>78634</v>
      </c>
      <c r="V628" s="67">
        <v>0.74299999999999999</v>
      </c>
      <c r="AC628" s="99">
        <f>V628/0.0998</f>
        <v>7.4448897795591185</v>
      </c>
      <c r="AI628" s="67">
        <v>0.2</v>
      </c>
      <c r="AL628" s="68" t="s">
        <v>910</v>
      </c>
      <c r="AP628" s="67">
        <f>+V628/AQ628</f>
        <v>3.2779531070936174E-2</v>
      </c>
      <c r="AQ628" s="67">
        <f>+AI628*SQRT(T628*U628/S628)</f>
        <v>22.666584167788102</v>
      </c>
      <c r="AS628" s="67">
        <f>+AP628^2/(AU628-2)*(AU628/(V628/AI628)^2+AU628*AV628^2-AU628+2)</f>
        <v>7.7879760854447985E-5</v>
      </c>
      <c r="AU628" s="67">
        <f>+S628-2</f>
        <v>93984</v>
      </c>
      <c r="AV628" s="67">
        <f>IFERROR(1/(SQRT(AU628/2)*_xlfn.GAMMA(AU628/2-0.5)/_xlfn.GAMMA(AU628/2)),1)</f>
        <v>1</v>
      </c>
      <c r="AW628" s="67" t="s">
        <v>1350</v>
      </c>
    </row>
    <row r="629" spans="1:49" ht="30" customHeight="1" x14ac:dyDescent="0.25">
      <c r="A629" s="67" t="s">
        <v>166</v>
      </c>
      <c r="B629" s="67" t="s">
        <v>293</v>
      </c>
      <c r="C629" s="10" t="s">
        <v>166</v>
      </c>
      <c r="D629" s="67">
        <f t="shared" si="156"/>
        <v>9</v>
      </c>
      <c r="E629" s="67" t="s">
        <v>577</v>
      </c>
      <c r="F629" s="67" t="s">
        <v>240</v>
      </c>
      <c r="G629" s="68" t="s">
        <v>578</v>
      </c>
      <c r="H629" s="67">
        <v>0</v>
      </c>
      <c r="J629" s="67">
        <v>1</v>
      </c>
      <c r="K629" s="68" t="s">
        <v>579</v>
      </c>
      <c r="L629" s="67" t="s">
        <v>240</v>
      </c>
      <c r="M629" s="68" t="s">
        <v>587</v>
      </c>
      <c r="N629" s="67" t="s">
        <v>240</v>
      </c>
      <c r="O629" s="67" t="s">
        <v>240</v>
      </c>
      <c r="P629" s="67" t="s">
        <v>240</v>
      </c>
      <c r="Q629" s="67" t="s">
        <v>240</v>
      </c>
      <c r="R629" s="67" t="s">
        <v>722</v>
      </c>
      <c r="S629" s="67">
        <f t="shared" si="155"/>
        <v>83386</v>
      </c>
      <c r="T629" s="67">
        <v>12964</v>
      </c>
      <c r="U629" s="67">
        <v>70422</v>
      </c>
      <c r="V629" s="67">
        <v>2.3E-2</v>
      </c>
      <c r="AI629" s="67">
        <v>5.0000000000000001E-3</v>
      </c>
      <c r="AL629" s="68" t="s">
        <v>910</v>
      </c>
    </row>
    <row r="630" spans="1:49" ht="30" customHeight="1" x14ac:dyDescent="0.25">
      <c r="A630" s="67" t="s">
        <v>166</v>
      </c>
      <c r="B630" s="67" t="s">
        <v>293</v>
      </c>
      <c r="C630" s="10" t="s">
        <v>166</v>
      </c>
      <c r="D630" s="67">
        <f t="shared" si="156"/>
        <v>10</v>
      </c>
      <c r="E630" s="67" t="s">
        <v>583</v>
      </c>
      <c r="F630" s="67" t="s">
        <v>240</v>
      </c>
      <c r="G630" s="68" t="s">
        <v>578</v>
      </c>
      <c r="H630" s="67">
        <v>0</v>
      </c>
      <c r="J630" s="67">
        <v>1</v>
      </c>
      <c r="K630" s="68" t="s">
        <v>579</v>
      </c>
      <c r="L630" s="67" t="s">
        <v>240</v>
      </c>
      <c r="M630" s="68" t="s">
        <v>587</v>
      </c>
      <c r="N630" s="67" t="s">
        <v>240</v>
      </c>
      <c r="O630" s="67" t="s">
        <v>240</v>
      </c>
      <c r="P630" s="67" t="s">
        <v>240</v>
      </c>
      <c r="Q630" s="67" t="s">
        <v>240</v>
      </c>
      <c r="R630" s="67" t="s">
        <v>722</v>
      </c>
      <c r="S630" s="67">
        <f t="shared" si="155"/>
        <v>93986</v>
      </c>
      <c r="T630" s="67">
        <v>15352</v>
      </c>
      <c r="U630" s="67">
        <v>78634</v>
      </c>
      <c r="V630" s="67">
        <v>3.0000000000000001E-3</v>
      </c>
      <c r="AI630" s="67">
        <v>3.0000000000000001E-3</v>
      </c>
      <c r="AL630" s="68" t="s">
        <v>910</v>
      </c>
    </row>
    <row r="631" spans="1:49" ht="30" customHeight="1" x14ac:dyDescent="0.25">
      <c r="A631" s="67" t="s">
        <v>166</v>
      </c>
      <c r="B631" s="67" t="s">
        <v>293</v>
      </c>
      <c r="C631" s="10" t="s">
        <v>166</v>
      </c>
      <c r="D631" s="67">
        <f t="shared" si="156"/>
        <v>11</v>
      </c>
      <c r="E631" s="67" t="s">
        <v>577</v>
      </c>
      <c r="F631" s="67" t="s">
        <v>240</v>
      </c>
      <c r="G631" s="68" t="s">
        <v>578</v>
      </c>
      <c r="H631" s="67">
        <v>0</v>
      </c>
      <c r="J631" s="67">
        <v>3</v>
      </c>
      <c r="K631" s="68" t="s">
        <v>606</v>
      </c>
      <c r="L631" s="67" t="s">
        <v>240</v>
      </c>
      <c r="M631" s="68" t="s">
        <v>587</v>
      </c>
      <c r="N631" s="67" t="s">
        <v>240</v>
      </c>
      <c r="O631" s="67" t="s">
        <v>240</v>
      </c>
      <c r="P631" s="67" t="s">
        <v>240</v>
      </c>
      <c r="Q631" s="67" t="s">
        <v>240</v>
      </c>
      <c r="R631" s="67" t="s">
        <v>722</v>
      </c>
      <c r="S631" s="67">
        <f t="shared" si="155"/>
        <v>83386</v>
      </c>
      <c r="T631" s="67">
        <v>12964</v>
      </c>
      <c r="U631" s="67">
        <v>70422</v>
      </c>
      <c r="V631" s="67">
        <v>5.0000000000000001E-3</v>
      </c>
      <c r="AI631" s="67">
        <v>7.0000000000000001E-3</v>
      </c>
      <c r="AL631" s="68" t="s">
        <v>910</v>
      </c>
    </row>
    <row r="632" spans="1:49" ht="30" customHeight="1" x14ac:dyDescent="0.25">
      <c r="A632" s="67" t="s">
        <v>166</v>
      </c>
      <c r="B632" s="67" t="s">
        <v>293</v>
      </c>
      <c r="C632" s="10" t="s">
        <v>166</v>
      </c>
      <c r="D632" s="67">
        <f t="shared" si="156"/>
        <v>12</v>
      </c>
      <c r="E632" s="67" t="s">
        <v>583</v>
      </c>
      <c r="F632" s="67" t="s">
        <v>240</v>
      </c>
      <c r="G632" s="68" t="s">
        <v>578</v>
      </c>
      <c r="H632" s="67">
        <v>0</v>
      </c>
      <c r="J632" s="67">
        <v>3</v>
      </c>
      <c r="K632" s="68" t="s">
        <v>606</v>
      </c>
      <c r="L632" s="67" t="s">
        <v>240</v>
      </c>
      <c r="M632" s="68" t="s">
        <v>587</v>
      </c>
      <c r="N632" s="67" t="s">
        <v>240</v>
      </c>
      <c r="O632" s="67" t="s">
        <v>240</v>
      </c>
      <c r="P632" s="67" t="s">
        <v>240</v>
      </c>
      <c r="Q632" s="67" t="s">
        <v>240</v>
      </c>
      <c r="R632" s="67" t="s">
        <v>722</v>
      </c>
      <c r="S632" s="67">
        <f t="shared" si="155"/>
        <v>93986</v>
      </c>
      <c r="T632" s="67">
        <v>15352</v>
      </c>
      <c r="U632" s="67">
        <v>78634</v>
      </c>
      <c r="V632" s="67">
        <v>7.0000000000000001E-3</v>
      </c>
      <c r="AI632" s="67">
        <v>6.0000000000000001E-3</v>
      </c>
      <c r="AL632" s="68" t="s">
        <v>910</v>
      </c>
    </row>
    <row r="633" spans="1:49" ht="30" customHeight="1" x14ac:dyDescent="0.25">
      <c r="A633" s="67" t="s">
        <v>166</v>
      </c>
      <c r="B633" s="67" t="s">
        <v>293</v>
      </c>
      <c r="C633" s="10" t="s">
        <v>166</v>
      </c>
      <c r="D633" s="67">
        <f t="shared" si="156"/>
        <v>13</v>
      </c>
      <c r="E633" s="67" t="s">
        <v>605</v>
      </c>
      <c r="F633" s="67" t="s">
        <v>912</v>
      </c>
      <c r="G633" s="68" t="s">
        <v>578</v>
      </c>
      <c r="H633" s="67">
        <v>0</v>
      </c>
      <c r="J633" s="67">
        <v>6</v>
      </c>
      <c r="K633" s="68" t="s">
        <v>909</v>
      </c>
      <c r="L633" s="67" t="s">
        <v>671</v>
      </c>
      <c r="M633" s="68" t="s">
        <v>587</v>
      </c>
      <c r="N633" s="67" t="s">
        <v>240</v>
      </c>
      <c r="O633" s="67" t="s">
        <v>240</v>
      </c>
      <c r="P633" s="67" t="s">
        <v>240</v>
      </c>
      <c r="Q633" s="67" t="s">
        <v>240</v>
      </c>
      <c r="R633" s="67" t="s">
        <v>580</v>
      </c>
      <c r="S633" s="67">
        <f t="shared" si="155"/>
        <v>79592</v>
      </c>
      <c r="T633" s="67">
        <v>14006</v>
      </c>
      <c r="U633" s="67">
        <v>65586</v>
      </c>
      <c r="V633" s="67">
        <v>61.569000000000003</v>
      </c>
      <c r="AC633" s="67">
        <f>V633/0.0744</f>
        <v>827.54032258064524</v>
      </c>
      <c r="AI633" s="67">
        <v>19.507999999999999</v>
      </c>
      <c r="AL633" s="68" t="s">
        <v>910</v>
      </c>
      <c r="AP633" s="67">
        <f>+V633/AQ633</f>
        <v>2.937794602109187E-2</v>
      </c>
      <c r="AQ633" s="67">
        <f>+AI633*SQRT(T633*U633/S633)</f>
        <v>2095.7557739331605</v>
      </c>
      <c r="AS633" s="67">
        <f>+AP633^2/(AU633-2)*(AU633/(V633/AI633)^2+AU633*AV633^2-AU633+2)</f>
        <v>8.666899433193457E-5</v>
      </c>
      <c r="AU633" s="67">
        <f>+S633-2</f>
        <v>79590</v>
      </c>
      <c r="AV633" s="67">
        <f>IFERROR(1/(SQRT(AU633/2)*_xlfn.GAMMA(AU633/2-0.5)/_xlfn.GAMMA(AU633/2)),1)</f>
        <v>1</v>
      </c>
      <c r="AW633" s="67" t="s">
        <v>1350</v>
      </c>
    </row>
    <row r="634" spans="1:49" ht="30" customHeight="1" x14ac:dyDescent="0.25">
      <c r="A634" s="67" t="s">
        <v>166</v>
      </c>
      <c r="B634" s="67" t="s">
        <v>293</v>
      </c>
      <c r="C634" s="10" t="s">
        <v>166</v>
      </c>
      <c r="D634" s="67">
        <f t="shared" si="156"/>
        <v>14</v>
      </c>
      <c r="E634" s="67" t="s">
        <v>605</v>
      </c>
      <c r="F634" s="67" t="s">
        <v>913</v>
      </c>
      <c r="G634" s="68" t="s">
        <v>578</v>
      </c>
      <c r="H634" s="67">
        <v>0</v>
      </c>
      <c r="J634" s="67">
        <v>6</v>
      </c>
      <c r="K634" s="68" t="s">
        <v>909</v>
      </c>
      <c r="L634" s="67" t="s">
        <v>671</v>
      </c>
      <c r="M634" s="68" t="s">
        <v>587</v>
      </c>
      <c r="N634" s="67" t="s">
        <v>240</v>
      </c>
      <c r="O634" s="67" t="s">
        <v>240</v>
      </c>
      <c r="P634" s="67" t="s">
        <v>240</v>
      </c>
      <c r="Q634" s="67" t="s">
        <v>240</v>
      </c>
      <c r="R634" s="67" t="s">
        <v>580</v>
      </c>
      <c r="S634" s="67">
        <f t="shared" si="155"/>
        <v>98444</v>
      </c>
      <c r="T634" s="67">
        <v>14320</v>
      </c>
      <c r="U634" s="67">
        <v>84124</v>
      </c>
      <c r="V634" s="67">
        <v>99.221000000000004</v>
      </c>
      <c r="AC634" s="67">
        <f>V634/0.0713</f>
        <v>1391.5988779803647</v>
      </c>
      <c r="AI634" s="67">
        <v>33.29</v>
      </c>
      <c r="AL634" s="68" t="s">
        <v>910</v>
      </c>
      <c r="AP634" s="67">
        <f>+V634/AQ634</f>
        <v>2.6943435081731713E-2</v>
      </c>
      <c r="AQ634" s="67">
        <f>+AI634*SQRT(T634*U634/S634)</f>
        <v>3682.5668181884571</v>
      </c>
      <c r="AS634" s="67">
        <f>+AP634^2/(AU634-2)*(AU634/(V634/AI634)^2+AU634*AV634^2-AU634+2)</f>
        <v>8.1736025699237272E-5</v>
      </c>
      <c r="AU634" s="67">
        <f>+S634-2</f>
        <v>98442</v>
      </c>
      <c r="AV634" s="67">
        <f>IFERROR(1/(SQRT(AU634/2)*_xlfn.GAMMA(AU634/2-0.5)/_xlfn.GAMMA(AU634/2)),1)</f>
        <v>1</v>
      </c>
      <c r="AW634" s="67" t="s">
        <v>1350</v>
      </c>
    </row>
    <row r="635" spans="1:49" ht="30" customHeight="1" x14ac:dyDescent="0.25">
      <c r="A635" s="67" t="s">
        <v>166</v>
      </c>
      <c r="B635" s="67" t="s">
        <v>293</v>
      </c>
      <c r="C635" s="10" t="s">
        <v>166</v>
      </c>
      <c r="D635" s="67">
        <f t="shared" si="156"/>
        <v>15</v>
      </c>
      <c r="E635" s="67" t="s">
        <v>605</v>
      </c>
      <c r="F635" s="67" t="s">
        <v>912</v>
      </c>
      <c r="G635" s="68" t="s">
        <v>578</v>
      </c>
      <c r="H635" s="67">
        <v>0</v>
      </c>
      <c r="J635" s="67">
        <v>6</v>
      </c>
      <c r="K635" s="68" t="s">
        <v>911</v>
      </c>
      <c r="L635" s="67" t="s">
        <v>671</v>
      </c>
      <c r="M635" s="68" t="s">
        <v>587</v>
      </c>
      <c r="N635" s="67" t="s">
        <v>240</v>
      </c>
      <c r="O635" s="67" t="s">
        <v>240</v>
      </c>
      <c r="P635" s="67" t="s">
        <v>240</v>
      </c>
      <c r="Q635" s="67" t="s">
        <v>240</v>
      </c>
      <c r="R635" s="67" t="s">
        <v>580</v>
      </c>
      <c r="S635" s="67">
        <f t="shared" si="155"/>
        <v>79592</v>
      </c>
      <c r="T635" s="67">
        <v>14006</v>
      </c>
      <c r="U635" s="67">
        <v>65586</v>
      </c>
      <c r="V635" s="67">
        <v>0.40100000000000002</v>
      </c>
      <c r="AC635" s="67">
        <f>V635/0.0949</f>
        <v>4.2255005268703902</v>
      </c>
      <c r="AI635" s="67">
        <v>0.129</v>
      </c>
      <c r="AL635" s="68" t="s">
        <v>910</v>
      </c>
      <c r="AP635" s="67">
        <f>+V635/AQ635</f>
        <v>2.8935216613057375E-2</v>
      </c>
      <c r="AQ635" s="67">
        <f>+AI635*SQRT(T635*U635/S635)</f>
        <v>13.858544947579338</v>
      </c>
      <c r="AS635" s="67">
        <f>+AP635^2/(AU635-2)*(AU635/(V635/AI635)^2+AU635*AV635^2-AU635+2)</f>
        <v>8.6668345566995772E-5</v>
      </c>
      <c r="AU635" s="67">
        <f>+S635-2</f>
        <v>79590</v>
      </c>
      <c r="AV635" s="67">
        <f>IFERROR(1/(SQRT(AU635/2)*_xlfn.GAMMA(AU635/2-0.5)/_xlfn.GAMMA(AU635/2)),1)</f>
        <v>1</v>
      </c>
      <c r="AW635" s="67" t="s">
        <v>1350</v>
      </c>
    </row>
    <row r="636" spans="1:49" ht="30" customHeight="1" x14ac:dyDescent="0.25">
      <c r="A636" s="67" t="s">
        <v>166</v>
      </c>
      <c r="B636" s="67" t="s">
        <v>293</v>
      </c>
      <c r="C636" s="10" t="s">
        <v>166</v>
      </c>
      <c r="D636" s="67">
        <f t="shared" si="156"/>
        <v>16</v>
      </c>
      <c r="E636" s="67" t="s">
        <v>605</v>
      </c>
      <c r="F636" s="67" t="s">
        <v>913</v>
      </c>
      <c r="G636" s="68" t="s">
        <v>578</v>
      </c>
      <c r="H636" s="67">
        <v>0</v>
      </c>
      <c r="J636" s="67">
        <v>6</v>
      </c>
      <c r="K636" s="68" t="s">
        <v>911</v>
      </c>
      <c r="L636" s="67" t="s">
        <v>671</v>
      </c>
      <c r="M636" s="68" t="s">
        <v>587</v>
      </c>
      <c r="N636" s="67" t="s">
        <v>240</v>
      </c>
      <c r="O636" s="67" t="s">
        <v>240</v>
      </c>
      <c r="P636" s="67" t="s">
        <v>240</v>
      </c>
      <c r="Q636" s="67" t="s">
        <v>240</v>
      </c>
      <c r="R636" s="67" t="s">
        <v>580</v>
      </c>
      <c r="S636" s="67">
        <f t="shared" si="155"/>
        <v>98444</v>
      </c>
      <c r="T636" s="67">
        <v>14320</v>
      </c>
      <c r="U636" s="11">
        <v>84124</v>
      </c>
      <c r="V636" s="67">
        <v>0.72499999999999998</v>
      </c>
      <c r="AC636" s="67">
        <f>V636/0.0636</f>
        <v>11.399371069182388</v>
      </c>
      <c r="AI636" s="67">
        <v>0.217</v>
      </c>
      <c r="AL636" s="68" t="s">
        <v>910</v>
      </c>
      <c r="AP636" s="67">
        <f>+V636/AQ636</f>
        <v>3.0202398414355909E-2</v>
      </c>
      <c r="AQ636" s="67">
        <f>+AI636*SQRT(T636*U636/S636)</f>
        <v>24.004716117359422</v>
      </c>
      <c r="AS636" s="67">
        <f>+AP636^2/(AU636-2)*(AU636/(V636/AI636)^2+AU636*AV636^2-AU636+2)</f>
        <v>8.173980944925705E-5</v>
      </c>
      <c r="AU636" s="67">
        <f>+S636-2</f>
        <v>98442</v>
      </c>
      <c r="AV636" s="67">
        <f>IFERROR(1/(SQRT(AU636/2)*_xlfn.GAMMA(AU636/2-0.5)/_xlfn.GAMMA(AU636/2)),1)</f>
        <v>1</v>
      </c>
      <c r="AW636" s="67" t="s">
        <v>1350</v>
      </c>
    </row>
    <row r="637" spans="1:49" ht="30" customHeight="1" x14ac:dyDescent="0.25">
      <c r="A637" s="67" t="s">
        <v>166</v>
      </c>
      <c r="B637" s="67" t="s">
        <v>293</v>
      </c>
      <c r="C637" s="10" t="s">
        <v>166</v>
      </c>
      <c r="D637" s="67">
        <f t="shared" si="156"/>
        <v>17</v>
      </c>
      <c r="E637" s="67" t="s">
        <v>605</v>
      </c>
      <c r="F637" s="67" t="s">
        <v>912</v>
      </c>
      <c r="G637" s="68" t="s">
        <v>578</v>
      </c>
      <c r="H637" s="67">
        <v>0</v>
      </c>
      <c r="J637" s="67">
        <v>1</v>
      </c>
      <c r="K637" s="68" t="s">
        <v>579</v>
      </c>
      <c r="L637" s="67" t="s">
        <v>240</v>
      </c>
      <c r="M637" s="68" t="s">
        <v>587</v>
      </c>
      <c r="N637" s="67" t="s">
        <v>240</v>
      </c>
      <c r="O637" s="67" t="s">
        <v>240</v>
      </c>
      <c r="P637" s="67" t="s">
        <v>240</v>
      </c>
      <c r="Q637" s="67" t="s">
        <v>240</v>
      </c>
      <c r="R637" s="67" t="s">
        <v>580</v>
      </c>
      <c r="S637" s="67">
        <f t="shared" si="155"/>
        <v>79592</v>
      </c>
      <c r="T637" s="67">
        <v>14006</v>
      </c>
      <c r="U637" s="67">
        <v>65586</v>
      </c>
      <c r="V637" s="67">
        <v>1.4E-2</v>
      </c>
      <c r="AI637" s="67">
        <v>5.0000000000000001E-3</v>
      </c>
      <c r="AL637" s="68" t="s">
        <v>910</v>
      </c>
    </row>
    <row r="638" spans="1:49" ht="30" customHeight="1" x14ac:dyDescent="0.25">
      <c r="A638" s="67" t="s">
        <v>166</v>
      </c>
      <c r="B638" s="67" t="s">
        <v>293</v>
      </c>
      <c r="C638" s="10" t="s">
        <v>166</v>
      </c>
      <c r="D638" s="67">
        <f t="shared" si="156"/>
        <v>18</v>
      </c>
      <c r="E638" s="67" t="s">
        <v>605</v>
      </c>
      <c r="F638" s="67" t="s">
        <v>913</v>
      </c>
      <c r="G638" s="68" t="s">
        <v>578</v>
      </c>
      <c r="H638" s="67">
        <v>0</v>
      </c>
      <c r="J638" s="67">
        <v>1</v>
      </c>
      <c r="K638" s="68" t="s">
        <v>579</v>
      </c>
      <c r="L638" s="67" t="s">
        <v>240</v>
      </c>
      <c r="M638" s="68" t="s">
        <v>587</v>
      </c>
      <c r="N638" s="67" t="s">
        <v>240</v>
      </c>
      <c r="O638" s="67" t="s">
        <v>240</v>
      </c>
      <c r="P638" s="67" t="s">
        <v>240</v>
      </c>
      <c r="Q638" s="67" t="s">
        <v>240</v>
      </c>
      <c r="R638" s="67" t="s">
        <v>580</v>
      </c>
      <c r="S638" s="67">
        <f t="shared" si="155"/>
        <v>98444</v>
      </c>
      <c r="T638" s="67">
        <v>14320</v>
      </c>
      <c r="U638" s="11">
        <v>84124</v>
      </c>
      <c r="V638" s="67">
        <v>8.9999999999999993E-3</v>
      </c>
      <c r="AI638" s="67">
        <v>3.0000000000000001E-3</v>
      </c>
      <c r="AL638" s="68" t="s">
        <v>910</v>
      </c>
    </row>
    <row r="639" spans="1:49" ht="30" customHeight="1" x14ac:dyDescent="0.25">
      <c r="A639" s="67" t="s">
        <v>166</v>
      </c>
      <c r="B639" s="67" t="s">
        <v>293</v>
      </c>
      <c r="C639" s="10" t="s">
        <v>166</v>
      </c>
      <c r="D639" s="67">
        <f t="shared" si="156"/>
        <v>19</v>
      </c>
      <c r="E639" s="67" t="s">
        <v>605</v>
      </c>
      <c r="F639" s="67" t="s">
        <v>912</v>
      </c>
      <c r="G639" s="68" t="s">
        <v>578</v>
      </c>
      <c r="H639" s="67">
        <v>0</v>
      </c>
      <c r="J639" s="67">
        <v>3</v>
      </c>
      <c r="K639" s="68" t="s">
        <v>606</v>
      </c>
      <c r="L639" s="67" t="s">
        <v>240</v>
      </c>
      <c r="M639" s="68" t="s">
        <v>587</v>
      </c>
      <c r="N639" s="67" t="s">
        <v>240</v>
      </c>
      <c r="O639" s="67" t="s">
        <v>240</v>
      </c>
      <c r="P639" s="67" t="s">
        <v>240</v>
      </c>
      <c r="Q639" s="67" t="s">
        <v>240</v>
      </c>
      <c r="R639" s="67" t="s">
        <v>580</v>
      </c>
      <c r="S639" s="67">
        <f t="shared" si="155"/>
        <v>79592</v>
      </c>
      <c r="T639" s="67">
        <v>14006</v>
      </c>
      <c r="U639" s="67">
        <v>65586</v>
      </c>
      <c r="V639" s="67">
        <v>0.01</v>
      </c>
      <c r="AI639" s="67">
        <v>7.0000000000000001E-3</v>
      </c>
      <c r="AL639" s="68" t="s">
        <v>910</v>
      </c>
    </row>
    <row r="640" spans="1:49" ht="30" customHeight="1" x14ac:dyDescent="0.25">
      <c r="A640" s="67" t="s">
        <v>166</v>
      </c>
      <c r="B640" s="67" t="s">
        <v>293</v>
      </c>
      <c r="C640" s="10" t="s">
        <v>166</v>
      </c>
      <c r="D640" s="67">
        <f t="shared" si="156"/>
        <v>20</v>
      </c>
      <c r="E640" s="67" t="s">
        <v>605</v>
      </c>
      <c r="F640" s="67" t="s">
        <v>913</v>
      </c>
      <c r="G640" s="68" t="s">
        <v>578</v>
      </c>
      <c r="H640" s="67">
        <v>0</v>
      </c>
      <c r="J640" s="67">
        <v>3</v>
      </c>
      <c r="K640" s="68" t="s">
        <v>606</v>
      </c>
      <c r="L640" s="67" t="s">
        <v>240</v>
      </c>
      <c r="M640" s="68" t="s">
        <v>587</v>
      </c>
      <c r="N640" s="67" t="s">
        <v>240</v>
      </c>
      <c r="O640" s="67" t="s">
        <v>240</v>
      </c>
      <c r="P640" s="67" t="s">
        <v>240</v>
      </c>
      <c r="Q640" s="67" t="s">
        <v>240</v>
      </c>
      <c r="R640" s="67" t="s">
        <v>580</v>
      </c>
      <c r="S640" s="67">
        <f t="shared" si="155"/>
        <v>98444</v>
      </c>
      <c r="T640" s="67">
        <v>14320</v>
      </c>
      <c r="U640" s="11">
        <v>84124</v>
      </c>
      <c r="V640" s="67">
        <v>1E-3</v>
      </c>
      <c r="AI640" s="67">
        <v>6.0000000000000001E-3</v>
      </c>
      <c r="AL640" s="68" t="s">
        <v>910</v>
      </c>
    </row>
    <row r="641" spans="1:49" ht="30" customHeight="1" x14ac:dyDescent="0.25">
      <c r="A641" s="67" t="s">
        <v>168</v>
      </c>
      <c r="B641" s="67" t="s">
        <v>293</v>
      </c>
      <c r="C641" s="10" t="s">
        <v>168</v>
      </c>
      <c r="D641" s="67">
        <v>1</v>
      </c>
      <c r="E641" s="67" t="s">
        <v>605</v>
      </c>
      <c r="F641" s="67" t="s">
        <v>240</v>
      </c>
      <c r="G641" s="68" t="s">
        <v>578</v>
      </c>
      <c r="H641" s="67">
        <v>1</v>
      </c>
      <c r="I641" s="67">
        <v>6</v>
      </c>
      <c r="J641" s="67">
        <v>1</v>
      </c>
      <c r="K641" s="68" t="s">
        <v>647</v>
      </c>
      <c r="L641" s="67" t="s">
        <v>240</v>
      </c>
      <c r="M641" s="68" t="s">
        <v>570</v>
      </c>
      <c r="N641" s="67" t="s">
        <v>240</v>
      </c>
      <c r="O641" s="95">
        <f>(15%+18%)/2</f>
        <v>0.16499999999999998</v>
      </c>
      <c r="P641" s="79">
        <f>0.15-0.18</f>
        <v>-0.03</v>
      </c>
      <c r="Q641" s="67" t="s">
        <v>240</v>
      </c>
      <c r="R641" s="67" t="s">
        <v>914</v>
      </c>
      <c r="S641" s="67">
        <f t="shared" si="155"/>
        <v>1446</v>
      </c>
      <c r="T641" s="67">
        <v>669</v>
      </c>
      <c r="U641" s="67">
        <v>777</v>
      </c>
      <c r="V641" s="67">
        <v>2.8299999999999999E-2</v>
      </c>
      <c r="AC641" s="67">
        <v>0.126</v>
      </c>
      <c r="AI641" s="67">
        <v>1.83E-2</v>
      </c>
    </row>
    <row r="642" spans="1:49" ht="30" customHeight="1" x14ac:dyDescent="0.25">
      <c r="A642" s="67" t="s">
        <v>168</v>
      </c>
      <c r="B642" s="67" t="s">
        <v>293</v>
      </c>
      <c r="C642" s="10" t="s">
        <v>168</v>
      </c>
      <c r="D642" s="67">
        <f>D641+1</f>
        <v>2</v>
      </c>
      <c r="E642" s="67" t="s">
        <v>605</v>
      </c>
      <c r="F642" s="67" t="s">
        <v>240</v>
      </c>
      <c r="G642" s="68" t="s">
        <v>578</v>
      </c>
      <c r="H642" s="67">
        <v>1</v>
      </c>
      <c r="I642" s="67">
        <v>6</v>
      </c>
      <c r="J642" s="67">
        <v>5</v>
      </c>
      <c r="K642" s="68" t="s">
        <v>915</v>
      </c>
      <c r="L642" s="67" t="s">
        <v>916</v>
      </c>
      <c r="M642" s="68" t="s">
        <v>570</v>
      </c>
      <c r="N642" s="67" t="s">
        <v>240</v>
      </c>
      <c r="O642" s="95">
        <f>(15%+18%)/2</f>
        <v>0.16499999999999998</v>
      </c>
      <c r="P642" s="79">
        <f>0.15-0.18</f>
        <v>-0.03</v>
      </c>
      <c r="Q642" s="67" t="s">
        <v>240</v>
      </c>
      <c r="R642" s="67" t="s">
        <v>914</v>
      </c>
      <c r="S642" s="67">
        <f t="shared" si="155"/>
        <v>419</v>
      </c>
      <c r="T642" s="67">
        <v>194</v>
      </c>
      <c r="U642" s="67">
        <v>225</v>
      </c>
      <c r="V642" s="67">
        <v>0.40500000000000003</v>
      </c>
      <c r="AC642" s="88">
        <v>341686</v>
      </c>
      <c r="AI642" s="67">
        <v>0.17199999999999999</v>
      </c>
      <c r="AL642" s="68" t="s">
        <v>917</v>
      </c>
      <c r="AP642" s="67">
        <f>+V642/AQ642</f>
        <v>0.23069674332860576</v>
      </c>
      <c r="AQ642" s="67">
        <f>+AI642*SQRT(T642*U642/S642)</f>
        <v>1.7555514402000711</v>
      </c>
      <c r="AS642" s="67">
        <f>+AP642^2/(AU642-2)*(AU642/(V642/AI642)^2+AU642*AV642^2-AU642+2)</f>
        <v>9.9018309498329054E-3</v>
      </c>
      <c r="AU642" s="67">
        <f>+S642-2</f>
        <v>417</v>
      </c>
      <c r="AV642" s="67">
        <f>IFERROR(1/(SQRT(AU642/2)*_xlfn.GAMMA(AU642/2-0.5)/_xlfn.GAMMA(AU642/2)),1)</f>
        <v>1</v>
      </c>
      <c r="AW642" s="67" t="s">
        <v>1350</v>
      </c>
    </row>
    <row r="643" spans="1:49" ht="30" customHeight="1" x14ac:dyDescent="0.25">
      <c r="A643" s="72" t="s">
        <v>170</v>
      </c>
      <c r="B643" s="67" t="s">
        <v>344</v>
      </c>
      <c r="C643" s="72" t="s">
        <v>511</v>
      </c>
      <c r="D643" s="67">
        <v>1</v>
      </c>
      <c r="E643" s="67" t="s">
        <v>568</v>
      </c>
      <c r="F643" s="67" t="s">
        <v>240</v>
      </c>
      <c r="G643" s="68" t="s">
        <v>578</v>
      </c>
      <c r="H643" s="67">
        <v>1</v>
      </c>
      <c r="I643" s="67">
        <v>6</v>
      </c>
      <c r="J643" s="67">
        <v>1</v>
      </c>
      <c r="K643" s="152" t="s">
        <v>1789</v>
      </c>
      <c r="L643" s="67" t="s">
        <v>240</v>
      </c>
      <c r="M643" s="68" t="s">
        <v>587</v>
      </c>
      <c r="N643" s="67" t="s">
        <v>240</v>
      </c>
      <c r="O643" s="95">
        <f t="shared" ref="O643:O648" si="157">(17+111)/938</f>
        <v>0.13646055437100213</v>
      </c>
      <c r="P643" s="79">
        <f t="shared" ref="P643:P648" si="158">57/938-54/938</f>
        <v>3.1982942430703598E-3</v>
      </c>
      <c r="Q643" s="67" t="s">
        <v>240</v>
      </c>
      <c r="R643" s="67" t="s">
        <v>918</v>
      </c>
      <c r="S643" s="67">
        <f t="shared" ref="S643:S648" si="159">+T643+U643</f>
        <v>810</v>
      </c>
      <c r="T643" s="78">
        <v>423</v>
      </c>
      <c r="U643" s="78">
        <v>387</v>
      </c>
      <c r="V643" s="81">
        <v>-8.9999999999999993E-3</v>
      </c>
      <c r="W643" s="67">
        <v>2.9000000000000001E-2</v>
      </c>
      <c r="AI643" s="67">
        <f t="shared" ref="AI643:AI648" si="160">+W643</f>
        <v>2.9000000000000001E-2</v>
      </c>
      <c r="AL643" s="68" t="s">
        <v>919</v>
      </c>
      <c r="AM643" s="67" t="s">
        <v>308</v>
      </c>
      <c r="AN643" s="67" t="s">
        <v>920</v>
      </c>
    </row>
    <row r="644" spans="1:49" ht="30" customHeight="1" x14ac:dyDescent="0.25">
      <c r="A644" s="72" t="s">
        <v>170</v>
      </c>
      <c r="B644" s="67" t="s">
        <v>344</v>
      </c>
      <c r="C644" s="72" t="s">
        <v>511</v>
      </c>
      <c r="D644" s="67">
        <v>2</v>
      </c>
      <c r="E644" s="67" t="s">
        <v>568</v>
      </c>
      <c r="F644" s="67" t="s">
        <v>240</v>
      </c>
      <c r="G644" s="68" t="s">
        <v>578</v>
      </c>
      <c r="H644" s="67">
        <v>0</v>
      </c>
      <c r="I644" s="67">
        <v>6</v>
      </c>
      <c r="J644" s="67">
        <v>1</v>
      </c>
      <c r="K644" s="152" t="s">
        <v>1789</v>
      </c>
      <c r="L644" s="67" t="s">
        <v>240</v>
      </c>
      <c r="M644" s="68" t="s">
        <v>587</v>
      </c>
      <c r="N644" s="67" t="s">
        <v>240</v>
      </c>
      <c r="O644" s="95">
        <f t="shared" si="157"/>
        <v>0.13646055437100213</v>
      </c>
      <c r="P644" s="79">
        <f t="shared" si="158"/>
        <v>3.1982942430703598E-3</v>
      </c>
      <c r="Q644" s="67" t="s">
        <v>240</v>
      </c>
      <c r="R644" s="67" t="s">
        <v>918</v>
      </c>
      <c r="S644" s="67">
        <f t="shared" si="159"/>
        <v>810</v>
      </c>
      <c r="T644" s="78">
        <v>423</v>
      </c>
      <c r="U644" s="78">
        <v>387</v>
      </c>
      <c r="V644" s="81">
        <v>-3.2000000000000001E-2</v>
      </c>
      <c r="W644" s="67">
        <v>9.8000000000000004E-2</v>
      </c>
      <c r="AI644" s="67">
        <f t="shared" si="160"/>
        <v>9.8000000000000004E-2</v>
      </c>
      <c r="AL644" s="68" t="s">
        <v>1361</v>
      </c>
      <c r="AM644" s="67" t="s">
        <v>308</v>
      </c>
      <c r="AN644" s="67" t="s">
        <v>920</v>
      </c>
    </row>
    <row r="645" spans="1:49" ht="30" customHeight="1" x14ac:dyDescent="0.25">
      <c r="A645" s="72" t="s">
        <v>170</v>
      </c>
      <c r="B645" s="67" t="s">
        <v>344</v>
      </c>
      <c r="C645" s="72" t="s">
        <v>511</v>
      </c>
      <c r="D645" s="67">
        <v>13</v>
      </c>
      <c r="E645" s="67" t="s">
        <v>568</v>
      </c>
      <c r="F645" s="67" t="s">
        <v>240</v>
      </c>
      <c r="G645" s="68" t="s">
        <v>578</v>
      </c>
      <c r="H645" s="67">
        <v>1</v>
      </c>
      <c r="I645" s="67">
        <v>12</v>
      </c>
      <c r="J645" s="68">
        <v>2</v>
      </c>
      <c r="K645" s="68" t="s">
        <v>923</v>
      </c>
      <c r="L645" s="67" t="s">
        <v>924</v>
      </c>
      <c r="M645" s="68" t="s">
        <v>587</v>
      </c>
      <c r="O645" s="95">
        <f t="shared" si="157"/>
        <v>0.13646055437100213</v>
      </c>
      <c r="P645" s="79">
        <f t="shared" si="158"/>
        <v>3.1982942430703598E-3</v>
      </c>
      <c r="Q645" s="67" t="s">
        <v>240</v>
      </c>
      <c r="R645" s="67" t="s">
        <v>925</v>
      </c>
      <c r="S645" s="67">
        <f t="shared" si="159"/>
        <v>810</v>
      </c>
      <c r="T645" s="78">
        <v>423</v>
      </c>
      <c r="U645" s="78">
        <v>387</v>
      </c>
      <c r="V645" s="67">
        <v>-1.72</v>
      </c>
      <c r="W645" s="67">
        <v>5.1100000000000003</v>
      </c>
      <c r="AI645" s="67">
        <f t="shared" si="160"/>
        <v>5.1100000000000003</v>
      </c>
      <c r="AL645" s="68" t="s">
        <v>926</v>
      </c>
      <c r="AM645" s="67" t="s">
        <v>308</v>
      </c>
      <c r="AN645" s="67" t="s">
        <v>920</v>
      </c>
      <c r="AP645" s="67">
        <f>+V645/AQ645</f>
        <v>-2.3676875473187767E-2</v>
      </c>
      <c r="AQ645" s="67">
        <f>+AI645*SQRT(T645*U645/S645)</f>
        <v>72.644720455102586</v>
      </c>
      <c r="AS645" s="67">
        <f>+AP645^2/(AU645-2)*(AU645/(V645/AI645)^2+AU645*AV645^2-AU645+2)</f>
        <v>4.9617146037909919E-3</v>
      </c>
      <c r="AU645" s="67">
        <f>+S645-2</f>
        <v>808</v>
      </c>
      <c r="AV645" s="67">
        <f>IFERROR(1/(SQRT(AU645/2)*_xlfn.GAMMA(AU645/2-0.5)/_xlfn.GAMMA(AU645/2)),1)</f>
        <v>1</v>
      </c>
      <c r="AW645" s="67" t="s">
        <v>1350</v>
      </c>
    </row>
    <row r="646" spans="1:49" ht="30" customHeight="1" x14ac:dyDescent="0.25">
      <c r="A646" s="72" t="s">
        <v>170</v>
      </c>
      <c r="B646" s="67" t="s">
        <v>344</v>
      </c>
      <c r="C646" s="72" t="s">
        <v>511</v>
      </c>
      <c r="D646" s="67">
        <v>14</v>
      </c>
      <c r="E646" s="67" t="s">
        <v>568</v>
      </c>
      <c r="F646" s="67" t="s">
        <v>240</v>
      </c>
      <c r="G646" s="68" t="s">
        <v>578</v>
      </c>
      <c r="H646" s="67">
        <v>1</v>
      </c>
      <c r="I646" s="67">
        <v>24</v>
      </c>
      <c r="J646" s="68">
        <v>2</v>
      </c>
      <c r="K646" s="68" t="s">
        <v>923</v>
      </c>
      <c r="L646" s="67" t="s">
        <v>924</v>
      </c>
      <c r="M646" s="68" t="s">
        <v>587</v>
      </c>
      <c r="O646" s="95">
        <f t="shared" si="157"/>
        <v>0.13646055437100213</v>
      </c>
      <c r="P646" s="79">
        <f t="shared" si="158"/>
        <v>3.1982942430703598E-3</v>
      </c>
      <c r="Q646" s="67" t="s">
        <v>240</v>
      </c>
      <c r="R646" s="67" t="s">
        <v>925</v>
      </c>
      <c r="S646" s="67">
        <f t="shared" si="159"/>
        <v>810</v>
      </c>
      <c r="T646" s="78">
        <v>423</v>
      </c>
      <c r="U646" s="78">
        <v>387</v>
      </c>
      <c r="V646" s="67">
        <v>-1.58</v>
      </c>
      <c r="W646" s="67">
        <v>5.13</v>
      </c>
      <c r="AI646" s="67">
        <f t="shared" si="160"/>
        <v>5.13</v>
      </c>
      <c r="AL646" s="68" t="s">
        <v>926</v>
      </c>
      <c r="AM646" s="67" t="s">
        <v>308</v>
      </c>
      <c r="AN646" s="67" t="s">
        <v>920</v>
      </c>
      <c r="AP646" s="67">
        <f>+V646/AQ646</f>
        <v>-2.1664893829664016E-2</v>
      </c>
      <c r="AQ646" s="67">
        <f>+AI646*SQRT(T646*U646/S646)</f>
        <v>72.929044214222358</v>
      </c>
      <c r="AS646" s="67">
        <f>+AP646^2/(AU646-2)*(AU646/(V646/AI646)^2+AU646*AV646^2-AU646+2)</f>
        <v>4.9614882345415563E-3</v>
      </c>
      <c r="AU646" s="67">
        <f>+S646-2</f>
        <v>808</v>
      </c>
      <c r="AV646" s="67">
        <f>IFERROR(1/(SQRT(AU646/2)*_xlfn.GAMMA(AU646/2-0.5)/_xlfn.GAMMA(AU646/2)),1)</f>
        <v>1</v>
      </c>
      <c r="AW646" s="67" t="s">
        <v>1350</v>
      </c>
    </row>
    <row r="647" spans="1:49" ht="30" customHeight="1" x14ac:dyDescent="0.25">
      <c r="A647" s="72" t="s">
        <v>170</v>
      </c>
      <c r="B647" s="67" t="s">
        <v>344</v>
      </c>
      <c r="C647" s="72" t="s">
        <v>511</v>
      </c>
      <c r="D647" s="67">
        <v>15</v>
      </c>
      <c r="E647" s="67" t="s">
        <v>568</v>
      </c>
      <c r="F647" s="67" t="s">
        <v>240</v>
      </c>
      <c r="G647" s="68" t="s">
        <v>578</v>
      </c>
      <c r="H647" s="67">
        <v>0</v>
      </c>
      <c r="I647" s="67">
        <v>12</v>
      </c>
      <c r="J647" s="68">
        <v>2</v>
      </c>
      <c r="K647" s="68" t="s">
        <v>923</v>
      </c>
      <c r="L647" s="67" t="s">
        <v>924</v>
      </c>
      <c r="M647" s="68" t="s">
        <v>587</v>
      </c>
      <c r="O647" s="95">
        <f t="shared" si="157"/>
        <v>0.13646055437100213</v>
      </c>
      <c r="P647" s="79">
        <f t="shared" si="158"/>
        <v>3.1982942430703598E-3</v>
      </c>
      <c r="Q647" s="67" t="s">
        <v>240</v>
      </c>
      <c r="R647" s="67" t="s">
        <v>925</v>
      </c>
      <c r="S647" s="67">
        <f t="shared" si="159"/>
        <v>810</v>
      </c>
      <c r="T647" s="78">
        <v>423</v>
      </c>
      <c r="U647" s="78">
        <v>387</v>
      </c>
      <c r="V647" s="67">
        <v>-5.86</v>
      </c>
      <c r="W647" s="67">
        <v>17.399999999999999</v>
      </c>
      <c r="AI647" s="67">
        <f t="shared" si="160"/>
        <v>17.399999999999999</v>
      </c>
      <c r="AL647" s="68" t="s">
        <v>921</v>
      </c>
      <c r="AM647" s="67" t="s">
        <v>308</v>
      </c>
      <c r="AN647" s="67" t="s">
        <v>920</v>
      </c>
      <c r="AP647" s="67">
        <f>+V647/AQ647</f>
        <v>-2.3690008196151382E-2</v>
      </c>
      <c r="AQ647" s="67">
        <f>+AI647*SQRT(T647*U647/S647)</f>
        <v>247.36167043420446</v>
      </c>
      <c r="AS647" s="67">
        <f>+AP647^2/(AU647-2)*(AU647/(V647/AI647)^2+AU647*AV647^2-AU647+2)</f>
        <v>4.9617161473546664E-3</v>
      </c>
      <c r="AU647" s="67">
        <f>+S647-2</f>
        <v>808</v>
      </c>
      <c r="AV647" s="67">
        <f>IFERROR(1/(SQRT(AU647/2)*_xlfn.GAMMA(AU647/2-0.5)/_xlfn.GAMMA(AU647/2)),1)</f>
        <v>1</v>
      </c>
      <c r="AW647" s="67" t="s">
        <v>1350</v>
      </c>
    </row>
    <row r="648" spans="1:49" ht="30" customHeight="1" x14ac:dyDescent="0.25">
      <c r="A648" s="72" t="s">
        <v>170</v>
      </c>
      <c r="B648" s="67" t="s">
        <v>344</v>
      </c>
      <c r="C648" s="72" t="s">
        <v>511</v>
      </c>
      <c r="D648" s="67">
        <v>16</v>
      </c>
      <c r="E648" s="67" t="s">
        <v>568</v>
      </c>
      <c r="F648" s="67" t="s">
        <v>240</v>
      </c>
      <c r="G648" s="68" t="s">
        <v>578</v>
      </c>
      <c r="H648" s="67">
        <v>0</v>
      </c>
      <c r="I648" s="67">
        <v>24</v>
      </c>
      <c r="J648" s="68">
        <v>2</v>
      </c>
      <c r="K648" s="68" t="s">
        <v>923</v>
      </c>
      <c r="L648" s="67" t="s">
        <v>924</v>
      </c>
      <c r="M648" s="68" t="s">
        <v>587</v>
      </c>
      <c r="O648" s="95">
        <f t="shared" si="157"/>
        <v>0.13646055437100213</v>
      </c>
      <c r="P648" s="79">
        <f t="shared" si="158"/>
        <v>3.1982942430703598E-3</v>
      </c>
      <c r="Q648" s="67" t="s">
        <v>240</v>
      </c>
      <c r="R648" s="67" t="s">
        <v>925</v>
      </c>
      <c r="S648" s="67">
        <f t="shared" si="159"/>
        <v>810</v>
      </c>
      <c r="T648" s="78">
        <v>423</v>
      </c>
      <c r="U648" s="78">
        <v>387</v>
      </c>
      <c r="V648" s="67">
        <v>-5.39</v>
      </c>
      <c r="W648" s="67">
        <v>17.5</v>
      </c>
      <c r="AI648" s="67">
        <f t="shared" si="160"/>
        <v>17.5</v>
      </c>
      <c r="AL648" s="68" t="s">
        <v>921</v>
      </c>
      <c r="AM648" s="67" t="s">
        <v>308</v>
      </c>
      <c r="AN648" s="67" t="s">
        <v>920</v>
      </c>
      <c r="AP648" s="67">
        <f>+V648/AQ648</f>
        <v>-2.1665442307988815E-2</v>
      </c>
      <c r="AQ648" s="67">
        <f>+AI648*SQRT(T648*U648/S648)</f>
        <v>248.78328922980336</v>
      </c>
      <c r="AS648" s="67">
        <f>+AP648^2/(AU648-2)*(AU648/(V648/AI648)^2+AU648*AV648^2-AU648+2)</f>
        <v>4.9614882935136405E-3</v>
      </c>
      <c r="AU648" s="67">
        <f>+S648-2</f>
        <v>808</v>
      </c>
      <c r="AV648" s="67">
        <f>IFERROR(1/(SQRT(AU648/2)*_xlfn.GAMMA(AU648/2-0.5)/_xlfn.GAMMA(AU648/2)),1)</f>
        <v>1</v>
      </c>
      <c r="AW648" s="67" t="s">
        <v>1350</v>
      </c>
    </row>
    <row r="649" spans="1:49" ht="30" customHeight="1" x14ac:dyDescent="0.25">
      <c r="A649" s="67" t="s">
        <v>140</v>
      </c>
      <c r="B649" s="67" t="s">
        <v>293</v>
      </c>
      <c r="C649" s="67" t="s">
        <v>518</v>
      </c>
      <c r="D649" s="67">
        <v>1</v>
      </c>
      <c r="E649" s="67" t="s">
        <v>605</v>
      </c>
      <c r="F649" s="76" t="s">
        <v>240</v>
      </c>
      <c r="G649" s="68" t="s">
        <v>578</v>
      </c>
      <c r="H649" s="67">
        <v>0</v>
      </c>
      <c r="I649" s="67">
        <v>12</v>
      </c>
      <c r="J649" s="67">
        <v>1</v>
      </c>
      <c r="K649" s="68" t="s">
        <v>927</v>
      </c>
      <c r="L649" s="76" t="s">
        <v>240</v>
      </c>
      <c r="M649" s="68" t="s">
        <v>570</v>
      </c>
      <c r="N649" s="67" t="s">
        <v>240</v>
      </c>
      <c r="P649" s="67" t="s">
        <v>240</v>
      </c>
      <c r="Q649" s="67" t="s">
        <v>240</v>
      </c>
      <c r="R649" s="67" t="s">
        <v>778</v>
      </c>
      <c r="S649" s="67">
        <f t="shared" ref="S649:S680" si="161">T649+U649</f>
        <v>2000</v>
      </c>
      <c r="T649" s="67">
        <v>1000</v>
      </c>
      <c r="U649" s="67">
        <v>1000</v>
      </c>
      <c r="V649" s="67">
        <v>0.13100000000000001</v>
      </c>
      <c r="AH649" s="70">
        <v>0</v>
      </c>
      <c r="AI649" s="67">
        <v>3.5999999999999997E-2</v>
      </c>
      <c r="AM649" s="67" t="s">
        <v>30</v>
      </c>
    </row>
    <row r="650" spans="1:49" ht="30" customHeight="1" x14ac:dyDescent="0.25">
      <c r="A650" s="67" t="s">
        <v>140</v>
      </c>
      <c r="B650" s="67" t="s">
        <v>293</v>
      </c>
      <c r="C650" s="67" t="s">
        <v>518</v>
      </c>
      <c r="D650" s="67">
        <f>D649+1</f>
        <v>2</v>
      </c>
      <c r="E650" s="67" t="s">
        <v>605</v>
      </c>
      <c r="F650" s="76" t="s">
        <v>240</v>
      </c>
      <c r="G650" s="68" t="s">
        <v>578</v>
      </c>
      <c r="H650" s="67">
        <v>0</v>
      </c>
      <c r="I650" s="67">
        <v>12</v>
      </c>
      <c r="J650" s="81">
        <v>5</v>
      </c>
      <c r="K650" s="68" t="s">
        <v>928</v>
      </c>
      <c r="L650" s="68" t="s">
        <v>929</v>
      </c>
      <c r="M650" s="68" t="s">
        <v>570</v>
      </c>
      <c r="N650" s="67" t="s">
        <v>240</v>
      </c>
      <c r="P650" s="67" t="s">
        <v>240</v>
      </c>
      <c r="Q650" s="67" t="s">
        <v>240</v>
      </c>
      <c r="R650" s="67" t="s">
        <v>930</v>
      </c>
      <c r="S650" s="67">
        <f t="shared" si="161"/>
        <v>2000</v>
      </c>
      <c r="T650" s="67">
        <v>1000</v>
      </c>
      <c r="U650" s="67">
        <v>1000</v>
      </c>
      <c r="V650" s="67">
        <v>9.7000000000000003E-2</v>
      </c>
      <c r="AH650" s="70">
        <v>8.9999999999999993E-3</v>
      </c>
      <c r="AI650" s="67">
        <v>3.6999999999999998E-2</v>
      </c>
      <c r="AL650" s="68" t="s">
        <v>931</v>
      </c>
      <c r="AM650" s="67" t="s">
        <v>30</v>
      </c>
      <c r="AP650" s="67">
        <f>+V650/AQ650</f>
        <v>0.11724248314458358</v>
      </c>
      <c r="AQ650" s="67">
        <f>+AI650*SQRT(T650*U650/S650)</f>
        <v>0.82734515167492217</v>
      </c>
      <c r="AS650" s="67">
        <f>+AP650^2/(AU650-2)*(AU650/(V650/AI650)^2+AU650*AV650^2-AU650+2)</f>
        <v>2.0157773545630355E-3</v>
      </c>
      <c r="AU650" s="67">
        <f>+S650-2</f>
        <v>1998</v>
      </c>
      <c r="AV650" s="67">
        <f>IFERROR(1/(SQRT(AU650/2)*_xlfn.GAMMA(AU650/2-0.5)/_xlfn.GAMMA(AU650/2)),1)</f>
        <v>1</v>
      </c>
      <c r="AW650" s="67" t="s">
        <v>1350</v>
      </c>
    </row>
    <row r="651" spans="1:49" ht="30" customHeight="1" x14ac:dyDescent="0.25">
      <c r="A651" s="67" t="s">
        <v>140</v>
      </c>
      <c r="B651" s="67" t="s">
        <v>293</v>
      </c>
      <c r="C651" s="67" t="s">
        <v>518</v>
      </c>
      <c r="D651" s="67">
        <f>D650+1</f>
        <v>3</v>
      </c>
      <c r="E651" s="67" t="s">
        <v>605</v>
      </c>
      <c r="F651" s="76" t="s">
        <v>240</v>
      </c>
      <c r="G651" s="68" t="s">
        <v>578</v>
      </c>
      <c r="H651" s="67">
        <v>0</v>
      </c>
      <c r="I651" s="67">
        <v>12</v>
      </c>
      <c r="J651" s="67">
        <v>3</v>
      </c>
      <c r="K651" s="68" t="s">
        <v>932</v>
      </c>
      <c r="L651" s="76" t="s">
        <v>240</v>
      </c>
      <c r="M651" s="68" t="s">
        <v>570</v>
      </c>
      <c r="N651" s="67" t="s">
        <v>240</v>
      </c>
      <c r="P651" s="67" t="s">
        <v>240</v>
      </c>
      <c r="Q651" s="67" t="s">
        <v>240</v>
      </c>
      <c r="R651" s="67" t="s">
        <v>576</v>
      </c>
      <c r="S651" s="67">
        <f t="shared" si="161"/>
        <v>2000</v>
      </c>
      <c r="T651" s="67">
        <v>1000</v>
      </c>
      <c r="U651" s="67">
        <v>1000</v>
      </c>
      <c r="V651" s="67">
        <v>2.5999999999999999E-2</v>
      </c>
      <c r="AH651" s="70">
        <v>0.16400000000000001</v>
      </c>
      <c r="AI651" s="67">
        <v>1.9E-2</v>
      </c>
      <c r="AM651" s="67" t="s">
        <v>30</v>
      </c>
    </row>
    <row r="652" spans="1:49" ht="30" customHeight="1" x14ac:dyDescent="0.25">
      <c r="A652" s="67" t="s">
        <v>172</v>
      </c>
      <c r="B652" s="67" t="s">
        <v>293</v>
      </c>
      <c r="C652" s="67" t="s">
        <v>105</v>
      </c>
      <c r="D652" s="67">
        <v>1</v>
      </c>
      <c r="E652" s="67" t="s">
        <v>605</v>
      </c>
      <c r="F652" s="67" t="s">
        <v>240</v>
      </c>
      <c r="G652" s="68" t="s">
        <v>840</v>
      </c>
      <c r="H652" s="67">
        <v>1</v>
      </c>
      <c r="I652" s="67">
        <v>12</v>
      </c>
      <c r="J652" s="67">
        <v>2</v>
      </c>
      <c r="K652" s="68" t="s">
        <v>933</v>
      </c>
      <c r="L652" s="67" t="s">
        <v>638</v>
      </c>
      <c r="M652" s="68" t="s">
        <v>849</v>
      </c>
      <c r="N652" s="67" t="s">
        <v>240</v>
      </c>
      <c r="O652" s="67" t="s">
        <v>240</v>
      </c>
      <c r="P652" s="67" t="s">
        <v>240</v>
      </c>
      <c r="Q652" s="67" t="s">
        <v>240</v>
      </c>
      <c r="R652" s="67" t="s">
        <v>311</v>
      </c>
      <c r="S652" s="67">
        <f t="shared" si="161"/>
        <v>690</v>
      </c>
      <c r="T652" s="67">
        <v>349</v>
      </c>
      <c r="U652" s="67">
        <v>341</v>
      </c>
      <c r="V652" s="67">
        <v>150</v>
      </c>
      <c r="AB652" s="67">
        <v>8868</v>
      </c>
      <c r="AC652" s="81">
        <v>8718</v>
      </c>
      <c r="AF652" s="67">
        <f t="shared" ref="AF652:AF683" si="162">_xlfn.T.INV.2T(AH652,S652-2)</f>
        <v>0.19429788116475313</v>
      </c>
      <c r="AH652" s="96">
        <v>0.84599999999999997</v>
      </c>
      <c r="AI652" s="67">
        <f t="shared" ref="AI652:AI683" si="163">ABS(V652/AF652)</f>
        <v>772.0104774215672</v>
      </c>
      <c r="AL652" s="68" t="s">
        <v>934</v>
      </c>
      <c r="AP652" s="67">
        <f t="shared" ref="AP652:AP664" si="164">+V652/AQ652</f>
        <v>1.47945822625128E-2</v>
      </c>
      <c r="AQ652" s="67">
        <f t="shared" ref="AQ652:AQ664" si="165">+AI652*SQRT(T652*U652/S652)</f>
        <v>10138.846595221345</v>
      </c>
      <c r="AS652" s="67">
        <f t="shared" ref="AS652:AS664" si="166">+AP652^2/(AU652-2)*(AU652/(V652/AI652)^2+AU652*AV652^2-AU652+2)</f>
        <v>5.8154224083346844E-3</v>
      </c>
      <c r="AU652" s="67">
        <f t="shared" ref="AU652:AU664" si="167">+S652-2</f>
        <v>688</v>
      </c>
      <c r="AV652" s="67">
        <f t="shared" ref="AV652:AV664" si="168">IFERROR(1/(SQRT(AU652/2)*_xlfn.GAMMA(AU652/2-0.5)/_xlfn.GAMMA(AU652/2)),1)</f>
        <v>1</v>
      </c>
      <c r="AW652" s="67" t="s">
        <v>1350</v>
      </c>
    </row>
    <row r="653" spans="1:49" ht="30" customHeight="1" x14ac:dyDescent="0.25">
      <c r="A653" s="67" t="s">
        <v>172</v>
      </c>
      <c r="B653" s="67" t="s">
        <v>293</v>
      </c>
      <c r="C653" s="67" t="s">
        <v>105</v>
      </c>
      <c r="D653" s="67">
        <f t="shared" ref="D653:D663" si="169">D652+1</f>
        <v>2</v>
      </c>
      <c r="E653" s="67" t="s">
        <v>605</v>
      </c>
      <c r="F653" s="67" t="s">
        <v>240</v>
      </c>
      <c r="G653" s="68" t="s">
        <v>840</v>
      </c>
      <c r="H653" s="67">
        <v>1</v>
      </c>
      <c r="I653" s="67">
        <v>24</v>
      </c>
      <c r="J653" s="67">
        <v>2</v>
      </c>
      <c r="K653" s="68" t="s">
        <v>935</v>
      </c>
      <c r="L653" s="67" t="s">
        <v>638</v>
      </c>
      <c r="M653" s="68" t="s">
        <v>849</v>
      </c>
      <c r="N653" s="67" t="s">
        <v>240</v>
      </c>
      <c r="O653" s="67" t="s">
        <v>240</v>
      </c>
      <c r="P653" s="67" t="s">
        <v>240</v>
      </c>
      <c r="Q653" s="67" t="s">
        <v>240</v>
      </c>
      <c r="R653" s="67" t="s">
        <v>311</v>
      </c>
      <c r="S653" s="67">
        <f t="shared" si="161"/>
        <v>690</v>
      </c>
      <c r="T653" s="67">
        <v>349</v>
      </c>
      <c r="U653" s="67">
        <v>341</v>
      </c>
      <c r="V653" s="67">
        <v>3744</v>
      </c>
      <c r="AB653" s="67">
        <v>18218</v>
      </c>
      <c r="AC653" s="67">
        <v>14474</v>
      </c>
      <c r="AF653" s="67">
        <f t="shared" si="162"/>
        <v>3.1021201381514789</v>
      </c>
      <c r="AH653" s="96">
        <v>2E-3</v>
      </c>
      <c r="AI653" s="67">
        <f t="shared" si="163"/>
        <v>1206.9165065383349</v>
      </c>
      <c r="AP653" s="67">
        <f t="shared" si="164"/>
        <v>0.23620726740279652</v>
      </c>
      <c r="AQ653" s="67">
        <f t="shared" si="165"/>
        <v>15850.486063222937</v>
      </c>
      <c r="AS653" s="67">
        <f t="shared" si="166"/>
        <v>5.9774486284792094E-3</v>
      </c>
      <c r="AU653" s="67">
        <f t="shared" si="167"/>
        <v>688</v>
      </c>
      <c r="AV653" s="67">
        <f t="shared" si="168"/>
        <v>1</v>
      </c>
      <c r="AW653" s="67" t="s">
        <v>1350</v>
      </c>
    </row>
    <row r="654" spans="1:49" ht="30" customHeight="1" x14ac:dyDescent="0.25">
      <c r="A654" s="67" t="s">
        <v>172</v>
      </c>
      <c r="B654" s="67" t="s">
        <v>293</v>
      </c>
      <c r="C654" s="67" t="s">
        <v>105</v>
      </c>
      <c r="D654" s="67">
        <f t="shared" si="169"/>
        <v>3</v>
      </c>
      <c r="E654" s="67" t="s">
        <v>605</v>
      </c>
      <c r="F654" s="67" t="s">
        <v>240</v>
      </c>
      <c r="G654" s="68" t="s">
        <v>840</v>
      </c>
      <c r="H654" s="67">
        <v>1</v>
      </c>
      <c r="I654" s="67">
        <v>36</v>
      </c>
      <c r="J654" s="67">
        <v>2</v>
      </c>
      <c r="K654" s="68" t="s">
        <v>936</v>
      </c>
      <c r="L654" s="67" t="s">
        <v>638</v>
      </c>
      <c r="M654" s="68" t="s">
        <v>849</v>
      </c>
      <c r="N654" s="67" t="s">
        <v>240</v>
      </c>
      <c r="O654" s="67" t="s">
        <v>240</v>
      </c>
      <c r="P654" s="67" t="s">
        <v>240</v>
      </c>
      <c r="Q654" s="67" t="s">
        <v>240</v>
      </c>
      <c r="R654" s="67" t="s">
        <v>311</v>
      </c>
      <c r="S654" s="67">
        <f t="shared" si="161"/>
        <v>690</v>
      </c>
      <c r="T654" s="67">
        <v>349</v>
      </c>
      <c r="U654" s="67">
        <v>341</v>
      </c>
      <c r="V654" s="67">
        <v>4829</v>
      </c>
      <c r="AB654" s="67">
        <v>22503</v>
      </c>
      <c r="AC654" s="67">
        <v>17674</v>
      </c>
      <c r="AF654" s="67">
        <f t="shared" si="162"/>
        <v>3.3047241548560971</v>
      </c>
      <c r="AH654" s="96">
        <v>1E-3</v>
      </c>
      <c r="AI654" s="67">
        <f t="shared" si="163"/>
        <v>1461.2414754508541</v>
      </c>
      <c r="AP654" s="67">
        <f t="shared" si="164"/>
        <v>0.25163431052793661</v>
      </c>
      <c r="AQ654" s="67">
        <f t="shared" si="165"/>
        <v>19190.546749640809</v>
      </c>
      <c r="AS654" s="67">
        <f t="shared" si="166"/>
        <v>5.9993901825928448E-3</v>
      </c>
      <c r="AU654" s="67">
        <f t="shared" si="167"/>
        <v>688</v>
      </c>
      <c r="AV654" s="67">
        <f t="shared" si="168"/>
        <v>1</v>
      </c>
      <c r="AW654" s="67" t="s">
        <v>1350</v>
      </c>
    </row>
    <row r="655" spans="1:49" ht="30" customHeight="1" x14ac:dyDescent="0.25">
      <c r="A655" s="67" t="s">
        <v>172</v>
      </c>
      <c r="B655" s="67" t="s">
        <v>293</v>
      </c>
      <c r="C655" s="67" t="s">
        <v>105</v>
      </c>
      <c r="D655" s="67">
        <f t="shared" si="169"/>
        <v>4</v>
      </c>
      <c r="E655" s="67" t="s">
        <v>605</v>
      </c>
      <c r="F655" s="67" t="s">
        <v>240</v>
      </c>
      <c r="G655" s="68" t="s">
        <v>845</v>
      </c>
      <c r="H655" s="67">
        <v>1</v>
      </c>
      <c r="I655" s="67">
        <v>12</v>
      </c>
      <c r="J655" s="67">
        <v>2</v>
      </c>
      <c r="K655" s="68" t="s">
        <v>933</v>
      </c>
      <c r="L655" s="67" t="s">
        <v>638</v>
      </c>
      <c r="M655" s="68" t="s">
        <v>849</v>
      </c>
      <c r="N655" s="67" t="s">
        <v>240</v>
      </c>
      <c r="O655" s="67" t="s">
        <v>240</v>
      </c>
      <c r="P655" s="67" t="s">
        <v>240</v>
      </c>
      <c r="Q655" s="67" t="s">
        <v>240</v>
      </c>
      <c r="R655" s="67" t="s">
        <v>376</v>
      </c>
      <c r="S655" s="67">
        <f t="shared" si="161"/>
        <v>479</v>
      </c>
      <c r="T655" s="67">
        <v>242</v>
      </c>
      <c r="U655" s="67">
        <v>237</v>
      </c>
      <c r="V655" s="67">
        <v>-253</v>
      </c>
      <c r="AB655" s="67">
        <v>9395</v>
      </c>
      <c r="AC655" s="67">
        <v>9648</v>
      </c>
      <c r="AF655" s="67">
        <f t="shared" si="162"/>
        <v>0.25089930744299144</v>
      </c>
      <c r="AH655" s="96">
        <v>0.80200000000000005</v>
      </c>
      <c r="AI655" s="67">
        <f t="shared" si="163"/>
        <v>1008.3726518754377</v>
      </c>
      <c r="AP655" s="67">
        <f t="shared" si="164"/>
        <v>-2.2929013143096245E-2</v>
      </c>
      <c r="AQ655" s="67">
        <f t="shared" si="165"/>
        <v>11034.055343815633</v>
      </c>
      <c r="AS655" s="67">
        <f t="shared" si="166"/>
        <v>8.3890191311596276E-3</v>
      </c>
      <c r="AU655" s="67">
        <f t="shared" si="167"/>
        <v>477</v>
      </c>
      <c r="AV655" s="67">
        <f t="shared" si="168"/>
        <v>1</v>
      </c>
      <c r="AW655" s="67" t="s">
        <v>1350</v>
      </c>
    </row>
    <row r="656" spans="1:49" ht="30" customHeight="1" x14ac:dyDescent="0.25">
      <c r="A656" s="67" t="s">
        <v>172</v>
      </c>
      <c r="B656" s="67" t="s">
        <v>293</v>
      </c>
      <c r="C656" s="67" t="s">
        <v>105</v>
      </c>
      <c r="D656" s="67">
        <f t="shared" si="169"/>
        <v>5</v>
      </c>
      <c r="E656" s="67" t="s">
        <v>605</v>
      </c>
      <c r="F656" s="67" t="s">
        <v>240</v>
      </c>
      <c r="G656" s="68" t="s">
        <v>845</v>
      </c>
      <c r="H656" s="67">
        <v>1</v>
      </c>
      <c r="I656" s="67">
        <v>24</v>
      </c>
      <c r="J656" s="67">
        <v>2</v>
      </c>
      <c r="K656" s="68" t="s">
        <v>935</v>
      </c>
      <c r="L656" s="67" t="s">
        <v>638</v>
      </c>
      <c r="M656" s="68" t="s">
        <v>849</v>
      </c>
      <c r="N656" s="67" t="s">
        <v>240</v>
      </c>
      <c r="O656" s="67" t="s">
        <v>240</v>
      </c>
      <c r="P656" s="67" t="s">
        <v>240</v>
      </c>
      <c r="Q656" s="67" t="s">
        <v>240</v>
      </c>
      <c r="R656" s="67" t="s">
        <v>376</v>
      </c>
      <c r="S656" s="67">
        <f t="shared" si="161"/>
        <v>479</v>
      </c>
      <c r="T656" s="67">
        <v>242</v>
      </c>
      <c r="U656" s="67">
        <v>237</v>
      </c>
      <c r="V656" s="67">
        <v>191</v>
      </c>
      <c r="AB656" s="67">
        <v>14420</v>
      </c>
      <c r="AC656" s="67">
        <v>14229</v>
      </c>
      <c r="AF656" s="67">
        <f t="shared" si="162"/>
        <v>0.13584642389708484</v>
      </c>
      <c r="AH656" s="96">
        <v>0.89200000000000002</v>
      </c>
      <c r="AI656" s="67">
        <f t="shared" si="163"/>
        <v>1405.999469994872</v>
      </c>
      <c r="AP656" s="67">
        <f t="shared" si="164"/>
        <v>1.2414639445294693E-2</v>
      </c>
      <c r="AQ656" s="67">
        <f t="shared" si="165"/>
        <v>15385.062195454369</v>
      </c>
      <c r="AS656" s="67">
        <f t="shared" si="166"/>
        <v>8.3874544306494804E-3</v>
      </c>
      <c r="AU656" s="67">
        <f t="shared" si="167"/>
        <v>477</v>
      </c>
      <c r="AV656" s="67">
        <f t="shared" si="168"/>
        <v>1</v>
      </c>
      <c r="AW656" s="67" t="s">
        <v>1350</v>
      </c>
    </row>
    <row r="657" spans="1:49" ht="30" customHeight="1" x14ac:dyDescent="0.25">
      <c r="A657" s="67" t="s">
        <v>172</v>
      </c>
      <c r="B657" s="67" t="s">
        <v>293</v>
      </c>
      <c r="C657" s="67" t="s">
        <v>105</v>
      </c>
      <c r="D657" s="67">
        <f t="shared" si="169"/>
        <v>6</v>
      </c>
      <c r="E657" s="67" t="s">
        <v>605</v>
      </c>
      <c r="F657" s="67" t="s">
        <v>240</v>
      </c>
      <c r="G657" s="68" t="s">
        <v>845</v>
      </c>
      <c r="H657" s="67">
        <v>1</v>
      </c>
      <c r="I657" s="67">
        <v>36</v>
      </c>
      <c r="J657" s="67">
        <v>2</v>
      </c>
      <c r="K657" s="68" t="s">
        <v>936</v>
      </c>
      <c r="L657" s="67" t="s">
        <v>638</v>
      </c>
      <c r="M657" s="68" t="s">
        <v>849</v>
      </c>
      <c r="N657" s="67" t="s">
        <v>240</v>
      </c>
      <c r="O657" s="67" t="s">
        <v>240</v>
      </c>
      <c r="P657" s="67" t="s">
        <v>240</v>
      </c>
      <c r="Q657" s="67" t="s">
        <v>240</v>
      </c>
      <c r="R657" s="67" t="s">
        <v>376</v>
      </c>
      <c r="S657" s="67">
        <f t="shared" si="161"/>
        <v>479</v>
      </c>
      <c r="T657" s="67">
        <v>242</v>
      </c>
      <c r="U657" s="67">
        <v>237</v>
      </c>
      <c r="V657" s="67">
        <v>-304</v>
      </c>
      <c r="AB657" s="67">
        <v>16784</v>
      </c>
      <c r="AC657" s="67">
        <v>17088</v>
      </c>
      <c r="AF657" s="67">
        <f t="shared" si="162"/>
        <v>0.18922112092054202</v>
      </c>
      <c r="AH657" s="96">
        <v>0.85</v>
      </c>
      <c r="AI657" s="67">
        <f t="shared" si="163"/>
        <v>1606.585980048475</v>
      </c>
      <c r="AP657" s="67">
        <f t="shared" si="164"/>
        <v>-1.7292409503857749E-2</v>
      </c>
      <c r="AQ657" s="67">
        <f t="shared" si="165"/>
        <v>17579.967669177677</v>
      </c>
      <c r="AS657" s="67">
        <f t="shared" si="166"/>
        <v>8.3880645534027149E-3</v>
      </c>
      <c r="AU657" s="67">
        <f t="shared" si="167"/>
        <v>477</v>
      </c>
      <c r="AV657" s="67">
        <f t="shared" si="168"/>
        <v>1</v>
      </c>
      <c r="AW657" s="67" t="s">
        <v>1350</v>
      </c>
    </row>
    <row r="658" spans="1:49" ht="30" customHeight="1" x14ac:dyDescent="0.25">
      <c r="A658" s="67" t="s">
        <v>172</v>
      </c>
      <c r="B658" s="67" t="s">
        <v>293</v>
      </c>
      <c r="C658" s="67" t="s">
        <v>105</v>
      </c>
      <c r="D658" s="67">
        <f t="shared" si="169"/>
        <v>7</v>
      </c>
      <c r="E658" s="67" t="s">
        <v>605</v>
      </c>
      <c r="F658" s="67" t="s">
        <v>240</v>
      </c>
      <c r="G658" s="68" t="s">
        <v>846</v>
      </c>
      <c r="H658" s="67">
        <v>1</v>
      </c>
      <c r="I658" s="67">
        <v>12</v>
      </c>
      <c r="J658" s="67">
        <v>2</v>
      </c>
      <c r="K658" s="68" t="s">
        <v>933</v>
      </c>
      <c r="L658" s="67" t="s">
        <v>638</v>
      </c>
      <c r="M658" s="68" t="s">
        <v>849</v>
      </c>
      <c r="N658" s="67" t="s">
        <v>240</v>
      </c>
      <c r="O658" s="67" t="s">
        <v>240</v>
      </c>
      <c r="P658" s="67" t="s">
        <v>240</v>
      </c>
      <c r="Q658" s="67" t="s">
        <v>240</v>
      </c>
      <c r="R658" s="67" t="s">
        <v>338</v>
      </c>
      <c r="S658" s="67">
        <f t="shared" si="161"/>
        <v>697</v>
      </c>
      <c r="T658" s="67">
        <v>353</v>
      </c>
      <c r="U658" s="67">
        <v>344</v>
      </c>
      <c r="V658" s="67">
        <v>328</v>
      </c>
      <c r="AB658" s="67">
        <v>13261</v>
      </c>
      <c r="AC658" s="67">
        <v>12933</v>
      </c>
      <c r="AF658" s="67">
        <f t="shared" si="162"/>
        <v>0.4099076624093872</v>
      </c>
      <c r="AH658" s="96">
        <v>0.68200000000000005</v>
      </c>
      <c r="AI658" s="67">
        <f t="shared" si="163"/>
        <v>800.18021149459867</v>
      </c>
      <c r="AP658" s="67">
        <f t="shared" si="164"/>
        <v>3.1055308778728148E-2</v>
      </c>
      <c r="AQ658" s="67">
        <f t="shared" si="165"/>
        <v>10561.801279679083</v>
      </c>
      <c r="AS658" s="67">
        <f t="shared" si="166"/>
        <v>5.7591864769526227E-3</v>
      </c>
      <c r="AU658" s="67">
        <f t="shared" si="167"/>
        <v>695</v>
      </c>
      <c r="AV658" s="67">
        <f t="shared" si="168"/>
        <v>1</v>
      </c>
      <c r="AW658" s="67" t="s">
        <v>1350</v>
      </c>
    </row>
    <row r="659" spans="1:49" ht="30" customHeight="1" x14ac:dyDescent="0.25">
      <c r="A659" s="67" t="s">
        <v>172</v>
      </c>
      <c r="B659" s="67" t="s">
        <v>293</v>
      </c>
      <c r="C659" s="67" t="s">
        <v>105</v>
      </c>
      <c r="D659" s="67">
        <f t="shared" si="169"/>
        <v>8</v>
      </c>
      <c r="E659" s="67" t="s">
        <v>605</v>
      </c>
      <c r="F659" s="67" t="s">
        <v>240</v>
      </c>
      <c r="G659" s="68" t="s">
        <v>846</v>
      </c>
      <c r="H659" s="67">
        <v>1</v>
      </c>
      <c r="I659" s="67">
        <v>24</v>
      </c>
      <c r="J659" s="67">
        <v>2</v>
      </c>
      <c r="K659" s="68" t="s">
        <v>935</v>
      </c>
      <c r="L659" s="67" t="s">
        <v>638</v>
      </c>
      <c r="M659" s="68" t="s">
        <v>849</v>
      </c>
      <c r="N659" s="67" t="s">
        <v>240</v>
      </c>
      <c r="O659" s="67" t="s">
        <v>240</v>
      </c>
      <c r="P659" s="67" t="s">
        <v>240</v>
      </c>
      <c r="Q659" s="67" t="s">
        <v>240</v>
      </c>
      <c r="R659" s="67" t="s">
        <v>338</v>
      </c>
      <c r="S659" s="67">
        <f t="shared" si="161"/>
        <v>697</v>
      </c>
      <c r="T659" s="67">
        <v>353</v>
      </c>
      <c r="U659" s="67">
        <v>344</v>
      </c>
      <c r="V659" s="67">
        <v>1818</v>
      </c>
      <c r="AB659" s="67">
        <v>16640</v>
      </c>
      <c r="AC659" s="67">
        <v>14822</v>
      </c>
      <c r="AF659" s="67">
        <f t="shared" si="162"/>
        <v>1.7248449636812089</v>
      </c>
      <c r="AH659" s="96">
        <v>8.5000000000000006E-2</v>
      </c>
      <c r="AI659" s="67">
        <f t="shared" si="163"/>
        <v>1054.0077736146077</v>
      </c>
      <c r="AP659" s="67">
        <f t="shared" si="164"/>
        <v>0.13067721795611742</v>
      </c>
      <c r="AQ659" s="67">
        <f t="shared" si="165"/>
        <v>13912.141905335793</v>
      </c>
      <c r="AS659" s="67">
        <f t="shared" si="166"/>
        <v>5.8056860529682331E-3</v>
      </c>
      <c r="AU659" s="67">
        <f t="shared" si="167"/>
        <v>695</v>
      </c>
      <c r="AV659" s="67">
        <f t="shared" si="168"/>
        <v>1</v>
      </c>
      <c r="AW659" s="67" t="s">
        <v>1350</v>
      </c>
    </row>
    <row r="660" spans="1:49" ht="30" customHeight="1" x14ac:dyDescent="0.25">
      <c r="A660" s="67" t="s">
        <v>172</v>
      </c>
      <c r="B660" s="67" t="s">
        <v>293</v>
      </c>
      <c r="C660" s="67" t="s">
        <v>105</v>
      </c>
      <c r="D660" s="67">
        <f t="shared" si="169"/>
        <v>9</v>
      </c>
      <c r="E660" s="67" t="s">
        <v>605</v>
      </c>
      <c r="F660" s="67" t="s">
        <v>240</v>
      </c>
      <c r="G660" s="68" t="s">
        <v>846</v>
      </c>
      <c r="H660" s="67">
        <v>1</v>
      </c>
      <c r="I660" s="67">
        <v>36</v>
      </c>
      <c r="J660" s="67">
        <v>2</v>
      </c>
      <c r="K660" s="68" t="s">
        <v>936</v>
      </c>
      <c r="L660" s="67" t="s">
        <v>638</v>
      </c>
      <c r="M660" s="68" t="s">
        <v>849</v>
      </c>
      <c r="N660" s="67" t="s">
        <v>240</v>
      </c>
      <c r="O660" s="67" t="s">
        <v>240</v>
      </c>
      <c r="P660" s="67" t="s">
        <v>240</v>
      </c>
      <c r="Q660" s="67" t="s">
        <v>240</v>
      </c>
      <c r="R660" s="67" t="s">
        <v>338</v>
      </c>
      <c r="S660" s="67">
        <f t="shared" si="161"/>
        <v>697</v>
      </c>
      <c r="T660" s="67">
        <v>353</v>
      </c>
      <c r="U660" s="67">
        <v>344</v>
      </c>
      <c r="V660" s="67">
        <v>1371</v>
      </c>
      <c r="AB660" s="67">
        <v>16197</v>
      </c>
      <c r="AC660" s="67">
        <v>14826</v>
      </c>
      <c r="AF660" s="67">
        <f t="shared" si="162"/>
        <v>1.2144195977852572</v>
      </c>
      <c r="AH660" s="96">
        <v>0.22500000000000001</v>
      </c>
      <c r="AI660" s="67">
        <f t="shared" si="163"/>
        <v>1128.9343506151408</v>
      </c>
      <c r="AP660" s="67">
        <f t="shared" si="164"/>
        <v>9.2006515258779717E-2</v>
      </c>
      <c r="AQ660" s="67">
        <f t="shared" si="165"/>
        <v>14901.118645173037</v>
      </c>
      <c r="AS660" s="67">
        <f t="shared" si="166"/>
        <v>5.7808337111422952E-3</v>
      </c>
      <c r="AU660" s="67">
        <f t="shared" si="167"/>
        <v>695</v>
      </c>
      <c r="AV660" s="67">
        <f t="shared" si="168"/>
        <v>1</v>
      </c>
      <c r="AW660" s="67" t="s">
        <v>1350</v>
      </c>
    </row>
    <row r="661" spans="1:49" ht="30" customHeight="1" x14ac:dyDescent="0.25">
      <c r="A661" s="67" t="s">
        <v>172</v>
      </c>
      <c r="B661" s="67" t="s">
        <v>293</v>
      </c>
      <c r="C661" s="67" t="s">
        <v>105</v>
      </c>
      <c r="D661" s="67">
        <f t="shared" si="169"/>
        <v>10</v>
      </c>
      <c r="E661" s="67" t="s">
        <v>605</v>
      </c>
      <c r="F661" s="67" t="s">
        <v>240</v>
      </c>
      <c r="G661" s="68" t="s">
        <v>847</v>
      </c>
      <c r="H661" s="67">
        <v>1</v>
      </c>
      <c r="I661" s="67">
        <v>12</v>
      </c>
      <c r="J661" s="67">
        <v>2</v>
      </c>
      <c r="K661" s="68" t="s">
        <v>933</v>
      </c>
      <c r="L661" s="67" t="s">
        <v>638</v>
      </c>
      <c r="M661" s="68" t="s">
        <v>849</v>
      </c>
      <c r="N661" s="67" t="s">
        <v>240</v>
      </c>
      <c r="O661" s="67" t="s">
        <v>240</v>
      </c>
      <c r="P661" s="67" t="s">
        <v>240</v>
      </c>
      <c r="Q661" s="67" t="s">
        <v>240</v>
      </c>
      <c r="R661" s="67" t="s">
        <v>462</v>
      </c>
      <c r="S661" s="67">
        <f t="shared" si="161"/>
        <v>698</v>
      </c>
      <c r="T661" s="67">
        <v>349</v>
      </c>
      <c r="U661" s="67">
        <v>349</v>
      </c>
      <c r="V661" s="67">
        <v>12</v>
      </c>
      <c r="AB661" s="67">
        <v>9495</v>
      </c>
      <c r="AC661" s="67">
        <v>9483</v>
      </c>
      <c r="AF661" s="67">
        <f t="shared" si="162"/>
        <v>2.0061577981812736E-2</v>
      </c>
      <c r="AH661" s="96">
        <v>0.98399999999999999</v>
      </c>
      <c r="AI661" s="67">
        <f t="shared" si="163"/>
        <v>598.15833085906127</v>
      </c>
      <c r="AP661" s="67">
        <f t="shared" si="164"/>
        <v>1.5186838501784553E-3</v>
      </c>
      <c r="AQ661" s="67">
        <f t="shared" si="165"/>
        <v>7901.5787246239051</v>
      </c>
      <c r="AS661" s="67">
        <f t="shared" si="166"/>
        <v>5.747180539985154E-3</v>
      </c>
      <c r="AU661" s="67">
        <f t="shared" si="167"/>
        <v>696</v>
      </c>
      <c r="AV661" s="67">
        <f t="shared" si="168"/>
        <v>1</v>
      </c>
      <c r="AW661" s="67" t="s">
        <v>1350</v>
      </c>
    </row>
    <row r="662" spans="1:49" ht="30" customHeight="1" x14ac:dyDescent="0.25">
      <c r="A662" s="67" t="s">
        <v>172</v>
      </c>
      <c r="B662" s="67" t="s">
        <v>293</v>
      </c>
      <c r="C662" s="67" t="s">
        <v>105</v>
      </c>
      <c r="D662" s="67">
        <f t="shared" si="169"/>
        <v>11</v>
      </c>
      <c r="E662" s="67" t="s">
        <v>605</v>
      </c>
      <c r="F662" s="67" t="s">
        <v>240</v>
      </c>
      <c r="G662" s="68" t="s">
        <v>847</v>
      </c>
      <c r="H662" s="67">
        <v>1</v>
      </c>
      <c r="I662" s="67">
        <v>24</v>
      </c>
      <c r="J662" s="67">
        <v>2</v>
      </c>
      <c r="K662" s="68" t="s">
        <v>935</v>
      </c>
      <c r="L662" s="67" t="s">
        <v>638</v>
      </c>
      <c r="M662" s="68" t="s">
        <v>849</v>
      </c>
      <c r="N662" s="67" t="s">
        <v>240</v>
      </c>
      <c r="O662" s="67" t="s">
        <v>240</v>
      </c>
      <c r="P662" s="67" t="s">
        <v>240</v>
      </c>
      <c r="Q662" s="67" t="s">
        <v>240</v>
      </c>
      <c r="R662" s="67" t="s">
        <v>462</v>
      </c>
      <c r="S662" s="67">
        <f t="shared" si="161"/>
        <v>698</v>
      </c>
      <c r="T662" s="67">
        <v>349</v>
      </c>
      <c r="U662" s="67">
        <v>349</v>
      </c>
      <c r="V662" s="67">
        <v>1627</v>
      </c>
      <c r="AB662" s="67">
        <v>13230</v>
      </c>
      <c r="AC662" s="67">
        <v>11603</v>
      </c>
      <c r="AF662" s="67">
        <f t="shared" si="162"/>
        <v>1.9382235586797247</v>
      </c>
      <c r="AH662" s="96">
        <v>5.2999999999999999E-2</v>
      </c>
      <c r="AI662" s="67">
        <f t="shared" si="163"/>
        <v>839.42845122998949</v>
      </c>
      <c r="AP662" s="67">
        <f t="shared" si="164"/>
        <v>0.14672568724508364</v>
      </c>
      <c r="AQ662" s="67">
        <f t="shared" si="165"/>
        <v>11088.719572887985</v>
      </c>
      <c r="AS662" s="67">
        <f t="shared" si="166"/>
        <v>5.8092154705237887E-3</v>
      </c>
      <c r="AU662" s="67">
        <f t="shared" si="167"/>
        <v>696</v>
      </c>
      <c r="AV662" s="67">
        <f t="shared" si="168"/>
        <v>1</v>
      </c>
      <c r="AW662" s="67" t="s">
        <v>1350</v>
      </c>
    </row>
    <row r="663" spans="1:49" ht="30" customHeight="1" x14ac:dyDescent="0.25">
      <c r="A663" s="67" t="s">
        <v>172</v>
      </c>
      <c r="B663" s="67" t="s">
        <v>293</v>
      </c>
      <c r="C663" s="67" t="s">
        <v>105</v>
      </c>
      <c r="D663" s="67">
        <f t="shared" si="169"/>
        <v>12</v>
      </c>
      <c r="E663" s="67" t="s">
        <v>605</v>
      </c>
      <c r="F663" s="67" t="s">
        <v>240</v>
      </c>
      <c r="G663" s="68" t="s">
        <v>847</v>
      </c>
      <c r="H663" s="67">
        <v>1</v>
      </c>
      <c r="I663" s="67">
        <v>36</v>
      </c>
      <c r="J663" s="67">
        <v>2</v>
      </c>
      <c r="K663" s="68" t="s">
        <v>936</v>
      </c>
      <c r="L663" s="67" t="s">
        <v>638</v>
      </c>
      <c r="M663" s="68" t="s">
        <v>849</v>
      </c>
      <c r="N663" s="67" t="s">
        <v>240</v>
      </c>
      <c r="O663" s="67" t="s">
        <v>240</v>
      </c>
      <c r="P663" s="67" t="s">
        <v>240</v>
      </c>
      <c r="Q663" s="67" t="s">
        <v>240</v>
      </c>
      <c r="R663" s="67" t="s">
        <v>462</v>
      </c>
      <c r="S663" s="67">
        <f t="shared" si="161"/>
        <v>698</v>
      </c>
      <c r="T663" s="67">
        <v>349</v>
      </c>
      <c r="U663" s="67">
        <v>349</v>
      </c>
      <c r="V663" s="67">
        <v>802</v>
      </c>
      <c r="AB663" s="67">
        <v>14147</v>
      </c>
      <c r="AC663" s="67">
        <v>13344</v>
      </c>
      <c r="AF663" s="67">
        <f t="shared" si="162"/>
        <v>0.86015462294881151</v>
      </c>
      <c r="AH663" s="96">
        <v>0.39</v>
      </c>
      <c r="AI663" s="67">
        <f t="shared" si="163"/>
        <v>932.39050119914043</v>
      </c>
      <c r="AP663" s="67">
        <f t="shared" si="164"/>
        <v>6.511466524283166E-2</v>
      </c>
      <c r="AQ663" s="67">
        <f t="shared" si="165"/>
        <v>12316.733826536727</v>
      </c>
      <c r="AS663" s="67">
        <f t="shared" si="166"/>
        <v>5.7593926818556122E-3</v>
      </c>
      <c r="AU663" s="67">
        <f t="shared" si="167"/>
        <v>696</v>
      </c>
      <c r="AV663" s="67">
        <f t="shared" si="168"/>
        <v>1</v>
      </c>
      <c r="AW663" s="67" t="s">
        <v>1350</v>
      </c>
    </row>
    <row r="664" spans="1:49" ht="30" customHeight="1" x14ac:dyDescent="0.25">
      <c r="A664" s="67" t="s">
        <v>104</v>
      </c>
      <c r="B664" s="67" t="s">
        <v>207</v>
      </c>
      <c r="C664" s="67" t="s">
        <v>104</v>
      </c>
      <c r="D664" s="67">
        <v>1</v>
      </c>
      <c r="E664" s="67" t="s">
        <v>605</v>
      </c>
      <c r="F664" s="67" t="s">
        <v>240</v>
      </c>
      <c r="G664" s="68" t="s">
        <v>578</v>
      </c>
      <c r="H664" s="67">
        <v>1</v>
      </c>
      <c r="I664" s="67">
        <v>96</v>
      </c>
      <c r="J664" s="81">
        <v>2</v>
      </c>
      <c r="K664" s="68" t="s">
        <v>937</v>
      </c>
      <c r="L664" s="67" t="s">
        <v>938</v>
      </c>
      <c r="M664" s="68" t="s">
        <v>824</v>
      </c>
      <c r="N664" s="67" t="s">
        <v>240</v>
      </c>
      <c r="O664" s="94">
        <v>0.02</v>
      </c>
      <c r="P664" s="94">
        <v>0</v>
      </c>
      <c r="Q664" s="67">
        <v>0</v>
      </c>
      <c r="R664" s="67" t="s">
        <v>462</v>
      </c>
      <c r="S664" s="67">
        <f t="shared" si="161"/>
        <v>15138</v>
      </c>
      <c r="T664" s="67">
        <v>9264</v>
      </c>
      <c r="U664" s="67">
        <v>5874</v>
      </c>
      <c r="V664" s="67">
        <v>-18</v>
      </c>
      <c r="X664" s="67">
        <v>3101</v>
      </c>
      <c r="Y664" s="67">
        <v>3279</v>
      </c>
      <c r="AB664" s="67">
        <v>8384</v>
      </c>
      <c r="AC664" s="67">
        <v>8401</v>
      </c>
      <c r="AF664" s="67">
        <f t="shared" si="162"/>
        <v>0.67450595924521617</v>
      </c>
      <c r="AH664" s="70">
        <v>0.5</v>
      </c>
      <c r="AI664" s="70">
        <f t="shared" si="163"/>
        <v>26.686198621791736</v>
      </c>
      <c r="AK664" s="68" t="s">
        <v>939</v>
      </c>
      <c r="AL664" s="68" t="s">
        <v>940</v>
      </c>
      <c r="AP664" s="67">
        <f t="shared" si="164"/>
        <v>-1.1250033020633956E-2</v>
      </c>
      <c r="AQ664" s="67">
        <f t="shared" si="165"/>
        <v>1599.9953037458438</v>
      </c>
      <c r="AS664" s="67">
        <f t="shared" si="166"/>
        <v>2.7823996436841006E-4</v>
      </c>
      <c r="AU664" s="67">
        <f t="shared" si="167"/>
        <v>15136</v>
      </c>
      <c r="AV664" s="67">
        <f t="shared" si="168"/>
        <v>1</v>
      </c>
      <c r="AW664" s="67" t="s">
        <v>1350</v>
      </c>
    </row>
    <row r="665" spans="1:49" ht="30" customHeight="1" x14ac:dyDescent="0.25">
      <c r="A665" s="67" t="s">
        <v>104</v>
      </c>
      <c r="B665" s="67" t="s">
        <v>207</v>
      </c>
      <c r="C665" s="67" t="s">
        <v>104</v>
      </c>
      <c r="D665" s="67">
        <f t="shared" ref="D665:D696" si="170">D664+1</f>
        <v>2</v>
      </c>
      <c r="E665" s="67" t="s">
        <v>605</v>
      </c>
      <c r="F665" s="67" t="s">
        <v>240</v>
      </c>
      <c r="G665" s="68" t="s">
        <v>578</v>
      </c>
      <c r="H665" s="67">
        <v>1</v>
      </c>
      <c r="I665" s="67">
        <v>96</v>
      </c>
      <c r="J665" s="67">
        <v>1</v>
      </c>
      <c r="K665" s="68" t="s">
        <v>941</v>
      </c>
      <c r="L665" s="67" t="s">
        <v>240</v>
      </c>
      <c r="M665" s="68" t="s">
        <v>824</v>
      </c>
      <c r="N665" s="67" t="s">
        <v>240</v>
      </c>
      <c r="O665" s="94">
        <v>0.02</v>
      </c>
      <c r="P665" s="94">
        <v>0</v>
      </c>
      <c r="Q665" s="67">
        <v>0</v>
      </c>
      <c r="R665" s="67" t="s">
        <v>462</v>
      </c>
      <c r="S665" s="67">
        <f t="shared" si="161"/>
        <v>15138</v>
      </c>
      <c r="T665" s="67">
        <v>9264</v>
      </c>
      <c r="U665" s="67">
        <v>5874</v>
      </c>
      <c r="V665" s="67">
        <v>6.0000000000000001E-3</v>
      </c>
      <c r="X665" s="67">
        <v>0.88800000000000001</v>
      </c>
      <c r="Y665" s="67">
        <v>0.78400000000000003</v>
      </c>
      <c r="AB665" s="67">
        <v>74.2</v>
      </c>
      <c r="AC665" s="67">
        <v>73.599999999999994</v>
      </c>
      <c r="AF665" s="67">
        <f t="shared" si="162"/>
        <v>0.67450595924521617</v>
      </c>
      <c r="AH665" s="70">
        <v>0.5</v>
      </c>
      <c r="AI665" s="70">
        <f t="shared" si="163"/>
        <v>8.8953995405972458E-3</v>
      </c>
      <c r="AK665" s="68" t="s">
        <v>939</v>
      </c>
    </row>
    <row r="666" spans="1:49" ht="30" customHeight="1" x14ac:dyDescent="0.25">
      <c r="A666" s="67" t="s">
        <v>104</v>
      </c>
      <c r="B666" s="67" t="s">
        <v>207</v>
      </c>
      <c r="C666" s="67" t="s">
        <v>104</v>
      </c>
      <c r="D666" s="67">
        <f t="shared" si="170"/>
        <v>3</v>
      </c>
      <c r="E666" s="67" t="s">
        <v>605</v>
      </c>
      <c r="F666" s="67" t="s">
        <v>785</v>
      </c>
      <c r="G666" s="68" t="s">
        <v>578</v>
      </c>
      <c r="H666" s="67">
        <v>1</v>
      </c>
      <c r="I666" s="67">
        <v>0</v>
      </c>
      <c r="J666" s="81">
        <v>2</v>
      </c>
      <c r="K666" s="68" t="s">
        <v>937</v>
      </c>
      <c r="L666" s="67" t="s">
        <v>938</v>
      </c>
      <c r="M666" s="68" t="s">
        <v>824</v>
      </c>
      <c r="N666" s="67" t="s">
        <v>240</v>
      </c>
      <c r="O666" s="94">
        <v>0.02</v>
      </c>
      <c r="P666" s="94">
        <v>0</v>
      </c>
      <c r="Q666" s="67">
        <v>0</v>
      </c>
      <c r="R666" s="67" t="s">
        <v>942</v>
      </c>
      <c r="S666" s="67">
        <f t="shared" si="161"/>
        <v>6148</v>
      </c>
      <c r="T666" s="67">
        <v>3709</v>
      </c>
      <c r="U666" s="67">
        <v>2439</v>
      </c>
      <c r="V666" s="67">
        <v>168</v>
      </c>
      <c r="AB666" s="67">
        <v>2021</v>
      </c>
      <c r="AC666" s="67">
        <v>1853</v>
      </c>
      <c r="AF666" s="67">
        <f t="shared" si="162"/>
        <v>2.5766294964225023</v>
      </c>
      <c r="AH666" s="70">
        <v>0.01</v>
      </c>
      <c r="AI666" s="70">
        <f t="shared" si="163"/>
        <v>65.201458041700633</v>
      </c>
      <c r="AK666" s="68" t="s">
        <v>943</v>
      </c>
      <c r="AP666" s="67">
        <f t="shared" ref="AP666:AP672" si="171">+V666/AQ666</f>
        <v>6.7171428875439032E-2</v>
      </c>
      <c r="AQ666" s="67">
        <f t="shared" ref="AQ666:AQ672" si="172">+AI666*SQRT(T666*U666/S666)</f>
        <v>2501.0633659667251</v>
      </c>
      <c r="AS666" s="67">
        <f t="shared" ref="AS666:AS672" si="173">+AP666^2/(AU666-2)*(AU666/(V666/AI666)^2+AU666*AV666^2-AU666+2)</f>
        <v>6.8130853165181019E-4</v>
      </c>
      <c r="AU666" s="67">
        <f t="shared" ref="AU666:AU672" si="174">+S666-2</f>
        <v>6146</v>
      </c>
      <c r="AV666" s="67">
        <f t="shared" ref="AV666:AV672" si="175">IFERROR(1/(SQRT(AU666/2)*_xlfn.GAMMA(AU666/2-0.5)/_xlfn.GAMMA(AU666/2)),1)</f>
        <v>1</v>
      </c>
      <c r="AW666" s="67" t="s">
        <v>1350</v>
      </c>
    </row>
    <row r="667" spans="1:49" ht="30" customHeight="1" x14ac:dyDescent="0.25">
      <c r="A667" s="67" t="s">
        <v>104</v>
      </c>
      <c r="B667" s="67" t="s">
        <v>207</v>
      </c>
      <c r="C667" s="67" t="s">
        <v>104</v>
      </c>
      <c r="D667" s="67">
        <f t="shared" si="170"/>
        <v>4</v>
      </c>
      <c r="E667" s="67" t="s">
        <v>605</v>
      </c>
      <c r="F667" s="67" t="s">
        <v>785</v>
      </c>
      <c r="G667" s="68" t="s">
        <v>578</v>
      </c>
      <c r="H667" s="67">
        <v>1</v>
      </c>
      <c r="I667" s="67">
        <v>12</v>
      </c>
      <c r="J667" s="81">
        <v>2</v>
      </c>
      <c r="K667" s="68" t="s">
        <v>937</v>
      </c>
      <c r="L667" s="67" t="s">
        <v>938</v>
      </c>
      <c r="M667" s="68" t="s">
        <v>824</v>
      </c>
      <c r="N667" s="67" t="s">
        <v>240</v>
      </c>
      <c r="O667" s="94">
        <v>0.02</v>
      </c>
      <c r="P667" s="94">
        <v>0</v>
      </c>
      <c r="Q667" s="67">
        <v>0</v>
      </c>
      <c r="R667" s="67" t="s">
        <v>942</v>
      </c>
      <c r="S667" s="67">
        <f t="shared" si="161"/>
        <v>6148</v>
      </c>
      <c r="T667" s="67">
        <v>3709</v>
      </c>
      <c r="U667" s="67">
        <v>2439</v>
      </c>
      <c r="V667" s="67">
        <v>309</v>
      </c>
      <c r="AB667" s="67">
        <v>3214</v>
      </c>
      <c r="AC667" s="67">
        <v>2905</v>
      </c>
      <c r="AF667" s="67">
        <f t="shared" si="162"/>
        <v>2.5766294964225023</v>
      </c>
      <c r="AH667" s="70">
        <v>0.01</v>
      </c>
      <c r="AI667" s="70">
        <f t="shared" si="163"/>
        <v>119.92411032669936</v>
      </c>
      <c r="AK667" s="68" t="s">
        <v>943</v>
      </c>
      <c r="AP667" s="67">
        <f t="shared" si="171"/>
        <v>6.7171428875439032E-2</v>
      </c>
      <c r="AQ667" s="67">
        <f t="shared" si="172"/>
        <v>4600.17011954594</v>
      </c>
      <c r="AS667" s="67">
        <f t="shared" si="173"/>
        <v>6.8130853165181019E-4</v>
      </c>
      <c r="AU667" s="67">
        <f t="shared" si="174"/>
        <v>6146</v>
      </c>
      <c r="AV667" s="67">
        <f t="shared" si="175"/>
        <v>1</v>
      </c>
      <c r="AW667" s="67" t="s">
        <v>1350</v>
      </c>
    </row>
    <row r="668" spans="1:49" ht="30" customHeight="1" x14ac:dyDescent="0.25">
      <c r="A668" s="67" t="s">
        <v>104</v>
      </c>
      <c r="B668" s="67" t="s">
        <v>207</v>
      </c>
      <c r="C668" s="67" t="s">
        <v>104</v>
      </c>
      <c r="D668" s="67">
        <f t="shared" si="170"/>
        <v>5</v>
      </c>
      <c r="E668" s="67" t="s">
        <v>605</v>
      </c>
      <c r="F668" s="67" t="s">
        <v>785</v>
      </c>
      <c r="G668" s="68" t="s">
        <v>578</v>
      </c>
      <c r="H668" s="67">
        <v>1</v>
      </c>
      <c r="I668" s="67">
        <v>48</v>
      </c>
      <c r="J668" s="81">
        <v>2</v>
      </c>
      <c r="K668" s="68" t="s">
        <v>937</v>
      </c>
      <c r="L668" s="67" t="s">
        <v>938</v>
      </c>
      <c r="M668" s="68" t="s">
        <v>824</v>
      </c>
      <c r="N668" s="67" t="s">
        <v>240</v>
      </c>
      <c r="O668" s="94">
        <v>0.02</v>
      </c>
      <c r="P668" s="94">
        <v>0</v>
      </c>
      <c r="Q668" s="67">
        <v>0</v>
      </c>
      <c r="R668" s="67" t="s">
        <v>942</v>
      </c>
      <c r="S668" s="67">
        <f t="shared" si="161"/>
        <v>6148</v>
      </c>
      <c r="T668" s="67">
        <v>3709</v>
      </c>
      <c r="U668" s="67">
        <v>2439</v>
      </c>
      <c r="V668" s="67">
        <v>-62</v>
      </c>
      <c r="AB668" s="67">
        <v>5937</v>
      </c>
      <c r="AC668" s="67">
        <v>5999</v>
      </c>
      <c r="AF668" s="67">
        <f t="shared" si="162"/>
        <v>0.67452967012098275</v>
      </c>
      <c r="AH668" s="70">
        <v>0.5</v>
      </c>
      <c r="AI668" s="70">
        <f t="shared" si="163"/>
        <v>91.915897471018226</v>
      </c>
      <c r="AK668" s="68" t="s">
        <v>939</v>
      </c>
      <c r="AP668" s="67">
        <f t="shared" si="171"/>
        <v>-1.7584647627380649E-2</v>
      </c>
      <c r="AQ668" s="67">
        <f t="shared" si="172"/>
        <v>3525.8028090060352</v>
      </c>
      <c r="AS668" s="67">
        <f t="shared" si="173"/>
        <v>6.7994043887023873E-4</v>
      </c>
      <c r="AU668" s="67">
        <f t="shared" si="174"/>
        <v>6146</v>
      </c>
      <c r="AV668" s="67">
        <f t="shared" si="175"/>
        <v>1</v>
      </c>
      <c r="AW668" s="67" t="s">
        <v>1350</v>
      </c>
    </row>
    <row r="669" spans="1:49" ht="30" customHeight="1" x14ac:dyDescent="0.25">
      <c r="A669" s="67" t="s">
        <v>104</v>
      </c>
      <c r="B669" s="67" t="s">
        <v>207</v>
      </c>
      <c r="C669" s="67" t="s">
        <v>104</v>
      </c>
      <c r="D669" s="67">
        <f t="shared" si="170"/>
        <v>6</v>
      </c>
      <c r="E669" s="67" t="s">
        <v>605</v>
      </c>
      <c r="F669" s="67" t="s">
        <v>785</v>
      </c>
      <c r="G669" s="68" t="s">
        <v>578</v>
      </c>
      <c r="H669" s="67">
        <v>1</v>
      </c>
      <c r="I669" s="67">
        <v>60</v>
      </c>
      <c r="J669" s="81">
        <v>2</v>
      </c>
      <c r="K669" s="68" t="s">
        <v>937</v>
      </c>
      <c r="L669" s="67" t="s">
        <v>938</v>
      </c>
      <c r="M669" s="68" t="s">
        <v>824</v>
      </c>
      <c r="N669" s="67" t="s">
        <v>240</v>
      </c>
      <c r="O669" s="94">
        <v>0.02</v>
      </c>
      <c r="P669" s="94">
        <v>0</v>
      </c>
      <c r="Q669" s="67">
        <v>0</v>
      </c>
      <c r="R669" s="67" t="s">
        <v>942</v>
      </c>
      <c r="S669" s="67">
        <f t="shared" si="161"/>
        <v>6148</v>
      </c>
      <c r="T669" s="67">
        <v>3709</v>
      </c>
      <c r="U669" s="67">
        <v>2439</v>
      </c>
      <c r="V669" s="67">
        <v>26</v>
      </c>
      <c r="AB669" s="67">
        <v>6158</v>
      </c>
      <c r="AC669" s="67">
        <v>6132</v>
      </c>
      <c r="AF669" s="67">
        <f t="shared" si="162"/>
        <v>0.67452967012098275</v>
      </c>
      <c r="AH669" s="70">
        <v>0.5</v>
      </c>
      <c r="AI669" s="70">
        <f t="shared" si="163"/>
        <v>38.545376358814096</v>
      </c>
      <c r="AK669" s="68" t="s">
        <v>939</v>
      </c>
      <c r="AP669" s="67">
        <f t="shared" si="171"/>
        <v>1.7584647627380646E-2</v>
      </c>
      <c r="AQ669" s="67">
        <f t="shared" si="172"/>
        <v>1478.5624682928535</v>
      </c>
      <c r="AS669" s="67">
        <f t="shared" si="173"/>
        <v>6.7994043887023862E-4</v>
      </c>
      <c r="AU669" s="67">
        <f t="shared" si="174"/>
        <v>6146</v>
      </c>
      <c r="AV669" s="67">
        <f t="shared" si="175"/>
        <v>1</v>
      </c>
      <c r="AW669" s="67" t="s">
        <v>1350</v>
      </c>
    </row>
    <row r="670" spans="1:49" ht="30" customHeight="1" x14ac:dyDescent="0.25">
      <c r="A670" s="67" t="s">
        <v>104</v>
      </c>
      <c r="B670" s="67" t="s">
        <v>207</v>
      </c>
      <c r="C670" s="67" t="s">
        <v>104</v>
      </c>
      <c r="D670" s="67">
        <f t="shared" si="170"/>
        <v>7</v>
      </c>
      <c r="E670" s="67" t="s">
        <v>605</v>
      </c>
      <c r="F670" s="67" t="s">
        <v>785</v>
      </c>
      <c r="G670" s="68" t="s">
        <v>578</v>
      </c>
      <c r="H670" s="67">
        <v>1</v>
      </c>
      <c r="I670" s="67">
        <v>96</v>
      </c>
      <c r="J670" s="81">
        <v>2</v>
      </c>
      <c r="K670" s="68" t="s">
        <v>937</v>
      </c>
      <c r="L670" s="67" t="s">
        <v>938</v>
      </c>
      <c r="M670" s="68" t="s">
        <v>824</v>
      </c>
      <c r="N670" s="67" t="s">
        <v>240</v>
      </c>
      <c r="O670" s="94">
        <v>0.02</v>
      </c>
      <c r="P670" s="94">
        <v>0</v>
      </c>
      <c r="Q670" s="67">
        <v>0</v>
      </c>
      <c r="R670" s="67" t="s">
        <v>942</v>
      </c>
      <c r="S670" s="67">
        <f t="shared" si="161"/>
        <v>6148</v>
      </c>
      <c r="T670" s="67">
        <v>3709</v>
      </c>
      <c r="U670" s="67">
        <v>2439</v>
      </c>
      <c r="V670" s="67">
        <v>-154</v>
      </c>
      <c r="AB670" s="67">
        <v>6637</v>
      </c>
      <c r="AC670" s="67">
        <v>6791</v>
      </c>
      <c r="AF670" s="67">
        <f t="shared" si="162"/>
        <v>0.67452967012098275</v>
      </c>
      <c r="AH670" s="70">
        <v>0.5</v>
      </c>
      <c r="AI670" s="70">
        <f t="shared" si="163"/>
        <v>228.30722920220657</v>
      </c>
      <c r="AK670" s="68" t="s">
        <v>939</v>
      </c>
      <c r="AP670" s="67">
        <f t="shared" si="171"/>
        <v>-1.7584647627380646E-2</v>
      </c>
      <c r="AQ670" s="67">
        <f t="shared" si="172"/>
        <v>8757.6392352730563</v>
      </c>
      <c r="AS670" s="67">
        <f t="shared" si="173"/>
        <v>6.7994043887023862E-4</v>
      </c>
      <c r="AU670" s="67">
        <f t="shared" si="174"/>
        <v>6146</v>
      </c>
      <c r="AV670" s="67">
        <f t="shared" si="175"/>
        <v>1</v>
      </c>
      <c r="AW670" s="67" t="s">
        <v>1350</v>
      </c>
    </row>
    <row r="671" spans="1:49" ht="30" customHeight="1" x14ac:dyDescent="0.25">
      <c r="A671" s="67" t="s">
        <v>104</v>
      </c>
      <c r="B671" s="67" t="s">
        <v>207</v>
      </c>
      <c r="C671" s="67" t="s">
        <v>104</v>
      </c>
      <c r="D671" s="67">
        <f t="shared" si="170"/>
        <v>8</v>
      </c>
      <c r="E671" s="67" t="s">
        <v>605</v>
      </c>
      <c r="F671" s="67" t="s">
        <v>785</v>
      </c>
      <c r="G671" s="68" t="s">
        <v>578</v>
      </c>
      <c r="H671" s="67">
        <v>1</v>
      </c>
      <c r="I671" s="67">
        <v>12</v>
      </c>
      <c r="J671" s="81">
        <v>2</v>
      </c>
      <c r="K671" s="68" t="s">
        <v>937</v>
      </c>
      <c r="L671" s="67" t="s">
        <v>938</v>
      </c>
      <c r="M671" s="68" t="s">
        <v>570</v>
      </c>
      <c r="N671" s="67" t="s">
        <v>240</v>
      </c>
      <c r="O671" s="94">
        <v>0.02</v>
      </c>
      <c r="P671" s="94">
        <v>0</v>
      </c>
      <c r="Q671" s="67">
        <v>0</v>
      </c>
      <c r="R671" s="67" t="s">
        <v>942</v>
      </c>
      <c r="S671" s="67">
        <f t="shared" si="161"/>
        <v>6148</v>
      </c>
      <c r="T671" s="67">
        <v>3709</v>
      </c>
      <c r="U671" s="67">
        <v>2439</v>
      </c>
      <c r="V671" s="67">
        <v>614</v>
      </c>
      <c r="AB671" s="67">
        <v>6900</v>
      </c>
      <c r="AC671" s="67">
        <v>6286</v>
      </c>
      <c r="AF671" s="67">
        <f t="shared" si="162"/>
        <v>2.5766294964225023</v>
      </c>
      <c r="AH671" s="70">
        <v>0.01</v>
      </c>
      <c r="AI671" s="70">
        <f t="shared" si="163"/>
        <v>238.29580498573921</v>
      </c>
      <c r="AK671" s="68" t="s">
        <v>943</v>
      </c>
      <c r="AP671" s="67">
        <f t="shared" si="171"/>
        <v>6.7171428875439018E-2</v>
      </c>
      <c r="AQ671" s="67">
        <f t="shared" si="172"/>
        <v>9140.7911113307691</v>
      </c>
      <c r="AS671" s="67">
        <f t="shared" si="173"/>
        <v>6.8130853165180986E-4</v>
      </c>
      <c r="AU671" s="67">
        <f t="shared" si="174"/>
        <v>6146</v>
      </c>
      <c r="AV671" s="67">
        <f t="shared" si="175"/>
        <v>1</v>
      </c>
      <c r="AW671" s="67" t="s">
        <v>1350</v>
      </c>
    </row>
    <row r="672" spans="1:49" ht="30" customHeight="1" x14ac:dyDescent="0.25">
      <c r="A672" s="67" t="s">
        <v>104</v>
      </c>
      <c r="B672" s="67" t="s">
        <v>207</v>
      </c>
      <c r="C672" s="67" t="s">
        <v>104</v>
      </c>
      <c r="D672" s="67">
        <f t="shared" si="170"/>
        <v>9</v>
      </c>
      <c r="E672" s="67" t="s">
        <v>605</v>
      </c>
      <c r="F672" s="67" t="s">
        <v>785</v>
      </c>
      <c r="G672" s="68" t="s">
        <v>578</v>
      </c>
      <c r="H672" s="67">
        <v>1</v>
      </c>
      <c r="I672" s="67">
        <v>24</v>
      </c>
      <c r="J672" s="81">
        <v>2</v>
      </c>
      <c r="K672" s="68" t="s">
        <v>937</v>
      </c>
      <c r="L672" s="67" t="s">
        <v>938</v>
      </c>
      <c r="M672" s="68" t="s">
        <v>570</v>
      </c>
      <c r="N672" s="67" t="s">
        <v>240</v>
      </c>
      <c r="O672" s="94">
        <v>0.02</v>
      </c>
      <c r="P672" s="94">
        <v>0</v>
      </c>
      <c r="Q672" s="67">
        <v>0</v>
      </c>
      <c r="R672" s="67" t="s">
        <v>942</v>
      </c>
      <c r="S672" s="67">
        <f t="shared" si="161"/>
        <v>6148</v>
      </c>
      <c r="T672" s="67">
        <v>3709</v>
      </c>
      <c r="U672" s="67">
        <v>2439</v>
      </c>
      <c r="V672" s="67">
        <v>1015</v>
      </c>
      <c r="AB672" s="67">
        <v>8946</v>
      </c>
      <c r="AC672" s="67">
        <v>7931</v>
      </c>
      <c r="AF672" s="67">
        <f t="shared" si="162"/>
        <v>2.5766294964225023</v>
      </c>
      <c r="AH672" s="70">
        <v>0.01</v>
      </c>
      <c r="AI672" s="70">
        <f t="shared" si="163"/>
        <v>393.92547566860799</v>
      </c>
      <c r="AK672" s="68" t="s">
        <v>943</v>
      </c>
      <c r="AP672" s="67">
        <f t="shared" si="171"/>
        <v>6.7171428875439032E-2</v>
      </c>
      <c r="AQ672" s="67">
        <f t="shared" si="172"/>
        <v>15110.591169382296</v>
      </c>
      <c r="AS672" s="67">
        <f t="shared" si="173"/>
        <v>6.8130853165181019E-4</v>
      </c>
      <c r="AU672" s="67">
        <f t="shared" si="174"/>
        <v>6146</v>
      </c>
      <c r="AV672" s="67">
        <f t="shared" si="175"/>
        <v>1</v>
      </c>
      <c r="AW672" s="67" t="s">
        <v>1350</v>
      </c>
    </row>
    <row r="673" spans="1:49" ht="30" customHeight="1" x14ac:dyDescent="0.25">
      <c r="A673" s="67" t="s">
        <v>104</v>
      </c>
      <c r="B673" s="67" t="s">
        <v>207</v>
      </c>
      <c r="C673" s="67" t="s">
        <v>104</v>
      </c>
      <c r="D673" s="67">
        <f t="shared" si="170"/>
        <v>10</v>
      </c>
      <c r="E673" s="67" t="s">
        <v>605</v>
      </c>
      <c r="F673" s="67" t="s">
        <v>785</v>
      </c>
      <c r="G673" s="68" t="s">
        <v>578</v>
      </c>
      <c r="H673" s="67">
        <v>1</v>
      </c>
      <c r="I673" s="67">
        <v>0</v>
      </c>
      <c r="J673" s="67">
        <v>1</v>
      </c>
      <c r="K673" s="68" t="s">
        <v>941</v>
      </c>
      <c r="L673" s="67" t="s">
        <v>240</v>
      </c>
      <c r="M673" s="68" t="s">
        <v>824</v>
      </c>
      <c r="N673" s="67" t="s">
        <v>240</v>
      </c>
      <c r="O673" s="94">
        <v>0.02</v>
      </c>
      <c r="P673" s="94">
        <v>0</v>
      </c>
      <c r="Q673" s="67">
        <v>0</v>
      </c>
      <c r="R673" s="67" t="s">
        <v>942</v>
      </c>
      <c r="S673" s="67">
        <f t="shared" si="161"/>
        <v>6148</v>
      </c>
      <c r="T673" s="67">
        <v>3709</v>
      </c>
      <c r="U673" s="67">
        <v>2439</v>
      </c>
      <c r="V673" s="67">
        <v>0.159</v>
      </c>
      <c r="AB673" s="67">
        <v>0.86499999999999999</v>
      </c>
      <c r="AC673" s="67">
        <v>0.70699999999999996</v>
      </c>
      <c r="AF673" s="67">
        <f t="shared" si="162"/>
        <v>2.5766294964225023</v>
      </c>
      <c r="AH673" s="70">
        <v>0.01</v>
      </c>
      <c r="AI673" s="70">
        <f t="shared" si="163"/>
        <v>6.1708522789466667E-2</v>
      </c>
      <c r="AK673" s="68" t="s">
        <v>943</v>
      </c>
    </row>
    <row r="674" spans="1:49" ht="30" customHeight="1" x14ac:dyDescent="0.25">
      <c r="A674" s="67" t="s">
        <v>104</v>
      </c>
      <c r="B674" s="67" t="s">
        <v>207</v>
      </c>
      <c r="C674" s="67" t="s">
        <v>104</v>
      </c>
      <c r="D674" s="67">
        <f t="shared" si="170"/>
        <v>11</v>
      </c>
      <c r="E674" s="67" t="s">
        <v>605</v>
      </c>
      <c r="F674" s="67" t="s">
        <v>785</v>
      </c>
      <c r="G674" s="68" t="s">
        <v>578</v>
      </c>
      <c r="H674" s="67">
        <v>1</v>
      </c>
      <c r="I674" s="67">
        <v>12</v>
      </c>
      <c r="J674" s="67">
        <v>1</v>
      </c>
      <c r="K674" s="68" t="s">
        <v>941</v>
      </c>
      <c r="L674" s="67" t="s">
        <v>240</v>
      </c>
      <c r="M674" s="68" t="s">
        <v>824</v>
      </c>
      <c r="N674" s="67" t="s">
        <v>240</v>
      </c>
      <c r="O674" s="94">
        <v>0.02</v>
      </c>
      <c r="P674" s="94">
        <v>0</v>
      </c>
      <c r="Q674" s="67">
        <v>0</v>
      </c>
      <c r="R674" s="67" t="s">
        <v>942</v>
      </c>
      <c r="S674" s="67">
        <f t="shared" si="161"/>
        <v>6148</v>
      </c>
      <c r="T674" s="67">
        <v>3709</v>
      </c>
      <c r="U674" s="67">
        <v>2439</v>
      </c>
      <c r="V674" s="67">
        <v>0.03</v>
      </c>
      <c r="AB674" s="67">
        <v>0.81</v>
      </c>
      <c r="AC674" s="67">
        <v>0.78</v>
      </c>
      <c r="AF674" s="67">
        <f t="shared" si="162"/>
        <v>2.5766294964225023</v>
      </c>
      <c r="AH674" s="70">
        <v>0.01</v>
      </c>
      <c r="AI674" s="70">
        <f t="shared" si="163"/>
        <v>1.1643117507446541E-2</v>
      </c>
      <c r="AK674" s="68" t="s">
        <v>943</v>
      </c>
    </row>
    <row r="675" spans="1:49" ht="30" customHeight="1" x14ac:dyDescent="0.25">
      <c r="A675" s="67" t="s">
        <v>104</v>
      </c>
      <c r="B675" s="67" t="s">
        <v>207</v>
      </c>
      <c r="C675" s="67" t="s">
        <v>104</v>
      </c>
      <c r="D675" s="67">
        <f t="shared" si="170"/>
        <v>12</v>
      </c>
      <c r="E675" s="67" t="s">
        <v>605</v>
      </c>
      <c r="F675" s="67" t="s">
        <v>785</v>
      </c>
      <c r="G675" s="68" t="s">
        <v>578</v>
      </c>
      <c r="H675" s="67">
        <v>1</v>
      </c>
      <c r="I675" s="67">
        <v>24</v>
      </c>
      <c r="J675" s="67">
        <v>1</v>
      </c>
      <c r="K675" s="68" t="s">
        <v>941</v>
      </c>
      <c r="L675" s="67" t="s">
        <v>240</v>
      </c>
      <c r="M675" s="68" t="s">
        <v>824</v>
      </c>
      <c r="N675" s="67" t="s">
        <v>240</v>
      </c>
      <c r="O675" s="94">
        <v>0.02</v>
      </c>
      <c r="P675" s="94">
        <v>0</v>
      </c>
      <c r="Q675" s="67">
        <v>0</v>
      </c>
      <c r="R675" s="67" t="s">
        <v>942</v>
      </c>
      <c r="S675" s="67">
        <f t="shared" si="161"/>
        <v>6148</v>
      </c>
      <c r="T675" s="67">
        <v>3709</v>
      </c>
      <c r="U675" s="67">
        <v>2439</v>
      </c>
      <c r="V675" s="67">
        <v>8.0000000000000002E-3</v>
      </c>
      <c r="AB675" s="67">
        <v>0.82599999999999996</v>
      </c>
      <c r="AC675" s="67">
        <v>0.81799999999999995</v>
      </c>
      <c r="AF675" s="67">
        <f t="shared" si="162"/>
        <v>0.67452967012098275</v>
      </c>
      <c r="AH675" s="70">
        <v>0.5</v>
      </c>
      <c r="AI675" s="70">
        <f t="shared" si="163"/>
        <v>1.186011580271203E-2</v>
      </c>
      <c r="AK675" s="68" t="s">
        <v>939</v>
      </c>
    </row>
    <row r="676" spans="1:49" ht="30" customHeight="1" x14ac:dyDescent="0.25">
      <c r="A676" s="67" t="s">
        <v>104</v>
      </c>
      <c r="B676" s="67" t="s">
        <v>207</v>
      </c>
      <c r="C676" s="67" t="s">
        <v>104</v>
      </c>
      <c r="D676" s="67">
        <f t="shared" si="170"/>
        <v>13</v>
      </c>
      <c r="E676" s="67" t="s">
        <v>605</v>
      </c>
      <c r="F676" s="67" t="s">
        <v>785</v>
      </c>
      <c r="G676" s="68" t="s">
        <v>578</v>
      </c>
      <c r="H676" s="67">
        <v>1</v>
      </c>
      <c r="I676" s="67">
        <v>36</v>
      </c>
      <c r="J676" s="67">
        <v>1</v>
      </c>
      <c r="K676" s="68" t="s">
        <v>941</v>
      </c>
      <c r="L676" s="67" t="s">
        <v>240</v>
      </c>
      <c r="M676" s="68" t="s">
        <v>824</v>
      </c>
      <c r="N676" s="67" t="s">
        <v>240</v>
      </c>
      <c r="O676" s="94">
        <v>0.02</v>
      </c>
      <c r="P676" s="94">
        <v>0</v>
      </c>
      <c r="Q676" s="67">
        <v>0</v>
      </c>
      <c r="R676" s="67" t="s">
        <v>942</v>
      </c>
      <c r="S676" s="67">
        <f t="shared" si="161"/>
        <v>6148</v>
      </c>
      <c r="T676" s="67">
        <v>3709</v>
      </c>
      <c r="U676" s="67">
        <v>2439</v>
      </c>
      <c r="V676" s="67">
        <v>1.9E-2</v>
      </c>
      <c r="AB676" s="67">
        <v>0.82799999999999996</v>
      </c>
      <c r="AC676" s="67">
        <v>0.80900000000000005</v>
      </c>
      <c r="AF676" s="67">
        <f t="shared" si="162"/>
        <v>1.6451015931493014</v>
      </c>
      <c r="AH676" s="70">
        <v>0.1</v>
      </c>
      <c r="AI676" s="70">
        <f t="shared" si="163"/>
        <v>1.1549438696747802E-2</v>
      </c>
      <c r="AK676" s="68" t="s">
        <v>944</v>
      </c>
    </row>
    <row r="677" spans="1:49" ht="30" customHeight="1" x14ac:dyDescent="0.25">
      <c r="A677" s="67" t="s">
        <v>104</v>
      </c>
      <c r="B677" s="67" t="s">
        <v>207</v>
      </c>
      <c r="C677" s="67" t="s">
        <v>104</v>
      </c>
      <c r="D677" s="67">
        <f t="shared" si="170"/>
        <v>14</v>
      </c>
      <c r="E677" s="67" t="s">
        <v>605</v>
      </c>
      <c r="F677" s="67" t="s">
        <v>785</v>
      </c>
      <c r="G677" s="68" t="s">
        <v>578</v>
      </c>
      <c r="H677" s="67">
        <v>1</v>
      </c>
      <c r="I677" s="67">
        <v>48</v>
      </c>
      <c r="J677" s="67">
        <v>1</v>
      </c>
      <c r="K677" s="68" t="s">
        <v>941</v>
      </c>
      <c r="L677" s="67" t="s">
        <v>240</v>
      </c>
      <c r="M677" s="68" t="s">
        <v>824</v>
      </c>
      <c r="N677" s="67" t="s">
        <v>240</v>
      </c>
      <c r="O677" s="94">
        <v>0.02</v>
      </c>
      <c r="P677" s="94">
        <v>0</v>
      </c>
      <c r="Q677" s="67">
        <v>0</v>
      </c>
      <c r="R677" s="67" t="s">
        <v>942</v>
      </c>
      <c r="S677" s="67">
        <f t="shared" si="161"/>
        <v>6148</v>
      </c>
      <c r="T677" s="67">
        <v>3709</v>
      </c>
      <c r="U677" s="67">
        <v>2439</v>
      </c>
      <c r="V677" s="67">
        <v>1.0999999999999999E-2</v>
      </c>
      <c r="AB677" s="67">
        <v>0.81799999999999995</v>
      </c>
      <c r="AC677" s="67">
        <v>0.80700000000000005</v>
      </c>
      <c r="AF677" s="67">
        <f t="shared" si="162"/>
        <v>0.67452967012098275</v>
      </c>
      <c r="AH677" s="70">
        <v>0.5</v>
      </c>
      <c r="AI677" s="70">
        <f t="shared" si="163"/>
        <v>1.6307659228729041E-2</v>
      </c>
      <c r="AK677" s="68" t="s">
        <v>939</v>
      </c>
    </row>
    <row r="678" spans="1:49" ht="30" customHeight="1" x14ac:dyDescent="0.25">
      <c r="A678" s="67" t="s">
        <v>104</v>
      </c>
      <c r="B678" s="67" t="s">
        <v>207</v>
      </c>
      <c r="C678" s="67" t="s">
        <v>104</v>
      </c>
      <c r="D678" s="67">
        <f t="shared" si="170"/>
        <v>15</v>
      </c>
      <c r="E678" s="67" t="s">
        <v>605</v>
      </c>
      <c r="F678" s="67" t="s">
        <v>785</v>
      </c>
      <c r="G678" s="68" t="s">
        <v>578</v>
      </c>
      <c r="H678" s="67">
        <v>1</v>
      </c>
      <c r="I678" s="67">
        <v>60</v>
      </c>
      <c r="J678" s="67">
        <v>1</v>
      </c>
      <c r="K678" s="68" t="s">
        <v>941</v>
      </c>
      <c r="L678" s="67" t="s">
        <v>240</v>
      </c>
      <c r="M678" s="68" t="s">
        <v>824</v>
      </c>
      <c r="N678" s="67" t="s">
        <v>240</v>
      </c>
      <c r="O678" s="94">
        <v>0.02</v>
      </c>
      <c r="P678" s="94">
        <v>0</v>
      </c>
      <c r="Q678" s="67">
        <v>0</v>
      </c>
      <c r="R678" s="67" t="s">
        <v>942</v>
      </c>
      <c r="S678" s="67">
        <f t="shared" si="161"/>
        <v>6148</v>
      </c>
      <c r="T678" s="67">
        <v>3709</v>
      </c>
      <c r="U678" s="67">
        <v>2439</v>
      </c>
      <c r="V678" s="67">
        <v>0</v>
      </c>
      <c r="AB678" s="67">
        <v>0.77600000000000002</v>
      </c>
      <c r="AC678" s="67">
        <v>0.77600000000000002</v>
      </c>
      <c r="AF678" s="67">
        <f t="shared" si="162"/>
        <v>0.67452967012098275</v>
      </c>
      <c r="AH678" s="70">
        <v>0.5</v>
      </c>
      <c r="AI678" s="70">
        <f t="shared" si="163"/>
        <v>0</v>
      </c>
      <c r="AK678" s="68" t="s">
        <v>939</v>
      </c>
    </row>
    <row r="679" spans="1:49" ht="30" customHeight="1" x14ac:dyDescent="0.25">
      <c r="A679" s="67" t="s">
        <v>104</v>
      </c>
      <c r="B679" s="67" t="s">
        <v>207</v>
      </c>
      <c r="C679" s="67" t="s">
        <v>104</v>
      </c>
      <c r="D679" s="67">
        <f t="shared" si="170"/>
        <v>16</v>
      </c>
      <c r="E679" s="67" t="s">
        <v>605</v>
      </c>
      <c r="F679" s="67" t="s">
        <v>785</v>
      </c>
      <c r="G679" s="68" t="s">
        <v>578</v>
      </c>
      <c r="H679" s="67">
        <v>1</v>
      </c>
      <c r="I679" s="67">
        <v>72</v>
      </c>
      <c r="J679" s="67">
        <v>1</v>
      </c>
      <c r="K679" s="68" t="s">
        <v>941</v>
      </c>
      <c r="L679" s="67" t="s">
        <v>240</v>
      </c>
      <c r="M679" s="68" t="s">
        <v>824</v>
      </c>
      <c r="N679" s="67" t="s">
        <v>240</v>
      </c>
      <c r="O679" s="94">
        <v>0.02</v>
      </c>
      <c r="P679" s="94">
        <v>0</v>
      </c>
      <c r="Q679" s="67">
        <v>0</v>
      </c>
      <c r="R679" s="67" t="s">
        <v>942</v>
      </c>
      <c r="S679" s="67">
        <f t="shared" si="161"/>
        <v>6148</v>
      </c>
      <c r="T679" s="67">
        <v>3709</v>
      </c>
      <c r="U679" s="67">
        <v>2439</v>
      </c>
      <c r="V679" s="67">
        <v>-1E-3</v>
      </c>
      <c r="AB679" s="67">
        <v>0.72899999999999998</v>
      </c>
      <c r="AC679" s="67">
        <v>0.73</v>
      </c>
      <c r="AF679" s="67">
        <f t="shared" si="162"/>
        <v>0.67452967012098275</v>
      </c>
      <c r="AH679" s="70">
        <v>0.5</v>
      </c>
      <c r="AI679" s="70">
        <f t="shared" si="163"/>
        <v>1.4825144753390037E-3</v>
      </c>
      <c r="AK679" s="68" t="s">
        <v>939</v>
      </c>
    </row>
    <row r="680" spans="1:49" ht="30" customHeight="1" x14ac:dyDescent="0.25">
      <c r="A680" s="67" t="s">
        <v>104</v>
      </c>
      <c r="B680" s="67" t="s">
        <v>207</v>
      </c>
      <c r="C680" s="67" t="s">
        <v>104</v>
      </c>
      <c r="D680" s="67">
        <f t="shared" si="170"/>
        <v>17</v>
      </c>
      <c r="E680" s="67" t="s">
        <v>605</v>
      </c>
      <c r="F680" s="67" t="s">
        <v>785</v>
      </c>
      <c r="G680" s="68" t="s">
        <v>578</v>
      </c>
      <c r="H680" s="67">
        <v>1</v>
      </c>
      <c r="I680" s="67">
        <v>84</v>
      </c>
      <c r="J680" s="67">
        <v>1</v>
      </c>
      <c r="K680" s="68" t="s">
        <v>941</v>
      </c>
      <c r="L680" s="67" t="s">
        <v>240</v>
      </c>
      <c r="M680" s="68" t="s">
        <v>824</v>
      </c>
      <c r="N680" s="67" t="s">
        <v>240</v>
      </c>
      <c r="O680" s="94">
        <v>0.02</v>
      </c>
      <c r="P680" s="94">
        <v>0</v>
      </c>
      <c r="Q680" s="67">
        <v>0</v>
      </c>
      <c r="R680" s="67" t="s">
        <v>942</v>
      </c>
      <c r="S680" s="67">
        <f t="shared" si="161"/>
        <v>6148</v>
      </c>
      <c r="T680" s="67">
        <v>3709</v>
      </c>
      <c r="U680" s="67">
        <v>2439</v>
      </c>
      <c r="V680" s="67">
        <v>8.0000000000000002E-3</v>
      </c>
      <c r="AB680" s="67">
        <v>0.70399999999999996</v>
      </c>
      <c r="AC680" s="67">
        <v>0.69599999999999995</v>
      </c>
      <c r="AF680" s="67">
        <f t="shared" si="162"/>
        <v>0.67452967012098275</v>
      </c>
      <c r="AH680" s="70">
        <v>0.5</v>
      </c>
      <c r="AI680" s="70">
        <f t="shared" si="163"/>
        <v>1.186011580271203E-2</v>
      </c>
      <c r="AK680" s="68" t="s">
        <v>939</v>
      </c>
    </row>
    <row r="681" spans="1:49" ht="30" customHeight="1" x14ac:dyDescent="0.25">
      <c r="A681" s="67" t="s">
        <v>104</v>
      </c>
      <c r="B681" s="67" t="s">
        <v>207</v>
      </c>
      <c r="C681" s="67" t="s">
        <v>104</v>
      </c>
      <c r="D681" s="67">
        <f t="shared" si="170"/>
        <v>18</v>
      </c>
      <c r="E681" s="67" t="s">
        <v>605</v>
      </c>
      <c r="F681" s="67" t="s">
        <v>785</v>
      </c>
      <c r="G681" s="68" t="s">
        <v>578</v>
      </c>
      <c r="H681" s="67">
        <v>1</v>
      </c>
      <c r="I681" s="67">
        <v>96</v>
      </c>
      <c r="J681" s="67">
        <v>1</v>
      </c>
      <c r="K681" s="68" t="s">
        <v>941</v>
      </c>
      <c r="L681" s="67" t="s">
        <v>240</v>
      </c>
      <c r="M681" s="68" t="s">
        <v>824</v>
      </c>
      <c r="N681" s="67" t="s">
        <v>240</v>
      </c>
      <c r="O681" s="94">
        <v>0.02</v>
      </c>
      <c r="P681" s="94">
        <v>0</v>
      </c>
      <c r="Q681" s="67">
        <v>0</v>
      </c>
      <c r="R681" s="67" t="s">
        <v>942</v>
      </c>
      <c r="S681" s="67">
        <f t="shared" ref="S681:S712" si="176">T681+U681</f>
        <v>6148</v>
      </c>
      <c r="T681" s="67">
        <v>3709</v>
      </c>
      <c r="U681" s="67">
        <v>2439</v>
      </c>
      <c r="V681" s="67">
        <v>6.0000000000000001E-3</v>
      </c>
      <c r="AB681" s="67">
        <v>0.70299999999999996</v>
      </c>
      <c r="AC681" s="67">
        <v>0.69699999999999995</v>
      </c>
      <c r="AF681" s="67">
        <f t="shared" si="162"/>
        <v>0.67452967012098275</v>
      </c>
      <c r="AH681" s="70">
        <v>0.5</v>
      </c>
      <c r="AI681" s="70">
        <f t="shared" si="163"/>
        <v>8.8950868520340232E-3</v>
      </c>
      <c r="AK681" s="68" t="s">
        <v>939</v>
      </c>
    </row>
    <row r="682" spans="1:49" ht="30" customHeight="1" x14ac:dyDescent="0.25">
      <c r="A682" s="67" t="s">
        <v>104</v>
      </c>
      <c r="B682" s="67" t="s">
        <v>207</v>
      </c>
      <c r="C682" s="67" t="s">
        <v>104</v>
      </c>
      <c r="D682" s="67">
        <f t="shared" si="170"/>
        <v>19</v>
      </c>
      <c r="E682" s="67" t="s">
        <v>605</v>
      </c>
      <c r="F682" s="67" t="s">
        <v>945</v>
      </c>
      <c r="G682" s="68" t="s">
        <v>578</v>
      </c>
      <c r="H682" s="67">
        <v>1</v>
      </c>
      <c r="I682" s="67">
        <v>0</v>
      </c>
      <c r="J682" s="67">
        <v>2</v>
      </c>
      <c r="K682" s="68" t="s">
        <v>937</v>
      </c>
      <c r="L682" s="67" t="s">
        <v>938</v>
      </c>
      <c r="M682" s="68" t="s">
        <v>824</v>
      </c>
      <c r="N682" s="67" t="s">
        <v>240</v>
      </c>
      <c r="O682" s="94">
        <v>0.02</v>
      </c>
      <c r="P682" s="94">
        <v>0</v>
      </c>
      <c r="Q682" s="67">
        <v>0</v>
      </c>
      <c r="R682" s="67" t="s">
        <v>946</v>
      </c>
      <c r="S682" s="67">
        <f t="shared" si="176"/>
        <v>4805</v>
      </c>
      <c r="T682" s="67">
        <v>2948</v>
      </c>
      <c r="U682" s="67">
        <v>1857</v>
      </c>
      <c r="V682" s="67">
        <v>-470</v>
      </c>
      <c r="AB682" s="67">
        <v>3241</v>
      </c>
      <c r="AC682" s="67">
        <v>3711</v>
      </c>
      <c r="AF682" s="67">
        <f t="shared" si="162"/>
        <v>2.576853327607036</v>
      </c>
      <c r="AH682" s="70">
        <v>0.01</v>
      </c>
      <c r="AI682" s="70">
        <f t="shared" si="163"/>
        <v>182.39299651426413</v>
      </c>
      <c r="AK682" s="68" t="s">
        <v>943</v>
      </c>
      <c r="AP682" s="67">
        <f t="shared" ref="AP682:AP688" si="177">+V682/AQ682</f>
        <v>-7.6342557367234845E-2</v>
      </c>
      <c r="AQ682" s="67">
        <f t="shared" ref="AQ682:AQ688" si="178">+AI682*SQRT(T682*U682/S682)</f>
        <v>6156.4613003351842</v>
      </c>
      <c r="AS682" s="67">
        <f t="shared" ref="AS682:AS688" si="179">+AP682^2/(AU682-2)*(AU682/(V682/AI682)^2+AU682*AV682^2-AU682+2)</f>
        <v>8.8050953141355565E-4</v>
      </c>
      <c r="AU682" s="67">
        <f t="shared" ref="AU682:AU688" si="180">+S682-2</f>
        <v>4803</v>
      </c>
      <c r="AV682" s="67">
        <f t="shared" ref="AV682:AV688" si="181">IFERROR(1/(SQRT(AU682/2)*_xlfn.GAMMA(AU682/2-0.5)/_xlfn.GAMMA(AU682/2)),1)</f>
        <v>1</v>
      </c>
      <c r="AW682" s="67" t="s">
        <v>1350</v>
      </c>
    </row>
    <row r="683" spans="1:49" ht="30" customHeight="1" x14ac:dyDescent="0.25">
      <c r="A683" s="67" t="s">
        <v>104</v>
      </c>
      <c r="B683" s="67" t="s">
        <v>207</v>
      </c>
      <c r="C683" s="67" t="s">
        <v>104</v>
      </c>
      <c r="D683" s="67">
        <f t="shared" si="170"/>
        <v>20</v>
      </c>
      <c r="E683" s="67" t="s">
        <v>605</v>
      </c>
      <c r="F683" s="67" t="s">
        <v>945</v>
      </c>
      <c r="G683" s="68" t="s">
        <v>578</v>
      </c>
      <c r="H683" s="67">
        <v>1</v>
      </c>
      <c r="I683" s="67">
        <v>12</v>
      </c>
      <c r="J683" s="67">
        <v>2</v>
      </c>
      <c r="K683" s="68" t="s">
        <v>937</v>
      </c>
      <c r="L683" s="67" t="s">
        <v>938</v>
      </c>
      <c r="M683" s="68" t="s">
        <v>824</v>
      </c>
      <c r="N683" s="67" t="s">
        <v>240</v>
      </c>
      <c r="O683" s="94">
        <v>0.02</v>
      </c>
      <c r="P683" s="94">
        <v>0</v>
      </c>
      <c r="Q683" s="67">
        <v>0</v>
      </c>
      <c r="R683" s="67" t="s">
        <v>946</v>
      </c>
      <c r="S683" s="67">
        <f t="shared" si="176"/>
        <v>4805</v>
      </c>
      <c r="T683" s="67">
        <v>2948</v>
      </c>
      <c r="U683" s="67">
        <v>1857</v>
      </c>
      <c r="V683" s="67">
        <v>-153</v>
      </c>
      <c r="AB683" s="67">
        <v>4734</v>
      </c>
      <c r="AC683" s="67">
        <v>4887</v>
      </c>
      <c r="AF683" s="67">
        <f t="shared" si="162"/>
        <v>0.67454083316012237</v>
      </c>
      <c r="AH683" s="70">
        <v>0.5</v>
      </c>
      <c r="AI683" s="70">
        <f t="shared" si="163"/>
        <v>226.82096098351528</v>
      </c>
      <c r="AK683" s="68" t="s">
        <v>939</v>
      </c>
      <c r="AP683" s="67">
        <f t="shared" si="177"/>
        <v>-1.9984130140573556E-2</v>
      </c>
      <c r="AQ683" s="67">
        <f t="shared" si="178"/>
        <v>7656.0750417335312</v>
      </c>
      <c r="AS683" s="67">
        <f t="shared" si="179"/>
        <v>8.7824799398056503E-4</v>
      </c>
      <c r="AU683" s="67">
        <f t="shared" si="180"/>
        <v>4803</v>
      </c>
      <c r="AV683" s="67">
        <f t="shared" si="181"/>
        <v>1</v>
      </c>
      <c r="AW683" s="67" t="s">
        <v>1350</v>
      </c>
    </row>
    <row r="684" spans="1:49" ht="30" customHeight="1" x14ac:dyDescent="0.25">
      <c r="A684" s="67" t="s">
        <v>104</v>
      </c>
      <c r="B684" s="67" t="s">
        <v>207</v>
      </c>
      <c r="C684" s="67" t="s">
        <v>104</v>
      </c>
      <c r="D684" s="67">
        <f t="shared" si="170"/>
        <v>21</v>
      </c>
      <c r="E684" s="67" t="s">
        <v>605</v>
      </c>
      <c r="F684" s="67" t="s">
        <v>945</v>
      </c>
      <c r="G684" s="68" t="s">
        <v>578</v>
      </c>
      <c r="H684" s="67">
        <v>1</v>
      </c>
      <c r="I684" s="67">
        <v>48</v>
      </c>
      <c r="J684" s="67">
        <v>2</v>
      </c>
      <c r="K684" s="68" t="s">
        <v>937</v>
      </c>
      <c r="L684" s="67" t="s">
        <v>938</v>
      </c>
      <c r="M684" s="68" t="s">
        <v>824</v>
      </c>
      <c r="N684" s="67" t="s">
        <v>240</v>
      </c>
      <c r="O684" s="94">
        <v>0.02</v>
      </c>
      <c r="P684" s="94">
        <v>0</v>
      </c>
      <c r="Q684" s="67">
        <v>0</v>
      </c>
      <c r="R684" s="67" t="s">
        <v>946</v>
      </c>
      <c r="S684" s="67">
        <f t="shared" si="176"/>
        <v>4805</v>
      </c>
      <c r="T684" s="67">
        <v>2948</v>
      </c>
      <c r="U684" s="67">
        <v>1857</v>
      </c>
      <c r="V684" s="67">
        <v>-310</v>
      </c>
      <c r="AB684" s="67">
        <v>7849</v>
      </c>
      <c r="AC684" s="67">
        <v>8158</v>
      </c>
      <c r="AF684" s="67">
        <f t="shared" ref="AF684:AF715" si="182">_xlfn.T.INV.2T(AH684,S684-2)</f>
        <v>0.67454083316012237</v>
      </c>
      <c r="AH684" s="70">
        <v>0.5</v>
      </c>
      <c r="AI684" s="70">
        <f t="shared" ref="AI684:AI715" si="183">ABS(V684/AF684)</f>
        <v>459.57188173130544</v>
      </c>
      <c r="AK684" s="68" t="s">
        <v>939</v>
      </c>
      <c r="AP684" s="67">
        <f t="shared" si="177"/>
        <v>-1.9984130140573556E-2</v>
      </c>
      <c r="AQ684" s="67">
        <f t="shared" si="178"/>
        <v>15512.308908087547</v>
      </c>
      <c r="AS684" s="67">
        <f t="shared" si="179"/>
        <v>8.7824799398056503E-4</v>
      </c>
      <c r="AU684" s="67">
        <f t="shared" si="180"/>
        <v>4803</v>
      </c>
      <c r="AV684" s="67">
        <f t="shared" si="181"/>
        <v>1</v>
      </c>
      <c r="AW684" s="67" t="s">
        <v>1350</v>
      </c>
    </row>
    <row r="685" spans="1:49" ht="30" customHeight="1" x14ac:dyDescent="0.25">
      <c r="A685" s="67" t="s">
        <v>104</v>
      </c>
      <c r="B685" s="67" t="s">
        <v>207</v>
      </c>
      <c r="C685" s="67" t="s">
        <v>104</v>
      </c>
      <c r="D685" s="67">
        <f t="shared" si="170"/>
        <v>22</v>
      </c>
      <c r="E685" s="67" t="s">
        <v>605</v>
      </c>
      <c r="F685" s="67" t="s">
        <v>945</v>
      </c>
      <c r="G685" s="68" t="s">
        <v>578</v>
      </c>
      <c r="H685" s="67">
        <v>1</v>
      </c>
      <c r="I685" s="67">
        <v>60</v>
      </c>
      <c r="J685" s="67">
        <v>2</v>
      </c>
      <c r="K685" s="68" t="s">
        <v>937</v>
      </c>
      <c r="L685" s="67" t="s">
        <v>938</v>
      </c>
      <c r="M685" s="68" t="s">
        <v>824</v>
      </c>
      <c r="N685" s="67" t="s">
        <v>240</v>
      </c>
      <c r="O685" s="94">
        <v>0.02</v>
      </c>
      <c r="P685" s="94">
        <v>0</v>
      </c>
      <c r="Q685" s="67">
        <v>0</v>
      </c>
      <c r="R685" s="67" t="s">
        <v>946</v>
      </c>
      <c r="S685" s="67">
        <f t="shared" si="176"/>
        <v>4805</v>
      </c>
      <c r="T685" s="67">
        <v>2948</v>
      </c>
      <c r="U685" s="67">
        <v>1857</v>
      </c>
      <c r="V685" s="67">
        <v>-217</v>
      </c>
      <c r="AB685" s="67">
        <v>8224</v>
      </c>
      <c r="AC685" s="67">
        <v>8440</v>
      </c>
      <c r="AF685" s="67">
        <f t="shared" si="182"/>
        <v>0.67454083316012237</v>
      </c>
      <c r="AH685" s="70">
        <v>0.5</v>
      </c>
      <c r="AI685" s="70">
        <f t="shared" si="183"/>
        <v>321.70031721191384</v>
      </c>
      <c r="AK685" s="68" t="s">
        <v>939</v>
      </c>
      <c r="AP685" s="67">
        <f t="shared" si="177"/>
        <v>-1.9984130140573552E-2</v>
      </c>
      <c r="AQ685" s="67">
        <f t="shared" si="178"/>
        <v>10858.616235661284</v>
      </c>
      <c r="AS685" s="67">
        <f t="shared" si="179"/>
        <v>8.7824799398056471E-4</v>
      </c>
      <c r="AU685" s="67">
        <f t="shared" si="180"/>
        <v>4803</v>
      </c>
      <c r="AV685" s="67">
        <f t="shared" si="181"/>
        <v>1</v>
      </c>
      <c r="AW685" s="67" t="s">
        <v>1350</v>
      </c>
    </row>
    <row r="686" spans="1:49" ht="30" customHeight="1" x14ac:dyDescent="0.25">
      <c r="A686" s="67" t="s">
        <v>104</v>
      </c>
      <c r="B686" s="67" t="s">
        <v>207</v>
      </c>
      <c r="C686" s="67" t="s">
        <v>104</v>
      </c>
      <c r="D686" s="67">
        <f t="shared" si="170"/>
        <v>23</v>
      </c>
      <c r="E686" s="67" t="s">
        <v>605</v>
      </c>
      <c r="F686" s="67" t="s">
        <v>945</v>
      </c>
      <c r="G686" s="68" t="s">
        <v>578</v>
      </c>
      <c r="H686" s="67">
        <v>1</v>
      </c>
      <c r="I686" s="67">
        <v>96</v>
      </c>
      <c r="J686" s="67">
        <v>2</v>
      </c>
      <c r="K686" s="68" t="s">
        <v>937</v>
      </c>
      <c r="L686" s="67" t="s">
        <v>938</v>
      </c>
      <c r="M686" s="68" t="s">
        <v>824</v>
      </c>
      <c r="N686" s="67" t="s">
        <v>240</v>
      </c>
      <c r="O686" s="94">
        <v>0.02</v>
      </c>
      <c r="P686" s="94">
        <v>0</v>
      </c>
      <c r="Q686" s="67">
        <v>0</v>
      </c>
      <c r="R686" s="67" t="s">
        <v>946</v>
      </c>
      <c r="S686" s="67">
        <f t="shared" si="176"/>
        <v>4805</v>
      </c>
      <c r="T686" s="67">
        <v>2948</v>
      </c>
      <c r="U686" s="67">
        <v>1857</v>
      </c>
      <c r="V686" s="67">
        <v>-329</v>
      </c>
      <c r="AB686" s="67">
        <v>8890</v>
      </c>
      <c r="AC686" s="67">
        <v>9218</v>
      </c>
      <c r="AF686" s="67">
        <f t="shared" si="182"/>
        <v>0.67454083316012237</v>
      </c>
      <c r="AH686" s="70">
        <v>0.5</v>
      </c>
      <c r="AI686" s="70">
        <f t="shared" si="183"/>
        <v>487.73919061161126</v>
      </c>
      <c r="AK686" s="68" t="s">
        <v>939</v>
      </c>
      <c r="AP686" s="67">
        <f t="shared" si="177"/>
        <v>-1.9984130140573556E-2</v>
      </c>
      <c r="AQ686" s="67">
        <f t="shared" si="178"/>
        <v>16463.063325034847</v>
      </c>
      <c r="AS686" s="67">
        <f t="shared" si="179"/>
        <v>8.7824799398056503E-4</v>
      </c>
      <c r="AU686" s="67">
        <f t="shared" si="180"/>
        <v>4803</v>
      </c>
      <c r="AV686" s="67">
        <f t="shared" si="181"/>
        <v>1</v>
      </c>
      <c r="AW686" s="67" t="s">
        <v>1350</v>
      </c>
    </row>
    <row r="687" spans="1:49" ht="30" customHeight="1" x14ac:dyDescent="0.25">
      <c r="A687" s="67" t="s">
        <v>104</v>
      </c>
      <c r="B687" s="67" t="s">
        <v>207</v>
      </c>
      <c r="C687" s="67" t="s">
        <v>104</v>
      </c>
      <c r="D687" s="67">
        <f t="shared" si="170"/>
        <v>24</v>
      </c>
      <c r="E687" s="67" t="s">
        <v>605</v>
      </c>
      <c r="F687" s="67" t="s">
        <v>785</v>
      </c>
      <c r="G687" s="68" t="s">
        <v>578</v>
      </c>
      <c r="H687" s="67">
        <v>1</v>
      </c>
      <c r="I687" s="67">
        <v>12</v>
      </c>
      <c r="J687" s="67">
        <v>2</v>
      </c>
      <c r="K687" s="68" t="s">
        <v>937</v>
      </c>
      <c r="L687" s="67" t="s">
        <v>938</v>
      </c>
      <c r="M687" s="68" t="s">
        <v>570</v>
      </c>
      <c r="N687" s="67" t="s">
        <v>240</v>
      </c>
      <c r="O687" s="94">
        <v>0.02</v>
      </c>
      <c r="P687" s="94">
        <v>0</v>
      </c>
      <c r="Q687" s="67">
        <v>0</v>
      </c>
      <c r="R687" s="67" t="s">
        <v>946</v>
      </c>
      <c r="S687" s="67">
        <f t="shared" si="176"/>
        <v>4805</v>
      </c>
      <c r="T687" s="67">
        <v>2948</v>
      </c>
      <c r="U687" s="67">
        <v>1857</v>
      </c>
      <c r="V687" s="67">
        <v>-175</v>
      </c>
      <c r="AB687" s="67">
        <v>8242</v>
      </c>
      <c r="AC687" s="67">
        <v>8417</v>
      </c>
      <c r="AF687" s="67">
        <f t="shared" si="182"/>
        <v>2.576853327607036</v>
      </c>
      <c r="AH687" s="70">
        <v>0.01</v>
      </c>
      <c r="AI687" s="70">
        <f t="shared" si="183"/>
        <v>67.912285936162164</v>
      </c>
      <c r="AK687" s="68" t="s">
        <v>943</v>
      </c>
      <c r="AP687" s="67">
        <f t="shared" si="177"/>
        <v>-7.6342557367234845E-2</v>
      </c>
      <c r="AQ687" s="67">
        <f t="shared" si="178"/>
        <v>2292.2994203375683</v>
      </c>
      <c r="AS687" s="67">
        <f t="shared" si="179"/>
        <v>8.8050953141355565E-4</v>
      </c>
      <c r="AU687" s="67">
        <f t="shared" si="180"/>
        <v>4803</v>
      </c>
      <c r="AV687" s="67">
        <f t="shared" si="181"/>
        <v>1</v>
      </c>
      <c r="AW687" s="67" t="s">
        <v>1350</v>
      </c>
    </row>
    <row r="688" spans="1:49" ht="30" customHeight="1" x14ac:dyDescent="0.25">
      <c r="A688" s="67" t="s">
        <v>104</v>
      </c>
      <c r="B688" s="67" t="s">
        <v>207</v>
      </c>
      <c r="C688" s="67" t="s">
        <v>104</v>
      </c>
      <c r="D688" s="67">
        <f t="shared" si="170"/>
        <v>25</v>
      </c>
      <c r="E688" s="67" t="s">
        <v>605</v>
      </c>
      <c r="F688" s="67" t="s">
        <v>785</v>
      </c>
      <c r="G688" s="68" t="s">
        <v>578</v>
      </c>
      <c r="H688" s="67">
        <v>1</v>
      </c>
      <c r="I688" s="67">
        <v>24</v>
      </c>
      <c r="J688" s="67">
        <v>2</v>
      </c>
      <c r="K688" s="68" t="s">
        <v>937</v>
      </c>
      <c r="L688" s="67" t="s">
        <v>938</v>
      </c>
      <c r="M688" s="68" t="s">
        <v>570</v>
      </c>
      <c r="N688" s="67" t="s">
        <v>240</v>
      </c>
      <c r="O688" s="94">
        <v>0.02</v>
      </c>
      <c r="P688" s="94">
        <v>0</v>
      </c>
      <c r="Q688" s="67">
        <v>0</v>
      </c>
      <c r="R688" s="67" t="s">
        <v>946</v>
      </c>
      <c r="S688" s="67">
        <f t="shared" si="176"/>
        <v>4805</v>
      </c>
      <c r="T688" s="67">
        <v>2948</v>
      </c>
      <c r="U688" s="67">
        <v>1857</v>
      </c>
      <c r="V688" s="67">
        <v>205</v>
      </c>
      <c r="AB688" s="67">
        <v>10242</v>
      </c>
      <c r="AC688" s="67">
        <v>10037</v>
      </c>
      <c r="AF688" s="67">
        <f t="shared" si="182"/>
        <v>2.576853327607036</v>
      </c>
      <c r="AH688" s="70">
        <v>0.01</v>
      </c>
      <c r="AI688" s="70">
        <f t="shared" si="183"/>
        <v>79.554392096647106</v>
      </c>
      <c r="AK688" s="68" t="s">
        <v>943</v>
      </c>
      <c r="AP688" s="67">
        <f t="shared" si="177"/>
        <v>7.6342557367234845E-2</v>
      </c>
      <c r="AQ688" s="67">
        <f t="shared" si="178"/>
        <v>2685.2650352525802</v>
      </c>
      <c r="AS688" s="67">
        <f t="shared" si="179"/>
        <v>8.8050953141355565E-4</v>
      </c>
      <c r="AU688" s="67">
        <f t="shared" si="180"/>
        <v>4803</v>
      </c>
      <c r="AV688" s="67">
        <f t="shared" si="181"/>
        <v>1</v>
      </c>
      <c r="AW688" s="67" t="s">
        <v>1350</v>
      </c>
    </row>
    <row r="689" spans="1:49" ht="30" customHeight="1" x14ac:dyDescent="0.25">
      <c r="A689" s="67" t="s">
        <v>104</v>
      </c>
      <c r="B689" s="67" t="s">
        <v>207</v>
      </c>
      <c r="C689" s="67" t="s">
        <v>104</v>
      </c>
      <c r="D689" s="67">
        <f t="shared" si="170"/>
        <v>26</v>
      </c>
      <c r="E689" s="67" t="s">
        <v>605</v>
      </c>
      <c r="F689" s="67" t="s">
        <v>945</v>
      </c>
      <c r="G689" s="68" t="s">
        <v>578</v>
      </c>
      <c r="H689" s="67">
        <v>1</v>
      </c>
      <c r="I689" s="67">
        <v>0</v>
      </c>
      <c r="J689" s="67">
        <v>1</v>
      </c>
      <c r="K689" s="68" t="s">
        <v>941</v>
      </c>
      <c r="L689" s="67" t="s">
        <v>240</v>
      </c>
      <c r="M689" s="68" t="s">
        <v>824</v>
      </c>
      <c r="N689" s="67" t="s">
        <v>240</v>
      </c>
      <c r="O689" s="94">
        <v>0.02</v>
      </c>
      <c r="P689" s="94">
        <v>0</v>
      </c>
      <c r="Q689" s="67">
        <v>0</v>
      </c>
      <c r="R689" s="67" t="s">
        <v>946</v>
      </c>
      <c r="S689" s="67">
        <f t="shared" si="176"/>
        <v>4805</v>
      </c>
      <c r="T689" s="67">
        <v>2948</v>
      </c>
      <c r="U689" s="67">
        <v>1857</v>
      </c>
      <c r="V689" s="67">
        <v>5.8999999999999997E-2</v>
      </c>
      <c r="AB689" s="67">
        <v>0.89300000000000002</v>
      </c>
      <c r="AC689" s="67">
        <v>0.83399999999999996</v>
      </c>
      <c r="AF689" s="67">
        <f t="shared" si="182"/>
        <v>2.576853327607036</v>
      </c>
      <c r="AH689" s="70">
        <v>0.01</v>
      </c>
      <c r="AI689" s="70">
        <f t="shared" si="183"/>
        <v>2.2896142115620386E-2</v>
      </c>
      <c r="AK689" s="68" t="s">
        <v>943</v>
      </c>
    </row>
    <row r="690" spans="1:49" ht="30" customHeight="1" x14ac:dyDescent="0.25">
      <c r="A690" s="67" t="s">
        <v>104</v>
      </c>
      <c r="B690" s="67" t="s">
        <v>207</v>
      </c>
      <c r="C690" s="67" t="s">
        <v>104</v>
      </c>
      <c r="D690" s="67">
        <f t="shared" si="170"/>
        <v>27</v>
      </c>
      <c r="E690" s="67" t="s">
        <v>605</v>
      </c>
      <c r="F690" s="67" t="s">
        <v>945</v>
      </c>
      <c r="G690" s="68" t="s">
        <v>578</v>
      </c>
      <c r="H690" s="67">
        <v>1</v>
      </c>
      <c r="I690" s="67">
        <v>12</v>
      </c>
      <c r="J690" s="67">
        <v>1</v>
      </c>
      <c r="K690" s="68" t="s">
        <v>941</v>
      </c>
      <c r="L690" s="67" t="s">
        <v>240</v>
      </c>
      <c r="M690" s="68" t="s">
        <v>824</v>
      </c>
      <c r="N690" s="67" t="s">
        <v>240</v>
      </c>
      <c r="O690" s="94">
        <v>0.02</v>
      </c>
      <c r="P690" s="94">
        <v>0</v>
      </c>
      <c r="Q690" s="67">
        <v>0</v>
      </c>
      <c r="R690" s="67" t="s">
        <v>946</v>
      </c>
      <c r="S690" s="67">
        <f t="shared" si="176"/>
        <v>4805</v>
      </c>
      <c r="T690" s="67">
        <v>2948</v>
      </c>
      <c r="U690" s="67">
        <v>1857</v>
      </c>
      <c r="V690" s="67">
        <v>1.9E-2</v>
      </c>
      <c r="AB690" s="67">
        <v>0.84799999999999998</v>
      </c>
      <c r="AC690" s="67">
        <v>0.82899999999999996</v>
      </c>
      <c r="AF690" s="67">
        <f t="shared" si="182"/>
        <v>1.6451709421464291</v>
      </c>
      <c r="AH690" s="70">
        <v>0.1</v>
      </c>
      <c r="AI690" s="70">
        <f t="shared" si="183"/>
        <v>1.1548951852511443E-2</v>
      </c>
      <c r="AK690" s="68" t="s">
        <v>944</v>
      </c>
    </row>
    <row r="691" spans="1:49" ht="30" customHeight="1" x14ac:dyDescent="0.25">
      <c r="A691" s="67" t="s">
        <v>104</v>
      </c>
      <c r="B691" s="67" t="s">
        <v>207</v>
      </c>
      <c r="C691" s="67" t="s">
        <v>104</v>
      </c>
      <c r="D691" s="67">
        <f t="shared" si="170"/>
        <v>28</v>
      </c>
      <c r="E691" s="67" t="s">
        <v>605</v>
      </c>
      <c r="F691" s="67" t="s">
        <v>945</v>
      </c>
      <c r="G691" s="68" t="s">
        <v>578</v>
      </c>
      <c r="H691" s="67">
        <v>1</v>
      </c>
      <c r="I691" s="67">
        <v>24</v>
      </c>
      <c r="J691" s="67">
        <v>1</v>
      </c>
      <c r="K691" s="68" t="s">
        <v>941</v>
      </c>
      <c r="L691" s="67" t="s">
        <v>240</v>
      </c>
      <c r="M691" s="68" t="s">
        <v>824</v>
      </c>
      <c r="N691" s="67" t="s">
        <v>240</v>
      </c>
      <c r="O691" s="94">
        <v>0.02</v>
      </c>
      <c r="P691" s="94">
        <v>0</v>
      </c>
      <c r="Q691" s="67">
        <v>0</v>
      </c>
      <c r="R691" s="67" t="s">
        <v>946</v>
      </c>
      <c r="S691" s="67">
        <f t="shared" si="176"/>
        <v>4805</v>
      </c>
      <c r="T691" s="67">
        <v>2948</v>
      </c>
      <c r="U691" s="67">
        <v>1857</v>
      </c>
      <c r="V691" s="67">
        <v>1.4E-2</v>
      </c>
      <c r="AB691" s="67">
        <v>0.84499999999999997</v>
      </c>
      <c r="AC691" s="67">
        <v>0.83099999999999996</v>
      </c>
      <c r="AF691" s="67">
        <f t="shared" si="182"/>
        <v>0.67454083316012237</v>
      </c>
      <c r="AH691" s="70">
        <v>0.5</v>
      </c>
      <c r="AI691" s="70">
        <f t="shared" si="183"/>
        <v>2.0754859174962181E-2</v>
      </c>
      <c r="AK691" s="68" t="s">
        <v>939</v>
      </c>
    </row>
    <row r="692" spans="1:49" ht="30" customHeight="1" x14ac:dyDescent="0.25">
      <c r="A692" s="67" t="s">
        <v>104</v>
      </c>
      <c r="B692" s="67" t="s">
        <v>207</v>
      </c>
      <c r="C692" s="67" t="s">
        <v>104</v>
      </c>
      <c r="D692" s="67">
        <f t="shared" si="170"/>
        <v>29</v>
      </c>
      <c r="E692" s="67" t="s">
        <v>605</v>
      </c>
      <c r="F692" s="67" t="s">
        <v>945</v>
      </c>
      <c r="G692" s="68" t="s">
        <v>578</v>
      </c>
      <c r="H692" s="67">
        <v>1</v>
      </c>
      <c r="I692" s="67">
        <v>36</v>
      </c>
      <c r="J692" s="67">
        <v>1</v>
      </c>
      <c r="K692" s="68" t="s">
        <v>941</v>
      </c>
      <c r="L692" s="67" t="s">
        <v>240</v>
      </c>
      <c r="M692" s="68" t="s">
        <v>824</v>
      </c>
      <c r="N692" s="67" t="s">
        <v>240</v>
      </c>
      <c r="O692" s="94">
        <v>0.02</v>
      </c>
      <c r="P692" s="94">
        <v>0</v>
      </c>
      <c r="Q692" s="67">
        <v>0</v>
      </c>
      <c r="R692" s="67" t="s">
        <v>946</v>
      </c>
      <c r="S692" s="67">
        <f t="shared" si="176"/>
        <v>4805</v>
      </c>
      <c r="T692" s="67">
        <v>2948</v>
      </c>
      <c r="U692" s="67">
        <v>1857</v>
      </c>
      <c r="V692" s="67">
        <v>5.0000000000000001E-3</v>
      </c>
      <c r="AB692" s="67">
        <v>0.84799999999999998</v>
      </c>
      <c r="AC692" s="67">
        <v>0.84299999999999997</v>
      </c>
      <c r="AF692" s="67">
        <f t="shared" si="182"/>
        <v>0.67454083316012237</v>
      </c>
      <c r="AH692" s="70">
        <v>0.5</v>
      </c>
      <c r="AI692" s="70">
        <f t="shared" si="183"/>
        <v>7.4124497053436366E-3</v>
      </c>
      <c r="AK692" s="68" t="s">
        <v>939</v>
      </c>
    </row>
    <row r="693" spans="1:49" ht="30" customHeight="1" x14ac:dyDescent="0.25">
      <c r="A693" s="67" t="s">
        <v>104</v>
      </c>
      <c r="B693" s="67" t="s">
        <v>207</v>
      </c>
      <c r="C693" s="67" t="s">
        <v>104</v>
      </c>
      <c r="D693" s="67">
        <f t="shared" si="170"/>
        <v>30</v>
      </c>
      <c r="E693" s="67" t="s">
        <v>605</v>
      </c>
      <c r="F693" s="67" t="s">
        <v>945</v>
      </c>
      <c r="G693" s="68" t="s">
        <v>578</v>
      </c>
      <c r="H693" s="67">
        <v>1</v>
      </c>
      <c r="I693" s="67">
        <v>48</v>
      </c>
      <c r="J693" s="67">
        <v>1</v>
      </c>
      <c r="K693" s="68" t="s">
        <v>941</v>
      </c>
      <c r="L693" s="67" t="s">
        <v>240</v>
      </c>
      <c r="M693" s="68" t="s">
        <v>824</v>
      </c>
      <c r="N693" s="67" t="s">
        <v>240</v>
      </c>
      <c r="O693" s="94">
        <v>0.02</v>
      </c>
      <c r="P693" s="94">
        <v>0</v>
      </c>
      <c r="Q693" s="67">
        <v>0</v>
      </c>
      <c r="R693" s="67" t="s">
        <v>946</v>
      </c>
      <c r="S693" s="67">
        <f t="shared" si="176"/>
        <v>4805</v>
      </c>
      <c r="T693" s="67">
        <v>2948</v>
      </c>
      <c r="U693" s="67">
        <v>1857</v>
      </c>
      <c r="V693" s="67">
        <v>-8.9999999999999993E-3</v>
      </c>
      <c r="AB693" s="67">
        <v>0.83699999999999997</v>
      </c>
      <c r="AC693" s="67">
        <v>0.84599999999999997</v>
      </c>
      <c r="AF693" s="67">
        <f t="shared" si="182"/>
        <v>0.67454083316012237</v>
      </c>
      <c r="AH693" s="70">
        <v>0.5</v>
      </c>
      <c r="AI693" s="70">
        <f t="shared" si="183"/>
        <v>1.3342409469618545E-2</v>
      </c>
      <c r="AK693" s="68" t="s">
        <v>939</v>
      </c>
    </row>
    <row r="694" spans="1:49" ht="30" customHeight="1" x14ac:dyDescent="0.25">
      <c r="A694" s="67" t="s">
        <v>104</v>
      </c>
      <c r="B694" s="67" t="s">
        <v>207</v>
      </c>
      <c r="C694" s="67" t="s">
        <v>104</v>
      </c>
      <c r="D694" s="67">
        <f t="shared" si="170"/>
        <v>31</v>
      </c>
      <c r="E694" s="67" t="s">
        <v>605</v>
      </c>
      <c r="F694" s="67" t="s">
        <v>945</v>
      </c>
      <c r="G694" s="68" t="s">
        <v>578</v>
      </c>
      <c r="H694" s="67">
        <v>1</v>
      </c>
      <c r="I694" s="67">
        <v>60</v>
      </c>
      <c r="J694" s="67">
        <v>1</v>
      </c>
      <c r="K694" s="68" t="s">
        <v>941</v>
      </c>
      <c r="L694" s="67" t="s">
        <v>240</v>
      </c>
      <c r="M694" s="68" t="s">
        <v>824</v>
      </c>
      <c r="N694" s="67" t="s">
        <v>240</v>
      </c>
      <c r="O694" s="94">
        <v>0.02</v>
      </c>
      <c r="P694" s="94">
        <v>0</v>
      </c>
      <c r="Q694" s="67">
        <v>0</v>
      </c>
      <c r="R694" s="67" t="s">
        <v>946</v>
      </c>
      <c r="S694" s="67">
        <f t="shared" si="176"/>
        <v>4805</v>
      </c>
      <c r="T694" s="67">
        <v>2948</v>
      </c>
      <c r="U694" s="67">
        <v>1857</v>
      </c>
      <c r="V694" s="67">
        <v>-5.0000000000000001E-3</v>
      </c>
      <c r="AB694" s="67">
        <v>0.81799999999999995</v>
      </c>
      <c r="AC694" s="67">
        <v>0.82299999999999995</v>
      </c>
      <c r="AF694" s="67">
        <f t="shared" si="182"/>
        <v>0.67454083316012237</v>
      </c>
      <c r="AH694" s="70">
        <v>0.5</v>
      </c>
      <c r="AI694" s="70">
        <f t="shared" si="183"/>
        <v>7.4124497053436366E-3</v>
      </c>
      <c r="AK694" s="68" t="s">
        <v>939</v>
      </c>
    </row>
    <row r="695" spans="1:49" ht="30" customHeight="1" x14ac:dyDescent="0.25">
      <c r="A695" s="67" t="s">
        <v>104</v>
      </c>
      <c r="B695" s="67" t="s">
        <v>207</v>
      </c>
      <c r="C695" s="67" t="s">
        <v>104</v>
      </c>
      <c r="D695" s="67">
        <f t="shared" si="170"/>
        <v>32</v>
      </c>
      <c r="E695" s="67" t="s">
        <v>605</v>
      </c>
      <c r="F695" s="67" t="s">
        <v>945</v>
      </c>
      <c r="G695" s="68" t="s">
        <v>578</v>
      </c>
      <c r="H695" s="67">
        <v>1</v>
      </c>
      <c r="I695" s="67">
        <v>72</v>
      </c>
      <c r="J695" s="67">
        <v>1</v>
      </c>
      <c r="K695" s="68" t="s">
        <v>941</v>
      </c>
      <c r="L695" s="67" t="s">
        <v>240</v>
      </c>
      <c r="M695" s="68" t="s">
        <v>824</v>
      </c>
      <c r="N695" s="67" t="s">
        <v>240</v>
      </c>
      <c r="O695" s="94">
        <v>0.02</v>
      </c>
      <c r="P695" s="94">
        <v>0</v>
      </c>
      <c r="Q695" s="67">
        <v>0</v>
      </c>
      <c r="R695" s="67" t="s">
        <v>946</v>
      </c>
      <c r="S695" s="67">
        <f t="shared" si="176"/>
        <v>4805</v>
      </c>
      <c r="T695" s="67">
        <v>2948</v>
      </c>
      <c r="U695" s="67">
        <v>1857</v>
      </c>
      <c r="V695" s="67">
        <v>-8.9999999999999993E-3</v>
      </c>
      <c r="AB695" s="67">
        <v>0.78400000000000003</v>
      </c>
      <c r="AC695" s="67">
        <v>0.79300000000000004</v>
      </c>
      <c r="AF695" s="67">
        <f t="shared" si="182"/>
        <v>0.67454083316012237</v>
      </c>
      <c r="AH695" s="70">
        <v>0.5</v>
      </c>
      <c r="AI695" s="70">
        <f t="shared" si="183"/>
        <v>1.3342409469618545E-2</v>
      </c>
      <c r="AK695" s="68" t="s">
        <v>939</v>
      </c>
    </row>
    <row r="696" spans="1:49" ht="30" customHeight="1" x14ac:dyDescent="0.25">
      <c r="A696" s="67" t="s">
        <v>104</v>
      </c>
      <c r="B696" s="67" t="s">
        <v>207</v>
      </c>
      <c r="C696" s="67" t="s">
        <v>104</v>
      </c>
      <c r="D696" s="67">
        <f t="shared" si="170"/>
        <v>33</v>
      </c>
      <c r="E696" s="67" t="s">
        <v>605</v>
      </c>
      <c r="F696" s="67" t="s">
        <v>945</v>
      </c>
      <c r="G696" s="68" t="s">
        <v>578</v>
      </c>
      <c r="H696" s="67">
        <v>1</v>
      </c>
      <c r="I696" s="67">
        <v>84</v>
      </c>
      <c r="J696" s="67">
        <v>1</v>
      </c>
      <c r="K696" s="68" t="s">
        <v>941</v>
      </c>
      <c r="L696" s="67" t="s">
        <v>240</v>
      </c>
      <c r="M696" s="68" t="s">
        <v>824</v>
      </c>
      <c r="N696" s="67" t="s">
        <v>240</v>
      </c>
      <c r="O696" s="94">
        <v>0.02</v>
      </c>
      <c r="P696" s="94">
        <v>0</v>
      </c>
      <c r="Q696" s="67">
        <v>0</v>
      </c>
      <c r="R696" s="67" t="s">
        <v>946</v>
      </c>
      <c r="S696" s="67">
        <f t="shared" si="176"/>
        <v>4805</v>
      </c>
      <c r="T696" s="67">
        <v>2948</v>
      </c>
      <c r="U696" s="67">
        <v>1857</v>
      </c>
      <c r="V696" s="67">
        <v>-5.0000000000000001E-3</v>
      </c>
      <c r="AB696" s="67">
        <v>0.76200000000000001</v>
      </c>
      <c r="AC696" s="67">
        <v>0.76700000000000002</v>
      </c>
      <c r="AF696" s="67">
        <f t="shared" si="182"/>
        <v>0.67454083316012237</v>
      </c>
      <c r="AH696" s="70">
        <v>0.5</v>
      </c>
      <c r="AI696" s="70">
        <f t="shared" si="183"/>
        <v>7.4124497053436366E-3</v>
      </c>
      <c r="AK696" s="68" t="s">
        <v>939</v>
      </c>
    </row>
    <row r="697" spans="1:49" ht="30" customHeight="1" x14ac:dyDescent="0.25">
      <c r="A697" s="67" t="s">
        <v>104</v>
      </c>
      <c r="B697" s="67" t="s">
        <v>207</v>
      </c>
      <c r="C697" s="67" t="s">
        <v>104</v>
      </c>
      <c r="D697" s="67">
        <f t="shared" ref="D697:D728" si="184">D696+1</f>
        <v>34</v>
      </c>
      <c r="E697" s="67" t="s">
        <v>605</v>
      </c>
      <c r="F697" s="67" t="s">
        <v>945</v>
      </c>
      <c r="G697" s="68" t="s">
        <v>578</v>
      </c>
      <c r="H697" s="67">
        <v>1</v>
      </c>
      <c r="I697" s="67">
        <v>96</v>
      </c>
      <c r="J697" s="67">
        <v>1</v>
      </c>
      <c r="K697" s="68" t="s">
        <v>941</v>
      </c>
      <c r="L697" s="67" t="s">
        <v>240</v>
      </c>
      <c r="M697" s="68" t="s">
        <v>824</v>
      </c>
      <c r="N697" s="67" t="s">
        <v>240</v>
      </c>
      <c r="O697" s="94">
        <v>0.02</v>
      </c>
      <c r="P697" s="94">
        <v>0</v>
      </c>
      <c r="Q697" s="67">
        <v>0</v>
      </c>
      <c r="R697" s="67" t="s">
        <v>946</v>
      </c>
      <c r="S697" s="67">
        <f t="shared" si="176"/>
        <v>4805</v>
      </c>
      <c r="T697" s="67">
        <v>2948</v>
      </c>
      <c r="U697" s="67">
        <v>1857</v>
      </c>
      <c r="V697" s="67">
        <v>-6.0000000000000001E-3</v>
      </c>
      <c r="AB697" s="67">
        <v>0.76500000000000001</v>
      </c>
      <c r="AC697" s="67">
        <v>0.77100000000000002</v>
      </c>
      <c r="AF697" s="67">
        <f t="shared" si="182"/>
        <v>0.67454083316012237</v>
      </c>
      <c r="AH697" s="70">
        <v>0.5</v>
      </c>
      <c r="AI697" s="70">
        <f t="shared" si="183"/>
        <v>8.8949396464123639E-3</v>
      </c>
      <c r="AK697" s="68" t="s">
        <v>939</v>
      </c>
    </row>
    <row r="698" spans="1:49" ht="30" customHeight="1" x14ac:dyDescent="0.25">
      <c r="A698" s="67" t="s">
        <v>104</v>
      </c>
      <c r="B698" s="67" t="s">
        <v>207</v>
      </c>
      <c r="C698" s="67" t="s">
        <v>104</v>
      </c>
      <c r="D698" s="67">
        <f t="shared" si="184"/>
        <v>35</v>
      </c>
      <c r="E698" s="67" t="s">
        <v>605</v>
      </c>
      <c r="F698" s="67" t="s">
        <v>787</v>
      </c>
      <c r="G698" s="68" t="s">
        <v>578</v>
      </c>
      <c r="H698" s="67">
        <v>1</v>
      </c>
      <c r="I698" s="67">
        <v>0</v>
      </c>
      <c r="J698" s="67">
        <v>2</v>
      </c>
      <c r="K698" s="68" t="s">
        <v>937</v>
      </c>
      <c r="L698" s="67" t="s">
        <v>938</v>
      </c>
      <c r="M698" s="68" t="s">
        <v>824</v>
      </c>
      <c r="N698" s="67" t="s">
        <v>240</v>
      </c>
      <c r="O698" s="94">
        <v>0.02</v>
      </c>
      <c r="P698" s="94">
        <v>0</v>
      </c>
      <c r="Q698" s="67">
        <v>0</v>
      </c>
      <c r="R698" s="67" t="s">
        <v>947</v>
      </c>
      <c r="S698" s="67">
        <f t="shared" si="176"/>
        <v>4185</v>
      </c>
      <c r="T698" s="67">
        <v>2607</v>
      </c>
      <c r="U698" s="67">
        <v>1578</v>
      </c>
      <c r="V698" s="67">
        <v>-389</v>
      </c>
      <c r="AB698" s="67">
        <v>4567</v>
      </c>
      <c r="AC698" s="67">
        <v>4956</v>
      </c>
      <c r="AF698" s="67">
        <f t="shared" si="182"/>
        <v>1.9605312678608549</v>
      </c>
      <c r="AH698" s="70">
        <v>0.05</v>
      </c>
      <c r="AI698" s="70">
        <f t="shared" si="183"/>
        <v>198.41560620680116</v>
      </c>
      <c r="AK698" s="68" t="s">
        <v>948</v>
      </c>
      <c r="AP698" s="67">
        <f t="shared" ref="AP698:AP704" si="185">+V698/AQ698</f>
        <v>-6.2531304560725129E-2</v>
      </c>
      <c r="AQ698" s="67">
        <f t="shared" ref="AQ698:AQ704" si="186">+AI698*SQRT(T698*U698/S698)</f>
        <v>6220.8841272811769</v>
      </c>
      <c r="AS698" s="67">
        <f t="shared" ref="AS698:AS704" si="187">+AP698^2/(AU698-2)*(AU698/(V698/AI698)^2+AU698*AV698^2-AU698+2)</f>
        <v>1.0196532961354692E-3</v>
      </c>
      <c r="AU698" s="67">
        <f t="shared" ref="AU698:AU704" si="188">+S698-2</f>
        <v>4183</v>
      </c>
      <c r="AV698" s="67">
        <f t="shared" ref="AV698:AV704" si="189">IFERROR(1/(SQRT(AU698/2)*_xlfn.GAMMA(AU698/2-0.5)/_xlfn.GAMMA(AU698/2)),1)</f>
        <v>1</v>
      </c>
      <c r="AW698" s="67" t="s">
        <v>1350</v>
      </c>
    </row>
    <row r="699" spans="1:49" ht="30" customHeight="1" x14ac:dyDescent="0.25">
      <c r="A699" s="67" t="s">
        <v>104</v>
      </c>
      <c r="B699" s="67" t="s">
        <v>207</v>
      </c>
      <c r="C699" s="67" t="s">
        <v>104</v>
      </c>
      <c r="D699" s="67">
        <f t="shared" si="184"/>
        <v>36</v>
      </c>
      <c r="E699" s="67" t="s">
        <v>605</v>
      </c>
      <c r="F699" s="67" t="s">
        <v>787</v>
      </c>
      <c r="G699" s="68" t="s">
        <v>578</v>
      </c>
      <c r="H699" s="67">
        <v>1</v>
      </c>
      <c r="I699" s="67">
        <v>12</v>
      </c>
      <c r="J699" s="67">
        <v>2</v>
      </c>
      <c r="K699" s="68" t="s">
        <v>937</v>
      </c>
      <c r="L699" s="67" t="s">
        <v>938</v>
      </c>
      <c r="M699" s="68" t="s">
        <v>824</v>
      </c>
      <c r="N699" s="67" t="s">
        <v>240</v>
      </c>
      <c r="O699" s="94">
        <v>0.02</v>
      </c>
      <c r="P699" s="94">
        <v>0</v>
      </c>
      <c r="Q699" s="67">
        <v>0</v>
      </c>
      <c r="R699" s="67" t="s">
        <v>947</v>
      </c>
      <c r="S699" s="67">
        <f t="shared" si="176"/>
        <v>4185</v>
      </c>
      <c r="T699" s="67">
        <v>2607</v>
      </c>
      <c r="U699" s="67">
        <v>1578</v>
      </c>
      <c r="V699" s="67">
        <v>325</v>
      </c>
      <c r="AB699" s="67">
        <v>6387</v>
      </c>
      <c r="AC699" s="67">
        <v>6062</v>
      </c>
      <c r="AF699" s="67">
        <f t="shared" si="182"/>
        <v>1.6452179847620609</v>
      </c>
      <c r="AH699" s="70">
        <v>0.1</v>
      </c>
      <c r="AI699" s="70">
        <f t="shared" si="183"/>
        <v>197.54221204128339</v>
      </c>
      <c r="AK699" s="68" t="s">
        <v>944</v>
      </c>
      <c r="AP699" s="67">
        <f t="shared" si="185"/>
        <v>5.2474361700024882E-2</v>
      </c>
      <c r="AQ699" s="67">
        <f t="shared" si="186"/>
        <v>6193.5007777302017</v>
      </c>
      <c r="AS699" s="67">
        <f t="shared" si="187"/>
        <v>1.0191000287763485E-3</v>
      </c>
      <c r="AU699" s="67">
        <f t="shared" si="188"/>
        <v>4183</v>
      </c>
      <c r="AV699" s="67">
        <f t="shared" si="189"/>
        <v>1</v>
      </c>
      <c r="AW699" s="67" t="s">
        <v>1350</v>
      </c>
    </row>
    <row r="700" spans="1:49" ht="30" customHeight="1" x14ac:dyDescent="0.25">
      <c r="A700" s="67" t="s">
        <v>104</v>
      </c>
      <c r="B700" s="67" t="s">
        <v>207</v>
      </c>
      <c r="C700" s="67" t="s">
        <v>104</v>
      </c>
      <c r="D700" s="67">
        <f t="shared" si="184"/>
        <v>37</v>
      </c>
      <c r="E700" s="67" t="s">
        <v>605</v>
      </c>
      <c r="F700" s="67" t="s">
        <v>787</v>
      </c>
      <c r="G700" s="68" t="s">
        <v>578</v>
      </c>
      <c r="H700" s="67">
        <v>1</v>
      </c>
      <c r="I700" s="67">
        <v>48</v>
      </c>
      <c r="J700" s="67">
        <v>2</v>
      </c>
      <c r="K700" s="68" t="s">
        <v>937</v>
      </c>
      <c r="L700" s="67" t="s">
        <v>938</v>
      </c>
      <c r="M700" s="68" t="s">
        <v>824</v>
      </c>
      <c r="N700" s="67" t="s">
        <v>240</v>
      </c>
      <c r="O700" s="94">
        <v>0.02</v>
      </c>
      <c r="P700" s="94">
        <v>0</v>
      </c>
      <c r="Q700" s="67">
        <v>0</v>
      </c>
      <c r="R700" s="67" t="s">
        <v>947</v>
      </c>
      <c r="S700" s="67">
        <f t="shared" si="176"/>
        <v>4185</v>
      </c>
      <c r="T700" s="67">
        <v>2607</v>
      </c>
      <c r="U700" s="67">
        <v>1578</v>
      </c>
      <c r="V700" s="67">
        <v>384</v>
      </c>
      <c r="AB700" s="67">
        <v>9822</v>
      </c>
      <c r="AC700" s="67">
        <v>9438</v>
      </c>
      <c r="AF700" s="67">
        <f t="shared" si="182"/>
        <v>0.67454840521154491</v>
      </c>
      <c r="AH700" s="70">
        <v>0.5</v>
      </c>
      <c r="AI700" s="70">
        <f t="shared" si="183"/>
        <v>569.26974703850033</v>
      </c>
      <c r="AK700" s="68" t="s">
        <v>939</v>
      </c>
      <c r="AP700" s="67">
        <f t="shared" si="185"/>
        <v>2.1514776356134205E-2</v>
      </c>
      <c r="AQ700" s="67">
        <f t="shared" si="186"/>
        <v>17848.198542417824</v>
      </c>
      <c r="AS700" s="67">
        <f t="shared" si="187"/>
        <v>1.01800427511255E-3</v>
      </c>
      <c r="AU700" s="67">
        <f t="shared" si="188"/>
        <v>4183</v>
      </c>
      <c r="AV700" s="67">
        <f t="shared" si="189"/>
        <v>1</v>
      </c>
      <c r="AW700" s="67" t="s">
        <v>1350</v>
      </c>
    </row>
    <row r="701" spans="1:49" ht="30" customHeight="1" x14ac:dyDescent="0.25">
      <c r="A701" s="67" t="s">
        <v>104</v>
      </c>
      <c r="B701" s="67" t="s">
        <v>207</v>
      </c>
      <c r="C701" s="67" t="s">
        <v>104</v>
      </c>
      <c r="D701" s="67">
        <f t="shared" si="184"/>
        <v>38</v>
      </c>
      <c r="E701" s="67" t="s">
        <v>605</v>
      </c>
      <c r="F701" s="67" t="s">
        <v>787</v>
      </c>
      <c r="G701" s="68" t="s">
        <v>578</v>
      </c>
      <c r="H701" s="67">
        <v>1</v>
      </c>
      <c r="I701" s="67">
        <v>60</v>
      </c>
      <c r="J701" s="67">
        <v>2</v>
      </c>
      <c r="K701" s="68" t="s">
        <v>937</v>
      </c>
      <c r="L701" s="67" t="s">
        <v>938</v>
      </c>
      <c r="M701" s="68" t="s">
        <v>824</v>
      </c>
      <c r="N701" s="67" t="s">
        <v>240</v>
      </c>
      <c r="O701" s="94">
        <v>0.02</v>
      </c>
      <c r="P701" s="94">
        <v>0</v>
      </c>
      <c r="Q701" s="67">
        <v>0</v>
      </c>
      <c r="R701" s="67" t="s">
        <v>947</v>
      </c>
      <c r="S701" s="67">
        <f t="shared" si="176"/>
        <v>4185</v>
      </c>
      <c r="T701" s="67">
        <v>2607</v>
      </c>
      <c r="U701" s="67">
        <v>1578</v>
      </c>
      <c r="V701" s="67">
        <v>388</v>
      </c>
      <c r="AB701" s="67">
        <v>9969</v>
      </c>
      <c r="AC701" s="67">
        <v>9581</v>
      </c>
      <c r="AF701" s="67">
        <f t="shared" si="182"/>
        <v>0.67454840521154491</v>
      </c>
      <c r="AH701" s="70">
        <v>0.5</v>
      </c>
      <c r="AI701" s="70">
        <f t="shared" si="183"/>
        <v>575.19964023681803</v>
      </c>
      <c r="AK701" s="68" t="s">
        <v>939</v>
      </c>
      <c r="AP701" s="67">
        <f t="shared" si="185"/>
        <v>2.1514776356134205E-2</v>
      </c>
      <c r="AQ701" s="67">
        <f t="shared" si="186"/>
        <v>18034.117277234676</v>
      </c>
      <c r="AS701" s="67">
        <f t="shared" si="187"/>
        <v>1.01800427511255E-3</v>
      </c>
      <c r="AU701" s="67">
        <f t="shared" si="188"/>
        <v>4183</v>
      </c>
      <c r="AV701" s="67">
        <f t="shared" si="189"/>
        <v>1</v>
      </c>
      <c r="AW701" s="67" t="s">
        <v>1350</v>
      </c>
    </row>
    <row r="702" spans="1:49" ht="30" customHeight="1" x14ac:dyDescent="0.25">
      <c r="A702" s="67" t="s">
        <v>104</v>
      </c>
      <c r="B702" s="67" t="s">
        <v>207</v>
      </c>
      <c r="C702" s="67" t="s">
        <v>104</v>
      </c>
      <c r="D702" s="67">
        <f t="shared" si="184"/>
        <v>39</v>
      </c>
      <c r="E702" s="67" t="s">
        <v>605</v>
      </c>
      <c r="F702" s="67" t="s">
        <v>787</v>
      </c>
      <c r="G702" s="68" t="s">
        <v>578</v>
      </c>
      <c r="H702" s="67">
        <v>1</v>
      </c>
      <c r="I702" s="67">
        <v>96</v>
      </c>
      <c r="J702" s="67">
        <v>2</v>
      </c>
      <c r="K702" s="68" t="s">
        <v>937</v>
      </c>
      <c r="L702" s="67" t="s">
        <v>938</v>
      </c>
      <c r="M702" s="68" t="s">
        <v>824</v>
      </c>
      <c r="N702" s="67" t="s">
        <v>240</v>
      </c>
      <c r="O702" s="94">
        <v>0.02</v>
      </c>
      <c r="P702" s="94">
        <v>0</v>
      </c>
      <c r="Q702" s="67">
        <v>0</v>
      </c>
      <c r="R702" s="67" t="s">
        <v>947</v>
      </c>
      <c r="S702" s="67">
        <f t="shared" si="176"/>
        <v>4185</v>
      </c>
      <c r="T702" s="67">
        <v>2607</v>
      </c>
      <c r="U702" s="67">
        <v>1578</v>
      </c>
      <c r="V702" s="67">
        <v>526</v>
      </c>
      <c r="AB702" s="67">
        <v>10430</v>
      </c>
      <c r="AC702" s="67">
        <v>9904</v>
      </c>
      <c r="AF702" s="67">
        <f t="shared" si="182"/>
        <v>0.67454840521154491</v>
      </c>
      <c r="AH702" s="70">
        <v>0.5</v>
      </c>
      <c r="AI702" s="70">
        <f t="shared" si="183"/>
        <v>779.78095557877907</v>
      </c>
      <c r="AK702" s="68" t="s">
        <v>939</v>
      </c>
      <c r="AP702" s="67">
        <f t="shared" si="185"/>
        <v>2.1514776356134205E-2</v>
      </c>
      <c r="AQ702" s="67">
        <f t="shared" si="186"/>
        <v>24448.313628416083</v>
      </c>
      <c r="AS702" s="67">
        <f t="shared" si="187"/>
        <v>1.01800427511255E-3</v>
      </c>
      <c r="AU702" s="67">
        <f t="shared" si="188"/>
        <v>4183</v>
      </c>
      <c r="AV702" s="67">
        <f t="shared" si="189"/>
        <v>1</v>
      </c>
      <c r="AW702" s="67" t="s">
        <v>1350</v>
      </c>
    </row>
    <row r="703" spans="1:49" ht="30" customHeight="1" x14ac:dyDescent="0.25">
      <c r="A703" s="67" t="s">
        <v>104</v>
      </c>
      <c r="B703" s="67" t="s">
        <v>207</v>
      </c>
      <c r="C703" s="67" t="s">
        <v>104</v>
      </c>
      <c r="D703" s="67">
        <f t="shared" si="184"/>
        <v>40</v>
      </c>
      <c r="E703" s="67" t="s">
        <v>605</v>
      </c>
      <c r="F703" s="67" t="s">
        <v>787</v>
      </c>
      <c r="G703" s="68" t="s">
        <v>578</v>
      </c>
      <c r="H703" s="67">
        <v>1</v>
      </c>
      <c r="I703" s="67">
        <v>12</v>
      </c>
      <c r="J703" s="67">
        <v>2</v>
      </c>
      <c r="K703" s="68" t="s">
        <v>937</v>
      </c>
      <c r="L703" s="67" t="s">
        <v>938</v>
      </c>
      <c r="M703" s="68" t="s">
        <v>570</v>
      </c>
      <c r="N703" s="67" t="s">
        <v>240</v>
      </c>
      <c r="O703" s="94">
        <v>0.02</v>
      </c>
      <c r="P703" s="94">
        <v>0</v>
      </c>
      <c r="Q703" s="67">
        <v>0</v>
      </c>
      <c r="R703" s="67" t="s">
        <v>947</v>
      </c>
      <c r="S703" s="67">
        <f t="shared" si="176"/>
        <v>4185</v>
      </c>
      <c r="T703" s="67">
        <v>2607</v>
      </c>
      <c r="U703" s="67">
        <v>1578</v>
      </c>
      <c r="V703" s="67">
        <v>322</v>
      </c>
      <c r="AB703" s="67">
        <v>9800</v>
      </c>
      <c r="AC703" s="67">
        <v>9478</v>
      </c>
      <c r="AF703" s="67">
        <f t="shared" si="182"/>
        <v>0.67454840521154491</v>
      </c>
      <c r="AH703" s="70">
        <v>0.5</v>
      </c>
      <c r="AI703" s="70">
        <f t="shared" si="183"/>
        <v>477.35640246457581</v>
      </c>
      <c r="AK703" s="68" t="s">
        <v>939</v>
      </c>
      <c r="AP703" s="67">
        <f t="shared" si="185"/>
        <v>2.1514776356134201E-2</v>
      </c>
      <c r="AQ703" s="67">
        <f t="shared" si="186"/>
        <v>14966.458152756615</v>
      </c>
      <c r="AS703" s="67">
        <f t="shared" si="187"/>
        <v>1.0180042751125496E-3</v>
      </c>
      <c r="AU703" s="67">
        <f t="shared" si="188"/>
        <v>4183</v>
      </c>
      <c r="AV703" s="67">
        <f t="shared" si="189"/>
        <v>1</v>
      </c>
      <c r="AW703" s="67" t="s">
        <v>1350</v>
      </c>
    </row>
    <row r="704" spans="1:49" ht="30" customHeight="1" x14ac:dyDescent="0.25">
      <c r="A704" s="67" t="s">
        <v>104</v>
      </c>
      <c r="B704" s="67" t="s">
        <v>207</v>
      </c>
      <c r="C704" s="67" t="s">
        <v>104</v>
      </c>
      <c r="D704" s="67">
        <f t="shared" si="184"/>
        <v>41</v>
      </c>
      <c r="E704" s="67" t="s">
        <v>605</v>
      </c>
      <c r="F704" s="67" t="s">
        <v>787</v>
      </c>
      <c r="G704" s="68" t="s">
        <v>578</v>
      </c>
      <c r="H704" s="67">
        <v>1</v>
      </c>
      <c r="I704" s="67">
        <v>24</v>
      </c>
      <c r="J704" s="67">
        <v>2</v>
      </c>
      <c r="K704" s="68" t="s">
        <v>937</v>
      </c>
      <c r="L704" s="67" t="s">
        <v>938</v>
      </c>
      <c r="M704" s="68" t="s">
        <v>570</v>
      </c>
      <c r="N704" s="67" t="s">
        <v>240</v>
      </c>
      <c r="O704" s="94">
        <v>0.02</v>
      </c>
      <c r="P704" s="94">
        <v>0</v>
      </c>
      <c r="Q704" s="67">
        <v>0</v>
      </c>
      <c r="R704" s="67" t="s">
        <v>947</v>
      </c>
      <c r="S704" s="67">
        <f t="shared" si="176"/>
        <v>4185</v>
      </c>
      <c r="T704" s="67">
        <v>2607</v>
      </c>
      <c r="U704" s="67">
        <v>1578</v>
      </c>
      <c r="V704" s="67">
        <v>1778</v>
      </c>
      <c r="AB704" s="67">
        <v>12393</v>
      </c>
      <c r="AC704" s="67">
        <v>10616</v>
      </c>
      <c r="AF704" s="67">
        <f t="shared" si="182"/>
        <v>2.5770051726277408</v>
      </c>
      <c r="AH704" s="70">
        <v>0.01</v>
      </c>
      <c r="AI704" s="70">
        <f t="shared" si="183"/>
        <v>689.948168861064</v>
      </c>
      <c r="AK704" s="68" t="s">
        <v>943</v>
      </c>
      <c r="AP704" s="67">
        <f t="shared" si="185"/>
        <v>8.2193789992430849E-2</v>
      </c>
      <c r="AQ704" s="67">
        <f t="shared" si="186"/>
        <v>21631.804545863313</v>
      </c>
      <c r="AS704" s="67">
        <f t="shared" si="187"/>
        <v>1.0210145279284627E-3</v>
      </c>
      <c r="AU704" s="67">
        <f t="shared" si="188"/>
        <v>4183</v>
      </c>
      <c r="AV704" s="67">
        <f t="shared" si="189"/>
        <v>1</v>
      </c>
      <c r="AW704" s="67" t="s">
        <v>1350</v>
      </c>
    </row>
    <row r="705" spans="1:49" ht="30" customHeight="1" x14ac:dyDescent="0.25">
      <c r="A705" s="67" t="s">
        <v>104</v>
      </c>
      <c r="B705" s="67" t="s">
        <v>207</v>
      </c>
      <c r="C705" s="67" t="s">
        <v>104</v>
      </c>
      <c r="D705" s="67">
        <f t="shared" si="184"/>
        <v>42</v>
      </c>
      <c r="E705" s="67" t="s">
        <v>605</v>
      </c>
      <c r="F705" s="67" t="s">
        <v>787</v>
      </c>
      <c r="G705" s="68" t="s">
        <v>578</v>
      </c>
      <c r="H705" s="67">
        <v>1</v>
      </c>
      <c r="I705" s="67">
        <v>0</v>
      </c>
      <c r="J705" s="67">
        <v>1</v>
      </c>
      <c r="K705" s="68" t="s">
        <v>941</v>
      </c>
      <c r="L705" s="67" t="s">
        <v>240</v>
      </c>
      <c r="M705" s="68" t="s">
        <v>824</v>
      </c>
      <c r="N705" s="67" t="s">
        <v>240</v>
      </c>
      <c r="O705" s="94">
        <v>0.02</v>
      </c>
      <c r="P705" s="94">
        <v>0</v>
      </c>
      <c r="Q705" s="67">
        <v>0</v>
      </c>
      <c r="R705" s="67" t="s">
        <v>947</v>
      </c>
      <c r="S705" s="67">
        <f t="shared" si="176"/>
        <v>4185</v>
      </c>
      <c r="T705" s="67">
        <v>2607</v>
      </c>
      <c r="U705" s="67">
        <v>1578</v>
      </c>
      <c r="V705" s="67">
        <v>7.0000000000000007E-2</v>
      </c>
      <c r="AB705" s="67">
        <v>0.91400000000000003</v>
      </c>
      <c r="AC705" s="67">
        <v>0.84399999999999997</v>
      </c>
      <c r="AF705" s="67">
        <f t="shared" si="182"/>
        <v>2.5770051726277408</v>
      </c>
      <c r="AH705" s="70">
        <v>0.01</v>
      </c>
      <c r="AI705" s="70">
        <f t="shared" si="183"/>
        <v>2.7163313734687562E-2</v>
      </c>
      <c r="AK705" s="68" t="s">
        <v>943</v>
      </c>
    </row>
    <row r="706" spans="1:49" ht="30" customHeight="1" x14ac:dyDescent="0.25">
      <c r="A706" s="67" t="s">
        <v>104</v>
      </c>
      <c r="B706" s="67" t="s">
        <v>207</v>
      </c>
      <c r="C706" s="67" t="s">
        <v>104</v>
      </c>
      <c r="D706" s="67">
        <f t="shared" si="184"/>
        <v>43</v>
      </c>
      <c r="E706" s="67" t="s">
        <v>605</v>
      </c>
      <c r="F706" s="67" t="s">
        <v>787</v>
      </c>
      <c r="G706" s="68" t="s">
        <v>578</v>
      </c>
      <c r="H706" s="67">
        <v>1</v>
      </c>
      <c r="I706" s="67">
        <v>12</v>
      </c>
      <c r="J706" s="67">
        <v>1</v>
      </c>
      <c r="K706" s="68" t="s">
        <v>941</v>
      </c>
      <c r="L706" s="67" t="s">
        <v>240</v>
      </c>
      <c r="M706" s="68" t="s">
        <v>824</v>
      </c>
      <c r="N706" s="67" t="s">
        <v>240</v>
      </c>
      <c r="O706" s="94">
        <v>0.02</v>
      </c>
      <c r="P706" s="94">
        <v>0</v>
      </c>
      <c r="Q706" s="67">
        <v>0</v>
      </c>
      <c r="R706" s="67" t="s">
        <v>947</v>
      </c>
      <c r="S706" s="67">
        <f t="shared" si="176"/>
        <v>4185</v>
      </c>
      <c r="T706" s="67">
        <v>2607</v>
      </c>
      <c r="U706" s="67">
        <v>1578</v>
      </c>
      <c r="V706" s="67">
        <v>8.9999999999999993E-3</v>
      </c>
      <c r="AB706" s="67">
        <v>0.86099999999999999</v>
      </c>
      <c r="AC706" s="67">
        <v>0.85199999999999998</v>
      </c>
      <c r="AF706" s="67">
        <f t="shared" si="182"/>
        <v>0.67454840521154491</v>
      </c>
      <c r="AH706" s="70">
        <v>0.5</v>
      </c>
      <c r="AI706" s="70">
        <f t="shared" si="183"/>
        <v>1.334225969621485E-2</v>
      </c>
      <c r="AK706" s="68" t="s">
        <v>939</v>
      </c>
    </row>
    <row r="707" spans="1:49" ht="30" customHeight="1" x14ac:dyDescent="0.25">
      <c r="A707" s="67" t="s">
        <v>104</v>
      </c>
      <c r="B707" s="67" t="s">
        <v>207</v>
      </c>
      <c r="C707" s="67" t="s">
        <v>104</v>
      </c>
      <c r="D707" s="67">
        <f t="shared" si="184"/>
        <v>44</v>
      </c>
      <c r="E707" s="67" t="s">
        <v>605</v>
      </c>
      <c r="F707" s="67" t="s">
        <v>787</v>
      </c>
      <c r="G707" s="68" t="s">
        <v>578</v>
      </c>
      <c r="H707" s="67">
        <v>1</v>
      </c>
      <c r="I707" s="67">
        <v>24</v>
      </c>
      <c r="J707" s="67">
        <v>1</v>
      </c>
      <c r="K707" s="68" t="s">
        <v>941</v>
      </c>
      <c r="L707" s="67" t="s">
        <v>240</v>
      </c>
      <c r="M707" s="68" t="s">
        <v>824</v>
      </c>
      <c r="N707" s="67" t="s">
        <v>240</v>
      </c>
      <c r="O707" s="94">
        <v>0.02</v>
      </c>
      <c r="P707" s="94">
        <v>0</v>
      </c>
      <c r="Q707" s="67">
        <v>0</v>
      </c>
      <c r="R707" s="67" t="s">
        <v>947</v>
      </c>
      <c r="S707" s="67">
        <f t="shared" si="176"/>
        <v>4185</v>
      </c>
      <c r="T707" s="67">
        <v>2607</v>
      </c>
      <c r="U707" s="67">
        <v>1578</v>
      </c>
      <c r="V707" s="67">
        <v>0.02</v>
      </c>
      <c r="AB707" s="67">
        <v>0.876</v>
      </c>
      <c r="AC707" s="67">
        <v>0.85599999999999998</v>
      </c>
      <c r="AF707" s="67">
        <f t="shared" si="182"/>
        <v>1.6452179847620609</v>
      </c>
      <c r="AH707" s="70">
        <v>0.1</v>
      </c>
      <c r="AI707" s="70">
        <f t="shared" si="183"/>
        <v>1.2156443817925133E-2</v>
      </c>
      <c r="AK707" s="68" t="s">
        <v>944</v>
      </c>
    </row>
    <row r="708" spans="1:49" ht="30" customHeight="1" x14ac:dyDescent="0.25">
      <c r="A708" s="67" t="s">
        <v>104</v>
      </c>
      <c r="B708" s="67" t="s">
        <v>207</v>
      </c>
      <c r="C708" s="67" t="s">
        <v>104</v>
      </c>
      <c r="D708" s="67">
        <f t="shared" si="184"/>
        <v>45</v>
      </c>
      <c r="E708" s="67" t="s">
        <v>605</v>
      </c>
      <c r="F708" s="67" t="s">
        <v>787</v>
      </c>
      <c r="G708" s="68" t="s">
        <v>578</v>
      </c>
      <c r="H708" s="67">
        <v>1</v>
      </c>
      <c r="I708" s="67">
        <v>36</v>
      </c>
      <c r="J708" s="67">
        <v>1</v>
      </c>
      <c r="K708" s="68" t="s">
        <v>941</v>
      </c>
      <c r="L708" s="67" t="s">
        <v>240</v>
      </c>
      <c r="M708" s="68" t="s">
        <v>824</v>
      </c>
      <c r="N708" s="67" t="s">
        <v>240</v>
      </c>
      <c r="O708" s="94">
        <v>0.02</v>
      </c>
      <c r="P708" s="94">
        <v>0</v>
      </c>
      <c r="Q708" s="67">
        <v>0</v>
      </c>
      <c r="R708" s="67" t="s">
        <v>947</v>
      </c>
      <c r="S708" s="67">
        <f t="shared" si="176"/>
        <v>4185</v>
      </c>
      <c r="T708" s="67">
        <v>2607</v>
      </c>
      <c r="U708" s="67">
        <v>1578</v>
      </c>
      <c r="V708" s="67">
        <v>2.1000000000000001E-2</v>
      </c>
      <c r="AB708" s="67">
        <v>0.86899999999999999</v>
      </c>
      <c r="AC708" s="67">
        <v>0.84799999999999998</v>
      </c>
      <c r="AF708" s="67">
        <f t="shared" si="182"/>
        <v>1.9605312678608549</v>
      </c>
      <c r="AH708" s="70">
        <v>0.05</v>
      </c>
      <c r="AI708" s="70">
        <f t="shared" si="183"/>
        <v>1.0711382340212917E-2</v>
      </c>
      <c r="AK708" s="68" t="s">
        <v>948</v>
      </c>
    </row>
    <row r="709" spans="1:49" ht="30" customHeight="1" x14ac:dyDescent="0.25">
      <c r="A709" s="67" t="s">
        <v>104</v>
      </c>
      <c r="B709" s="67" t="s">
        <v>207</v>
      </c>
      <c r="C709" s="67" t="s">
        <v>104</v>
      </c>
      <c r="D709" s="67">
        <f t="shared" si="184"/>
        <v>46</v>
      </c>
      <c r="E709" s="67" t="s">
        <v>605</v>
      </c>
      <c r="F709" s="67" t="s">
        <v>787</v>
      </c>
      <c r="G709" s="68" t="s">
        <v>578</v>
      </c>
      <c r="H709" s="67">
        <v>1</v>
      </c>
      <c r="I709" s="67">
        <v>48</v>
      </c>
      <c r="J709" s="67">
        <v>1</v>
      </c>
      <c r="K709" s="68" t="s">
        <v>941</v>
      </c>
      <c r="L709" s="67" t="s">
        <v>240</v>
      </c>
      <c r="M709" s="68" t="s">
        <v>824</v>
      </c>
      <c r="N709" s="67" t="s">
        <v>240</v>
      </c>
      <c r="O709" s="94">
        <v>0.02</v>
      </c>
      <c r="P709" s="94">
        <v>0</v>
      </c>
      <c r="Q709" s="67">
        <v>0</v>
      </c>
      <c r="R709" s="67" t="s">
        <v>947</v>
      </c>
      <c r="S709" s="67">
        <f t="shared" si="176"/>
        <v>4185</v>
      </c>
      <c r="T709" s="67">
        <v>2607</v>
      </c>
      <c r="U709" s="67">
        <v>1578</v>
      </c>
      <c r="V709" s="67">
        <v>1.7000000000000001E-2</v>
      </c>
      <c r="AB709" s="67">
        <v>0.86299999999999999</v>
      </c>
      <c r="AC709" s="67">
        <v>0.84499999999999997</v>
      </c>
      <c r="AF709" s="67">
        <f t="shared" si="182"/>
        <v>0.67454840521154491</v>
      </c>
      <c r="AH709" s="70">
        <v>0.5</v>
      </c>
      <c r="AI709" s="70">
        <f t="shared" si="183"/>
        <v>2.5202046092850278E-2</v>
      </c>
      <c r="AK709" s="68" t="s">
        <v>939</v>
      </c>
    </row>
    <row r="710" spans="1:49" ht="30" customHeight="1" x14ac:dyDescent="0.25">
      <c r="A710" s="67" t="s">
        <v>104</v>
      </c>
      <c r="B710" s="67" t="s">
        <v>207</v>
      </c>
      <c r="C710" s="67" t="s">
        <v>104</v>
      </c>
      <c r="D710" s="67">
        <f t="shared" si="184"/>
        <v>47</v>
      </c>
      <c r="E710" s="67" t="s">
        <v>605</v>
      </c>
      <c r="F710" s="67" t="s">
        <v>787</v>
      </c>
      <c r="G710" s="68" t="s">
        <v>578</v>
      </c>
      <c r="H710" s="67">
        <v>1</v>
      </c>
      <c r="I710" s="67">
        <v>60</v>
      </c>
      <c r="J710" s="67">
        <v>1</v>
      </c>
      <c r="K710" s="68" t="s">
        <v>941</v>
      </c>
      <c r="L710" s="67" t="s">
        <v>240</v>
      </c>
      <c r="M710" s="68" t="s">
        <v>824</v>
      </c>
      <c r="N710" s="67" t="s">
        <v>240</v>
      </c>
      <c r="O710" s="94">
        <v>0.02</v>
      </c>
      <c r="P710" s="94">
        <v>0</v>
      </c>
      <c r="Q710" s="67">
        <v>0</v>
      </c>
      <c r="R710" s="67" t="s">
        <v>947</v>
      </c>
      <c r="S710" s="67">
        <f t="shared" si="176"/>
        <v>4185</v>
      </c>
      <c r="T710" s="67">
        <v>2607</v>
      </c>
      <c r="U710" s="67">
        <v>1578</v>
      </c>
      <c r="V710" s="67">
        <v>1.4999999999999999E-2</v>
      </c>
      <c r="AB710" s="67">
        <v>0.83799999999999997</v>
      </c>
      <c r="AC710" s="67">
        <v>0.82299999999999995</v>
      </c>
      <c r="AF710" s="67">
        <f t="shared" si="182"/>
        <v>0.67454840521154491</v>
      </c>
      <c r="AH710" s="70">
        <v>0.5</v>
      </c>
      <c r="AI710" s="70">
        <f t="shared" si="183"/>
        <v>2.2237099493691417E-2</v>
      </c>
      <c r="AK710" s="68" t="s">
        <v>939</v>
      </c>
    </row>
    <row r="711" spans="1:49" ht="30" customHeight="1" x14ac:dyDescent="0.25">
      <c r="A711" s="67" t="s">
        <v>104</v>
      </c>
      <c r="B711" s="67" t="s">
        <v>207</v>
      </c>
      <c r="C711" s="67" t="s">
        <v>104</v>
      </c>
      <c r="D711" s="67">
        <f t="shared" si="184"/>
        <v>48</v>
      </c>
      <c r="E711" s="67" t="s">
        <v>605</v>
      </c>
      <c r="F711" s="67" t="s">
        <v>787</v>
      </c>
      <c r="G711" s="68" t="s">
        <v>578</v>
      </c>
      <c r="H711" s="67">
        <v>1</v>
      </c>
      <c r="I711" s="67">
        <v>72</v>
      </c>
      <c r="J711" s="67">
        <v>1</v>
      </c>
      <c r="K711" s="68" t="s">
        <v>941</v>
      </c>
      <c r="L711" s="67" t="s">
        <v>240</v>
      </c>
      <c r="M711" s="68" t="s">
        <v>824</v>
      </c>
      <c r="N711" s="67" t="s">
        <v>240</v>
      </c>
      <c r="O711" s="94">
        <v>0.02</v>
      </c>
      <c r="P711" s="94">
        <v>0</v>
      </c>
      <c r="Q711" s="67">
        <v>0</v>
      </c>
      <c r="R711" s="67" t="s">
        <v>947</v>
      </c>
      <c r="S711" s="67">
        <f t="shared" si="176"/>
        <v>4185</v>
      </c>
      <c r="T711" s="67">
        <v>2607</v>
      </c>
      <c r="U711" s="67">
        <v>1578</v>
      </c>
      <c r="V711" s="67">
        <v>1.6E-2</v>
      </c>
      <c r="AB711" s="67">
        <v>0.80800000000000005</v>
      </c>
      <c r="AC711" s="67">
        <v>0.79200000000000004</v>
      </c>
      <c r="AF711" s="67">
        <f t="shared" si="182"/>
        <v>0.67454840521154491</v>
      </c>
      <c r="AH711" s="70">
        <v>0.5</v>
      </c>
      <c r="AI711" s="70">
        <f t="shared" si="183"/>
        <v>2.371957279327085E-2</v>
      </c>
      <c r="AK711" s="68" t="s">
        <v>939</v>
      </c>
    </row>
    <row r="712" spans="1:49" ht="30" customHeight="1" x14ac:dyDescent="0.25">
      <c r="A712" s="67" t="s">
        <v>104</v>
      </c>
      <c r="B712" s="67" t="s">
        <v>207</v>
      </c>
      <c r="C712" s="67" t="s">
        <v>104</v>
      </c>
      <c r="D712" s="67">
        <f t="shared" si="184"/>
        <v>49</v>
      </c>
      <c r="E712" s="67" t="s">
        <v>605</v>
      </c>
      <c r="F712" s="67" t="s">
        <v>787</v>
      </c>
      <c r="G712" s="68" t="s">
        <v>578</v>
      </c>
      <c r="H712" s="67">
        <v>1</v>
      </c>
      <c r="I712" s="67">
        <v>84</v>
      </c>
      <c r="J712" s="67">
        <v>1</v>
      </c>
      <c r="K712" s="68" t="s">
        <v>941</v>
      </c>
      <c r="L712" s="67" t="s">
        <v>240</v>
      </c>
      <c r="M712" s="68" t="s">
        <v>824</v>
      </c>
      <c r="N712" s="67" t="s">
        <v>240</v>
      </c>
      <c r="O712" s="94">
        <v>0.02</v>
      </c>
      <c r="P712" s="94">
        <v>0</v>
      </c>
      <c r="Q712" s="67">
        <v>0</v>
      </c>
      <c r="R712" s="67" t="s">
        <v>947</v>
      </c>
      <c r="S712" s="67">
        <f t="shared" si="176"/>
        <v>4185</v>
      </c>
      <c r="T712" s="67">
        <v>2607</v>
      </c>
      <c r="U712" s="67">
        <v>1578</v>
      </c>
      <c r="V712" s="67">
        <v>0.02</v>
      </c>
      <c r="AB712" s="67">
        <v>0.78500000000000003</v>
      </c>
      <c r="AC712" s="67">
        <v>0.76500000000000001</v>
      </c>
      <c r="AF712" s="67">
        <f t="shared" si="182"/>
        <v>0.67454840521154491</v>
      </c>
      <c r="AH712" s="70">
        <v>0.5</v>
      </c>
      <c r="AI712" s="70">
        <f t="shared" si="183"/>
        <v>2.9649465991588561E-2</v>
      </c>
      <c r="AK712" s="68" t="s">
        <v>939</v>
      </c>
    </row>
    <row r="713" spans="1:49" ht="30" customHeight="1" x14ac:dyDescent="0.25">
      <c r="A713" s="67" t="s">
        <v>104</v>
      </c>
      <c r="B713" s="67" t="s">
        <v>207</v>
      </c>
      <c r="C713" s="67" t="s">
        <v>104</v>
      </c>
      <c r="D713" s="67">
        <f t="shared" si="184"/>
        <v>50</v>
      </c>
      <c r="E713" s="67" t="s">
        <v>605</v>
      </c>
      <c r="F713" s="67" t="s">
        <v>787</v>
      </c>
      <c r="G713" s="68" t="s">
        <v>578</v>
      </c>
      <c r="H713" s="67">
        <v>1</v>
      </c>
      <c r="I713" s="67">
        <v>96</v>
      </c>
      <c r="J713" s="67">
        <v>1</v>
      </c>
      <c r="K713" s="68" t="s">
        <v>941</v>
      </c>
      <c r="L713" s="67" t="s">
        <v>240</v>
      </c>
      <c r="M713" s="68" t="s">
        <v>824</v>
      </c>
      <c r="N713" s="67" t="s">
        <v>240</v>
      </c>
      <c r="O713" s="94">
        <v>0.02</v>
      </c>
      <c r="P713" s="94">
        <v>0</v>
      </c>
      <c r="Q713" s="67">
        <v>0</v>
      </c>
      <c r="R713" s="67" t="s">
        <v>947</v>
      </c>
      <c r="S713" s="67">
        <f t="shared" ref="S713:S744" si="190">T713+U713</f>
        <v>4185</v>
      </c>
      <c r="T713" s="67">
        <v>2607</v>
      </c>
      <c r="U713" s="67">
        <v>1578</v>
      </c>
      <c r="V713" s="67">
        <v>0.02</v>
      </c>
      <c r="AB713" s="67">
        <v>0.77600000000000002</v>
      </c>
      <c r="AC713" s="67">
        <v>0.75600000000000001</v>
      </c>
      <c r="AF713" s="67">
        <f t="shared" si="182"/>
        <v>0.67454840521154491</v>
      </c>
      <c r="AH713" s="70">
        <v>0.5</v>
      </c>
      <c r="AI713" s="70">
        <f t="shared" si="183"/>
        <v>2.9649465991588561E-2</v>
      </c>
      <c r="AK713" s="68" t="s">
        <v>939</v>
      </c>
    </row>
    <row r="714" spans="1:49" ht="30" customHeight="1" x14ac:dyDescent="0.25">
      <c r="A714" s="67" t="s">
        <v>104</v>
      </c>
      <c r="B714" s="67" t="s">
        <v>207</v>
      </c>
      <c r="C714" s="67" t="s">
        <v>104</v>
      </c>
      <c r="D714" s="67">
        <f t="shared" si="184"/>
        <v>51</v>
      </c>
      <c r="E714" s="67" t="s">
        <v>583</v>
      </c>
      <c r="F714" s="67" t="s">
        <v>240</v>
      </c>
      <c r="G714" s="68" t="s">
        <v>578</v>
      </c>
      <c r="H714" s="67">
        <v>1</v>
      </c>
      <c r="I714" s="67">
        <v>0</v>
      </c>
      <c r="J714" s="67">
        <v>2</v>
      </c>
      <c r="K714" s="68" t="s">
        <v>937</v>
      </c>
      <c r="L714" s="67" t="s">
        <v>938</v>
      </c>
      <c r="M714" s="68" t="s">
        <v>824</v>
      </c>
      <c r="N714" s="67" t="s">
        <v>240</v>
      </c>
      <c r="O714" s="94">
        <v>0.02</v>
      </c>
      <c r="P714" s="94">
        <v>0</v>
      </c>
      <c r="Q714" s="67">
        <v>0</v>
      </c>
      <c r="R714" s="67" t="s">
        <v>949</v>
      </c>
      <c r="S714" s="67">
        <f t="shared" si="190"/>
        <v>9168</v>
      </c>
      <c r="T714" s="67">
        <v>5314</v>
      </c>
      <c r="U714" s="67">
        <v>3854</v>
      </c>
      <c r="V714" s="67">
        <v>-229</v>
      </c>
      <c r="AB714" s="67">
        <v>3278</v>
      </c>
      <c r="AC714" s="67">
        <v>3507</v>
      </c>
      <c r="AF714" s="67">
        <f t="shared" si="182"/>
        <v>2.5763657983781583</v>
      </c>
      <c r="AH714" s="70">
        <v>0.01</v>
      </c>
      <c r="AI714" s="70">
        <f t="shared" si="183"/>
        <v>88.884893652973204</v>
      </c>
      <c r="AK714" s="68" t="s">
        <v>943</v>
      </c>
      <c r="AP714" s="67">
        <f t="shared" ref="AP714:AP720" si="191">+V714/AQ714</f>
        <v>-5.4510252947312335E-2</v>
      </c>
      <c r="AQ714" s="67">
        <f t="shared" ref="AQ714:AQ720" si="192">+AI714*SQRT(T714*U714/S714)</f>
        <v>4201.0445304912309</v>
      </c>
      <c r="AS714" s="67">
        <f t="shared" ref="AS714:AS720" si="193">+AP714^2/(AU714-2)*(AU714/(V714/AI714)^2+AU714*AV714^2-AU714+2)</f>
        <v>4.4839902532913136E-4</v>
      </c>
      <c r="AU714" s="67">
        <f t="shared" ref="AU714:AU720" si="194">+S714-2</f>
        <v>9166</v>
      </c>
      <c r="AV714" s="67">
        <f t="shared" ref="AV714:AV720" si="195">IFERROR(1/(SQRT(AU714/2)*_xlfn.GAMMA(AU714/2-0.5)/_xlfn.GAMMA(AU714/2)),1)</f>
        <v>1</v>
      </c>
      <c r="AW714" s="67" t="s">
        <v>1350</v>
      </c>
    </row>
    <row r="715" spans="1:49" ht="30" customHeight="1" x14ac:dyDescent="0.25">
      <c r="A715" s="67" t="s">
        <v>104</v>
      </c>
      <c r="B715" s="67" t="s">
        <v>207</v>
      </c>
      <c r="C715" s="67" t="s">
        <v>104</v>
      </c>
      <c r="D715" s="67">
        <f t="shared" si="184"/>
        <v>52</v>
      </c>
      <c r="E715" s="67" t="s">
        <v>583</v>
      </c>
      <c r="F715" s="67" t="s">
        <v>240</v>
      </c>
      <c r="G715" s="68" t="s">
        <v>578</v>
      </c>
      <c r="H715" s="67">
        <v>1</v>
      </c>
      <c r="I715" s="67">
        <v>12</v>
      </c>
      <c r="J715" s="67">
        <v>2</v>
      </c>
      <c r="K715" s="68" t="s">
        <v>937</v>
      </c>
      <c r="L715" s="67" t="s">
        <v>938</v>
      </c>
      <c r="M715" s="68" t="s">
        <v>824</v>
      </c>
      <c r="N715" s="67" t="s">
        <v>240</v>
      </c>
      <c r="O715" s="94">
        <v>0.02</v>
      </c>
      <c r="P715" s="94">
        <v>0</v>
      </c>
      <c r="Q715" s="67">
        <v>0</v>
      </c>
      <c r="R715" s="67" t="s">
        <v>949</v>
      </c>
      <c r="S715" s="67">
        <f t="shared" si="190"/>
        <v>9168</v>
      </c>
      <c r="T715" s="67">
        <v>5314</v>
      </c>
      <c r="U715" s="67">
        <v>3854</v>
      </c>
      <c r="V715" s="67">
        <v>209</v>
      </c>
      <c r="AB715" s="67">
        <v>4945</v>
      </c>
      <c r="AC715" s="67">
        <v>4736</v>
      </c>
      <c r="AF715" s="67">
        <f t="shared" si="182"/>
        <v>2.5763657983781583</v>
      </c>
      <c r="AH715" s="70">
        <v>0.01</v>
      </c>
      <c r="AI715" s="70">
        <f t="shared" si="183"/>
        <v>81.122020844853267</v>
      </c>
      <c r="AK715" s="68" t="s">
        <v>944</v>
      </c>
      <c r="AP715" s="67">
        <f t="shared" si="191"/>
        <v>5.4510252947312342E-2</v>
      </c>
      <c r="AQ715" s="67">
        <f t="shared" si="192"/>
        <v>3834.1410780465817</v>
      </c>
      <c r="AS715" s="67">
        <f t="shared" si="193"/>
        <v>4.4839902532913141E-4</v>
      </c>
      <c r="AU715" s="67">
        <f t="shared" si="194"/>
        <v>9166</v>
      </c>
      <c r="AV715" s="67">
        <f t="shared" si="195"/>
        <v>1</v>
      </c>
      <c r="AW715" s="67" t="s">
        <v>1350</v>
      </c>
    </row>
    <row r="716" spans="1:49" ht="30" customHeight="1" x14ac:dyDescent="0.25">
      <c r="A716" s="67" t="s">
        <v>104</v>
      </c>
      <c r="B716" s="67" t="s">
        <v>207</v>
      </c>
      <c r="C716" s="67" t="s">
        <v>104</v>
      </c>
      <c r="D716" s="67">
        <f t="shared" si="184"/>
        <v>53</v>
      </c>
      <c r="E716" s="67" t="s">
        <v>583</v>
      </c>
      <c r="F716" s="67" t="s">
        <v>240</v>
      </c>
      <c r="G716" s="68" t="s">
        <v>578</v>
      </c>
      <c r="H716" s="67">
        <v>1</v>
      </c>
      <c r="I716" s="67">
        <v>48</v>
      </c>
      <c r="J716" s="67">
        <v>2</v>
      </c>
      <c r="K716" s="68" t="s">
        <v>937</v>
      </c>
      <c r="L716" s="67" t="s">
        <v>938</v>
      </c>
      <c r="M716" s="68" t="s">
        <v>824</v>
      </c>
      <c r="N716" s="67" t="s">
        <v>240</v>
      </c>
      <c r="O716" s="94">
        <v>0.02</v>
      </c>
      <c r="P716" s="94">
        <v>0</v>
      </c>
      <c r="Q716" s="67">
        <v>0</v>
      </c>
      <c r="R716" s="67" t="s">
        <v>949</v>
      </c>
      <c r="S716" s="67">
        <f t="shared" si="190"/>
        <v>9168</v>
      </c>
      <c r="T716" s="67">
        <v>5314</v>
      </c>
      <c r="U716" s="67">
        <v>3854</v>
      </c>
      <c r="V716" s="67">
        <v>-11</v>
      </c>
      <c r="AB716" s="67">
        <v>8138</v>
      </c>
      <c r="AC716" s="67">
        <v>8149</v>
      </c>
      <c r="AF716" s="67">
        <f t="shared" ref="AF716:AF745" si="196">_xlfn.T.INV.2T(AH716,S716-2)</f>
        <v>0.67451651689836611</v>
      </c>
      <c r="AH716" s="70">
        <v>0.5</v>
      </c>
      <c r="AI716" s="70">
        <f t="shared" ref="AI716:AI745" si="197">ABS(V716/AF716)</f>
        <v>16.307977231723509</v>
      </c>
      <c r="AK716" s="68" t="s">
        <v>939</v>
      </c>
      <c r="AP716" s="67">
        <f t="shared" si="191"/>
        <v>-1.4271290969790001E-2</v>
      </c>
      <c r="AQ716" s="67">
        <f t="shared" si="192"/>
        <v>770.77820242648045</v>
      </c>
      <c r="AS716" s="67">
        <f t="shared" si="193"/>
        <v>4.4779498824261139E-4</v>
      </c>
      <c r="AU716" s="67">
        <f t="shared" si="194"/>
        <v>9166</v>
      </c>
      <c r="AV716" s="67">
        <f t="shared" si="195"/>
        <v>1</v>
      </c>
      <c r="AW716" s="67" t="s">
        <v>1350</v>
      </c>
    </row>
    <row r="717" spans="1:49" ht="30" customHeight="1" x14ac:dyDescent="0.25">
      <c r="A717" s="67" t="s">
        <v>104</v>
      </c>
      <c r="B717" s="67" t="s">
        <v>207</v>
      </c>
      <c r="C717" s="67" t="s">
        <v>104</v>
      </c>
      <c r="D717" s="67">
        <f t="shared" si="184"/>
        <v>54</v>
      </c>
      <c r="E717" s="67" t="s">
        <v>583</v>
      </c>
      <c r="F717" s="67" t="s">
        <v>240</v>
      </c>
      <c r="G717" s="68" t="s">
        <v>578</v>
      </c>
      <c r="H717" s="67">
        <v>1</v>
      </c>
      <c r="I717" s="67">
        <v>60</v>
      </c>
      <c r="J717" s="67">
        <v>2</v>
      </c>
      <c r="K717" s="68" t="s">
        <v>937</v>
      </c>
      <c r="L717" s="67" t="s">
        <v>938</v>
      </c>
      <c r="M717" s="68" t="s">
        <v>824</v>
      </c>
      <c r="N717" s="67" t="s">
        <v>240</v>
      </c>
      <c r="O717" s="94">
        <v>0.02</v>
      </c>
      <c r="P717" s="94">
        <v>0</v>
      </c>
      <c r="Q717" s="67">
        <v>0</v>
      </c>
      <c r="R717" s="67" t="s">
        <v>949</v>
      </c>
      <c r="S717" s="67">
        <f t="shared" si="190"/>
        <v>9168</v>
      </c>
      <c r="T717" s="67">
        <v>5314</v>
      </c>
      <c r="U717" s="67">
        <v>3854</v>
      </c>
      <c r="V717" s="67">
        <v>99</v>
      </c>
      <c r="AB717" s="67">
        <v>8339</v>
      </c>
      <c r="AC717" s="67">
        <v>8239</v>
      </c>
      <c r="AF717" s="67">
        <f t="shared" si="196"/>
        <v>0.67451651689836611</v>
      </c>
      <c r="AH717" s="70">
        <v>0.5</v>
      </c>
      <c r="AI717" s="70">
        <f t="shared" si="197"/>
        <v>146.77179508551157</v>
      </c>
      <c r="AK717" s="68" t="s">
        <v>939</v>
      </c>
      <c r="AP717" s="67">
        <f t="shared" si="191"/>
        <v>1.4271290969790001E-2</v>
      </c>
      <c r="AQ717" s="67">
        <f t="shared" si="192"/>
        <v>6937.0038218383243</v>
      </c>
      <c r="AS717" s="67">
        <f t="shared" si="193"/>
        <v>4.4779498824261139E-4</v>
      </c>
      <c r="AU717" s="67">
        <f t="shared" si="194"/>
        <v>9166</v>
      </c>
      <c r="AV717" s="67">
        <f t="shared" si="195"/>
        <v>1</v>
      </c>
      <c r="AW717" s="67" t="s">
        <v>1350</v>
      </c>
    </row>
    <row r="718" spans="1:49" ht="30" customHeight="1" x14ac:dyDescent="0.25">
      <c r="A718" s="67" t="s">
        <v>104</v>
      </c>
      <c r="B718" s="67" t="s">
        <v>207</v>
      </c>
      <c r="C718" s="67" t="s">
        <v>104</v>
      </c>
      <c r="D718" s="67">
        <f t="shared" si="184"/>
        <v>55</v>
      </c>
      <c r="E718" s="67" t="s">
        <v>583</v>
      </c>
      <c r="F718" s="67" t="s">
        <v>240</v>
      </c>
      <c r="G718" s="68" t="s">
        <v>578</v>
      </c>
      <c r="H718" s="67">
        <v>1</v>
      </c>
      <c r="I718" s="67">
        <v>96</v>
      </c>
      <c r="J718" s="67">
        <v>2</v>
      </c>
      <c r="K718" s="68" t="s">
        <v>937</v>
      </c>
      <c r="L718" s="67" t="s">
        <v>938</v>
      </c>
      <c r="M718" s="68" t="s">
        <v>824</v>
      </c>
      <c r="N718" s="67" t="s">
        <v>240</v>
      </c>
      <c r="O718" s="94">
        <v>0.02</v>
      </c>
      <c r="P718" s="94">
        <v>0</v>
      </c>
      <c r="Q718" s="67">
        <v>0</v>
      </c>
      <c r="R718" s="67" t="s">
        <v>949</v>
      </c>
      <c r="S718" s="67">
        <f t="shared" si="190"/>
        <v>9168</v>
      </c>
      <c r="T718" s="67">
        <v>5314</v>
      </c>
      <c r="U718" s="67">
        <v>3854</v>
      </c>
      <c r="V718" s="67">
        <v>7</v>
      </c>
      <c r="AB718" s="67">
        <v>8839</v>
      </c>
      <c r="AC718" s="67">
        <v>8833</v>
      </c>
      <c r="AF718" s="67">
        <f t="shared" si="196"/>
        <v>0.67451651689836611</v>
      </c>
      <c r="AH718" s="70">
        <v>0.5</v>
      </c>
      <c r="AI718" s="70">
        <f t="shared" si="197"/>
        <v>10.377803692914959</v>
      </c>
      <c r="AK718" s="68" t="s">
        <v>939</v>
      </c>
      <c r="AP718" s="67">
        <f t="shared" si="191"/>
        <v>1.4271290969790001E-2</v>
      </c>
      <c r="AQ718" s="67">
        <f t="shared" si="192"/>
        <v>490.49521972594209</v>
      </c>
      <c r="AS718" s="67">
        <f t="shared" si="193"/>
        <v>4.4779498824261123E-4</v>
      </c>
      <c r="AU718" s="67">
        <f t="shared" si="194"/>
        <v>9166</v>
      </c>
      <c r="AV718" s="67">
        <f t="shared" si="195"/>
        <v>1</v>
      </c>
      <c r="AW718" s="67" t="s">
        <v>1350</v>
      </c>
    </row>
    <row r="719" spans="1:49" ht="30" customHeight="1" x14ac:dyDescent="0.25">
      <c r="A719" s="67" t="s">
        <v>104</v>
      </c>
      <c r="B719" s="67" t="s">
        <v>207</v>
      </c>
      <c r="C719" s="67" t="s">
        <v>104</v>
      </c>
      <c r="D719" s="67">
        <f t="shared" si="184"/>
        <v>56</v>
      </c>
      <c r="E719" s="67" t="s">
        <v>583</v>
      </c>
      <c r="F719" s="67" t="s">
        <v>240</v>
      </c>
      <c r="G719" s="68" t="s">
        <v>578</v>
      </c>
      <c r="H719" s="67">
        <v>1</v>
      </c>
      <c r="I719" s="67">
        <v>12</v>
      </c>
      <c r="J719" s="67">
        <v>2</v>
      </c>
      <c r="K719" s="68" t="s">
        <v>937</v>
      </c>
      <c r="L719" s="67" t="s">
        <v>938</v>
      </c>
      <c r="M719" s="68" t="s">
        <v>570</v>
      </c>
      <c r="N719" s="67" t="s">
        <v>240</v>
      </c>
      <c r="O719" s="94">
        <v>0.02</v>
      </c>
      <c r="P719" s="94">
        <v>0</v>
      </c>
      <c r="Q719" s="67">
        <v>0</v>
      </c>
      <c r="R719" s="67" t="s">
        <v>949</v>
      </c>
      <c r="S719" s="67">
        <f t="shared" si="190"/>
        <v>9168</v>
      </c>
      <c r="T719" s="67">
        <v>5314</v>
      </c>
      <c r="U719" s="67">
        <v>3854</v>
      </c>
      <c r="V719" s="67">
        <v>297</v>
      </c>
      <c r="AB719" s="67">
        <v>9252</v>
      </c>
      <c r="AC719" s="67">
        <v>8955</v>
      </c>
      <c r="AF719" s="67">
        <f t="shared" si="196"/>
        <v>0.67451651689836611</v>
      </c>
      <c r="AH719" s="70">
        <v>0.5</v>
      </c>
      <c r="AI719" s="70">
        <f t="shared" si="197"/>
        <v>440.31538525653474</v>
      </c>
      <c r="AK719" s="68" t="s">
        <v>939</v>
      </c>
      <c r="AP719" s="67">
        <f t="shared" si="191"/>
        <v>1.4271290969790001E-2</v>
      </c>
      <c r="AQ719" s="67">
        <f t="shared" si="192"/>
        <v>20811.011465514974</v>
      </c>
      <c r="AS719" s="67">
        <f t="shared" si="193"/>
        <v>4.4779498824261139E-4</v>
      </c>
      <c r="AU719" s="67">
        <f t="shared" si="194"/>
        <v>9166</v>
      </c>
      <c r="AV719" s="67">
        <f t="shared" si="195"/>
        <v>1</v>
      </c>
      <c r="AW719" s="67" t="s">
        <v>1350</v>
      </c>
    </row>
    <row r="720" spans="1:49" ht="30" customHeight="1" x14ac:dyDescent="0.25">
      <c r="A720" s="67" t="s">
        <v>104</v>
      </c>
      <c r="B720" s="67" t="s">
        <v>207</v>
      </c>
      <c r="C720" s="67" t="s">
        <v>104</v>
      </c>
      <c r="D720" s="67">
        <f t="shared" si="184"/>
        <v>57</v>
      </c>
      <c r="E720" s="67" t="s">
        <v>583</v>
      </c>
      <c r="F720" s="67" t="s">
        <v>240</v>
      </c>
      <c r="G720" s="68" t="s">
        <v>578</v>
      </c>
      <c r="H720" s="67">
        <v>1</v>
      </c>
      <c r="I720" s="67">
        <v>24</v>
      </c>
      <c r="J720" s="67">
        <v>2</v>
      </c>
      <c r="K720" s="68" t="s">
        <v>937</v>
      </c>
      <c r="L720" s="67" t="s">
        <v>938</v>
      </c>
      <c r="M720" s="68" t="s">
        <v>570</v>
      </c>
      <c r="N720" s="67" t="s">
        <v>240</v>
      </c>
      <c r="O720" s="94">
        <v>0.02</v>
      </c>
      <c r="P720" s="94">
        <v>0</v>
      </c>
      <c r="Q720" s="67">
        <v>0</v>
      </c>
      <c r="R720" s="67" t="s">
        <v>949</v>
      </c>
      <c r="S720" s="67">
        <f t="shared" si="190"/>
        <v>9168</v>
      </c>
      <c r="T720" s="67">
        <v>5314</v>
      </c>
      <c r="U720" s="67">
        <v>3854</v>
      </c>
      <c r="V720" s="67">
        <v>1140</v>
      </c>
      <c r="AB720" s="67">
        <v>11721</v>
      </c>
      <c r="AC720" s="67">
        <v>10581</v>
      </c>
      <c r="AF720" s="67">
        <f t="shared" si="196"/>
        <v>2.5763657983781583</v>
      </c>
      <c r="AH720" s="70">
        <v>0.01</v>
      </c>
      <c r="AI720" s="70">
        <f t="shared" si="197"/>
        <v>442.48375006283601</v>
      </c>
      <c r="AK720" s="68" t="s">
        <v>943</v>
      </c>
      <c r="AP720" s="67">
        <f t="shared" si="191"/>
        <v>5.4510252947312342E-2</v>
      </c>
      <c r="AQ720" s="67">
        <f t="shared" si="192"/>
        <v>20913.49678934499</v>
      </c>
      <c r="AS720" s="67">
        <f t="shared" si="193"/>
        <v>4.4839902532913141E-4</v>
      </c>
      <c r="AU720" s="67">
        <f t="shared" si="194"/>
        <v>9166</v>
      </c>
      <c r="AV720" s="67">
        <f t="shared" si="195"/>
        <v>1</v>
      </c>
      <c r="AW720" s="67" t="s">
        <v>1350</v>
      </c>
    </row>
    <row r="721" spans="1:49" ht="30" customHeight="1" x14ac:dyDescent="0.25">
      <c r="A721" s="67" t="s">
        <v>104</v>
      </c>
      <c r="B721" s="67" t="s">
        <v>207</v>
      </c>
      <c r="C721" s="67" t="s">
        <v>104</v>
      </c>
      <c r="D721" s="67">
        <f t="shared" si="184"/>
        <v>58</v>
      </c>
      <c r="E721" s="67" t="s">
        <v>583</v>
      </c>
      <c r="F721" s="67" t="s">
        <v>240</v>
      </c>
      <c r="G721" s="68" t="s">
        <v>578</v>
      </c>
      <c r="H721" s="67">
        <v>1</v>
      </c>
      <c r="I721" s="67">
        <v>0</v>
      </c>
      <c r="J721" s="67">
        <v>1</v>
      </c>
      <c r="K721" s="68" t="s">
        <v>941</v>
      </c>
      <c r="L721" s="67" t="s">
        <v>240</v>
      </c>
      <c r="M721" s="68" t="s">
        <v>824</v>
      </c>
      <c r="N721" s="67" t="s">
        <v>240</v>
      </c>
      <c r="O721" s="94">
        <v>0.02</v>
      </c>
      <c r="P721" s="94">
        <v>0</v>
      </c>
      <c r="Q721" s="67">
        <v>0</v>
      </c>
      <c r="R721" s="67" t="s">
        <v>949</v>
      </c>
      <c r="S721" s="67">
        <f t="shared" si="190"/>
        <v>9168</v>
      </c>
      <c r="T721" s="67">
        <v>5314</v>
      </c>
      <c r="U721" s="67">
        <v>3854</v>
      </c>
      <c r="V721" s="67">
        <v>0.10100000000000001</v>
      </c>
      <c r="AB721" s="67">
        <v>0.89600000000000002</v>
      </c>
      <c r="AC721" s="67">
        <v>0.79500000000000004</v>
      </c>
      <c r="AF721" s="67">
        <f t="shared" si="196"/>
        <v>2.5763657983781583</v>
      </c>
      <c r="AH721" s="70">
        <v>0.01</v>
      </c>
      <c r="AI721" s="70">
        <f t="shared" si="197"/>
        <v>3.9202507681005652E-2</v>
      </c>
      <c r="AK721" s="68" t="s">
        <v>943</v>
      </c>
    </row>
    <row r="722" spans="1:49" ht="30" customHeight="1" x14ac:dyDescent="0.25">
      <c r="A722" s="67" t="s">
        <v>104</v>
      </c>
      <c r="B722" s="67" t="s">
        <v>207</v>
      </c>
      <c r="C722" s="67" t="s">
        <v>104</v>
      </c>
      <c r="D722" s="67">
        <f t="shared" si="184"/>
        <v>59</v>
      </c>
      <c r="E722" s="67" t="s">
        <v>583</v>
      </c>
      <c r="F722" s="67" t="s">
        <v>240</v>
      </c>
      <c r="G722" s="68" t="s">
        <v>578</v>
      </c>
      <c r="H722" s="67">
        <v>1</v>
      </c>
      <c r="I722" s="67">
        <v>12</v>
      </c>
      <c r="J722" s="67">
        <v>1</v>
      </c>
      <c r="K722" s="68" t="s">
        <v>941</v>
      </c>
      <c r="L722" s="67" t="s">
        <v>240</v>
      </c>
      <c r="M722" s="68" t="s">
        <v>824</v>
      </c>
      <c r="N722" s="67" t="s">
        <v>240</v>
      </c>
      <c r="O722" s="94">
        <v>0.02</v>
      </c>
      <c r="P722" s="94">
        <v>0</v>
      </c>
      <c r="Q722" s="67">
        <v>0</v>
      </c>
      <c r="R722" s="67" t="s">
        <v>949</v>
      </c>
      <c r="S722" s="67">
        <f t="shared" si="190"/>
        <v>9168</v>
      </c>
      <c r="T722" s="67">
        <v>5314</v>
      </c>
      <c r="U722" s="67">
        <v>3854</v>
      </c>
      <c r="V722" s="67">
        <v>0.02</v>
      </c>
      <c r="AB722" s="67">
        <v>0.84699999999999998</v>
      </c>
      <c r="AC722" s="67">
        <v>0.82699999999999996</v>
      </c>
      <c r="AF722" s="67">
        <f t="shared" si="196"/>
        <v>2.5763657983781583</v>
      </c>
      <c r="AH722" s="70">
        <v>0.01</v>
      </c>
      <c r="AI722" s="70">
        <f t="shared" si="197"/>
        <v>7.7628728081199309E-3</v>
      </c>
      <c r="AK722" s="68" t="s">
        <v>943</v>
      </c>
    </row>
    <row r="723" spans="1:49" ht="30" customHeight="1" x14ac:dyDescent="0.25">
      <c r="A723" s="67" t="s">
        <v>104</v>
      </c>
      <c r="B723" s="67" t="s">
        <v>207</v>
      </c>
      <c r="C723" s="67" t="s">
        <v>104</v>
      </c>
      <c r="D723" s="67">
        <f t="shared" si="184"/>
        <v>60</v>
      </c>
      <c r="E723" s="67" t="s">
        <v>583</v>
      </c>
      <c r="F723" s="67" t="s">
        <v>240</v>
      </c>
      <c r="G723" s="68" t="s">
        <v>578</v>
      </c>
      <c r="H723" s="67">
        <v>1</v>
      </c>
      <c r="I723" s="67">
        <v>24</v>
      </c>
      <c r="J723" s="67">
        <v>1</v>
      </c>
      <c r="K723" s="68" t="s">
        <v>941</v>
      </c>
      <c r="L723" s="67" t="s">
        <v>240</v>
      </c>
      <c r="M723" s="68" t="s">
        <v>824</v>
      </c>
      <c r="N723" s="67" t="s">
        <v>240</v>
      </c>
      <c r="O723" s="94">
        <v>0.02</v>
      </c>
      <c r="P723" s="94">
        <v>0</v>
      </c>
      <c r="Q723" s="67">
        <v>0</v>
      </c>
      <c r="R723" s="67" t="s">
        <v>949</v>
      </c>
      <c r="S723" s="67">
        <f t="shared" si="190"/>
        <v>9168</v>
      </c>
      <c r="T723" s="67">
        <v>5314</v>
      </c>
      <c r="U723" s="67">
        <v>3854</v>
      </c>
      <c r="V723" s="67">
        <v>1.4999999999999999E-2</v>
      </c>
      <c r="AB723" s="67">
        <v>0.84899999999999998</v>
      </c>
      <c r="AC723" s="67">
        <v>0.83399999999999996</v>
      </c>
      <c r="AF723" s="67">
        <f t="shared" si="196"/>
        <v>1.9602228301859301</v>
      </c>
      <c r="AH723" s="70">
        <v>0.05</v>
      </c>
      <c r="AI723" s="70">
        <f t="shared" si="197"/>
        <v>7.6521912555100819E-3</v>
      </c>
      <c r="AK723" s="68" t="s">
        <v>948</v>
      </c>
    </row>
    <row r="724" spans="1:49" ht="30" customHeight="1" x14ac:dyDescent="0.25">
      <c r="A724" s="67" t="s">
        <v>104</v>
      </c>
      <c r="B724" s="67" t="s">
        <v>207</v>
      </c>
      <c r="C724" s="67" t="s">
        <v>104</v>
      </c>
      <c r="D724" s="67">
        <f t="shared" si="184"/>
        <v>61</v>
      </c>
      <c r="E724" s="67" t="s">
        <v>583</v>
      </c>
      <c r="F724" s="67" t="s">
        <v>240</v>
      </c>
      <c r="G724" s="68" t="s">
        <v>578</v>
      </c>
      <c r="H724" s="67">
        <v>1</v>
      </c>
      <c r="I724" s="67">
        <v>36</v>
      </c>
      <c r="J724" s="67">
        <v>1</v>
      </c>
      <c r="K724" s="68" t="s">
        <v>941</v>
      </c>
      <c r="L724" s="67" t="s">
        <v>240</v>
      </c>
      <c r="M724" s="68" t="s">
        <v>824</v>
      </c>
      <c r="N724" s="67" t="s">
        <v>240</v>
      </c>
      <c r="O724" s="94">
        <v>0.02</v>
      </c>
      <c r="P724" s="94">
        <v>0</v>
      </c>
      <c r="Q724" s="67">
        <v>0</v>
      </c>
      <c r="R724" s="67" t="s">
        <v>949</v>
      </c>
      <c r="S724" s="67">
        <f t="shared" si="190"/>
        <v>9168</v>
      </c>
      <c r="T724" s="67">
        <v>5314</v>
      </c>
      <c r="U724" s="67">
        <v>3854</v>
      </c>
      <c r="V724" s="67">
        <v>8.9999999999999993E-3</v>
      </c>
      <c r="AB724" s="67">
        <v>0.84099999999999997</v>
      </c>
      <c r="AC724" s="67">
        <v>0.83099999999999996</v>
      </c>
      <c r="AF724" s="67">
        <f t="shared" si="196"/>
        <v>0.67451651689836611</v>
      </c>
      <c r="AH724" s="70">
        <v>0.5</v>
      </c>
      <c r="AI724" s="70">
        <f t="shared" si="197"/>
        <v>1.3342890462319233E-2</v>
      </c>
      <c r="AK724" s="68" t="s">
        <v>939</v>
      </c>
    </row>
    <row r="725" spans="1:49" ht="30" customHeight="1" x14ac:dyDescent="0.25">
      <c r="A725" s="67" t="s">
        <v>104</v>
      </c>
      <c r="B725" s="67" t="s">
        <v>207</v>
      </c>
      <c r="C725" s="67" t="s">
        <v>104</v>
      </c>
      <c r="D725" s="67">
        <f t="shared" si="184"/>
        <v>62</v>
      </c>
      <c r="E725" s="67" t="s">
        <v>583</v>
      </c>
      <c r="F725" s="67" t="s">
        <v>240</v>
      </c>
      <c r="G725" s="68" t="s">
        <v>578</v>
      </c>
      <c r="H725" s="67">
        <v>1</v>
      </c>
      <c r="I725" s="67">
        <v>48</v>
      </c>
      <c r="J725" s="67">
        <v>1</v>
      </c>
      <c r="K725" s="68" t="s">
        <v>941</v>
      </c>
      <c r="L725" s="67" t="s">
        <v>240</v>
      </c>
      <c r="M725" s="68" t="s">
        <v>824</v>
      </c>
      <c r="N725" s="67" t="s">
        <v>240</v>
      </c>
      <c r="O725" s="94">
        <v>0.02</v>
      </c>
      <c r="P725" s="94">
        <v>0</v>
      </c>
      <c r="Q725" s="67">
        <v>0</v>
      </c>
      <c r="R725" s="67" t="s">
        <v>949</v>
      </c>
      <c r="S725" s="67">
        <f t="shared" si="190"/>
        <v>9168</v>
      </c>
      <c r="T725" s="67">
        <v>5314</v>
      </c>
      <c r="U725" s="67">
        <v>3854</v>
      </c>
      <c r="V725" s="67">
        <v>8.0000000000000002E-3</v>
      </c>
      <c r="AB725" s="67">
        <v>0.83</v>
      </c>
      <c r="AC725" s="67">
        <v>0.82299999999999995</v>
      </c>
      <c r="AF725" s="67">
        <f t="shared" si="196"/>
        <v>0.67451651689836611</v>
      </c>
      <c r="AH725" s="70">
        <v>0.5</v>
      </c>
      <c r="AI725" s="70">
        <f t="shared" si="197"/>
        <v>1.1860347077617097E-2</v>
      </c>
      <c r="AK725" s="68" t="s">
        <v>939</v>
      </c>
    </row>
    <row r="726" spans="1:49" ht="30" customHeight="1" x14ac:dyDescent="0.25">
      <c r="A726" s="67" t="s">
        <v>104</v>
      </c>
      <c r="B726" s="67" t="s">
        <v>207</v>
      </c>
      <c r="C726" s="67" t="s">
        <v>104</v>
      </c>
      <c r="D726" s="67">
        <f t="shared" si="184"/>
        <v>63</v>
      </c>
      <c r="E726" s="67" t="s">
        <v>583</v>
      </c>
      <c r="F726" s="67" t="s">
        <v>240</v>
      </c>
      <c r="G726" s="68" t="s">
        <v>578</v>
      </c>
      <c r="H726" s="67">
        <v>1</v>
      </c>
      <c r="I726" s="67">
        <v>60</v>
      </c>
      <c r="J726" s="67">
        <v>1</v>
      </c>
      <c r="K726" s="68" t="s">
        <v>941</v>
      </c>
      <c r="L726" s="67" t="s">
        <v>240</v>
      </c>
      <c r="M726" s="68" t="s">
        <v>824</v>
      </c>
      <c r="N726" s="67" t="s">
        <v>240</v>
      </c>
      <c r="O726" s="94">
        <v>0.02</v>
      </c>
      <c r="P726" s="94">
        <v>0</v>
      </c>
      <c r="Q726" s="67">
        <v>0</v>
      </c>
      <c r="R726" s="67" t="s">
        <v>949</v>
      </c>
      <c r="S726" s="67">
        <f t="shared" si="190"/>
        <v>9168</v>
      </c>
      <c r="T726" s="67">
        <v>5314</v>
      </c>
      <c r="U726" s="67">
        <v>3854</v>
      </c>
      <c r="V726" s="67">
        <v>-6.0000000000000001E-3</v>
      </c>
      <c r="AB726" s="67">
        <v>0.79400000000000004</v>
      </c>
      <c r="AC726" s="67">
        <v>0.8</v>
      </c>
      <c r="AF726" s="67">
        <f t="shared" si="196"/>
        <v>0.67451651689836611</v>
      </c>
      <c r="AH726" s="70">
        <v>0.5</v>
      </c>
      <c r="AI726" s="70">
        <f t="shared" si="197"/>
        <v>8.8952603082128236E-3</v>
      </c>
      <c r="AK726" s="68" t="s">
        <v>939</v>
      </c>
    </row>
    <row r="727" spans="1:49" ht="30" customHeight="1" x14ac:dyDescent="0.25">
      <c r="A727" s="67" t="s">
        <v>104</v>
      </c>
      <c r="B727" s="67" t="s">
        <v>207</v>
      </c>
      <c r="C727" s="67" t="s">
        <v>104</v>
      </c>
      <c r="D727" s="67">
        <f t="shared" si="184"/>
        <v>64</v>
      </c>
      <c r="E727" s="67" t="s">
        <v>583</v>
      </c>
      <c r="F727" s="67" t="s">
        <v>240</v>
      </c>
      <c r="G727" s="68" t="s">
        <v>578</v>
      </c>
      <c r="H727" s="67">
        <v>1</v>
      </c>
      <c r="I727" s="67">
        <v>72</v>
      </c>
      <c r="J727" s="67">
        <v>1</v>
      </c>
      <c r="K727" s="68" t="s">
        <v>941</v>
      </c>
      <c r="L727" s="67" t="s">
        <v>240</v>
      </c>
      <c r="M727" s="68" t="s">
        <v>824</v>
      </c>
      <c r="N727" s="67" t="s">
        <v>240</v>
      </c>
      <c r="O727" s="94">
        <v>0.02</v>
      </c>
      <c r="P727" s="94">
        <v>0</v>
      </c>
      <c r="Q727" s="67">
        <v>0</v>
      </c>
      <c r="R727" s="67" t="s">
        <v>949</v>
      </c>
      <c r="S727" s="67">
        <f t="shared" si="190"/>
        <v>9168</v>
      </c>
      <c r="T727" s="67">
        <v>5314</v>
      </c>
      <c r="U727" s="67">
        <v>3854</v>
      </c>
      <c r="V727" s="67">
        <v>-1E-3</v>
      </c>
      <c r="AB727" s="67">
        <v>0.75700000000000001</v>
      </c>
      <c r="AC727" s="67">
        <v>0.75700000000000001</v>
      </c>
      <c r="AF727" s="67">
        <f t="shared" si="196"/>
        <v>0.67451651689836611</v>
      </c>
      <c r="AH727" s="70">
        <v>0.5</v>
      </c>
      <c r="AI727" s="70">
        <f>ABS(V727/AF727)</f>
        <v>1.4825433847021371E-3</v>
      </c>
      <c r="AK727" s="68" t="s">
        <v>939</v>
      </c>
    </row>
    <row r="728" spans="1:49" ht="30" customHeight="1" x14ac:dyDescent="0.25">
      <c r="A728" s="67" t="s">
        <v>104</v>
      </c>
      <c r="B728" s="67" t="s">
        <v>207</v>
      </c>
      <c r="C728" s="67" t="s">
        <v>104</v>
      </c>
      <c r="D728" s="67">
        <f t="shared" si="184"/>
        <v>65</v>
      </c>
      <c r="E728" s="67" t="s">
        <v>583</v>
      </c>
      <c r="F728" s="67" t="s">
        <v>240</v>
      </c>
      <c r="G728" s="68" t="s">
        <v>578</v>
      </c>
      <c r="H728" s="67">
        <v>1</v>
      </c>
      <c r="I728" s="67">
        <v>84</v>
      </c>
      <c r="J728" s="67">
        <v>1</v>
      </c>
      <c r="K728" s="68" t="s">
        <v>941</v>
      </c>
      <c r="L728" s="67" t="s">
        <v>240</v>
      </c>
      <c r="M728" s="68" t="s">
        <v>824</v>
      </c>
      <c r="N728" s="67" t="s">
        <v>240</v>
      </c>
      <c r="O728" s="94">
        <v>0.02</v>
      </c>
      <c r="P728" s="94">
        <v>0</v>
      </c>
      <c r="Q728" s="67">
        <v>0</v>
      </c>
      <c r="R728" s="67" t="s">
        <v>949</v>
      </c>
      <c r="S728" s="67">
        <f t="shared" si="190"/>
        <v>9168</v>
      </c>
      <c r="T728" s="67">
        <v>5314</v>
      </c>
      <c r="U728" s="67">
        <v>3854</v>
      </c>
      <c r="V728" s="67">
        <v>-5.0000000000000001E-3</v>
      </c>
      <c r="AB728" s="67">
        <v>0.73099999999999998</v>
      </c>
      <c r="AC728" s="67">
        <v>0.73599999999999999</v>
      </c>
      <c r="AF728" s="67">
        <f t="shared" si="196"/>
        <v>0.67451651689836611</v>
      </c>
      <c r="AH728" s="70">
        <v>0.5</v>
      </c>
      <c r="AI728" s="70">
        <f t="shared" si="197"/>
        <v>7.4127169235106861E-3</v>
      </c>
      <c r="AK728" s="68" t="s">
        <v>939</v>
      </c>
    </row>
    <row r="729" spans="1:49" ht="30" customHeight="1" x14ac:dyDescent="0.25">
      <c r="A729" s="67" t="s">
        <v>104</v>
      </c>
      <c r="B729" s="67" t="s">
        <v>207</v>
      </c>
      <c r="C729" s="67" t="s">
        <v>104</v>
      </c>
      <c r="D729" s="67">
        <f t="shared" ref="D729:D745" si="198">D728+1</f>
        <v>66</v>
      </c>
      <c r="E729" s="67" t="s">
        <v>583</v>
      </c>
      <c r="F729" s="67" t="s">
        <v>240</v>
      </c>
      <c r="G729" s="68" t="s">
        <v>578</v>
      </c>
      <c r="H729" s="67">
        <v>1</v>
      </c>
      <c r="I729" s="67">
        <v>96</v>
      </c>
      <c r="J729" s="67">
        <v>1</v>
      </c>
      <c r="K729" s="68" t="s">
        <v>941</v>
      </c>
      <c r="L729" s="67" t="s">
        <v>240</v>
      </c>
      <c r="M729" s="68" t="s">
        <v>824</v>
      </c>
      <c r="N729" s="67" t="s">
        <v>240</v>
      </c>
      <c r="O729" s="94">
        <v>0.02</v>
      </c>
      <c r="P729" s="94">
        <v>0</v>
      </c>
      <c r="Q729" s="67">
        <v>0</v>
      </c>
      <c r="R729" s="67" t="s">
        <v>949</v>
      </c>
      <c r="S729" s="67">
        <f t="shared" si="190"/>
        <v>9168</v>
      </c>
      <c r="T729" s="67">
        <v>5314</v>
      </c>
      <c r="U729" s="67">
        <v>3854</v>
      </c>
      <c r="V729" s="67">
        <v>6.0000000000000001E-3</v>
      </c>
      <c r="AB729" s="67">
        <v>0.73299999999999998</v>
      </c>
      <c r="AC729" s="67">
        <v>0.72699999999999998</v>
      </c>
      <c r="AF729" s="67">
        <f t="shared" si="196"/>
        <v>0.67451651689836611</v>
      </c>
      <c r="AH729" s="70">
        <v>0.5</v>
      </c>
      <c r="AI729" s="70">
        <f t="shared" si="197"/>
        <v>8.8952603082128236E-3</v>
      </c>
      <c r="AK729" s="68" t="s">
        <v>939</v>
      </c>
    </row>
    <row r="730" spans="1:49" ht="30" customHeight="1" x14ac:dyDescent="0.25">
      <c r="A730" s="67" t="s">
        <v>104</v>
      </c>
      <c r="B730" s="67" t="s">
        <v>207</v>
      </c>
      <c r="C730" s="67" t="s">
        <v>104</v>
      </c>
      <c r="D730" s="67">
        <f t="shared" si="198"/>
        <v>67</v>
      </c>
      <c r="E730" s="67" t="s">
        <v>577</v>
      </c>
      <c r="F730" s="67" t="s">
        <v>240</v>
      </c>
      <c r="G730" s="68" t="s">
        <v>578</v>
      </c>
      <c r="H730" s="67">
        <v>1</v>
      </c>
      <c r="I730" s="67">
        <v>0</v>
      </c>
      <c r="J730" s="67">
        <v>2</v>
      </c>
      <c r="K730" s="68" t="s">
        <v>937</v>
      </c>
      <c r="L730" s="67" t="s">
        <v>938</v>
      </c>
      <c r="M730" s="68" t="s">
        <v>824</v>
      </c>
      <c r="N730" s="67" t="s">
        <v>240</v>
      </c>
      <c r="O730" s="94">
        <v>0.02</v>
      </c>
      <c r="P730" s="94">
        <v>0</v>
      </c>
      <c r="Q730" s="67">
        <v>0</v>
      </c>
      <c r="R730" s="67" t="s">
        <v>950</v>
      </c>
      <c r="S730" s="67">
        <f t="shared" si="190"/>
        <v>5970</v>
      </c>
      <c r="T730" s="67">
        <v>3950</v>
      </c>
      <c r="U730" s="67">
        <v>2020</v>
      </c>
      <c r="V730" s="67">
        <v>-97</v>
      </c>
      <c r="AB730" s="67">
        <v>2844</v>
      </c>
      <c r="AC730" s="67">
        <v>2941</v>
      </c>
      <c r="AF730" s="67">
        <f t="shared" si="196"/>
        <v>0.67453086082670199</v>
      </c>
      <c r="AH730" s="70">
        <v>0.5</v>
      </c>
      <c r="AI730" s="70">
        <f t="shared" si="197"/>
        <v>143.80365026014857</v>
      </c>
      <c r="AK730" s="68" t="s">
        <v>939</v>
      </c>
      <c r="AP730" s="67">
        <f t="shared" ref="AP730:AP736" si="199">+V730/AQ730</f>
        <v>-1.8450781130450278E-2</v>
      </c>
      <c r="AQ730" s="67">
        <f t="shared" ref="AQ730:AQ736" si="200">+AI730*SQRT(T730*U730/S730)</f>
        <v>5257.2299955320532</v>
      </c>
      <c r="AS730" s="67">
        <f t="shared" ref="AS730:AS736" si="201">+AP730^2/(AU730-2)*(AU730/(V730/AI730)^2+AU730*AV730^2-AU730+2)</f>
        <v>7.4857901175705136E-4</v>
      </c>
      <c r="AU730" s="67">
        <f t="shared" ref="AU730:AU736" si="202">+S730-2</f>
        <v>5968</v>
      </c>
      <c r="AV730" s="67">
        <f t="shared" ref="AV730:AV736" si="203">IFERROR(1/(SQRT(AU730/2)*_xlfn.GAMMA(AU730/2-0.5)/_xlfn.GAMMA(AU730/2)),1)</f>
        <v>1</v>
      </c>
      <c r="AW730" s="67" t="s">
        <v>1350</v>
      </c>
    </row>
    <row r="731" spans="1:49" ht="30" customHeight="1" x14ac:dyDescent="0.25">
      <c r="A731" s="67" t="s">
        <v>104</v>
      </c>
      <c r="B731" s="67" t="s">
        <v>207</v>
      </c>
      <c r="C731" s="67" t="s">
        <v>104</v>
      </c>
      <c r="D731" s="67">
        <f t="shared" si="198"/>
        <v>68</v>
      </c>
      <c r="E731" s="67" t="s">
        <v>577</v>
      </c>
      <c r="F731" s="67" t="s">
        <v>240</v>
      </c>
      <c r="G731" s="68" t="s">
        <v>578</v>
      </c>
      <c r="H731" s="67">
        <v>1</v>
      </c>
      <c r="I731" s="67">
        <v>12</v>
      </c>
      <c r="J731" s="67">
        <v>2</v>
      </c>
      <c r="K731" s="68" t="s">
        <v>937</v>
      </c>
      <c r="L731" s="67" t="s">
        <v>938</v>
      </c>
      <c r="M731" s="68" t="s">
        <v>824</v>
      </c>
      <c r="N731" s="67" t="s">
        <v>240</v>
      </c>
      <c r="O731" s="94">
        <v>0.02</v>
      </c>
      <c r="P731" s="94">
        <v>0</v>
      </c>
      <c r="Q731" s="67">
        <v>0</v>
      </c>
      <c r="R731" s="67" t="s">
        <v>950</v>
      </c>
      <c r="S731" s="67">
        <f t="shared" si="190"/>
        <v>5970</v>
      </c>
      <c r="T731" s="67">
        <v>3950</v>
      </c>
      <c r="U731" s="67">
        <v>2020</v>
      </c>
      <c r="V731" s="67">
        <v>136</v>
      </c>
      <c r="AB731" s="67">
        <v>4000</v>
      </c>
      <c r="AC731" s="67">
        <v>3864</v>
      </c>
      <c r="AF731" s="67">
        <f t="shared" si="196"/>
        <v>0.67453086082670199</v>
      </c>
      <c r="AH731" s="70">
        <v>0.5</v>
      </c>
      <c r="AI731" s="70">
        <f t="shared" si="197"/>
        <v>201.62161273587841</v>
      </c>
      <c r="AK731" s="68" t="s">
        <v>939</v>
      </c>
      <c r="AP731" s="67">
        <f t="shared" si="199"/>
        <v>1.8450781130450275E-2</v>
      </c>
      <c r="AQ731" s="67">
        <f t="shared" si="200"/>
        <v>7370.9616432201983</v>
      </c>
      <c r="AS731" s="67">
        <f t="shared" si="201"/>
        <v>7.4857901175705115E-4</v>
      </c>
      <c r="AU731" s="67">
        <f t="shared" si="202"/>
        <v>5968</v>
      </c>
      <c r="AV731" s="67">
        <f t="shared" si="203"/>
        <v>1</v>
      </c>
      <c r="AW731" s="67" t="s">
        <v>1350</v>
      </c>
    </row>
    <row r="732" spans="1:49" ht="30" customHeight="1" x14ac:dyDescent="0.25">
      <c r="A732" s="67" t="s">
        <v>104</v>
      </c>
      <c r="B732" s="67" t="s">
        <v>207</v>
      </c>
      <c r="C732" s="67" t="s">
        <v>104</v>
      </c>
      <c r="D732" s="67">
        <f t="shared" si="198"/>
        <v>69</v>
      </c>
      <c r="E732" s="67" t="s">
        <v>577</v>
      </c>
      <c r="F732" s="67" t="s">
        <v>240</v>
      </c>
      <c r="G732" s="68" t="s">
        <v>578</v>
      </c>
      <c r="H732" s="67">
        <v>1</v>
      </c>
      <c r="I732" s="67">
        <v>48</v>
      </c>
      <c r="J732" s="67">
        <v>2</v>
      </c>
      <c r="K732" s="68" t="s">
        <v>937</v>
      </c>
      <c r="L732" s="67" t="s">
        <v>938</v>
      </c>
      <c r="M732" s="68" t="s">
        <v>824</v>
      </c>
      <c r="N732" s="67" t="s">
        <v>240</v>
      </c>
      <c r="O732" s="94">
        <v>0.02</v>
      </c>
      <c r="P732" s="94">
        <v>0</v>
      </c>
      <c r="Q732" s="67">
        <v>0</v>
      </c>
      <c r="R732" s="67" t="s">
        <v>950</v>
      </c>
      <c r="S732" s="67">
        <f t="shared" si="190"/>
        <v>5970</v>
      </c>
      <c r="T732" s="67">
        <v>3950</v>
      </c>
      <c r="U732" s="67">
        <v>2020</v>
      </c>
      <c r="V732" s="67">
        <v>8</v>
      </c>
      <c r="AB732" s="67">
        <v>6821</v>
      </c>
      <c r="AC732" s="67">
        <v>9814</v>
      </c>
      <c r="AF732" s="67">
        <f t="shared" si="196"/>
        <v>0.67453086082670199</v>
      </c>
      <c r="AH732" s="70">
        <v>0.5</v>
      </c>
      <c r="AI732" s="70">
        <f t="shared" si="197"/>
        <v>11.860094866816377</v>
      </c>
      <c r="AK732" s="68" t="s">
        <v>939</v>
      </c>
      <c r="AP732" s="67">
        <f t="shared" si="199"/>
        <v>1.8450781130450275E-2</v>
      </c>
      <c r="AQ732" s="67">
        <f t="shared" si="200"/>
        <v>433.58597901295286</v>
      </c>
      <c r="AS732" s="67">
        <f t="shared" si="201"/>
        <v>7.4857901175705115E-4</v>
      </c>
      <c r="AU732" s="67">
        <f t="shared" si="202"/>
        <v>5968</v>
      </c>
      <c r="AV732" s="67">
        <f t="shared" si="203"/>
        <v>1</v>
      </c>
      <c r="AW732" s="67" t="s">
        <v>1350</v>
      </c>
    </row>
    <row r="733" spans="1:49" ht="30" customHeight="1" x14ac:dyDescent="0.25">
      <c r="A733" s="67" t="s">
        <v>104</v>
      </c>
      <c r="B733" s="67" t="s">
        <v>207</v>
      </c>
      <c r="C733" s="67" t="s">
        <v>104</v>
      </c>
      <c r="D733" s="67">
        <f t="shared" si="198"/>
        <v>70</v>
      </c>
      <c r="E733" s="67" t="s">
        <v>577</v>
      </c>
      <c r="F733" s="67" t="s">
        <v>240</v>
      </c>
      <c r="G733" s="68" t="s">
        <v>578</v>
      </c>
      <c r="H733" s="67">
        <v>1</v>
      </c>
      <c r="I733" s="67">
        <v>60</v>
      </c>
      <c r="J733" s="67">
        <v>2</v>
      </c>
      <c r="K733" s="68" t="s">
        <v>937</v>
      </c>
      <c r="L733" s="67" t="s">
        <v>938</v>
      </c>
      <c r="M733" s="68" t="s">
        <v>824</v>
      </c>
      <c r="N733" s="67" t="s">
        <v>240</v>
      </c>
      <c r="O733" s="94">
        <v>0.02</v>
      </c>
      <c r="P733" s="94">
        <v>0</v>
      </c>
      <c r="Q733" s="67">
        <v>0</v>
      </c>
      <c r="R733" s="67" t="s">
        <v>950</v>
      </c>
      <c r="S733" s="67">
        <f t="shared" si="190"/>
        <v>5970</v>
      </c>
      <c r="T733" s="67">
        <v>3950</v>
      </c>
      <c r="U733" s="67">
        <v>2020</v>
      </c>
      <c r="V733" s="67">
        <v>7</v>
      </c>
      <c r="AB733" s="67">
        <v>7143</v>
      </c>
      <c r="AC733" s="67">
        <v>7136</v>
      </c>
      <c r="AF733" s="67">
        <f t="shared" si="196"/>
        <v>0.67453086082670199</v>
      </c>
      <c r="AH733" s="70">
        <v>0.5</v>
      </c>
      <c r="AI733" s="70">
        <f t="shared" si="197"/>
        <v>10.377583008464329</v>
      </c>
      <c r="AK733" s="68" t="s">
        <v>939</v>
      </c>
      <c r="AP733" s="67">
        <f t="shared" si="199"/>
        <v>1.8450781130450275E-2</v>
      </c>
      <c r="AQ733" s="67">
        <f t="shared" si="200"/>
        <v>379.38773163633374</v>
      </c>
      <c r="AS733" s="67">
        <f t="shared" si="201"/>
        <v>7.4857901175705115E-4</v>
      </c>
      <c r="AU733" s="67">
        <f t="shared" si="202"/>
        <v>5968</v>
      </c>
      <c r="AV733" s="67">
        <f t="shared" si="203"/>
        <v>1</v>
      </c>
      <c r="AW733" s="67" t="s">
        <v>1350</v>
      </c>
    </row>
    <row r="734" spans="1:49" ht="30" customHeight="1" x14ac:dyDescent="0.25">
      <c r="A734" s="67" t="s">
        <v>104</v>
      </c>
      <c r="B734" s="67" t="s">
        <v>207</v>
      </c>
      <c r="C734" s="67" t="s">
        <v>104</v>
      </c>
      <c r="D734" s="67">
        <f t="shared" si="198"/>
        <v>71</v>
      </c>
      <c r="E734" s="67" t="s">
        <v>577</v>
      </c>
      <c r="F734" s="67" t="s">
        <v>240</v>
      </c>
      <c r="G734" s="68" t="s">
        <v>578</v>
      </c>
      <c r="H734" s="67">
        <v>1</v>
      </c>
      <c r="I734" s="67">
        <v>96</v>
      </c>
      <c r="J734" s="67">
        <v>2</v>
      </c>
      <c r="K734" s="68" t="s">
        <v>937</v>
      </c>
      <c r="L734" s="67" t="s">
        <v>938</v>
      </c>
      <c r="M734" s="68" t="s">
        <v>824</v>
      </c>
      <c r="N734" s="67" t="s">
        <v>240</v>
      </c>
      <c r="O734" s="94">
        <v>0.02</v>
      </c>
      <c r="P734" s="94">
        <v>0</v>
      </c>
      <c r="Q734" s="67">
        <v>0</v>
      </c>
      <c r="R734" s="67" t="s">
        <v>950</v>
      </c>
      <c r="S734" s="67">
        <f t="shared" si="190"/>
        <v>5970</v>
      </c>
      <c r="T734" s="67">
        <v>3950</v>
      </c>
      <c r="U734" s="67">
        <v>2020</v>
      </c>
      <c r="V734" s="67">
        <v>-40</v>
      </c>
      <c r="AB734" s="67">
        <v>7723</v>
      </c>
      <c r="AC734" s="67">
        <v>7763</v>
      </c>
      <c r="AF734" s="67">
        <f t="shared" si="196"/>
        <v>0.67453086082670199</v>
      </c>
      <c r="AH734" s="70">
        <v>0.5</v>
      </c>
      <c r="AI734" s="70">
        <f t="shared" si="197"/>
        <v>59.300474334081883</v>
      </c>
      <c r="AK734" s="68" t="s">
        <v>939</v>
      </c>
      <c r="AP734" s="67">
        <f t="shared" si="199"/>
        <v>-1.8450781130450278E-2</v>
      </c>
      <c r="AQ734" s="67">
        <f t="shared" si="200"/>
        <v>2167.929895064764</v>
      </c>
      <c r="AS734" s="67">
        <f t="shared" si="201"/>
        <v>7.4857901175705136E-4</v>
      </c>
      <c r="AU734" s="67">
        <f t="shared" si="202"/>
        <v>5968</v>
      </c>
      <c r="AV734" s="67">
        <f t="shared" si="203"/>
        <v>1</v>
      </c>
      <c r="AW734" s="67" t="s">
        <v>1350</v>
      </c>
    </row>
    <row r="735" spans="1:49" ht="30" customHeight="1" x14ac:dyDescent="0.25">
      <c r="A735" s="67" t="s">
        <v>104</v>
      </c>
      <c r="B735" s="67" t="s">
        <v>207</v>
      </c>
      <c r="C735" s="67" t="s">
        <v>104</v>
      </c>
      <c r="D735" s="67">
        <f t="shared" si="198"/>
        <v>72</v>
      </c>
      <c r="E735" s="67" t="s">
        <v>577</v>
      </c>
      <c r="F735" s="67" t="s">
        <v>240</v>
      </c>
      <c r="G735" s="68" t="s">
        <v>578</v>
      </c>
      <c r="H735" s="67">
        <v>1</v>
      </c>
      <c r="I735" s="67">
        <v>12</v>
      </c>
      <c r="J735" s="67">
        <v>2</v>
      </c>
      <c r="K735" s="68" t="s">
        <v>937</v>
      </c>
      <c r="L735" s="67" t="s">
        <v>938</v>
      </c>
      <c r="M735" s="68" t="s">
        <v>570</v>
      </c>
      <c r="N735" s="67" t="s">
        <v>240</v>
      </c>
      <c r="O735" s="94">
        <v>0.02</v>
      </c>
      <c r="P735" s="94">
        <v>0</v>
      </c>
      <c r="Q735" s="67">
        <v>0</v>
      </c>
      <c r="R735" s="67" t="s">
        <v>950</v>
      </c>
      <c r="S735" s="67">
        <f t="shared" si="190"/>
        <v>5970</v>
      </c>
      <c r="T735" s="67">
        <v>3950</v>
      </c>
      <c r="U735" s="67">
        <v>2020</v>
      </c>
      <c r="V735" s="67">
        <v>320</v>
      </c>
      <c r="AB735" s="67">
        <v>6472</v>
      </c>
      <c r="AC735" s="67">
        <v>6152</v>
      </c>
      <c r="AF735" s="67">
        <f t="shared" si="196"/>
        <v>0.67453086082670199</v>
      </c>
      <c r="AH735" s="70">
        <v>0.5</v>
      </c>
      <c r="AI735" s="70">
        <f t="shared" si="197"/>
        <v>474.40379467265507</v>
      </c>
      <c r="AK735" s="68" t="s">
        <v>939</v>
      </c>
      <c r="AP735" s="67">
        <f t="shared" si="199"/>
        <v>1.8450781130450278E-2</v>
      </c>
      <c r="AQ735" s="67">
        <f t="shared" si="200"/>
        <v>17343.439160518112</v>
      </c>
      <c r="AS735" s="67">
        <f t="shared" si="201"/>
        <v>7.4857901175705136E-4</v>
      </c>
      <c r="AU735" s="67">
        <f t="shared" si="202"/>
        <v>5968</v>
      </c>
      <c r="AV735" s="67">
        <f t="shared" si="203"/>
        <v>1</v>
      </c>
      <c r="AW735" s="67" t="s">
        <v>1350</v>
      </c>
    </row>
    <row r="736" spans="1:49" ht="30" customHeight="1" x14ac:dyDescent="0.25">
      <c r="A736" s="67" t="s">
        <v>104</v>
      </c>
      <c r="B736" s="67" t="s">
        <v>207</v>
      </c>
      <c r="C736" s="67" t="s">
        <v>104</v>
      </c>
      <c r="D736" s="67">
        <f t="shared" si="198"/>
        <v>73</v>
      </c>
      <c r="E736" s="67" t="s">
        <v>577</v>
      </c>
      <c r="F736" s="67" t="s">
        <v>240</v>
      </c>
      <c r="G736" s="68" t="s">
        <v>578</v>
      </c>
      <c r="H736" s="67">
        <v>1</v>
      </c>
      <c r="I736" s="67">
        <v>24</v>
      </c>
      <c r="J736" s="67">
        <v>2</v>
      </c>
      <c r="K736" s="68" t="s">
        <v>937</v>
      </c>
      <c r="L736" s="67" t="s">
        <v>938</v>
      </c>
      <c r="M736" s="68" t="s">
        <v>570</v>
      </c>
      <c r="N736" s="67" t="s">
        <v>240</v>
      </c>
      <c r="O736" s="94">
        <v>0.02</v>
      </c>
      <c r="P736" s="94">
        <v>0</v>
      </c>
      <c r="Q736" s="67">
        <v>0</v>
      </c>
      <c r="R736" s="67" t="s">
        <v>950</v>
      </c>
      <c r="S736" s="67">
        <f t="shared" si="190"/>
        <v>5970</v>
      </c>
      <c r="T736" s="67">
        <v>3950</v>
      </c>
      <c r="U736" s="67">
        <v>2020</v>
      </c>
      <c r="V736" s="67">
        <v>775</v>
      </c>
      <c r="AB736" s="67">
        <v>8251</v>
      </c>
      <c r="AC736" s="67">
        <v>7476</v>
      </c>
      <c r="AF736" s="67">
        <f t="shared" si="196"/>
        <v>2.5766533699521661</v>
      </c>
      <c r="AH736" s="70">
        <v>0.01</v>
      </c>
      <c r="AI736" s="70">
        <f t="shared" si="197"/>
        <v>300.77774877976208</v>
      </c>
      <c r="AK736" s="68" t="s">
        <v>943</v>
      </c>
      <c r="AP736" s="67">
        <f t="shared" si="199"/>
        <v>7.0480492649006729E-2</v>
      </c>
      <c r="AQ736" s="67">
        <f t="shared" si="200"/>
        <v>10995.950381043796</v>
      </c>
      <c r="AS736" s="67">
        <f t="shared" si="201"/>
        <v>7.501301577576289E-4</v>
      </c>
      <c r="AU736" s="67">
        <f t="shared" si="202"/>
        <v>5968</v>
      </c>
      <c r="AV736" s="67">
        <f t="shared" si="203"/>
        <v>1</v>
      </c>
      <c r="AW736" s="67" t="s">
        <v>1350</v>
      </c>
    </row>
    <row r="737" spans="1:49" ht="30" customHeight="1" x14ac:dyDescent="0.25">
      <c r="A737" s="67" t="s">
        <v>104</v>
      </c>
      <c r="B737" s="67" t="s">
        <v>207</v>
      </c>
      <c r="C737" s="67" t="s">
        <v>104</v>
      </c>
      <c r="D737" s="67">
        <f t="shared" si="198"/>
        <v>74</v>
      </c>
      <c r="E737" s="67" t="s">
        <v>577</v>
      </c>
      <c r="F737" s="67" t="s">
        <v>240</v>
      </c>
      <c r="G737" s="68" t="s">
        <v>578</v>
      </c>
      <c r="H737" s="67">
        <v>1</v>
      </c>
      <c r="I737" s="67">
        <v>0</v>
      </c>
      <c r="J737" s="67">
        <v>1</v>
      </c>
      <c r="K737" s="68" t="s">
        <v>941</v>
      </c>
      <c r="L737" s="67" t="s">
        <v>240</v>
      </c>
      <c r="M737" s="68" t="s">
        <v>824</v>
      </c>
      <c r="N737" s="67" t="s">
        <v>240</v>
      </c>
      <c r="O737" s="94">
        <v>0.02</v>
      </c>
      <c r="P737" s="94">
        <v>0</v>
      </c>
      <c r="Q737" s="67">
        <v>0</v>
      </c>
      <c r="R737" s="67" t="s">
        <v>950</v>
      </c>
      <c r="S737" s="67">
        <f t="shared" si="190"/>
        <v>5970</v>
      </c>
      <c r="T737" s="67">
        <v>3950</v>
      </c>
      <c r="U737" s="67">
        <v>2020</v>
      </c>
      <c r="V737" s="67">
        <v>0.107</v>
      </c>
      <c r="AB737" s="67">
        <v>0.875</v>
      </c>
      <c r="AC737" s="67">
        <v>0.76800000000000002</v>
      </c>
      <c r="AF737" s="67">
        <f t="shared" si="196"/>
        <v>2.5766533699521661</v>
      </c>
      <c r="AH737" s="70">
        <v>0.01</v>
      </c>
      <c r="AI737" s="70">
        <f t="shared" si="197"/>
        <v>4.1526734347657475E-2</v>
      </c>
      <c r="AK737" s="68" t="s">
        <v>943</v>
      </c>
    </row>
    <row r="738" spans="1:49" ht="30" customHeight="1" x14ac:dyDescent="0.25">
      <c r="A738" s="67" t="s">
        <v>104</v>
      </c>
      <c r="B738" s="67" t="s">
        <v>207</v>
      </c>
      <c r="C738" s="67" t="s">
        <v>104</v>
      </c>
      <c r="D738" s="67">
        <f t="shared" si="198"/>
        <v>75</v>
      </c>
      <c r="E738" s="67" t="s">
        <v>577</v>
      </c>
      <c r="F738" s="67" t="s">
        <v>240</v>
      </c>
      <c r="G738" s="68" t="s">
        <v>578</v>
      </c>
      <c r="H738" s="67">
        <v>1</v>
      </c>
      <c r="I738" s="67">
        <v>12</v>
      </c>
      <c r="J738" s="67">
        <v>1</v>
      </c>
      <c r="K738" s="68" t="s">
        <v>941</v>
      </c>
      <c r="L738" s="67" t="s">
        <v>240</v>
      </c>
      <c r="M738" s="68" t="s">
        <v>824</v>
      </c>
      <c r="N738" s="67" t="s">
        <v>240</v>
      </c>
      <c r="O738" s="94">
        <v>0.02</v>
      </c>
      <c r="P738" s="94">
        <v>0</v>
      </c>
      <c r="Q738" s="67">
        <v>0</v>
      </c>
      <c r="R738" s="67" t="s">
        <v>950</v>
      </c>
      <c r="S738" s="67">
        <f t="shared" si="190"/>
        <v>5970</v>
      </c>
      <c r="T738" s="67">
        <v>3950</v>
      </c>
      <c r="U738" s="67">
        <v>2020</v>
      </c>
      <c r="V738" s="67">
        <v>2.3E-2</v>
      </c>
      <c r="AB738" s="67">
        <v>0.81899999999999995</v>
      </c>
      <c r="AC738" s="67">
        <v>0.79700000000000004</v>
      </c>
      <c r="AF738" s="67">
        <f t="shared" si="196"/>
        <v>1.9603615623283612</v>
      </c>
      <c r="AH738" s="70">
        <v>0.05</v>
      </c>
      <c r="AI738" s="70">
        <f t="shared" si="197"/>
        <v>1.1732529571066692E-2</v>
      </c>
      <c r="AK738" s="68" t="s">
        <v>948</v>
      </c>
    </row>
    <row r="739" spans="1:49" ht="30" customHeight="1" x14ac:dyDescent="0.25">
      <c r="A739" s="67" t="s">
        <v>104</v>
      </c>
      <c r="B739" s="67" t="s">
        <v>207</v>
      </c>
      <c r="C739" s="67" t="s">
        <v>104</v>
      </c>
      <c r="D739" s="67">
        <f t="shared" si="198"/>
        <v>76</v>
      </c>
      <c r="E739" s="67" t="s">
        <v>577</v>
      </c>
      <c r="F739" s="67" t="s">
        <v>240</v>
      </c>
      <c r="G739" s="68" t="s">
        <v>578</v>
      </c>
      <c r="H739" s="67">
        <v>1</v>
      </c>
      <c r="I739" s="67">
        <v>24</v>
      </c>
      <c r="J739" s="67">
        <v>1</v>
      </c>
      <c r="K739" s="68" t="s">
        <v>941</v>
      </c>
      <c r="L739" s="67" t="s">
        <v>240</v>
      </c>
      <c r="M739" s="68" t="s">
        <v>824</v>
      </c>
      <c r="N739" s="67" t="s">
        <v>240</v>
      </c>
      <c r="O739" s="94">
        <v>0.02</v>
      </c>
      <c r="P739" s="94">
        <v>0</v>
      </c>
      <c r="Q739" s="67">
        <v>0</v>
      </c>
      <c r="R739" s="67" t="s">
        <v>950</v>
      </c>
      <c r="S739" s="67">
        <f t="shared" si="190"/>
        <v>5970</v>
      </c>
      <c r="T739" s="67">
        <v>3950</v>
      </c>
      <c r="U739" s="67">
        <v>2020</v>
      </c>
      <c r="V739" s="67">
        <v>1.0999999999999999E-2</v>
      </c>
      <c r="AB739" s="67">
        <v>0.84199999999999997</v>
      </c>
      <c r="AC739" s="67">
        <v>0.83</v>
      </c>
      <c r="AF739" s="67">
        <f t="shared" si="196"/>
        <v>0.67453086082670199</v>
      </c>
      <c r="AH739" s="70">
        <v>0.5</v>
      </c>
      <c r="AI739" s="70">
        <f t="shared" si="197"/>
        <v>1.6307630441872518E-2</v>
      </c>
      <c r="AK739" s="68" t="s">
        <v>939</v>
      </c>
    </row>
    <row r="740" spans="1:49" ht="30" customHeight="1" x14ac:dyDescent="0.25">
      <c r="A740" s="67" t="s">
        <v>104</v>
      </c>
      <c r="B740" s="67" t="s">
        <v>207</v>
      </c>
      <c r="C740" s="67" t="s">
        <v>104</v>
      </c>
      <c r="D740" s="67">
        <f t="shared" si="198"/>
        <v>77</v>
      </c>
      <c r="E740" s="67" t="s">
        <v>577</v>
      </c>
      <c r="F740" s="67" t="s">
        <v>240</v>
      </c>
      <c r="G740" s="68" t="s">
        <v>578</v>
      </c>
      <c r="H740" s="67">
        <v>1</v>
      </c>
      <c r="I740" s="67">
        <v>36</v>
      </c>
      <c r="J740" s="67">
        <v>1</v>
      </c>
      <c r="K740" s="68" t="s">
        <v>941</v>
      </c>
      <c r="L740" s="67" t="s">
        <v>240</v>
      </c>
      <c r="M740" s="68" t="s">
        <v>824</v>
      </c>
      <c r="N740" s="67" t="s">
        <v>240</v>
      </c>
      <c r="O740" s="94">
        <v>0.02</v>
      </c>
      <c r="P740" s="94">
        <v>0</v>
      </c>
      <c r="Q740" s="67">
        <v>0</v>
      </c>
      <c r="R740" s="67" t="s">
        <v>950</v>
      </c>
      <c r="S740" s="67">
        <f t="shared" si="190"/>
        <v>5970</v>
      </c>
      <c r="T740" s="67">
        <v>3950</v>
      </c>
      <c r="U740" s="67">
        <v>2020</v>
      </c>
      <c r="V740" s="67">
        <v>2.3E-2</v>
      </c>
      <c r="AB740" s="67">
        <v>0.85199999999999998</v>
      </c>
      <c r="AC740" s="67">
        <v>0.82899999999999996</v>
      </c>
      <c r="AF740" s="67">
        <f t="shared" si="196"/>
        <v>1.9603615623283612</v>
      </c>
      <c r="AH740" s="70">
        <v>0.05</v>
      </c>
      <c r="AI740" s="70">
        <f t="shared" si="197"/>
        <v>1.1732529571066692E-2</v>
      </c>
      <c r="AK740" s="68" t="s">
        <v>948</v>
      </c>
    </row>
    <row r="741" spans="1:49" ht="30" customHeight="1" x14ac:dyDescent="0.25">
      <c r="A741" s="67" t="s">
        <v>104</v>
      </c>
      <c r="B741" s="67" t="s">
        <v>207</v>
      </c>
      <c r="C741" s="67" t="s">
        <v>104</v>
      </c>
      <c r="D741" s="67">
        <f t="shared" si="198"/>
        <v>78</v>
      </c>
      <c r="E741" s="67" t="s">
        <v>577</v>
      </c>
      <c r="F741" s="67" t="s">
        <v>240</v>
      </c>
      <c r="G741" s="68" t="s">
        <v>578</v>
      </c>
      <c r="H741" s="67">
        <v>1</v>
      </c>
      <c r="I741" s="67">
        <v>48</v>
      </c>
      <c r="J741" s="67">
        <v>1</v>
      </c>
      <c r="K741" s="68" t="s">
        <v>941</v>
      </c>
      <c r="L741" s="67" t="s">
        <v>240</v>
      </c>
      <c r="M741" s="68" t="s">
        <v>824</v>
      </c>
      <c r="N741" s="67" t="s">
        <v>240</v>
      </c>
      <c r="O741" s="94">
        <v>0.02</v>
      </c>
      <c r="P741" s="94">
        <v>0</v>
      </c>
      <c r="Q741" s="67">
        <v>0</v>
      </c>
      <c r="R741" s="67" t="s">
        <v>950</v>
      </c>
      <c r="S741" s="67">
        <f t="shared" si="190"/>
        <v>5970</v>
      </c>
      <c r="T741" s="67">
        <v>3950</v>
      </c>
      <c r="U741" s="67">
        <v>2020</v>
      </c>
      <c r="V741" s="67">
        <v>4.0000000000000001E-3</v>
      </c>
      <c r="AB741" s="67">
        <v>0.84399999999999997</v>
      </c>
      <c r="AC741" s="67">
        <v>0.84</v>
      </c>
      <c r="AF741" s="67">
        <f t="shared" si="196"/>
        <v>0.67453086082670199</v>
      </c>
      <c r="AH741" s="70">
        <v>0.5</v>
      </c>
      <c r="AI741" s="70">
        <f t="shared" si="197"/>
        <v>5.9300474334081886E-3</v>
      </c>
      <c r="AK741" s="68" t="s">
        <v>939</v>
      </c>
    </row>
    <row r="742" spans="1:49" ht="30" customHeight="1" x14ac:dyDescent="0.25">
      <c r="A742" s="67" t="s">
        <v>104</v>
      </c>
      <c r="B742" s="67" t="s">
        <v>207</v>
      </c>
      <c r="C742" s="67" t="s">
        <v>104</v>
      </c>
      <c r="D742" s="67">
        <f t="shared" si="198"/>
        <v>79</v>
      </c>
      <c r="E742" s="67" t="s">
        <v>577</v>
      </c>
      <c r="F742" s="67" t="s">
        <v>240</v>
      </c>
      <c r="G742" s="68" t="s">
        <v>578</v>
      </c>
      <c r="H742" s="67">
        <v>1</v>
      </c>
      <c r="I742" s="67">
        <v>60</v>
      </c>
      <c r="J742" s="67">
        <v>1</v>
      </c>
      <c r="K742" s="68" t="s">
        <v>941</v>
      </c>
      <c r="L742" s="67" t="s">
        <v>240</v>
      </c>
      <c r="M742" s="68" t="s">
        <v>824</v>
      </c>
      <c r="N742" s="67" t="s">
        <v>240</v>
      </c>
      <c r="O742" s="94">
        <v>0.02</v>
      </c>
      <c r="P742" s="94">
        <v>0</v>
      </c>
      <c r="Q742" s="67">
        <v>0</v>
      </c>
      <c r="R742" s="67" t="s">
        <v>950</v>
      </c>
      <c r="S742" s="67">
        <f t="shared" si="190"/>
        <v>5970</v>
      </c>
      <c r="T742" s="67">
        <v>3950</v>
      </c>
      <c r="U742" s="67">
        <v>2020</v>
      </c>
      <c r="V742" s="67">
        <v>1.4999999999999999E-2</v>
      </c>
      <c r="AB742" s="67">
        <v>0.82399999999999995</v>
      </c>
      <c r="AC742" s="67">
        <v>0.80900000000000005</v>
      </c>
      <c r="AF742" s="67">
        <f t="shared" si="196"/>
        <v>0.67453086082670199</v>
      </c>
      <c r="AH742" s="70">
        <v>0.5</v>
      </c>
      <c r="AI742" s="70">
        <f t="shared" si="197"/>
        <v>2.2237677875280706E-2</v>
      </c>
      <c r="AK742" s="68" t="s">
        <v>939</v>
      </c>
    </row>
    <row r="743" spans="1:49" ht="30" customHeight="1" x14ac:dyDescent="0.25">
      <c r="A743" s="67" t="s">
        <v>104</v>
      </c>
      <c r="B743" s="67" t="s">
        <v>207</v>
      </c>
      <c r="C743" s="67" t="s">
        <v>104</v>
      </c>
      <c r="D743" s="67">
        <f t="shared" si="198"/>
        <v>80</v>
      </c>
      <c r="E743" s="67" t="s">
        <v>577</v>
      </c>
      <c r="F743" s="67" t="s">
        <v>240</v>
      </c>
      <c r="G743" s="68" t="s">
        <v>578</v>
      </c>
      <c r="H743" s="67">
        <v>1</v>
      </c>
      <c r="I743" s="67">
        <v>72</v>
      </c>
      <c r="J743" s="67">
        <v>1</v>
      </c>
      <c r="K743" s="68" t="s">
        <v>941</v>
      </c>
      <c r="L743" s="67" t="s">
        <v>240</v>
      </c>
      <c r="M743" s="68" t="s">
        <v>824</v>
      </c>
      <c r="N743" s="67" t="s">
        <v>240</v>
      </c>
      <c r="O743" s="94">
        <v>0.02</v>
      </c>
      <c r="P743" s="94">
        <v>0</v>
      </c>
      <c r="Q743" s="67">
        <v>0</v>
      </c>
      <c r="R743" s="67" t="s">
        <v>950</v>
      </c>
      <c r="S743" s="67">
        <f t="shared" si="190"/>
        <v>5970</v>
      </c>
      <c r="T743" s="67">
        <v>3950</v>
      </c>
      <c r="U743" s="67">
        <v>2020</v>
      </c>
      <c r="V743" s="67">
        <v>4.0000000000000001E-3</v>
      </c>
      <c r="AB743" s="67">
        <v>0.78500000000000003</v>
      </c>
      <c r="AC743" s="67">
        <v>0.78100000000000003</v>
      </c>
      <c r="AF743" s="67">
        <f t="shared" si="196"/>
        <v>0.67453086082670199</v>
      </c>
      <c r="AH743" s="70">
        <v>0.5</v>
      </c>
      <c r="AI743" s="70">
        <f t="shared" si="197"/>
        <v>5.9300474334081886E-3</v>
      </c>
      <c r="AK743" s="68" t="s">
        <v>939</v>
      </c>
    </row>
    <row r="744" spans="1:49" ht="30" customHeight="1" x14ac:dyDescent="0.25">
      <c r="A744" s="67" t="s">
        <v>104</v>
      </c>
      <c r="B744" s="67" t="s">
        <v>207</v>
      </c>
      <c r="C744" s="67" t="s">
        <v>104</v>
      </c>
      <c r="D744" s="67">
        <f t="shared" si="198"/>
        <v>81</v>
      </c>
      <c r="E744" s="67" t="s">
        <v>577</v>
      </c>
      <c r="F744" s="67" t="s">
        <v>240</v>
      </c>
      <c r="G744" s="68" t="s">
        <v>578</v>
      </c>
      <c r="H744" s="67">
        <v>1</v>
      </c>
      <c r="I744" s="67">
        <v>84</v>
      </c>
      <c r="J744" s="67">
        <v>1</v>
      </c>
      <c r="K744" s="68" t="s">
        <v>941</v>
      </c>
      <c r="L744" s="67" t="s">
        <v>240</v>
      </c>
      <c r="M744" s="68" t="s">
        <v>824</v>
      </c>
      <c r="N744" s="67" t="s">
        <v>240</v>
      </c>
      <c r="O744" s="94">
        <v>0.02</v>
      </c>
      <c r="P744" s="94">
        <v>0</v>
      </c>
      <c r="Q744" s="67">
        <v>0</v>
      </c>
      <c r="R744" s="67" t="s">
        <v>950</v>
      </c>
      <c r="S744" s="67">
        <f t="shared" si="190"/>
        <v>5970</v>
      </c>
      <c r="T744" s="67">
        <v>3950</v>
      </c>
      <c r="U744" s="67">
        <v>2020</v>
      </c>
      <c r="V744" s="67">
        <v>2.5000000000000001E-2</v>
      </c>
      <c r="AB744" s="67">
        <v>0.76400000000000001</v>
      </c>
      <c r="AC744" s="67">
        <v>0.73899999999999999</v>
      </c>
      <c r="AF744" s="67">
        <f t="shared" si="196"/>
        <v>1.9603615623283612</v>
      </c>
      <c r="AH744" s="70">
        <v>0.05</v>
      </c>
      <c r="AI744" s="70">
        <f t="shared" si="197"/>
        <v>1.2752749533768145E-2</v>
      </c>
      <c r="AK744" s="68" t="s">
        <v>948</v>
      </c>
    </row>
    <row r="745" spans="1:49" ht="30" customHeight="1" x14ac:dyDescent="0.25">
      <c r="A745" s="67" t="s">
        <v>104</v>
      </c>
      <c r="B745" s="67" t="s">
        <v>207</v>
      </c>
      <c r="C745" s="67" t="s">
        <v>104</v>
      </c>
      <c r="D745" s="67">
        <f t="shared" si="198"/>
        <v>82</v>
      </c>
      <c r="E745" s="67" t="s">
        <v>577</v>
      </c>
      <c r="F745" s="67" t="s">
        <v>240</v>
      </c>
      <c r="G745" s="68" t="s">
        <v>578</v>
      </c>
      <c r="H745" s="67">
        <v>1</v>
      </c>
      <c r="I745" s="67">
        <v>96</v>
      </c>
      <c r="J745" s="67">
        <v>1</v>
      </c>
      <c r="K745" s="68" t="s">
        <v>941</v>
      </c>
      <c r="L745" s="67" t="s">
        <v>240</v>
      </c>
      <c r="M745" s="68" t="s">
        <v>824</v>
      </c>
      <c r="N745" s="67" t="s">
        <v>240</v>
      </c>
      <c r="O745" s="94">
        <v>0.02</v>
      </c>
      <c r="P745" s="94">
        <v>0</v>
      </c>
      <c r="Q745" s="67">
        <v>0</v>
      </c>
      <c r="R745" s="67" t="s">
        <v>950</v>
      </c>
      <c r="S745" s="67">
        <f t="shared" ref="S745" si="204">T745+U745</f>
        <v>5970</v>
      </c>
      <c r="T745" s="67">
        <v>3950</v>
      </c>
      <c r="U745" s="67">
        <v>2020</v>
      </c>
      <c r="V745" s="67">
        <v>5.0000000000000001E-3</v>
      </c>
      <c r="AB745" s="67">
        <v>0.755</v>
      </c>
      <c r="AC745" s="67">
        <v>0.75</v>
      </c>
      <c r="AF745" s="67">
        <f t="shared" si="196"/>
        <v>0.67453086082670199</v>
      </c>
      <c r="AH745" s="70">
        <v>0.5</v>
      </c>
      <c r="AI745" s="70">
        <f t="shared" si="197"/>
        <v>7.4125592917602358E-3</v>
      </c>
      <c r="AK745" s="68" t="s">
        <v>939</v>
      </c>
    </row>
    <row r="746" spans="1:49" ht="30" customHeight="1" x14ac:dyDescent="0.25">
      <c r="A746" s="73" t="s">
        <v>73</v>
      </c>
      <c r="B746" s="67" t="s">
        <v>221</v>
      </c>
      <c r="C746" s="73" t="s">
        <v>294</v>
      </c>
      <c r="D746" s="67">
        <v>1</v>
      </c>
      <c r="E746" s="67" t="s">
        <v>605</v>
      </c>
      <c r="F746" s="73" t="s">
        <v>240</v>
      </c>
      <c r="G746" s="73" t="s">
        <v>578</v>
      </c>
      <c r="H746" s="67">
        <v>1</v>
      </c>
      <c r="I746" s="67">
        <v>40</v>
      </c>
      <c r="J746" s="67">
        <v>6</v>
      </c>
      <c r="K746" s="68" t="s">
        <v>684</v>
      </c>
      <c r="L746" s="68" t="s">
        <v>938</v>
      </c>
      <c r="M746" s="68" t="s">
        <v>570</v>
      </c>
      <c r="N746" s="48" t="s">
        <v>240</v>
      </c>
      <c r="O746" s="69">
        <v>0.26472117509424153</v>
      </c>
      <c r="P746" s="74">
        <v>2.468827213141922E-2</v>
      </c>
      <c r="R746" s="67" t="s">
        <v>376</v>
      </c>
      <c r="S746" s="67">
        <v>11313</v>
      </c>
      <c r="T746" s="67">
        <v>6828</v>
      </c>
      <c r="U746" s="67">
        <v>4485</v>
      </c>
      <c r="V746" s="67">
        <v>0.22</v>
      </c>
      <c r="W746" s="67">
        <v>0.08</v>
      </c>
      <c r="AC746" s="67">
        <v>7.33</v>
      </c>
      <c r="AI746" s="70">
        <f t="shared" ref="AI746:AI777" si="205">+W746</f>
        <v>0.08</v>
      </c>
      <c r="AP746" s="67">
        <f>+V746/AQ746</f>
        <v>5.2855916471340816E-2</v>
      </c>
      <c r="AQ746" s="67">
        <f>+AI746*SQRT(T746*U746/S746)</f>
        <v>4.1622587344462554</v>
      </c>
      <c r="AS746" s="67">
        <f>+AP746^2/(AU746-2)*(AU746/(V746/AI746)^2+AU746*AV746^2-AU746+2)</f>
        <v>3.6998061810939982E-4</v>
      </c>
      <c r="AU746" s="67">
        <f>+S746-2</f>
        <v>11311</v>
      </c>
      <c r="AV746" s="67">
        <f>IFERROR(1/(SQRT(AU746/2)*_xlfn.GAMMA(AU746/2-0.5)/_xlfn.GAMMA(AU746/2)),1)</f>
        <v>1</v>
      </c>
      <c r="AW746" s="67" t="s">
        <v>1350</v>
      </c>
    </row>
    <row r="747" spans="1:49" ht="30" customHeight="1" x14ac:dyDescent="0.25">
      <c r="A747" s="73" t="s">
        <v>73</v>
      </c>
      <c r="B747" s="67" t="s">
        <v>221</v>
      </c>
      <c r="C747" s="73" t="s">
        <v>294</v>
      </c>
      <c r="D747" s="67">
        <f t="shared" ref="D747:D778" si="206">D746+1</f>
        <v>2</v>
      </c>
      <c r="E747" s="67" t="s">
        <v>605</v>
      </c>
      <c r="F747" s="73" t="s">
        <v>240</v>
      </c>
      <c r="G747" s="73" t="s">
        <v>578</v>
      </c>
      <c r="H747" s="67">
        <v>1</v>
      </c>
      <c r="I747" s="67">
        <v>40</v>
      </c>
      <c r="J747" s="67">
        <v>3</v>
      </c>
      <c r="K747" s="68" t="s">
        <v>890</v>
      </c>
      <c r="L747" s="68" t="s">
        <v>240</v>
      </c>
      <c r="M747" s="68" t="s">
        <v>570</v>
      </c>
      <c r="N747" s="67" t="s">
        <v>240</v>
      </c>
      <c r="O747" s="69">
        <v>0.26472117509424153</v>
      </c>
      <c r="P747" s="74">
        <v>2.468827213141922E-2</v>
      </c>
      <c r="R747" s="67" t="s">
        <v>376</v>
      </c>
      <c r="S747" s="67">
        <v>11313</v>
      </c>
      <c r="T747" s="67">
        <v>6828</v>
      </c>
      <c r="U747" s="67">
        <v>4485</v>
      </c>
      <c r="V747" s="67">
        <v>0.03</v>
      </c>
      <c r="W747" s="67">
        <v>1.2E-2</v>
      </c>
      <c r="AC747" s="67">
        <v>0.54300000000000004</v>
      </c>
      <c r="AI747" s="70">
        <f t="shared" si="205"/>
        <v>1.2E-2</v>
      </c>
    </row>
    <row r="748" spans="1:49" ht="30" customHeight="1" x14ac:dyDescent="0.25">
      <c r="A748" s="73" t="s">
        <v>73</v>
      </c>
      <c r="B748" s="67" t="s">
        <v>273</v>
      </c>
      <c r="C748" s="73" t="s">
        <v>294</v>
      </c>
      <c r="D748" s="67">
        <f t="shared" si="206"/>
        <v>3</v>
      </c>
      <c r="E748" s="67" t="s">
        <v>951</v>
      </c>
      <c r="F748" s="73" t="s">
        <v>240</v>
      </c>
      <c r="G748" s="73" t="s">
        <v>627</v>
      </c>
      <c r="H748" s="67">
        <v>1</v>
      </c>
      <c r="I748" s="67">
        <v>-6</v>
      </c>
      <c r="J748" s="67">
        <v>2</v>
      </c>
      <c r="K748" s="68" t="s">
        <v>952</v>
      </c>
      <c r="L748" s="68" t="s">
        <v>938</v>
      </c>
      <c r="M748" s="68" t="s">
        <v>953</v>
      </c>
      <c r="N748" s="67" t="s">
        <v>240</v>
      </c>
      <c r="O748" s="69">
        <f t="shared" ref="O748:O763" si="207">1 - (4485+6828)/(5977 + 9409)</f>
        <v>0.26472117509424153</v>
      </c>
      <c r="P748" s="74">
        <f t="shared" ref="P748:P763" si="208">(1-6828/9409)-(1-4485/5977)</f>
        <v>2.468827213141922E-2</v>
      </c>
      <c r="Q748" s="67" t="s">
        <v>240</v>
      </c>
      <c r="R748" s="67" t="s">
        <v>914</v>
      </c>
      <c r="S748" s="67">
        <f t="shared" ref="S748:S763" si="209">T748+U748</f>
        <v>11313</v>
      </c>
      <c r="T748" s="67">
        <v>6828</v>
      </c>
      <c r="U748" s="67">
        <v>4485</v>
      </c>
      <c r="V748" s="67">
        <v>-22</v>
      </c>
      <c r="W748" s="67">
        <v>2</v>
      </c>
      <c r="X748" s="67">
        <v>44.5</v>
      </c>
      <c r="Y748" s="67">
        <v>65.5</v>
      </c>
      <c r="AB748" s="81">
        <v>44.5</v>
      </c>
      <c r="AC748" s="81">
        <v>65.5</v>
      </c>
      <c r="AI748" s="70">
        <f t="shared" si="205"/>
        <v>2</v>
      </c>
      <c r="AP748" s="67">
        <f t="shared" ref="AP748:AP755" si="210">+V748/AQ748</f>
        <v>-0.21142366588536324</v>
      </c>
      <c r="AQ748" s="67">
        <f t="shared" ref="AQ748:AQ755" si="211">+AI748*SQRT(T748*U748/S748)</f>
        <v>104.05646836115639</v>
      </c>
      <c r="AS748" s="67">
        <f t="shared" ref="AS748:AS755" si="212">+AP748^2/(AU748-2)*(AU748/(V748/AI748)^2+AU748*AV748^2-AU748+2)</f>
        <v>3.7739174528074649E-4</v>
      </c>
      <c r="AU748" s="67">
        <f t="shared" ref="AU748:AU755" si="213">+S748-2</f>
        <v>11311</v>
      </c>
      <c r="AV748" s="67">
        <f t="shared" ref="AV748:AV755" si="214">IFERROR(1/(SQRT(AU748/2)*_xlfn.GAMMA(AU748/2-0.5)/_xlfn.GAMMA(AU748/2)),1)</f>
        <v>1</v>
      </c>
      <c r="AW748" s="67" t="s">
        <v>1350</v>
      </c>
    </row>
    <row r="749" spans="1:49" ht="30" customHeight="1" x14ac:dyDescent="0.25">
      <c r="A749" s="73" t="s">
        <v>73</v>
      </c>
      <c r="B749" s="67" t="s">
        <v>273</v>
      </c>
      <c r="C749" s="73" t="s">
        <v>294</v>
      </c>
      <c r="D749" s="67">
        <f t="shared" si="206"/>
        <v>4</v>
      </c>
      <c r="E749" s="67" t="s">
        <v>951</v>
      </c>
      <c r="F749" s="73" t="s">
        <v>240</v>
      </c>
      <c r="G749" s="73" t="s">
        <v>627</v>
      </c>
      <c r="H749" s="67">
        <v>1</v>
      </c>
      <c r="I749" s="67">
        <v>0</v>
      </c>
      <c r="J749" s="67">
        <v>2</v>
      </c>
      <c r="K749" s="68" t="s">
        <v>952</v>
      </c>
      <c r="L749" s="68" t="s">
        <v>938</v>
      </c>
      <c r="M749" s="68" t="s">
        <v>953</v>
      </c>
      <c r="N749" s="67" t="s">
        <v>240</v>
      </c>
      <c r="O749" s="69">
        <f t="shared" si="207"/>
        <v>0.26472117509424153</v>
      </c>
      <c r="P749" s="74">
        <f t="shared" si="208"/>
        <v>2.468827213141922E-2</v>
      </c>
      <c r="Q749" s="67" t="s">
        <v>240</v>
      </c>
      <c r="R749" s="67" t="s">
        <v>914</v>
      </c>
      <c r="S749" s="67">
        <f t="shared" si="209"/>
        <v>11313</v>
      </c>
      <c r="T749" s="67">
        <v>6828</v>
      </c>
      <c r="U749" s="67">
        <v>4485</v>
      </c>
      <c r="V749" s="67">
        <v>-21.6</v>
      </c>
      <c r="W749" s="67">
        <v>2.7</v>
      </c>
      <c r="X749" s="67">
        <v>44.5</v>
      </c>
      <c r="Y749" s="67">
        <v>65.5</v>
      </c>
      <c r="AB749" s="81">
        <v>77.599999999999994</v>
      </c>
      <c r="AC749" s="81">
        <v>99.2</v>
      </c>
      <c r="AI749" s="70">
        <f t="shared" si="205"/>
        <v>2.7</v>
      </c>
      <c r="AP749" s="67">
        <f t="shared" si="210"/>
        <v>-0.15376266609844599</v>
      </c>
      <c r="AQ749" s="67">
        <f t="shared" si="211"/>
        <v>140.47623228756115</v>
      </c>
      <c r="AS749" s="67">
        <f t="shared" si="212"/>
        <v>3.7366780699960673E-4</v>
      </c>
      <c r="AU749" s="67">
        <f t="shared" si="213"/>
        <v>11311</v>
      </c>
      <c r="AV749" s="67">
        <f t="shared" si="214"/>
        <v>1</v>
      </c>
      <c r="AW749" s="67" t="s">
        <v>1350</v>
      </c>
    </row>
    <row r="750" spans="1:49" ht="30" customHeight="1" x14ac:dyDescent="0.25">
      <c r="A750" s="73" t="s">
        <v>73</v>
      </c>
      <c r="B750" s="67" t="s">
        <v>273</v>
      </c>
      <c r="C750" s="73" t="s">
        <v>294</v>
      </c>
      <c r="D750" s="67">
        <f t="shared" si="206"/>
        <v>5</v>
      </c>
      <c r="E750" s="67" t="s">
        <v>951</v>
      </c>
      <c r="F750" s="73" t="s">
        <v>240</v>
      </c>
      <c r="G750" s="73" t="s">
        <v>627</v>
      </c>
      <c r="H750" s="67">
        <v>1</v>
      </c>
      <c r="I750" s="67">
        <v>6</v>
      </c>
      <c r="J750" s="67">
        <v>2</v>
      </c>
      <c r="K750" s="68" t="s">
        <v>952</v>
      </c>
      <c r="L750" s="68" t="s">
        <v>938</v>
      </c>
      <c r="M750" s="68" t="s">
        <v>570</v>
      </c>
      <c r="N750" s="67" t="s">
        <v>240</v>
      </c>
      <c r="O750" s="69">
        <f t="shared" si="207"/>
        <v>0.26472117509424153</v>
      </c>
      <c r="P750" s="74">
        <f t="shared" si="208"/>
        <v>2.468827213141922E-2</v>
      </c>
      <c r="Q750" s="67" t="s">
        <v>240</v>
      </c>
      <c r="R750" s="67" t="s">
        <v>914</v>
      </c>
      <c r="S750" s="67">
        <f t="shared" si="209"/>
        <v>11313</v>
      </c>
      <c r="T750" s="67">
        <v>6828</v>
      </c>
      <c r="U750" s="67">
        <v>4485</v>
      </c>
      <c r="V750" s="67">
        <v>-8.9</v>
      </c>
      <c r="W750" s="67">
        <v>2.9</v>
      </c>
      <c r="X750" s="67">
        <v>44.5</v>
      </c>
      <c r="Y750" s="67">
        <v>65.5</v>
      </c>
      <c r="AB750" s="67">
        <v>108.8</v>
      </c>
      <c r="AC750" s="67">
        <v>117.7</v>
      </c>
      <c r="AI750" s="70">
        <f t="shared" si="205"/>
        <v>2.9</v>
      </c>
      <c r="AP750" s="67">
        <f t="shared" si="210"/>
        <v>-5.8986540011903857E-2</v>
      </c>
      <c r="AQ750" s="67">
        <f t="shared" si="211"/>
        <v>150.88187912367675</v>
      </c>
      <c r="AS750" s="67">
        <f t="shared" si="212"/>
        <v>3.7010187799029973E-4</v>
      </c>
      <c r="AU750" s="67">
        <f t="shared" si="213"/>
        <v>11311</v>
      </c>
      <c r="AV750" s="67">
        <f t="shared" si="214"/>
        <v>1</v>
      </c>
      <c r="AW750" s="67" t="s">
        <v>1350</v>
      </c>
    </row>
    <row r="751" spans="1:49" ht="30" customHeight="1" x14ac:dyDescent="0.25">
      <c r="A751" s="73" t="s">
        <v>73</v>
      </c>
      <c r="B751" s="67" t="s">
        <v>273</v>
      </c>
      <c r="C751" s="73" t="s">
        <v>294</v>
      </c>
      <c r="D751" s="67">
        <f t="shared" si="206"/>
        <v>6</v>
      </c>
      <c r="E751" s="67" t="s">
        <v>951</v>
      </c>
      <c r="F751" s="73" t="s">
        <v>240</v>
      </c>
      <c r="G751" s="73" t="s">
        <v>627</v>
      </c>
      <c r="H751" s="67">
        <v>1</v>
      </c>
      <c r="I751" s="67">
        <v>12</v>
      </c>
      <c r="J751" s="67">
        <v>2</v>
      </c>
      <c r="K751" s="68" t="s">
        <v>952</v>
      </c>
      <c r="L751" s="68" t="s">
        <v>938</v>
      </c>
      <c r="M751" s="68" t="s">
        <v>953</v>
      </c>
      <c r="N751" s="67" t="s">
        <v>240</v>
      </c>
      <c r="O751" s="69">
        <f t="shared" si="207"/>
        <v>0.26472117509424153</v>
      </c>
      <c r="P751" s="74">
        <f t="shared" si="208"/>
        <v>2.468827213141922E-2</v>
      </c>
      <c r="Q751" s="67" t="s">
        <v>240</v>
      </c>
      <c r="R751" s="67" t="s">
        <v>914</v>
      </c>
      <c r="S751" s="67">
        <f t="shared" si="209"/>
        <v>11313</v>
      </c>
      <c r="T751" s="67">
        <v>6828</v>
      </c>
      <c r="U751" s="67">
        <v>4485</v>
      </c>
      <c r="V751" s="67">
        <v>4.0999999999999996</v>
      </c>
      <c r="W751" s="67">
        <v>3.5</v>
      </c>
      <c r="X751" s="67">
        <v>44.5</v>
      </c>
      <c r="Y751" s="67">
        <v>65.5</v>
      </c>
      <c r="AB751" s="67">
        <v>142.30000000000001</v>
      </c>
      <c r="AC751" s="67">
        <v>138.19999999999999</v>
      </c>
      <c r="AI751" s="70">
        <f t="shared" si="205"/>
        <v>3.5</v>
      </c>
      <c r="AP751" s="67">
        <f t="shared" si="210"/>
        <v>2.2515247535843875E-2</v>
      </c>
      <c r="AQ751" s="67">
        <f t="shared" si="211"/>
        <v>182.09881963202369</v>
      </c>
      <c r="AS751" s="67">
        <f t="shared" si="212"/>
        <v>3.6957619481212757E-4</v>
      </c>
      <c r="AU751" s="67">
        <f t="shared" si="213"/>
        <v>11311</v>
      </c>
      <c r="AV751" s="67">
        <f t="shared" si="214"/>
        <v>1</v>
      </c>
      <c r="AW751" s="67" t="s">
        <v>1350</v>
      </c>
    </row>
    <row r="752" spans="1:49" ht="30" customHeight="1" x14ac:dyDescent="0.25">
      <c r="A752" s="73" t="s">
        <v>73</v>
      </c>
      <c r="B752" s="67" t="s">
        <v>273</v>
      </c>
      <c r="C752" s="73" t="s">
        <v>294</v>
      </c>
      <c r="D752" s="67">
        <f t="shared" si="206"/>
        <v>7</v>
      </c>
      <c r="E752" s="67" t="s">
        <v>951</v>
      </c>
      <c r="F752" s="73" t="s">
        <v>240</v>
      </c>
      <c r="G752" s="73" t="s">
        <v>627</v>
      </c>
      <c r="H752" s="67">
        <v>1</v>
      </c>
      <c r="I752" s="67">
        <v>18</v>
      </c>
      <c r="J752" s="67">
        <v>2</v>
      </c>
      <c r="K752" s="68" t="s">
        <v>952</v>
      </c>
      <c r="L752" s="68" t="s">
        <v>938</v>
      </c>
      <c r="M752" s="68" t="s">
        <v>570</v>
      </c>
      <c r="N752" s="67" t="s">
        <v>240</v>
      </c>
      <c r="O752" s="69">
        <f t="shared" si="207"/>
        <v>0.26472117509424153</v>
      </c>
      <c r="P752" s="74">
        <f t="shared" si="208"/>
        <v>2.468827213141922E-2</v>
      </c>
      <c r="Q752" s="67" t="s">
        <v>240</v>
      </c>
      <c r="R752" s="67" t="s">
        <v>914</v>
      </c>
      <c r="S752" s="67">
        <f t="shared" si="209"/>
        <v>11313</v>
      </c>
      <c r="T752" s="67">
        <v>6828</v>
      </c>
      <c r="U752" s="67">
        <v>4485</v>
      </c>
      <c r="V752" s="67">
        <v>9</v>
      </c>
      <c r="W752" s="67">
        <v>3.6</v>
      </c>
      <c r="X752" s="67">
        <v>44.5</v>
      </c>
      <c r="Y752" s="67">
        <v>65.5</v>
      </c>
      <c r="AB752" s="67">
        <v>164.8</v>
      </c>
      <c r="AC752" s="67">
        <v>155.80000000000001</v>
      </c>
      <c r="AI752" s="70">
        <f t="shared" si="205"/>
        <v>3.6</v>
      </c>
      <c r="AP752" s="67">
        <f t="shared" si="210"/>
        <v>4.8050833155764375E-2</v>
      </c>
      <c r="AQ752" s="67">
        <f t="shared" si="211"/>
        <v>187.30164305008151</v>
      </c>
      <c r="AS752" s="67">
        <f t="shared" si="212"/>
        <v>3.6989486953055759E-4</v>
      </c>
      <c r="AU752" s="67">
        <f t="shared" si="213"/>
        <v>11311</v>
      </c>
      <c r="AV752" s="67">
        <f t="shared" si="214"/>
        <v>1</v>
      </c>
      <c r="AW752" s="67" t="s">
        <v>1350</v>
      </c>
    </row>
    <row r="753" spans="1:49" ht="30" customHeight="1" x14ac:dyDescent="0.25">
      <c r="A753" s="73" t="s">
        <v>73</v>
      </c>
      <c r="B753" s="67" t="s">
        <v>273</v>
      </c>
      <c r="C753" s="73" t="s">
        <v>294</v>
      </c>
      <c r="D753" s="67">
        <f t="shared" si="206"/>
        <v>8</v>
      </c>
      <c r="E753" s="67" t="s">
        <v>951</v>
      </c>
      <c r="F753" s="73" t="s">
        <v>240</v>
      </c>
      <c r="G753" s="73" t="s">
        <v>627</v>
      </c>
      <c r="H753" s="67">
        <v>1</v>
      </c>
      <c r="I753" s="67">
        <v>24</v>
      </c>
      <c r="J753" s="67">
        <v>2</v>
      </c>
      <c r="K753" s="68" t="s">
        <v>952</v>
      </c>
      <c r="L753" s="68" t="s">
        <v>938</v>
      </c>
      <c r="M753" s="68" t="s">
        <v>953</v>
      </c>
      <c r="N753" s="67" t="s">
        <v>240</v>
      </c>
      <c r="O753" s="69">
        <f t="shared" si="207"/>
        <v>0.26472117509424153</v>
      </c>
      <c r="P753" s="74">
        <f t="shared" si="208"/>
        <v>2.468827213141922E-2</v>
      </c>
      <c r="Q753" s="67" t="s">
        <v>240</v>
      </c>
      <c r="R753" s="67" t="s">
        <v>914</v>
      </c>
      <c r="S753" s="67">
        <f t="shared" si="209"/>
        <v>11313</v>
      </c>
      <c r="T753" s="67">
        <v>6828</v>
      </c>
      <c r="U753" s="67">
        <v>4485</v>
      </c>
      <c r="V753" s="67">
        <v>15.9</v>
      </c>
      <c r="W753" s="67">
        <v>3.7</v>
      </c>
      <c r="X753" s="67">
        <v>44.5</v>
      </c>
      <c r="Y753" s="67">
        <v>65.5</v>
      </c>
      <c r="AB753" s="67">
        <v>186.1</v>
      </c>
      <c r="AC753" s="67">
        <v>170.2</v>
      </c>
      <c r="AI753" s="70">
        <f t="shared" si="205"/>
        <v>3.7</v>
      </c>
      <c r="AP753" s="67">
        <f t="shared" si="210"/>
        <v>8.2595486181259836E-2</v>
      </c>
      <c r="AQ753" s="67">
        <f t="shared" si="211"/>
        <v>192.50446646813933</v>
      </c>
      <c r="AS753" s="67">
        <f t="shared" si="212"/>
        <v>3.7069301822107874E-4</v>
      </c>
      <c r="AU753" s="67">
        <f t="shared" si="213"/>
        <v>11311</v>
      </c>
      <c r="AV753" s="67">
        <f t="shared" si="214"/>
        <v>1</v>
      </c>
      <c r="AW753" s="67" t="s">
        <v>1350</v>
      </c>
    </row>
    <row r="754" spans="1:49" ht="30" customHeight="1" x14ac:dyDescent="0.25">
      <c r="A754" s="73" t="s">
        <v>73</v>
      </c>
      <c r="B754" s="67" t="s">
        <v>273</v>
      </c>
      <c r="C754" s="73" t="s">
        <v>294</v>
      </c>
      <c r="D754" s="67">
        <f t="shared" si="206"/>
        <v>9</v>
      </c>
      <c r="E754" s="67" t="s">
        <v>951</v>
      </c>
      <c r="F754" s="73" t="s">
        <v>240</v>
      </c>
      <c r="G754" s="73" t="s">
        <v>627</v>
      </c>
      <c r="H754" s="67">
        <v>1</v>
      </c>
      <c r="I754" s="67">
        <v>30</v>
      </c>
      <c r="J754" s="67">
        <v>2</v>
      </c>
      <c r="K754" s="68" t="s">
        <v>952</v>
      </c>
      <c r="L754" s="68" t="s">
        <v>938</v>
      </c>
      <c r="M754" s="68" t="s">
        <v>953</v>
      </c>
      <c r="N754" s="67" t="s">
        <v>240</v>
      </c>
      <c r="O754" s="69">
        <f t="shared" si="207"/>
        <v>0.26472117509424153</v>
      </c>
      <c r="P754" s="74">
        <f t="shared" si="208"/>
        <v>2.468827213141922E-2</v>
      </c>
      <c r="Q754" s="67" t="s">
        <v>240</v>
      </c>
      <c r="R754" s="67" t="s">
        <v>914</v>
      </c>
      <c r="S754" s="67">
        <f t="shared" si="209"/>
        <v>11313</v>
      </c>
      <c r="T754" s="67">
        <v>6828</v>
      </c>
      <c r="U754" s="67">
        <v>4485</v>
      </c>
      <c r="V754" s="67">
        <v>17.3</v>
      </c>
      <c r="W754" s="67">
        <v>4.0999999999999996</v>
      </c>
      <c r="X754" s="67">
        <v>44.5</v>
      </c>
      <c r="Y754" s="67">
        <v>65.5</v>
      </c>
      <c r="AB754" s="67">
        <v>205.3</v>
      </c>
      <c r="AC754" s="67">
        <v>188</v>
      </c>
      <c r="AI754" s="70">
        <f t="shared" si="205"/>
        <v>4.0999999999999996</v>
      </c>
      <c r="AP754" s="67">
        <f t="shared" si="210"/>
        <v>8.1100430594607198E-2</v>
      </c>
      <c r="AQ754" s="67">
        <f t="shared" si="211"/>
        <v>213.31576014037057</v>
      </c>
      <c r="AS754" s="67">
        <f t="shared" si="212"/>
        <v>3.7064973685316244E-4</v>
      </c>
      <c r="AU754" s="67">
        <f t="shared" si="213"/>
        <v>11311</v>
      </c>
      <c r="AV754" s="67">
        <f t="shared" si="214"/>
        <v>1</v>
      </c>
      <c r="AW754" s="67" t="s">
        <v>1350</v>
      </c>
    </row>
    <row r="755" spans="1:49" ht="30" customHeight="1" x14ac:dyDescent="0.25">
      <c r="A755" s="73" t="s">
        <v>73</v>
      </c>
      <c r="B755" s="67" t="s">
        <v>273</v>
      </c>
      <c r="C755" s="73" t="s">
        <v>294</v>
      </c>
      <c r="D755" s="67">
        <f t="shared" si="206"/>
        <v>10</v>
      </c>
      <c r="E755" s="67" t="s">
        <v>951</v>
      </c>
      <c r="F755" s="73" t="s">
        <v>240</v>
      </c>
      <c r="G755" s="73" t="s">
        <v>627</v>
      </c>
      <c r="H755" s="67">
        <v>1</v>
      </c>
      <c r="I755" s="67">
        <v>36</v>
      </c>
      <c r="J755" s="67">
        <v>2</v>
      </c>
      <c r="K755" s="68" t="s">
        <v>952</v>
      </c>
      <c r="L755" s="68" t="s">
        <v>938</v>
      </c>
      <c r="M755" s="68" t="s">
        <v>953</v>
      </c>
      <c r="N755" s="67" t="s">
        <v>240</v>
      </c>
      <c r="O755" s="69">
        <f t="shared" si="207"/>
        <v>0.26472117509424153</v>
      </c>
      <c r="P755" s="74">
        <f t="shared" si="208"/>
        <v>2.468827213141922E-2</v>
      </c>
      <c r="Q755" s="67" t="s">
        <v>240</v>
      </c>
      <c r="R755" s="67" t="s">
        <v>914</v>
      </c>
      <c r="S755" s="67">
        <f t="shared" si="209"/>
        <v>11313</v>
      </c>
      <c r="T755" s="67">
        <v>6828</v>
      </c>
      <c r="U755" s="67">
        <v>4485</v>
      </c>
      <c r="V755" s="67">
        <v>16.5</v>
      </c>
      <c r="W755" s="67">
        <v>4.0999999999999996</v>
      </c>
      <c r="X755" s="67">
        <v>44.5</v>
      </c>
      <c r="Y755" s="67">
        <v>65.5</v>
      </c>
      <c r="AB755" s="67">
        <v>213.7</v>
      </c>
      <c r="AC755" s="67">
        <v>197.2</v>
      </c>
      <c r="AI755" s="70">
        <f t="shared" si="205"/>
        <v>4.0999999999999996</v>
      </c>
      <c r="AP755" s="67">
        <f t="shared" si="210"/>
        <v>7.7350121665376803E-2</v>
      </c>
      <c r="AQ755" s="67">
        <f t="shared" si="211"/>
        <v>213.31576014037057</v>
      </c>
      <c r="AS755" s="67">
        <f t="shared" si="212"/>
        <v>3.7054464559469863E-4</v>
      </c>
      <c r="AU755" s="67">
        <f t="shared" si="213"/>
        <v>11311</v>
      </c>
      <c r="AV755" s="67">
        <f t="shared" si="214"/>
        <v>1</v>
      </c>
      <c r="AW755" s="67" t="s">
        <v>1350</v>
      </c>
    </row>
    <row r="756" spans="1:49" ht="30" customHeight="1" x14ac:dyDescent="0.25">
      <c r="A756" s="73" t="s">
        <v>73</v>
      </c>
      <c r="B756" s="67" t="s">
        <v>273</v>
      </c>
      <c r="C756" s="73" t="s">
        <v>294</v>
      </c>
      <c r="D756" s="67">
        <f t="shared" si="206"/>
        <v>11</v>
      </c>
      <c r="E756" s="67" t="s">
        <v>951</v>
      </c>
      <c r="F756" s="73" t="s">
        <v>240</v>
      </c>
      <c r="G756" s="73" t="s">
        <v>627</v>
      </c>
      <c r="H756" s="67">
        <v>1</v>
      </c>
      <c r="I756" s="67">
        <v>-6</v>
      </c>
      <c r="J756" s="67">
        <v>1</v>
      </c>
      <c r="K756" s="68" t="s">
        <v>579</v>
      </c>
      <c r="L756" s="68" t="s">
        <v>240</v>
      </c>
      <c r="M756" s="68" t="s">
        <v>953</v>
      </c>
      <c r="N756" s="67" t="s">
        <v>240</v>
      </c>
      <c r="O756" s="69">
        <f t="shared" si="207"/>
        <v>0.26472117509424153</v>
      </c>
      <c r="P756" s="74">
        <f t="shared" si="208"/>
        <v>2.468827213141922E-2</v>
      </c>
      <c r="Q756" s="67" t="s">
        <v>240</v>
      </c>
      <c r="R756" s="67" t="s">
        <v>914</v>
      </c>
      <c r="S756" s="67">
        <f t="shared" si="209"/>
        <v>11313</v>
      </c>
      <c r="T756" s="67">
        <v>6828</v>
      </c>
      <c r="U756" s="67">
        <v>4485</v>
      </c>
      <c r="V756" s="67">
        <v>-8.900000000000001E-2</v>
      </c>
      <c r="W756" s="67">
        <v>0.01</v>
      </c>
      <c r="X756" s="67">
        <v>0.33200000000000002</v>
      </c>
      <c r="Y756" s="67">
        <v>0.42100000000000004</v>
      </c>
      <c r="AI756" s="70">
        <f t="shared" si="205"/>
        <v>0.01</v>
      </c>
    </row>
    <row r="757" spans="1:49" ht="30" customHeight="1" x14ac:dyDescent="0.25">
      <c r="A757" s="73" t="s">
        <v>73</v>
      </c>
      <c r="B757" s="67" t="s">
        <v>273</v>
      </c>
      <c r="C757" s="73" t="s">
        <v>294</v>
      </c>
      <c r="D757" s="67">
        <f t="shared" si="206"/>
        <v>12</v>
      </c>
      <c r="E757" s="67" t="s">
        <v>951</v>
      </c>
      <c r="F757" s="73" t="s">
        <v>240</v>
      </c>
      <c r="G757" s="73" t="s">
        <v>627</v>
      </c>
      <c r="H757" s="67">
        <v>1</v>
      </c>
      <c r="I757" s="67">
        <v>0</v>
      </c>
      <c r="J757" s="67">
        <v>1</v>
      </c>
      <c r="K757" s="68" t="s">
        <v>579</v>
      </c>
      <c r="L757" s="68" t="s">
        <v>240</v>
      </c>
      <c r="M757" s="68" t="s">
        <v>953</v>
      </c>
      <c r="N757" s="67" t="s">
        <v>240</v>
      </c>
      <c r="O757" s="69">
        <f t="shared" si="207"/>
        <v>0.26472117509424153</v>
      </c>
      <c r="P757" s="74">
        <f t="shared" si="208"/>
        <v>2.468827213141922E-2</v>
      </c>
      <c r="Q757" s="67" t="s">
        <v>240</v>
      </c>
      <c r="R757" s="67" t="s">
        <v>914</v>
      </c>
      <c r="S757" s="67">
        <f t="shared" si="209"/>
        <v>11313</v>
      </c>
      <c r="T757" s="67">
        <v>6828</v>
      </c>
      <c r="U757" s="67">
        <v>4485</v>
      </c>
      <c r="V757" s="67">
        <v>-0.111</v>
      </c>
      <c r="W757" s="67">
        <v>0.01</v>
      </c>
      <c r="X757" s="67">
        <v>0.33200000000000002</v>
      </c>
      <c r="Y757" s="67">
        <v>0.42100000000000004</v>
      </c>
      <c r="AI757" s="70">
        <f t="shared" si="205"/>
        <v>0.01</v>
      </c>
    </row>
    <row r="758" spans="1:49" ht="30" customHeight="1" x14ac:dyDescent="0.25">
      <c r="A758" s="73" t="s">
        <v>73</v>
      </c>
      <c r="B758" s="67" t="s">
        <v>273</v>
      </c>
      <c r="C758" s="73" t="s">
        <v>294</v>
      </c>
      <c r="D758" s="67">
        <f t="shared" si="206"/>
        <v>13</v>
      </c>
      <c r="E758" s="67" t="s">
        <v>951</v>
      </c>
      <c r="F758" s="73" t="s">
        <v>240</v>
      </c>
      <c r="G758" s="73" t="s">
        <v>627</v>
      </c>
      <c r="H758" s="67">
        <v>1</v>
      </c>
      <c r="I758" s="67">
        <v>6</v>
      </c>
      <c r="J758" s="67">
        <v>1</v>
      </c>
      <c r="K758" s="68" t="s">
        <v>579</v>
      </c>
      <c r="L758" s="68" t="s">
        <v>240</v>
      </c>
      <c r="M758" s="68" t="s">
        <v>570</v>
      </c>
      <c r="N758" s="67" t="s">
        <v>240</v>
      </c>
      <c r="O758" s="69">
        <f t="shared" si="207"/>
        <v>0.26472117509424153</v>
      </c>
      <c r="P758" s="74">
        <f t="shared" si="208"/>
        <v>2.468827213141922E-2</v>
      </c>
      <c r="Q758" s="67" t="s">
        <v>240</v>
      </c>
      <c r="R758" s="67" t="s">
        <v>914</v>
      </c>
      <c r="S758" s="67">
        <f t="shared" si="209"/>
        <v>11313</v>
      </c>
      <c r="T758" s="67">
        <v>6828</v>
      </c>
      <c r="U758" s="67">
        <v>4485</v>
      </c>
      <c r="V758" s="67">
        <v>-4.0999999999999995E-2</v>
      </c>
      <c r="W758" s="67">
        <v>0.01</v>
      </c>
      <c r="X758" s="67">
        <v>0.33200000000000002</v>
      </c>
      <c r="Y758" s="67">
        <v>0.42100000000000004</v>
      </c>
      <c r="AB758" s="67">
        <v>0.52600000000000002</v>
      </c>
      <c r="AC758" s="67">
        <v>0.56700000000000006</v>
      </c>
      <c r="AI758" s="70">
        <f t="shared" si="205"/>
        <v>0.01</v>
      </c>
    </row>
    <row r="759" spans="1:49" ht="30" customHeight="1" x14ac:dyDescent="0.25">
      <c r="A759" s="73" t="s">
        <v>73</v>
      </c>
      <c r="B759" s="67" t="s">
        <v>273</v>
      </c>
      <c r="C759" s="73" t="s">
        <v>294</v>
      </c>
      <c r="D759" s="67">
        <f t="shared" si="206"/>
        <v>14</v>
      </c>
      <c r="E759" s="67" t="s">
        <v>951</v>
      </c>
      <c r="F759" s="73" t="s">
        <v>240</v>
      </c>
      <c r="G759" s="73" t="s">
        <v>627</v>
      </c>
      <c r="H759" s="67">
        <v>1</v>
      </c>
      <c r="I759" s="67">
        <v>12</v>
      </c>
      <c r="J759" s="67">
        <v>1</v>
      </c>
      <c r="K759" s="68" t="s">
        <v>579</v>
      </c>
      <c r="L759" s="68" t="s">
        <v>240</v>
      </c>
      <c r="M759" s="68" t="s">
        <v>953</v>
      </c>
      <c r="N759" s="67" t="s">
        <v>240</v>
      </c>
      <c r="O759" s="69">
        <f t="shared" si="207"/>
        <v>0.26472117509424153</v>
      </c>
      <c r="P759" s="74">
        <f t="shared" si="208"/>
        <v>2.468827213141922E-2</v>
      </c>
      <c r="Q759" s="67" t="s">
        <v>240</v>
      </c>
      <c r="R759" s="67" t="s">
        <v>914</v>
      </c>
      <c r="S759" s="67">
        <f t="shared" si="209"/>
        <v>11313</v>
      </c>
      <c r="T759" s="67">
        <v>6828</v>
      </c>
      <c r="U759" s="67">
        <v>4485</v>
      </c>
      <c r="V759" s="67">
        <v>-6.0000000000000001E-3</v>
      </c>
      <c r="W759" s="67">
        <v>0.01</v>
      </c>
      <c r="X759" s="67">
        <v>0.33200000000000002</v>
      </c>
      <c r="Y759" s="67">
        <v>0.42100000000000004</v>
      </c>
      <c r="AB759" s="67">
        <v>0.55200000000000005</v>
      </c>
      <c r="AC759" s="67">
        <v>0.55799999999999994</v>
      </c>
      <c r="AI759" s="70">
        <f t="shared" si="205"/>
        <v>0.01</v>
      </c>
    </row>
    <row r="760" spans="1:49" ht="30" customHeight="1" x14ac:dyDescent="0.25">
      <c r="A760" s="73" t="s">
        <v>73</v>
      </c>
      <c r="B760" s="67" t="s">
        <v>273</v>
      </c>
      <c r="C760" s="73" t="s">
        <v>294</v>
      </c>
      <c r="D760" s="67">
        <f t="shared" si="206"/>
        <v>15</v>
      </c>
      <c r="E760" s="67" t="s">
        <v>951</v>
      </c>
      <c r="F760" s="73" t="s">
        <v>240</v>
      </c>
      <c r="G760" s="73" t="s">
        <v>627</v>
      </c>
      <c r="H760" s="67">
        <v>1</v>
      </c>
      <c r="I760" s="67">
        <v>18</v>
      </c>
      <c r="J760" s="67">
        <v>1</v>
      </c>
      <c r="K760" s="68" t="s">
        <v>579</v>
      </c>
      <c r="L760" s="68" t="s">
        <v>240</v>
      </c>
      <c r="M760" s="68" t="s">
        <v>570</v>
      </c>
      <c r="N760" s="67" t="s">
        <v>240</v>
      </c>
      <c r="O760" s="69">
        <f t="shared" si="207"/>
        <v>0.26472117509424153</v>
      </c>
      <c r="P760" s="74">
        <f t="shared" si="208"/>
        <v>2.468827213141922E-2</v>
      </c>
      <c r="Q760" s="67" t="s">
        <v>240</v>
      </c>
      <c r="R760" s="67" t="s">
        <v>914</v>
      </c>
      <c r="S760" s="67">
        <f t="shared" si="209"/>
        <v>11313</v>
      </c>
      <c r="T760" s="67">
        <v>6828</v>
      </c>
      <c r="U760" s="67">
        <v>4485</v>
      </c>
      <c r="V760" s="67">
        <v>1.2E-2</v>
      </c>
      <c r="W760" s="67">
        <v>9.0000000000000011E-3</v>
      </c>
      <c r="X760" s="67">
        <v>0.33200000000000002</v>
      </c>
      <c r="Y760" s="67">
        <v>0.42100000000000004</v>
      </c>
      <c r="AB760" s="67">
        <v>0.627</v>
      </c>
      <c r="AC760" s="67">
        <v>0.61399999999999999</v>
      </c>
      <c r="AI760" s="70">
        <f t="shared" si="205"/>
        <v>9.0000000000000011E-3</v>
      </c>
    </row>
    <row r="761" spans="1:49" ht="30" customHeight="1" x14ac:dyDescent="0.25">
      <c r="A761" s="73" t="s">
        <v>73</v>
      </c>
      <c r="B761" s="67" t="s">
        <v>273</v>
      </c>
      <c r="C761" s="73" t="s">
        <v>294</v>
      </c>
      <c r="D761" s="67">
        <f t="shared" si="206"/>
        <v>16</v>
      </c>
      <c r="E761" s="67" t="s">
        <v>951</v>
      </c>
      <c r="F761" s="73" t="s">
        <v>240</v>
      </c>
      <c r="G761" s="73" t="s">
        <v>627</v>
      </c>
      <c r="H761" s="67">
        <v>1</v>
      </c>
      <c r="I761" s="67">
        <v>24</v>
      </c>
      <c r="J761" s="67">
        <v>1</v>
      </c>
      <c r="K761" s="68" t="s">
        <v>579</v>
      </c>
      <c r="L761" s="68" t="s">
        <v>240</v>
      </c>
      <c r="M761" s="68" t="s">
        <v>953</v>
      </c>
      <c r="N761" s="67" t="s">
        <v>240</v>
      </c>
      <c r="O761" s="69">
        <f t="shared" si="207"/>
        <v>0.26472117509424153</v>
      </c>
      <c r="P761" s="74">
        <f t="shared" si="208"/>
        <v>2.468827213141922E-2</v>
      </c>
      <c r="Q761" s="67" t="s">
        <v>240</v>
      </c>
      <c r="R761" s="67" t="s">
        <v>914</v>
      </c>
      <c r="S761" s="67">
        <f t="shared" si="209"/>
        <v>11313</v>
      </c>
      <c r="T761" s="67">
        <v>6828</v>
      </c>
      <c r="U761" s="67">
        <v>4485</v>
      </c>
      <c r="V761" s="67">
        <v>2.8999999999999998E-2</v>
      </c>
      <c r="W761" s="67">
        <v>9.0000000000000011E-3</v>
      </c>
      <c r="X761" s="67">
        <v>0.33200000000000002</v>
      </c>
      <c r="Y761" s="67">
        <v>0.42100000000000004</v>
      </c>
      <c r="AB761" s="67">
        <v>0.67099999999999993</v>
      </c>
      <c r="AC761" s="67">
        <v>0.64300000000000002</v>
      </c>
      <c r="AI761" s="70">
        <f t="shared" si="205"/>
        <v>9.0000000000000011E-3</v>
      </c>
    </row>
    <row r="762" spans="1:49" ht="30" customHeight="1" x14ac:dyDescent="0.25">
      <c r="A762" s="73" t="s">
        <v>73</v>
      </c>
      <c r="B762" s="67" t="s">
        <v>273</v>
      </c>
      <c r="C762" s="73" t="s">
        <v>294</v>
      </c>
      <c r="D762" s="67">
        <f t="shared" si="206"/>
        <v>17</v>
      </c>
      <c r="E762" s="67" t="s">
        <v>951</v>
      </c>
      <c r="F762" s="73" t="s">
        <v>240</v>
      </c>
      <c r="G762" s="73" t="s">
        <v>627</v>
      </c>
      <c r="H762" s="67">
        <v>1</v>
      </c>
      <c r="I762" s="67">
        <v>30</v>
      </c>
      <c r="J762" s="67">
        <v>1</v>
      </c>
      <c r="K762" s="68" t="s">
        <v>579</v>
      </c>
      <c r="L762" s="68" t="s">
        <v>240</v>
      </c>
      <c r="M762" s="68" t="s">
        <v>953</v>
      </c>
      <c r="N762" s="67" t="s">
        <v>240</v>
      </c>
      <c r="O762" s="69">
        <f t="shared" si="207"/>
        <v>0.26472117509424153</v>
      </c>
      <c r="P762" s="74">
        <f t="shared" si="208"/>
        <v>2.468827213141922E-2</v>
      </c>
      <c r="Q762" s="67" t="s">
        <v>240</v>
      </c>
      <c r="R762" s="67" t="s">
        <v>914</v>
      </c>
      <c r="S762" s="67">
        <f t="shared" si="209"/>
        <v>11313</v>
      </c>
      <c r="T762" s="67">
        <v>6828</v>
      </c>
      <c r="U762" s="67">
        <v>4485</v>
      </c>
      <c r="V762" s="67">
        <v>3.4000000000000002E-2</v>
      </c>
      <c r="W762" s="67">
        <v>9.0000000000000011E-3</v>
      </c>
      <c r="X762" s="67">
        <v>0.33200000000000002</v>
      </c>
      <c r="Y762" s="67">
        <v>0.42100000000000004</v>
      </c>
      <c r="AB762" s="67">
        <v>0.66799999999999993</v>
      </c>
      <c r="AC762" s="67">
        <v>0.63400000000000001</v>
      </c>
      <c r="AI762" s="70">
        <f t="shared" si="205"/>
        <v>9.0000000000000011E-3</v>
      </c>
    </row>
    <row r="763" spans="1:49" ht="30" customHeight="1" x14ac:dyDescent="0.25">
      <c r="A763" s="73" t="s">
        <v>73</v>
      </c>
      <c r="B763" s="67" t="s">
        <v>273</v>
      </c>
      <c r="C763" s="73" t="s">
        <v>294</v>
      </c>
      <c r="D763" s="67">
        <f t="shared" si="206"/>
        <v>18</v>
      </c>
      <c r="E763" s="67" t="s">
        <v>951</v>
      </c>
      <c r="F763" s="73" t="s">
        <v>240</v>
      </c>
      <c r="G763" s="73" t="s">
        <v>627</v>
      </c>
      <c r="H763" s="67">
        <v>1</v>
      </c>
      <c r="I763" s="67">
        <v>36</v>
      </c>
      <c r="J763" s="67">
        <v>1</v>
      </c>
      <c r="K763" s="68" t="s">
        <v>579</v>
      </c>
      <c r="L763" s="68" t="s">
        <v>240</v>
      </c>
      <c r="M763" s="68" t="s">
        <v>953</v>
      </c>
      <c r="N763" s="67" t="s">
        <v>240</v>
      </c>
      <c r="O763" s="69">
        <f t="shared" si="207"/>
        <v>0.26472117509424153</v>
      </c>
      <c r="P763" s="74">
        <f t="shared" si="208"/>
        <v>2.468827213141922E-2</v>
      </c>
      <c r="Q763" s="67" t="s">
        <v>240</v>
      </c>
      <c r="R763" s="67" t="s">
        <v>914</v>
      </c>
      <c r="S763" s="67">
        <f t="shared" si="209"/>
        <v>11313</v>
      </c>
      <c r="T763" s="67">
        <v>6828</v>
      </c>
      <c r="U763" s="67">
        <v>4485</v>
      </c>
      <c r="V763" s="67">
        <v>3.6000000000000004E-2</v>
      </c>
      <c r="W763" s="67">
        <v>9.0000000000000011E-3</v>
      </c>
      <c r="X763" s="67">
        <v>0.33200000000000002</v>
      </c>
      <c r="Y763" s="67">
        <v>0.42100000000000004</v>
      </c>
      <c r="AB763" s="67">
        <v>0.69200000000000006</v>
      </c>
      <c r="AC763" s="67">
        <v>0.65599999999999992</v>
      </c>
      <c r="AI763" s="70">
        <f t="shared" si="205"/>
        <v>9.0000000000000011E-3</v>
      </c>
    </row>
    <row r="764" spans="1:49" ht="30" customHeight="1" x14ac:dyDescent="0.25">
      <c r="A764" s="73" t="s">
        <v>73</v>
      </c>
      <c r="B764" s="67" t="s">
        <v>221</v>
      </c>
      <c r="C764" s="73" t="s">
        <v>294</v>
      </c>
      <c r="D764" s="67">
        <f t="shared" si="206"/>
        <v>19</v>
      </c>
      <c r="E764" s="67" t="s">
        <v>605</v>
      </c>
      <c r="F764" s="73" t="s">
        <v>240</v>
      </c>
      <c r="G764" s="73" t="s">
        <v>578</v>
      </c>
      <c r="H764" s="67">
        <v>1</v>
      </c>
      <c r="I764" s="67">
        <v>4</v>
      </c>
      <c r="J764" s="67">
        <v>2</v>
      </c>
      <c r="K764" s="68" t="s">
        <v>823</v>
      </c>
      <c r="L764" s="68" t="s">
        <v>938</v>
      </c>
      <c r="M764" s="68" t="s">
        <v>570</v>
      </c>
      <c r="N764" s="67" t="s">
        <v>240</v>
      </c>
      <c r="O764" s="69">
        <v>0.26472117509424153</v>
      </c>
      <c r="P764" s="74">
        <v>2.468827213141922E-2</v>
      </c>
      <c r="R764" s="67" t="s">
        <v>914</v>
      </c>
      <c r="S764" s="67">
        <v>11313</v>
      </c>
      <c r="T764" s="67">
        <v>6828</v>
      </c>
      <c r="U764" s="67">
        <v>4485</v>
      </c>
      <c r="V764" s="67">
        <v>-1148</v>
      </c>
      <c r="W764" s="67">
        <v>109</v>
      </c>
      <c r="AC764" s="67">
        <v>4661</v>
      </c>
      <c r="AI764" s="70">
        <f t="shared" si="205"/>
        <v>109</v>
      </c>
      <c r="AP764" s="67">
        <f t="shared" ref="AP764:AP770" si="215">+V764/AQ764</f>
        <v>-0.20243066591859635</v>
      </c>
      <c r="AQ764" s="67">
        <f t="shared" ref="AQ764:AQ770" si="216">+AI764*SQRT(T764*U764/S764)</f>
        <v>5671.0775256830229</v>
      </c>
      <c r="AS764" s="67">
        <f t="shared" ref="AS764:AS770" si="217">+AP764^2/(AU764-2)*(AU764/(V764/AI764)^2+AU764*AV764^2-AU764+2)</f>
        <v>3.7673354526444988E-4</v>
      </c>
      <c r="AU764" s="67">
        <f t="shared" ref="AU764:AU770" si="218">+S764-2</f>
        <v>11311</v>
      </c>
      <c r="AV764" s="67">
        <f t="shared" ref="AV764:AV770" si="219">IFERROR(1/(SQRT(AU764/2)*_xlfn.GAMMA(AU764/2-0.5)/_xlfn.GAMMA(AU764/2)),1)</f>
        <v>1</v>
      </c>
      <c r="AW764" s="67" t="s">
        <v>1350</v>
      </c>
    </row>
    <row r="765" spans="1:49" ht="30" customHeight="1" x14ac:dyDescent="0.25">
      <c r="A765" s="73" t="s">
        <v>73</v>
      </c>
      <c r="B765" s="67" t="s">
        <v>221</v>
      </c>
      <c r="C765" s="73" t="s">
        <v>294</v>
      </c>
      <c r="D765" s="67">
        <f t="shared" si="206"/>
        <v>20</v>
      </c>
      <c r="E765" s="67" t="s">
        <v>605</v>
      </c>
      <c r="F765" s="73" t="s">
        <v>240</v>
      </c>
      <c r="G765" s="73" t="s">
        <v>578</v>
      </c>
      <c r="H765" s="67">
        <v>1</v>
      </c>
      <c r="I765" s="67">
        <v>16</v>
      </c>
      <c r="J765" s="67">
        <v>2</v>
      </c>
      <c r="K765" s="68" t="s">
        <v>823</v>
      </c>
      <c r="L765" s="68" t="s">
        <v>938</v>
      </c>
      <c r="M765" s="68" t="s">
        <v>570</v>
      </c>
      <c r="N765" s="67" t="s">
        <v>240</v>
      </c>
      <c r="O765" s="69">
        <v>0.26472117509424153</v>
      </c>
      <c r="P765" s="74">
        <v>2.468827213141922E-2</v>
      </c>
      <c r="R765" s="67" t="s">
        <v>914</v>
      </c>
      <c r="S765" s="67">
        <v>11313</v>
      </c>
      <c r="T765" s="67">
        <v>6828</v>
      </c>
      <c r="U765" s="67">
        <v>4485</v>
      </c>
      <c r="V765" s="67">
        <v>-56</v>
      </c>
      <c r="W765" s="67">
        <v>150</v>
      </c>
      <c r="AC765" s="67">
        <v>6931</v>
      </c>
      <c r="AI765" s="70">
        <f t="shared" si="205"/>
        <v>150</v>
      </c>
      <c r="AP765" s="67">
        <f t="shared" si="215"/>
        <v>-7.1755910845941462E-3</v>
      </c>
      <c r="AQ765" s="67">
        <f t="shared" si="216"/>
        <v>7804.2351270867293</v>
      </c>
      <c r="AS765" s="67">
        <f t="shared" si="217"/>
        <v>3.6949564882854136E-4</v>
      </c>
      <c r="AU765" s="67">
        <f t="shared" si="218"/>
        <v>11311</v>
      </c>
      <c r="AV765" s="67">
        <f t="shared" si="219"/>
        <v>1</v>
      </c>
      <c r="AW765" s="67" t="s">
        <v>1350</v>
      </c>
    </row>
    <row r="766" spans="1:49" ht="30" customHeight="1" x14ac:dyDescent="0.25">
      <c r="A766" s="73" t="s">
        <v>73</v>
      </c>
      <c r="B766" s="67" t="s">
        <v>221</v>
      </c>
      <c r="C766" s="73" t="s">
        <v>294</v>
      </c>
      <c r="D766" s="67">
        <f t="shared" si="206"/>
        <v>21</v>
      </c>
      <c r="E766" s="67" t="s">
        <v>605</v>
      </c>
      <c r="F766" s="73" t="s">
        <v>240</v>
      </c>
      <c r="G766" s="73" t="s">
        <v>578</v>
      </c>
      <c r="H766" s="67">
        <v>1</v>
      </c>
      <c r="I766" s="67">
        <v>28</v>
      </c>
      <c r="J766" s="67">
        <v>2</v>
      </c>
      <c r="K766" s="68" t="s">
        <v>823</v>
      </c>
      <c r="L766" s="68" t="s">
        <v>938</v>
      </c>
      <c r="M766" s="68" t="s">
        <v>570</v>
      </c>
      <c r="N766" s="67" t="s">
        <v>240</v>
      </c>
      <c r="O766" s="69">
        <v>0.26472117509424153</v>
      </c>
      <c r="P766" s="74">
        <v>2.468827213141922E-2</v>
      </c>
      <c r="R766" s="67" t="s">
        <v>914</v>
      </c>
      <c r="S766" s="67">
        <v>11313</v>
      </c>
      <c r="T766" s="67">
        <v>6828</v>
      </c>
      <c r="U766" s="67">
        <v>4485</v>
      </c>
      <c r="V766" s="67">
        <v>696</v>
      </c>
      <c r="W766" s="67">
        <v>165</v>
      </c>
      <c r="AC766" s="67">
        <v>8590</v>
      </c>
      <c r="AI766" s="70">
        <f t="shared" si="205"/>
        <v>165</v>
      </c>
      <c r="AP766" s="67">
        <f t="shared" si="215"/>
        <v>8.1074860306453347E-2</v>
      </c>
      <c r="AQ766" s="67">
        <f t="shared" si="216"/>
        <v>8584.6586397954015</v>
      </c>
      <c r="AS766" s="67">
        <f t="shared" si="217"/>
        <v>3.706490034781651E-4</v>
      </c>
      <c r="AU766" s="67">
        <f t="shared" si="218"/>
        <v>11311</v>
      </c>
      <c r="AV766" s="67">
        <f t="shared" si="219"/>
        <v>1</v>
      </c>
      <c r="AW766" s="67" t="s">
        <v>1350</v>
      </c>
    </row>
    <row r="767" spans="1:49" ht="30" customHeight="1" x14ac:dyDescent="0.25">
      <c r="A767" s="73" t="s">
        <v>73</v>
      </c>
      <c r="B767" s="67" t="s">
        <v>221</v>
      </c>
      <c r="C767" s="73" t="s">
        <v>294</v>
      </c>
      <c r="D767" s="67">
        <f t="shared" si="206"/>
        <v>22</v>
      </c>
      <c r="E767" s="67" t="s">
        <v>605</v>
      </c>
      <c r="F767" s="73" t="s">
        <v>240</v>
      </c>
      <c r="G767" s="73" t="s">
        <v>578</v>
      </c>
      <c r="H767" s="67">
        <v>1</v>
      </c>
      <c r="I767" s="67">
        <v>40</v>
      </c>
      <c r="J767" s="67">
        <v>2</v>
      </c>
      <c r="K767" s="68" t="s">
        <v>823</v>
      </c>
      <c r="L767" s="68" t="s">
        <v>938</v>
      </c>
      <c r="M767" s="68" t="s">
        <v>570</v>
      </c>
      <c r="N767" s="67" t="s">
        <v>240</v>
      </c>
      <c r="O767" s="69">
        <v>0.26472117509424153</v>
      </c>
      <c r="P767" s="74">
        <v>2.468827213141922E-2</v>
      </c>
      <c r="R767" s="67" t="s">
        <v>914</v>
      </c>
      <c r="S767" s="67">
        <v>11313</v>
      </c>
      <c r="T767" s="67">
        <v>6828</v>
      </c>
      <c r="U767" s="67">
        <v>4485</v>
      </c>
      <c r="V767" s="67">
        <v>828</v>
      </c>
      <c r="W767" s="67">
        <v>196</v>
      </c>
      <c r="AC767" s="67">
        <v>10163</v>
      </c>
      <c r="AI767" s="70">
        <f t="shared" si="205"/>
        <v>196</v>
      </c>
      <c r="AP767" s="67">
        <f t="shared" si="215"/>
        <v>8.1196101740761029E-2</v>
      </c>
      <c r="AQ767" s="67">
        <f t="shared" si="216"/>
        <v>10197.533899393326</v>
      </c>
      <c r="AS767" s="67">
        <f t="shared" si="217"/>
        <v>3.7065248282455899E-4</v>
      </c>
      <c r="AU767" s="67">
        <f t="shared" si="218"/>
        <v>11311</v>
      </c>
      <c r="AV767" s="67">
        <f t="shared" si="219"/>
        <v>1</v>
      </c>
      <c r="AW767" s="67" t="s">
        <v>1350</v>
      </c>
    </row>
    <row r="768" spans="1:49" ht="30" customHeight="1" x14ac:dyDescent="0.25">
      <c r="A768" s="73" t="s">
        <v>73</v>
      </c>
      <c r="B768" s="67" t="s">
        <v>273</v>
      </c>
      <c r="C768" s="73" t="s">
        <v>294</v>
      </c>
      <c r="D768" s="67">
        <f t="shared" si="206"/>
        <v>23</v>
      </c>
      <c r="E768" s="67" t="s">
        <v>951</v>
      </c>
      <c r="F768" s="73" t="s">
        <v>240</v>
      </c>
      <c r="G768" s="73" t="s">
        <v>627</v>
      </c>
      <c r="H768" s="67">
        <v>1</v>
      </c>
      <c r="I768" s="67">
        <v>0</v>
      </c>
      <c r="J768" s="67">
        <v>2</v>
      </c>
      <c r="K768" s="68" t="s">
        <v>954</v>
      </c>
      <c r="L768" s="68" t="s">
        <v>938</v>
      </c>
      <c r="M768" s="68" t="s">
        <v>953</v>
      </c>
      <c r="N768" s="67" t="s">
        <v>240</v>
      </c>
      <c r="O768" s="69">
        <f t="shared" ref="O768:O773" si="220">1 - (4485+6828)/(5977 + 9409)</f>
        <v>0.26472117509424153</v>
      </c>
      <c r="P768" s="74">
        <f t="shared" ref="P768:P773" si="221">(1-6828/9409)-(1-4485/5977)</f>
        <v>2.468827213141922E-2</v>
      </c>
      <c r="Q768" s="67" t="s">
        <v>240</v>
      </c>
      <c r="R768" s="67" t="s">
        <v>338</v>
      </c>
      <c r="S768" s="67">
        <f t="shared" ref="S768:S778" si="222">T768+U768</f>
        <v>11313</v>
      </c>
      <c r="T768" s="67">
        <v>6828</v>
      </c>
      <c r="U768" s="67">
        <v>4485</v>
      </c>
      <c r="V768" s="67">
        <v>-584</v>
      </c>
      <c r="W768" s="67">
        <v>127</v>
      </c>
      <c r="X768" s="67">
        <v>5145</v>
      </c>
      <c r="Y768" s="67">
        <v>5729</v>
      </c>
      <c r="AB768" s="81">
        <v>5145</v>
      </c>
      <c r="AC768" s="81">
        <v>5729</v>
      </c>
      <c r="AI768" s="70">
        <f t="shared" si="205"/>
        <v>127</v>
      </c>
      <c r="AP768" s="67">
        <f t="shared" si="215"/>
        <v>-8.8383264765248479E-2</v>
      </c>
      <c r="AQ768" s="67">
        <f t="shared" si="216"/>
        <v>6607.5857409334312</v>
      </c>
      <c r="AS768" s="67">
        <f t="shared" si="217"/>
        <v>3.7086802700223481E-4</v>
      </c>
      <c r="AU768" s="67">
        <f t="shared" si="218"/>
        <v>11311</v>
      </c>
      <c r="AV768" s="67">
        <f t="shared" si="219"/>
        <v>1</v>
      </c>
      <c r="AW768" s="67" t="s">
        <v>1350</v>
      </c>
    </row>
    <row r="769" spans="1:49" ht="30" customHeight="1" x14ac:dyDescent="0.25">
      <c r="A769" s="73" t="s">
        <v>73</v>
      </c>
      <c r="B769" s="67" t="s">
        <v>273</v>
      </c>
      <c r="C769" s="73" t="s">
        <v>294</v>
      </c>
      <c r="D769" s="67">
        <f t="shared" si="206"/>
        <v>24</v>
      </c>
      <c r="E769" s="67" t="s">
        <v>951</v>
      </c>
      <c r="F769" s="73" t="s">
        <v>240</v>
      </c>
      <c r="G769" s="73" t="s">
        <v>627</v>
      </c>
      <c r="H769" s="67">
        <v>1</v>
      </c>
      <c r="I769" s="67">
        <v>12</v>
      </c>
      <c r="J769" s="67">
        <v>2</v>
      </c>
      <c r="K769" s="68" t="s">
        <v>954</v>
      </c>
      <c r="L769" s="68" t="s">
        <v>938</v>
      </c>
      <c r="M769" s="68" t="s">
        <v>953</v>
      </c>
      <c r="N769" s="67" t="s">
        <v>240</v>
      </c>
      <c r="O769" s="69">
        <f t="shared" si="220"/>
        <v>0.26472117509424153</v>
      </c>
      <c r="P769" s="74">
        <f t="shared" si="221"/>
        <v>2.468827213141922E-2</v>
      </c>
      <c r="Q769" s="67" t="s">
        <v>240</v>
      </c>
      <c r="R769" s="67" t="s">
        <v>338</v>
      </c>
      <c r="S769" s="67">
        <f t="shared" si="222"/>
        <v>11313</v>
      </c>
      <c r="T769" s="67">
        <v>6828</v>
      </c>
      <c r="U769" s="67">
        <v>4485</v>
      </c>
      <c r="V769" s="67">
        <v>292</v>
      </c>
      <c r="W769" s="67">
        <v>163</v>
      </c>
      <c r="X769" s="67">
        <v>5145</v>
      </c>
      <c r="Y769" s="67">
        <v>5729</v>
      </c>
      <c r="AB769" s="67">
        <v>8111</v>
      </c>
      <c r="AC769" s="67">
        <v>7819</v>
      </c>
      <c r="AI769" s="70">
        <f t="shared" si="205"/>
        <v>163</v>
      </c>
      <c r="AP769" s="67">
        <f t="shared" si="215"/>
        <v>3.4431517255173488E-2</v>
      </c>
      <c r="AQ769" s="67">
        <f t="shared" si="216"/>
        <v>8480.602171434246</v>
      </c>
      <c r="AS769" s="67">
        <f t="shared" si="217"/>
        <v>3.6969620418676589E-4</v>
      </c>
      <c r="AU769" s="67">
        <f t="shared" si="218"/>
        <v>11311</v>
      </c>
      <c r="AV769" s="67">
        <f t="shared" si="219"/>
        <v>1</v>
      </c>
      <c r="AW769" s="67" t="s">
        <v>1350</v>
      </c>
    </row>
    <row r="770" spans="1:49" ht="30" customHeight="1" x14ac:dyDescent="0.25">
      <c r="A770" s="73" t="s">
        <v>73</v>
      </c>
      <c r="B770" s="67" t="s">
        <v>273</v>
      </c>
      <c r="C770" s="73" t="s">
        <v>294</v>
      </c>
      <c r="D770" s="67">
        <f t="shared" si="206"/>
        <v>25</v>
      </c>
      <c r="E770" s="67" t="s">
        <v>951</v>
      </c>
      <c r="F770" s="73" t="s">
        <v>240</v>
      </c>
      <c r="G770" s="73" t="s">
        <v>627</v>
      </c>
      <c r="H770" s="67">
        <v>1</v>
      </c>
      <c r="I770" s="67">
        <v>24</v>
      </c>
      <c r="J770" s="67">
        <v>2</v>
      </c>
      <c r="K770" s="68" t="s">
        <v>954</v>
      </c>
      <c r="L770" s="68" t="s">
        <v>938</v>
      </c>
      <c r="M770" s="68" t="s">
        <v>953</v>
      </c>
      <c r="N770" s="67" t="s">
        <v>240</v>
      </c>
      <c r="O770" s="69">
        <f t="shared" si="220"/>
        <v>0.26472117509424153</v>
      </c>
      <c r="P770" s="74">
        <f t="shared" si="221"/>
        <v>2.468827213141922E-2</v>
      </c>
      <c r="Q770" s="67" t="s">
        <v>240</v>
      </c>
      <c r="R770" s="67" t="s">
        <v>338</v>
      </c>
      <c r="S770" s="67">
        <f t="shared" si="222"/>
        <v>11313</v>
      </c>
      <c r="T770" s="67">
        <v>6828</v>
      </c>
      <c r="U770" s="67">
        <v>4485</v>
      </c>
      <c r="V770" s="67">
        <v>972</v>
      </c>
      <c r="W770" s="67">
        <v>186</v>
      </c>
      <c r="X770" s="67">
        <v>5145</v>
      </c>
      <c r="Y770" s="67">
        <v>5729</v>
      </c>
      <c r="AB770" s="67">
        <v>10296</v>
      </c>
      <c r="AC770" s="67">
        <v>9324</v>
      </c>
      <c r="AI770" s="70">
        <f t="shared" si="205"/>
        <v>186</v>
      </c>
      <c r="AP770" s="67">
        <f t="shared" si="215"/>
        <v>0.10044174156430746</v>
      </c>
      <c r="AQ770" s="67">
        <f t="shared" si="216"/>
        <v>9677.2515575875441</v>
      </c>
      <c r="AS770" s="67">
        <f t="shared" si="217"/>
        <v>3.712707048619765E-4</v>
      </c>
      <c r="AU770" s="67">
        <f t="shared" si="218"/>
        <v>11311</v>
      </c>
      <c r="AV770" s="67">
        <f t="shared" si="219"/>
        <v>1</v>
      </c>
      <c r="AW770" s="67" t="s">
        <v>1350</v>
      </c>
    </row>
    <row r="771" spans="1:49" ht="30" customHeight="1" x14ac:dyDescent="0.25">
      <c r="A771" s="73" t="s">
        <v>73</v>
      </c>
      <c r="B771" s="67" t="s">
        <v>273</v>
      </c>
      <c r="C771" s="73" t="s">
        <v>294</v>
      </c>
      <c r="D771" s="67">
        <f t="shared" si="206"/>
        <v>26</v>
      </c>
      <c r="E771" s="67" t="s">
        <v>951</v>
      </c>
      <c r="F771" s="73" t="s">
        <v>240</v>
      </c>
      <c r="G771" s="73" t="s">
        <v>627</v>
      </c>
      <c r="H771" s="67">
        <v>1</v>
      </c>
      <c r="I771" s="67">
        <v>0</v>
      </c>
      <c r="J771" s="67">
        <v>1</v>
      </c>
      <c r="K771" s="68" t="s">
        <v>941</v>
      </c>
      <c r="L771" s="68" t="s">
        <v>240</v>
      </c>
      <c r="M771" s="68" t="s">
        <v>953</v>
      </c>
      <c r="N771" s="67" t="s">
        <v>240</v>
      </c>
      <c r="O771" s="69">
        <f t="shared" si="220"/>
        <v>0.26472117509424153</v>
      </c>
      <c r="P771" s="74">
        <f t="shared" si="221"/>
        <v>2.468827213141922E-2</v>
      </c>
      <c r="Q771" s="67" t="s">
        <v>240</v>
      </c>
      <c r="R771" s="67" t="s">
        <v>338</v>
      </c>
      <c r="S771" s="67">
        <f t="shared" si="222"/>
        <v>11313</v>
      </c>
      <c r="T771" s="67">
        <v>6828</v>
      </c>
      <c r="U771" s="67">
        <v>4485</v>
      </c>
      <c r="V771" s="67">
        <v>-4.2000000000000003E-2</v>
      </c>
      <c r="W771" s="67">
        <v>9.0000000000000011E-3</v>
      </c>
      <c r="X771" s="67">
        <v>0.70400000000000007</v>
      </c>
      <c r="Y771" s="67">
        <v>0.745</v>
      </c>
      <c r="AB771" s="81">
        <v>0.70400000000000007</v>
      </c>
      <c r="AC771" s="81">
        <v>0.745</v>
      </c>
      <c r="AI771" s="70">
        <f t="shared" si="205"/>
        <v>9.0000000000000011E-3</v>
      </c>
    </row>
    <row r="772" spans="1:49" ht="30" customHeight="1" x14ac:dyDescent="0.25">
      <c r="A772" s="73" t="s">
        <v>73</v>
      </c>
      <c r="B772" s="67" t="s">
        <v>273</v>
      </c>
      <c r="C772" s="73" t="s">
        <v>294</v>
      </c>
      <c r="D772" s="67">
        <f t="shared" si="206"/>
        <v>27</v>
      </c>
      <c r="E772" s="67" t="s">
        <v>951</v>
      </c>
      <c r="F772" s="73" t="s">
        <v>240</v>
      </c>
      <c r="G772" s="73" t="s">
        <v>627</v>
      </c>
      <c r="H772" s="67">
        <v>1</v>
      </c>
      <c r="I772" s="67">
        <v>12</v>
      </c>
      <c r="J772" s="67">
        <v>1</v>
      </c>
      <c r="K772" s="68" t="s">
        <v>941</v>
      </c>
      <c r="L772" s="68" t="s">
        <v>240</v>
      </c>
      <c r="M772" s="68" t="s">
        <v>953</v>
      </c>
      <c r="N772" s="67" t="s">
        <v>240</v>
      </c>
      <c r="O772" s="69">
        <f t="shared" si="220"/>
        <v>0.26472117509424153</v>
      </c>
      <c r="P772" s="74">
        <f t="shared" si="221"/>
        <v>2.468827213141922E-2</v>
      </c>
      <c r="Q772" s="67" t="s">
        <v>240</v>
      </c>
      <c r="R772" s="67" t="s">
        <v>338</v>
      </c>
      <c r="S772" s="67">
        <f t="shared" si="222"/>
        <v>11313</v>
      </c>
      <c r="T772" s="67">
        <v>6828</v>
      </c>
      <c r="U772" s="67">
        <v>4485</v>
      </c>
      <c r="V772" s="67">
        <v>8.0000000000000002E-3</v>
      </c>
      <c r="W772" s="67">
        <v>8.0000000000000002E-3</v>
      </c>
      <c r="X772" s="67">
        <v>0.70400000000000007</v>
      </c>
      <c r="Y772" s="67">
        <v>0.745</v>
      </c>
      <c r="AB772" s="67">
        <v>0.77700000000000002</v>
      </c>
      <c r="AC772" s="67">
        <v>0.76900000000000002</v>
      </c>
      <c r="AI772" s="70">
        <f t="shared" si="205"/>
        <v>8.0000000000000002E-3</v>
      </c>
    </row>
    <row r="773" spans="1:49" ht="30" customHeight="1" x14ac:dyDescent="0.25">
      <c r="A773" s="73" t="s">
        <v>73</v>
      </c>
      <c r="B773" s="67" t="s">
        <v>273</v>
      </c>
      <c r="C773" s="73" t="s">
        <v>294</v>
      </c>
      <c r="D773" s="67">
        <f t="shared" si="206"/>
        <v>28</v>
      </c>
      <c r="E773" s="67" t="s">
        <v>951</v>
      </c>
      <c r="F773" s="73" t="s">
        <v>240</v>
      </c>
      <c r="G773" s="73" t="s">
        <v>627</v>
      </c>
      <c r="H773" s="67">
        <v>1</v>
      </c>
      <c r="I773" s="67">
        <v>24</v>
      </c>
      <c r="J773" s="67">
        <v>1</v>
      </c>
      <c r="K773" s="68" t="s">
        <v>941</v>
      </c>
      <c r="L773" s="68" t="s">
        <v>240</v>
      </c>
      <c r="M773" s="68" t="s">
        <v>953</v>
      </c>
      <c r="N773" s="67" t="s">
        <v>240</v>
      </c>
      <c r="O773" s="69">
        <f t="shared" si="220"/>
        <v>0.26472117509424153</v>
      </c>
      <c r="P773" s="74">
        <f t="shared" si="221"/>
        <v>2.468827213141922E-2</v>
      </c>
      <c r="Q773" s="67" t="s">
        <v>240</v>
      </c>
      <c r="R773" s="67" t="s">
        <v>338</v>
      </c>
      <c r="S773" s="67">
        <f t="shared" si="222"/>
        <v>11313</v>
      </c>
      <c r="T773" s="67">
        <v>6828</v>
      </c>
      <c r="U773" s="67">
        <v>4485</v>
      </c>
      <c r="V773" s="67">
        <v>2.4E-2</v>
      </c>
      <c r="W773" s="67">
        <v>8.0000000000000002E-3</v>
      </c>
      <c r="X773" s="67">
        <v>0.70400000000000007</v>
      </c>
      <c r="Y773" s="67">
        <v>0.745</v>
      </c>
      <c r="AB773" s="67">
        <v>0.81400000000000006</v>
      </c>
      <c r="AC773" s="67">
        <v>0.78900000000000003</v>
      </c>
      <c r="AI773" s="70">
        <f t="shared" si="205"/>
        <v>8.0000000000000002E-3</v>
      </c>
    </row>
    <row r="774" spans="1:49" ht="30" customHeight="1" x14ac:dyDescent="0.25">
      <c r="A774" s="73" t="s">
        <v>73</v>
      </c>
      <c r="B774" s="67" t="s">
        <v>273</v>
      </c>
      <c r="C774" s="73" t="s">
        <v>294</v>
      </c>
      <c r="D774" s="67">
        <f t="shared" si="206"/>
        <v>29</v>
      </c>
      <c r="E774" s="67" t="s">
        <v>951</v>
      </c>
      <c r="F774" s="73" t="s">
        <v>240</v>
      </c>
      <c r="G774" s="73" t="s">
        <v>627</v>
      </c>
      <c r="H774" s="67">
        <v>1</v>
      </c>
      <c r="I774" s="67">
        <v>0</v>
      </c>
      <c r="J774" s="67">
        <v>2</v>
      </c>
      <c r="K774" s="68" t="s">
        <v>937</v>
      </c>
      <c r="L774" s="68" t="s">
        <v>938</v>
      </c>
      <c r="M774" s="68" t="s">
        <v>587</v>
      </c>
      <c r="N774" s="67" t="s">
        <v>240</v>
      </c>
      <c r="O774" s="69">
        <v>0</v>
      </c>
      <c r="P774" s="74" t="s">
        <v>240</v>
      </c>
      <c r="Q774" s="67" t="s">
        <v>240</v>
      </c>
      <c r="R774" s="67" t="s">
        <v>338</v>
      </c>
      <c r="S774" s="67">
        <f t="shared" si="222"/>
        <v>15138</v>
      </c>
      <c r="T774" s="67">
        <v>9264</v>
      </c>
      <c r="U774" s="67">
        <v>5874</v>
      </c>
      <c r="V774" s="67">
        <v>-179</v>
      </c>
      <c r="W774" s="67">
        <v>64</v>
      </c>
      <c r="X774" s="67">
        <v>3101</v>
      </c>
      <c r="Y774" s="67">
        <v>3279</v>
      </c>
      <c r="AB774" s="81">
        <v>3101</v>
      </c>
      <c r="AC774" s="81">
        <v>3279</v>
      </c>
      <c r="AI774" s="70">
        <f t="shared" si="205"/>
        <v>64</v>
      </c>
      <c r="AP774" s="67">
        <f t="shared" ref="AP774:AP781" si="223">+V774/AQ774</f>
        <v>-4.6648863028275402E-2</v>
      </c>
      <c r="AQ774" s="67">
        <f t="shared" ref="AQ774:AQ781" si="224">+AI774*SQRT(T774*U774/S774)</f>
        <v>3837.1781942788671</v>
      </c>
      <c r="AS774" s="67">
        <f t="shared" ref="AS774:AS781" si="225">+AP774^2/(AU774-2)*(AU774/(V774/AI774)^2+AU774*AV774^2-AU774+2)</f>
        <v>2.7851081849539124E-4</v>
      </c>
      <c r="AU774" s="67">
        <f t="shared" ref="AU774:AU781" si="226">+S774-2</f>
        <v>15136</v>
      </c>
      <c r="AV774" s="67">
        <f t="shared" ref="AV774:AV781" si="227">IFERROR(1/(SQRT(AU774/2)*_xlfn.GAMMA(AU774/2-0.5)/_xlfn.GAMMA(AU774/2)),1)</f>
        <v>1</v>
      </c>
      <c r="AW774" s="67" t="s">
        <v>1350</v>
      </c>
    </row>
    <row r="775" spans="1:49" ht="30" customHeight="1" x14ac:dyDescent="0.25">
      <c r="A775" s="73" t="s">
        <v>73</v>
      </c>
      <c r="B775" s="67" t="s">
        <v>273</v>
      </c>
      <c r="C775" s="73" t="s">
        <v>294</v>
      </c>
      <c r="D775" s="67">
        <f t="shared" si="206"/>
        <v>30</v>
      </c>
      <c r="E775" s="67" t="s">
        <v>951</v>
      </c>
      <c r="F775" s="73" t="s">
        <v>240</v>
      </c>
      <c r="G775" s="73" t="s">
        <v>627</v>
      </c>
      <c r="H775" s="67">
        <v>1</v>
      </c>
      <c r="I775" s="67">
        <v>12</v>
      </c>
      <c r="J775" s="67">
        <v>2</v>
      </c>
      <c r="K775" s="68" t="s">
        <v>937</v>
      </c>
      <c r="L775" s="68" t="s">
        <v>938</v>
      </c>
      <c r="M775" s="68" t="s">
        <v>587</v>
      </c>
      <c r="N775" s="67" t="s">
        <v>240</v>
      </c>
      <c r="O775" s="69">
        <v>0</v>
      </c>
      <c r="P775" s="74" t="s">
        <v>240</v>
      </c>
      <c r="Q775" s="67" t="s">
        <v>240</v>
      </c>
      <c r="R775" s="67" t="s">
        <v>338</v>
      </c>
      <c r="S775" s="67">
        <f t="shared" si="222"/>
        <v>15138</v>
      </c>
      <c r="T775" s="67">
        <v>9264</v>
      </c>
      <c r="U775" s="67">
        <v>5874</v>
      </c>
      <c r="V775" s="67">
        <v>173</v>
      </c>
      <c r="W775" s="67">
        <v>85</v>
      </c>
      <c r="X775" s="67">
        <v>3101</v>
      </c>
      <c r="Y775" s="67">
        <v>3279</v>
      </c>
      <c r="AB775" s="67">
        <v>4559</v>
      </c>
      <c r="AC775" s="67">
        <v>4387</v>
      </c>
      <c r="AI775" s="70">
        <f t="shared" si="205"/>
        <v>85</v>
      </c>
      <c r="AP775" s="67">
        <f t="shared" si="223"/>
        <v>3.3946514061719703E-2</v>
      </c>
      <c r="AQ775" s="67">
        <f t="shared" si="224"/>
        <v>5096.2522892766201</v>
      </c>
      <c r="AS775" s="67">
        <f t="shared" si="225"/>
        <v>2.7837552701859899E-4</v>
      </c>
      <c r="AU775" s="67">
        <f t="shared" si="226"/>
        <v>15136</v>
      </c>
      <c r="AV775" s="67">
        <f t="shared" si="227"/>
        <v>1</v>
      </c>
      <c r="AW775" s="67" t="s">
        <v>1350</v>
      </c>
    </row>
    <row r="776" spans="1:49" ht="30" customHeight="1" x14ac:dyDescent="0.25">
      <c r="A776" s="73" t="s">
        <v>73</v>
      </c>
      <c r="B776" s="67" t="s">
        <v>273</v>
      </c>
      <c r="C776" s="73" t="s">
        <v>294</v>
      </c>
      <c r="D776" s="67">
        <f t="shared" si="206"/>
        <v>31</v>
      </c>
      <c r="E776" s="67" t="s">
        <v>951</v>
      </c>
      <c r="F776" s="73" t="s">
        <v>240</v>
      </c>
      <c r="G776" s="73" t="s">
        <v>627</v>
      </c>
      <c r="H776" s="67">
        <v>1</v>
      </c>
      <c r="I776" s="67">
        <v>24</v>
      </c>
      <c r="J776" s="67">
        <v>2</v>
      </c>
      <c r="K776" s="68" t="s">
        <v>937</v>
      </c>
      <c r="L776" s="68" t="s">
        <v>938</v>
      </c>
      <c r="M776" s="68" t="s">
        <v>587</v>
      </c>
      <c r="N776" s="67" t="s">
        <v>240</v>
      </c>
      <c r="O776" s="69">
        <v>0</v>
      </c>
      <c r="P776" s="74" t="s">
        <v>240</v>
      </c>
      <c r="Q776" s="67" t="s">
        <v>240</v>
      </c>
      <c r="R776" s="67" t="s">
        <v>338</v>
      </c>
      <c r="S776" s="67">
        <f t="shared" si="222"/>
        <v>15138</v>
      </c>
      <c r="T776" s="67">
        <v>9264</v>
      </c>
      <c r="U776" s="67">
        <v>5874</v>
      </c>
      <c r="V776" s="67">
        <v>218</v>
      </c>
      <c r="W776" s="67">
        <v>103</v>
      </c>
      <c r="X776" s="67">
        <v>3101</v>
      </c>
      <c r="Y776" s="67">
        <v>3279</v>
      </c>
      <c r="AB776" s="67">
        <v>5830</v>
      </c>
      <c r="AC776" s="67">
        <v>5612</v>
      </c>
      <c r="AI776" s="70">
        <f t="shared" si="205"/>
        <v>103</v>
      </c>
      <c r="AP776" s="67">
        <f t="shared" si="223"/>
        <v>3.5301021693903478E-2</v>
      </c>
      <c r="AQ776" s="67">
        <f t="shared" si="224"/>
        <v>6175.4586564175515</v>
      </c>
      <c r="AS776" s="67">
        <f t="shared" si="225"/>
        <v>2.7838792246140186E-4</v>
      </c>
      <c r="AU776" s="67">
        <f t="shared" si="226"/>
        <v>15136</v>
      </c>
      <c r="AV776" s="67">
        <f t="shared" si="227"/>
        <v>1</v>
      </c>
      <c r="AW776" s="67" t="s">
        <v>1350</v>
      </c>
    </row>
    <row r="777" spans="1:49" ht="30" customHeight="1" x14ac:dyDescent="0.25">
      <c r="A777" s="73" t="s">
        <v>73</v>
      </c>
      <c r="B777" s="67" t="s">
        <v>273</v>
      </c>
      <c r="C777" s="73" t="s">
        <v>294</v>
      </c>
      <c r="D777" s="67">
        <f t="shared" si="206"/>
        <v>32</v>
      </c>
      <c r="E777" s="67" t="s">
        <v>951</v>
      </c>
      <c r="F777" s="73" t="s">
        <v>240</v>
      </c>
      <c r="G777" s="73" t="s">
        <v>627</v>
      </c>
      <c r="H777" s="67">
        <v>1</v>
      </c>
      <c r="I777" s="67">
        <v>36</v>
      </c>
      <c r="J777" s="67">
        <v>2</v>
      </c>
      <c r="K777" s="68" t="s">
        <v>937</v>
      </c>
      <c r="L777" s="68" t="s">
        <v>938</v>
      </c>
      <c r="M777" s="68" t="s">
        <v>587</v>
      </c>
      <c r="N777" s="67" t="s">
        <v>240</v>
      </c>
      <c r="O777" s="69">
        <v>0</v>
      </c>
      <c r="P777" s="74" t="s">
        <v>240</v>
      </c>
      <c r="Q777" s="67" t="s">
        <v>240</v>
      </c>
      <c r="R777" s="67" t="s">
        <v>338</v>
      </c>
      <c r="S777" s="67">
        <f t="shared" si="222"/>
        <v>15138</v>
      </c>
      <c r="T777" s="67">
        <v>9264</v>
      </c>
      <c r="U777" s="67">
        <v>5874</v>
      </c>
      <c r="V777" s="67">
        <v>33</v>
      </c>
      <c r="W777" s="67">
        <v>118</v>
      </c>
      <c r="X777" s="67">
        <v>3101</v>
      </c>
      <c r="Y777" s="67">
        <v>3279</v>
      </c>
      <c r="AB777" s="67">
        <v>6700</v>
      </c>
      <c r="AC777" s="67">
        <v>6667</v>
      </c>
      <c r="AI777" s="70">
        <f t="shared" si="205"/>
        <v>118</v>
      </c>
      <c r="AP777" s="67">
        <f t="shared" si="223"/>
        <v>4.6644445940591632E-3</v>
      </c>
      <c r="AQ777" s="67">
        <f t="shared" si="224"/>
        <v>7074.7972957016609</v>
      </c>
      <c r="AS777" s="67">
        <f t="shared" si="225"/>
        <v>2.7822611393896733E-4</v>
      </c>
      <c r="AU777" s="67">
        <f t="shared" si="226"/>
        <v>15136</v>
      </c>
      <c r="AV777" s="67">
        <f t="shared" si="227"/>
        <v>1</v>
      </c>
      <c r="AW777" s="67" t="s">
        <v>1350</v>
      </c>
    </row>
    <row r="778" spans="1:49" ht="30" customHeight="1" x14ac:dyDescent="0.25">
      <c r="A778" s="73" t="s">
        <v>73</v>
      </c>
      <c r="B778" s="67" t="s">
        <v>273</v>
      </c>
      <c r="C778" s="73" t="s">
        <v>294</v>
      </c>
      <c r="D778" s="67">
        <f t="shared" si="206"/>
        <v>33</v>
      </c>
      <c r="E778" s="67" t="s">
        <v>951</v>
      </c>
      <c r="F778" s="73" t="s">
        <v>240</v>
      </c>
      <c r="G778" s="73" t="s">
        <v>627</v>
      </c>
      <c r="H778" s="67">
        <v>1</v>
      </c>
      <c r="I778" s="67">
        <v>48</v>
      </c>
      <c r="J778" s="67">
        <v>2</v>
      </c>
      <c r="K778" s="68" t="s">
        <v>937</v>
      </c>
      <c r="L778" s="68" t="s">
        <v>938</v>
      </c>
      <c r="M778" s="68" t="s">
        <v>587</v>
      </c>
      <c r="N778" s="67" t="s">
        <v>240</v>
      </c>
      <c r="O778" s="69">
        <v>0</v>
      </c>
      <c r="P778" s="74" t="s">
        <v>240</v>
      </c>
      <c r="Q778" s="67" t="s">
        <v>240</v>
      </c>
      <c r="R778" s="67" t="s">
        <v>338</v>
      </c>
      <c r="S778" s="67">
        <f t="shared" si="222"/>
        <v>15138</v>
      </c>
      <c r="T778" s="67">
        <v>9264</v>
      </c>
      <c r="U778" s="67">
        <v>5874</v>
      </c>
      <c r="V778" s="67">
        <v>-24</v>
      </c>
      <c r="W778" s="67">
        <v>133</v>
      </c>
      <c r="X778" s="67">
        <v>3101</v>
      </c>
      <c r="Y778" s="67">
        <v>3279</v>
      </c>
      <c r="AB778" s="67">
        <v>7603</v>
      </c>
      <c r="AC778" s="67">
        <v>7627</v>
      </c>
      <c r="AI778" s="70">
        <f t="shared" ref="AI778:AI811" si="228">+W778</f>
        <v>133</v>
      </c>
      <c r="AP778" s="67">
        <f t="shared" si="223"/>
        <v>-3.0097304831113126E-3</v>
      </c>
      <c r="AQ778" s="67">
        <f t="shared" si="224"/>
        <v>7974.1359349857703</v>
      </c>
      <c r="AS778" s="67">
        <f t="shared" si="225"/>
        <v>2.7822443578834089E-4</v>
      </c>
      <c r="AU778" s="67">
        <f t="shared" si="226"/>
        <v>15136</v>
      </c>
      <c r="AV778" s="67">
        <f t="shared" si="227"/>
        <v>1</v>
      </c>
      <c r="AW778" s="67" t="s">
        <v>1350</v>
      </c>
    </row>
    <row r="779" spans="1:49" ht="30" customHeight="1" x14ac:dyDescent="0.25">
      <c r="A779" s="73" t="s">
        <v>73</v>
      </c>
      <c r="B779" s="67" t="s">
        <v>221</v>
      </c>
      <c r="C779" s="73" t="s">
        <v>294</v>
      </c>
      <c r="D779" s="67">
        <f t="shared" ref="D779:D811" si="229">D778+1</f>
        <v>34</v>
      </c>
      <c r="E779" s="67" t="s">
        <v>605</v>
      </c>
      <c r="F779" s="73" t="s">
        <v>240</v>
      </c>
      <c r="G779" s="73" t="s">
        <v>578</v>
      </c>
      <c r="H779" s="67">
        <v>1</v>
      </c>
      <c r="I779" s="67">
        <f>+I778+12</f>
        <v>60</v>
      </c>
      <c r="J779" s="67">
        <v>4</v>
      </c>
      <c r="K779" s="68" t="s">
        <v>937</v>
      </c>
      <c r="L779" s="68" t="s">
        <v>938</v>
      </c>
      <c r="M779" s="68" t="s">
        <v>824</v>
      </c>
      <c r="N779" s="67" t="s">
        <v>240</v>
      </c>
      <c r="O779" s="69">
        <v>1.6118549330560228E-2</v>
      </c>
      <c r="P779" s="74">
        <v>-1.8219485318299311E-3</v>
      </c>
      <c r="R779" s="67" t="s">
        <v>338</v>
      </c>
      <c r="S779" s="67">
        <v>15138</v>
      </c>
      <c r="T779" s="67">
        <v>9264</v>
      </c>
      <c r="U779" s="67">
        <v>5874</v>
      </c>
      <c r="V779" s="67">
        <v>42</v>
      </c>
      <c r="W779" s="67">
        <v>145</v>
      </c>
      <c r="X779" s="67">
        <v>3101</v>
      </c>
      <c r="Y779" s="67">
        <v>3279</v>
      </c>
      <c r="AB779" s="67">
        <v>7865</v>
      </c>
      <c r="AC779" s="67">
        <v>7823</v>
      </c>
      <c r="AI779" s="70">
        <f t="shared" si="228"/>
        <v>145</v>
      </c>
      <c r="AP779" s="67">
        <f t="shared" si="223"/>
        <v>4.8311363444424682E-3</v>
      </c>
      <c r="AQ779" s="67">
        <f t="shared" si="224"/>
        <v>8693.6068464130585</v>
      </c>
      <c r="AS779" s="67">
        <f t="shared" si="225"/>
        <v>2.7822632311499566E-4</v>
      </c>
      <c r="AU779" s="67">
        <f t="shared" si="226"/>
        <v>15136</v>
      </c>
      <c r="AV779" s="67">
        <f t="shared" si="227"/>
        <v>1</v>
      </c>
      <c r="AW779" s="67" t="s">
        <v>1350</v>
      </c>
    </row>
    <row r="780" spans="1:49" ht="30" customHeight="1" x14ac:dyDescent="0.25">
      <c r="A780" s="73" t="s">
        <v>73</v>
      </c>
      <c r="B780" s="67" t="s">
        <v>221</v>
      </c>
      <c r="C780" s="73" t="s">
        <v>294</v>
      </c>
      <c r="D780" s="67">
        <f t="shared" si="229"/>
        <v>35</v>
      </c>
      <c r="E780" s="67" t="s">
        <v>605</v>
      </c>
      <c r="F780" s="73" t="s">
        <v>240</v>
      </c>
      <c r="G780" s="73" t="s">
        <v>578</v>
      </c>
      <c r="H780" s="67">
        <v>1</v>
      </c>
      <c r="I780" s="67">
        <v>72</v>
      </c>
      <c r="J780" s="67">
        <v>4</v>
      </c>
      <c r="K780" s="68" t="s">
        <v>937</v>
      </c>
      <c r="L780" s="68" t="s">
        <v>938</v>
      </c>
      <c r="M780" s="68" t="s">
        <v>824</v>
      </c>
      <c r="N780" s="67" t="s">
        <v>240</v>
      </c>
      <c r="O780" s="69">
        <v>1.6118549330560228E-2</v>
      </c>
      <c r="P780" s="74">
        <v>-1.8219485318299311E-3</v>
      </c>
      <c r="R780" s="67" t="s">
        <v>338</v>
      </c>
      <c r="S780" s="67">
        <v>15138</v>
      </c>
      <c r="T780" s="67">
        <v>9264</v>
      </c>
      <c r="U780" s="67">
        <v>5874</v>
      </c>
      <c r="V780" s="67">
        <v>71</v>
      </c>
      <c r="W780" s="67">
        <v>150</v>
      </c>
      <c r="X780" s="67">
        <v>3101</v>
      </c>
      <c r="Y780" s="67">
        <v>3279</v>
      </c>
      <c r="AB780" s="67">
        <v>7815</v>
      </c>
      <c r="AC780" s="67">
        <v>7744</v>
      </c>
      <c r="AI780" s="70">
        <f t="shared" si="228"/>
        <v>150</v>
      </c>
      <c r="AP780" s="67">
        <f t="shared" si="223"/>
        <v>7.8946902644500341E-3</v>
      </c>
      <c r="AQ780" s="67">
        <f t="shared" si="224"/>
        <v>8993.3863928410956</v>
      </c>
      <c r="AS780" s="67">
        <f t="shared" si="225"/>
        <v>2.7823147525666262E-4</v>
      </c>
      <c r="AU780" s="67">
        <f t="shared" si="226"/>
        <v>15136</v>
      </c>
      <c r="AV780" s="67">
        <f t="shared" si="227"/>
        <v>1</v>
      </c>
      <c r="AW780" s="67" t="s">
        <v>1350</v>
      </c>
    </row>
    <row r="781" spans="1:49" ht="30" customHeight="1" x14ac:dyDescent="0.25">
      <c r="A781" s="73" t="s">
        <v>73</v>
      </c>
      <c r="B781" s="67" t="s">
        <v>221</v>
      </c>
      <c r="C781" s="73" t="s">
        <v>294</v>
      </c>
      <c r="D781" s="67">
        <f t="shared" si="229"/>
        <v>36</v>
      </c>
      <c r="E781" s="67" t="s">
        <v>605</v>
      </c>
      <c r="F781" s="73" t="s">
        <v>240</v>
      </c>
      <c r="G781" s="73" t="s">
        <v>578</v>
      </c>
      <c r="H781" s="67">
        <v>1</v>
      </c>
      <c r="I781" s="67">
        <v>84</v>
      </c>
      <c r="J781" s="67">
        <v>4</v>
      </c>
      <c r="K781" s="68" t="s">
        <v>937</v>
      </c>
      <c r="L781" s="68" t="s">
        <v>938</v>
      </c>
      <c r="M781" s="68" t="s">
        <v>824</v>
      </c>
      <c r="N781" s="67" t="s">
        <v>240</v>
      </c>
      <c r="O781" s="69">
        <v>1.6118549330560228E-2</v>
      </c>
      <c r="P781" s="74">
        <v>-1.8219485318299311E-3</v>
      </c>
      <c r="R781" s="67" t="s">
        <v>338</v>
      </c>
      <c r="S781" s="67">
        <v>15138</v>
      </c>
      <c r="T781" s="67">
        <v>9264</v>
      </c>
      <c r="U781" s="67">
        <v>5874</v>
      </c>
      <c r="V781" s="67">
        <v>27</v>
      </c>
      <c r="W781" s="67">
        <v>157</v>
      </c>
      <c r="X781" s="67">
        <v>3101</v>
      </c>
      <c r="Y781" s="67">
        <v>3279</v>
      </c>
      <c r="AB781" s="67">
        <v>7822</v>
      </c>
      <c r="AC781" s="67">
        <v>7796</v>
      </c>
      <c r="AI781" s="70">
        <f t="shared" si="228"/>
        <v>157</v>
      </c>
      <c r="AP781" s="67">
        <f t="shared" si="223"/>
        <v>2.8683498314364978E-3</v>
      </c>
      <c r="AQ781" s="67">
        <f t="shared" si="224"/>
        <v>9413.0777578403449</v>
      </c>
      <c r="AS781" s="67">
        <f t="shared" si="225"/>
        <v>2.7822432596320205E-4</v>
      </c>
      <c r="AU781" s="67">
        <f t="shared" si="226"/>
        <v>15136</v>
      </c>
      <c r="AV781" s="67">
        <f t="shared" si="227"/>
        <v>1</v>
      </c>
      <c r="AW781" s="67" t="s">
        <v>1350</v>
      </c>
    </row>
    <row r="782" spans="1:49" ht="30" customHeight="1" x14ac:dyDescent="0.25">
      <c r="A782" s="73" t="s">
        <v>73</v>
      </c>
      <c r="B782" s="67" t="s">
        <v>273</v>
      </c>
      <c r="C782" s="73" t="s">
        <v>294</v>
      </c>
      <c r="D782" s="67">
        <f t="shared" si="229"/>
        <v>37</v>
      </c>
      <c r="E782" s="67" t="s">
        <v>951</v>
      </c>
      <c r="F782" s="73" t="s">
        <v>240</v>
      </c>
      <c r="G782" s="73" t="s">
        <v>627</v>
      </c>
      <c r="H782" s="67">
        <v>1</v>
      </c>
      <c r="I782" s="67">
        <v>0</v>
      </c>
      <c r="J782" s="67">
        <v>1</v>
      </c>
      <c r="K782" s="68" t="s">
        <v>941</v>
      </c>
      <c r="L782" s="68" t="s">
        <v>240</v>
      </c>
      <c r="M782" s="68" t="s">
        <v>824</v>
      </c>
      <c r="N782" s="67" t="s">
        <v>240</v>
      </c>
      <c r="O782" s="69">
        <v>0</v>
      </c>
      <c r="P782" s="74" t="s">
        <v>240</v>
      </c>
      <c r="Q782" s="67" t="s">
        <v>240</v>
      </c>
      <c r="R782" s="67" t="s">
        <v>338</v>
      </c>
      <c r="S782" s="67">
        <f>T782+U782</f>
        <v>15138</v>
      </c>
      <c r="T782" s="67">
        <v>9264</v>
      </c>
      <c r="U782" s="67">
        <v>5874</v>
      </c>
      <c r="V782" s="67">
        <v>0.10300000000000001</v>
      </c>
      <c r="W782" s="67">
        <v>6.0000000000000001E-3</v>
      </c>
      <c r="X782" s="67">
        <v>0.88800000000000001</v>
      </c>
      <c r="Y782" s="67">
        <v>0.78400000000000003</v>
      </c>
      <c r="AB782" s="81">
        <v>0.88800000000000001</v>
      </c>
      <c r="AC782" s="81">
        <v>0.78400000000000003</v>
      </c>
      <c r="AI782" s="70">
        <f t="shared" si="228"/>
        <v>6.0000000000000001E-3</v>
      </c>
    </row>
    <row r="783" spans="1:49" ht="30" customHeight="1" x14ac:dyDescent="0.25">
      <c r="A783" s="73" t="s">
        <v>73</v>
      </c>
      <c r="B783" s="67" t="s">
        <v>273</v>
      </c>
      <c r="C783" s="73" t="s">
        <v>294</v>
      </c>
      <c r="D783" s="67">
        <f t="shared" si="229"/>
        <v>38</v>
      </c>
      <c r="E783" s="67" t="s">
        <v>951</v>
      </c>
      <c r="F783" s="73" t="s">
        <v>240</v>
      </c>
      <c r="G783" s="73" t="s">
        <v>627</v>
      </c>
      <c r="H783" s="67">
        <v>1</v>
      </c>
      <c r="I783" s="67">
        <v>12</v>
      </c>
      <c r="J783" s="67">
        <v>1</v>
      </c>
      <c r="K783" s="68" t="s">
        <v>941</v>
      </c>
      <c r="L783" s="68" t="s">
        <v>240</v>
      </c>
      <c r="M783" s="68" t="s">
        <v>824</v>
      </c>
      <c r="N783" s="67" t="s">
        <v>240</v>
      </c>
      <c r="O783" s="69">
        <v>0</v>
      </c>
      <c r="P783" s="74" t="s">
        <v>240</v>
      </c>
      <c r="Q783" s="67" t="s">
        <v>240</v>
      </c>
      <c r="R783" s="67" t="s">
        <v>338</v>
      </c>
      <c r="S783" s="67">
        <f>T783+U783</f>
        <v>15138</v>
      </c>
      <c r="T783" s="67">
        <v>9264</v>
      </c>
      <c r="U783" s="67">
        <v>5874</v>
      </c>
      <c r="V783" s="67">
        <v>2.1000000000000001E-2</v>
      </c>
      <c r="W783" s="67">
        <v>6.0000000000000001E-3</v>
      </c>
      <c r="X783" s="67">
        <v>0.88800000000000001</v>
      </c>
      <c r="Y783" s="67">
        <v>0.78400000000000003</v>
      </c>
      <c r="AB783" s="67">
        <v>0.83599999999999997</v>
      </c>
      <c r="AC783" s="67">
        <v>0.81499999999999995</v>
      </c>
      <c r="AI783" s="70">
        <f t="shared" si="228"/>
        <v>6.0000000000000001E-3</v>
      </c>
    </row>
    <row r="784" spans="1:49" ht="30" customHeight="1" x14ac:dyDescent="0.25">
      <c r="A784" s="73" t="s">
        <v>73</v>
      </c>
      <c r="B784" s="67" t="s">
        <v>273</v>
      </c>
      <c r="C784" s="73" t="s">
        <v>294</v>
      </c>
      <c r="D784" s="67">
        <f t="shared" si="229"/>
        <v>39</v>
      </c>
      <c r="E784" s="67" t="s">
        <v>951</v>
      </c>
      <c r="F784" s="73" t="s">
        <v>240</v>
      </c>
      <c r="G784" s="73" t="s">
        <v>627</v>
      </c>
      <c r="H784" s="67">
        <v>1</v>
      </c>
      <c r="I784" s="67">
        <v>24</v>
      </c>
      <c r="J784" s="67">
        <v>1</v>
      </c>
      <c r="K784" s="68" t="s">
        <v>941</v>
      </c>
      <c r="L784" s="68" t="s">
        <v>240</v>
      </c>
      <c r="M784" s="68" t="s">
        <v>824</v>
      </c>
      <c r="N784" s="67" t="s">
        <v>240</v>
      </c>
      <c r="O784" s="69">
        <v>0</v>
      </c>
      <c r="P784" s="74" t="s">
        <v>240</v>
      </c>
      <c r="Q784" s="67" t="s">
        <v>240</v>
      </c>
      <c r="R784" s="67" t="s">
        <v>338</v>
      </c>
      <c r="S784" s="67">
        <f>T784+U784</f>
        <v>15138</v>
      </c>
      <c r="T784" s="67">
        <v>9264</v>
      </c>
      <c r="U784" s="67">
        <v>5874</v>
      </c>
      <c r="V784" s="67">
        <v>1.3000000000000001E-2</v>
      </c>
      <c r="W784" s="67">
        <v>6.0000000000000001E-3</v>
      </c>
      <c r="X784" s="67">
        <v>0.88800000000000001</v>
      </c>
      <c r="Y784" s="67">
        <v>0.78400000000000003</v>
      </c>
      <c r="AB784" s="67">
        <v>0.84599999999999997</v>
      </c>
      <c r="AC784" s="67">
        <v>0.83299999999999996</v>
      </c>
      <c r="AI784" s="70">
        <f t="shared" si="228"/>
        <v>6.0000000000000001E-3</v>
      </c>
    </row>
    <row r="785" spans="1:49" ht="30" customHeight="1" x14ac:dyDescent="0.25">
      <c r="A785" s="73" t="s">
        <v>73</v>
      </c>
      <c r="B785" s="67" t="s">
        <v>273</v>
      </c>
      <c r="C785" s="73" t="s">
        <v>294</v>
      </c>
      <c r="D785" s="67">
        <f t="shared" si="229"/>
        <v>40</v>
      </c>
      <c r="E785" s="67" t="s">
        <v>951</v>
      </c>
      <c r="F785" s="73" t="s">
        <v>240</v>
      </c>
      <c r="G785" s="73" t="s">
        <v>627</v>
      </c>
      <c r="H785" s="67">
        <v>1</v>
      </c>
      <c r="I785" s="67">
        <v>36</v>
      </c>
      <c r="J785" s="67">
        <v>1</v>
      </c>
      <c r="K785" s="68" t="s">
        <v>941</v>
      </c>
      <c r="L785" s="68" t="s">
        <v>240</v>
      </c>
      <c r="M785" s="68" t="s">
        <v>824</v>
      </c>
      <c r="N785" s="67" t="s">
        <v>240</v>
      </c>
      <c r="O785" s="69">
        <v>0</v>
      </c>
      <c r="P785" s="74" t="s">
        <v>240</v>
      </c>
      <c r="Q785" s="67" t="s">
        <v>240</v>
      </c>
      <c r="R785" s="67" t="s">
        <v>338</v>
      </c>
      <c r="S785" s="67">
        <f>T785+U785</f>
        <v>15138</v>
      </c>
      <c r="T785" s="67">
        <v>9264</v>
      </c>
      <c r="U785" s="67">
        <v>5874</v>
      </c>
      <c r="V785" s="67">
        <v>1.4999999999999999E-2</v>
      </c>
      <c r="W785" s="67">
        <v>6.0000000000000001E-3</v>
      </c>
      <c r="X785" s="67">
        <v>0.88800000000000001</v>
      </c>
      <c r="Y785" s="67">
        <v>0.78400000000000003</v>
      </c>
      <c r="AB785" s="67">
        <v>0.83599999999999997</v>
      </c>
      <c r="AC785" s="67">
        <v>0.83</v>
      </c>
      <c r="AI785" s="70">
        <f t="shared" si="228"/>
        <v>6.0000000000000001E-3</v>
      </c>
    </row>
    <row r="786" spans="1:49" ht="30" customHeight="1" x14ac:dyDescent="0.25">
      <c r="A786" s="73" t="s">
        <v>73</v>
      </c>
      <c r="B786" s="67" t="s">
        <v>273</v>
      </c>
      <c r="C786" s="73" t="s">
        <v>294</v>
      </c>
      <c r="D786" s="67">
        <f t="shared" si="229"/>
        <v>41</v>
      </c>
      <c r="E786" s="67" t="s">
        <v>951</v>
      </c>
      <c r="F786" s="73" t="s">
        <v>240</v>
      </c>
      <c r="G786" s="73" t="s">
        <v>627</v>
      </c>
      <c r="H786" s="67">
        <v>1</v>
      </c>
      <c r="I786" s="67">
        <v>48</v>
      </c>
      <c r="J786" s="67">
        <v>1</v>
      </c>
      <c r="K786" s="68" t="s">
        <v>941</v>
      </c>
      <c r="L786" s="68" t="s">
        <v>240</v>
      </c>
      <c r="M786" s="68" t="s">
        <v>824</v>
      </c>
      <c r="N786" s="67" t="s">
        <v>240</v>
      </c>
      <c r="O786" s="69">
        <v>0</v>
      </c>
      <c r="P786" s="74" t="s">
        <v>240</v>
      </c>
      <c r="Q786" s="67" t="s">
        <v>240</v>
      </c>
      <c r="R786" s="67" t="s">
        <v>338</v>
      </c>
      <c r="S786" s="67">
        <f>T786+U786</f>
        <v>15138</v>
      </c>
      <c r="T786" s="67">
        <v>9264</v>
      </c>
      <c r="U786" s="67">
        <v>5874</v>
      </c>
      <c r="V786" s="67">
        <v>6.0000000000000001E-3</v>
      </c>
      <c r="W786" s="67">
        <v>6.0000000000000001E-3</v>
      </c>
      <c r="X786" s="67">
        <v>0.88800000000000001</v>
      </c>
      <c r="Y786" s="67">
        <v>0.78400000000000003</v>
      </c>
      <c r="AB786" s="67">
        <v>0.80599999999999994</v>
      </c>
      <c r="AC786" s="67">
        <v>0.80299999999999994</v>
      </c>
      <c r="AI786" s="70">
        <f t="shared" si="228"/>
        <v>6.0000000000000001E-3</v>
      </c>
    </row>
    <row r="787" spans="1:49" ht="30" customHeight="1" x14ac:dyDescent="0.25">
      <c r="A787" s="73" t="s">
        <v>73</v>
      </c>
      <c r="B787" s="67" t="s">
        <v>221</v>
      </c>
      <c r="C787" s="73" t="s">
        <v>294</v>
      </c>
      <c r="D787" s="67">
        <f t="shared" si="229"/>
        <v>42</v>
      </c>
      <c r="E787" s="67" t="s">
        <v>605</v>
      </c>
      <c r="F787" s="73" t="s">
        <v>240</v>
      </c>
      <c r="G787" s="73" t="s">
        <v>578</v>
      </c>
      <c r="H787" s="67">
        <v>1</v>
      </c>
      <c r="I787" s="67">
        <v>60</v>
      </c>
      <c r="J787" s="67">
        <v>1</v>
      </c>
      <c r="K787" s="68" t="s">
        <v>941</v>
      </c>
      <c r="L787" s="68" t="s">
        <v>240</v>
      </c>
      <c r="M787" s="68" t="s">
        <v>824</v>
      </c>
      <c r="N787" s="67" t="s">
        <v>240</v>
      </c>
      <c r="O787" s="69">
        <v>1.6118549330560228E-2</v>
      </c>
      <c r="P787" s="74">
        <v>-1.8219485318299311E-3</v>
      </c>
      <c r="R787" s="67" t="s">
        <v>338</v>
      </c>
      <c r="S787" s="67">
        <v>15138</v>
      </c>
      <c r="T787" s="67">
        <v>9264</v>
      </c>
      <c r="U787" s="67">
        <v>5874</v>
      </c>
      <c r="V787" s="67">
        <v>2E-3</v>
      </c>
      <c r="W787" s="67">
        <v>6.0000000000000001E-3</v>
      </c>
      <c r="X787" s="67">
        <v>0.88800000000000001</v>
      </c>
      <c r="Y787" s="67">
        <v>0.78400000000000003</v>
      </c>
      <c r="AB787" s="67">
        <v>0.80600000000000005</v>
      </c>
      <c r="AC787" s="67">
        <v>0.80300000000000005</v>
      </c>
      <c r="AI787" s="70">
        <f t="shared" si="228"/>
        <v>6.0000000000000001E-3</v>
      </c>
    </row>
    <row r="788" spans="1:49" ht="30" customHeight="1" x14ac:dyDescent="0.25">
      <c r="A788" s="73" t="s">
        <v>73</v>
      </c>
      <c r="B788" s="67" t="s">
        <v>221</v>
      </c>
      <c r="C788" s="73" t="s">
        <v>294</v>
      </c>
      <c r="D788" s="67">
        <f t="shared" si="229"/>
        <v>43</v>
      </c>
      <c r="E788" s="67" t="s">
        <v>605</v>
      </c>
      <c r="F788" s="73" t="s">
        <v>240</v>
      </c>
      <c r="G788" s="73" t="s">
        <v>578</v>
      </c>
      <c r="H788" s="67">
        <v>1</v>
      </c>
      <c r="I788" s="67">
        <v>72</v>
      </c>
      <c r="J788" s="67">
        <v>1</v>
      </c>
      <c r="K788" s="68" t="s">
        <v>941</v>
      </c>
      <c r="L788" s="68" t="s">
        <v>240</v>
      </c>
      <c r="M788" s="68" t="s">
        <v>824</v>
      </c>
      <c r="N788" s="67" t="s">
        <v>240</v>
      </c>
      <c r="O788" s="69">
        <v>1.6118549330560228E-2</v>
      </c>
      <c r="P788" s="74">
        <v>-1.8219485318299311E-3</v>
      </c>
      <c r="R788" s="67" t="s">
        <v>338</v>
      </c>
      <c r="S788" s="67">
        <v>15138</v>
      </c>
      <c r="T788" s="67">
        <v>9264</v>
      </c>
      <c r="U788" s="67">
        <v>5874</v>
      </c>
      <c r="V788" s="67">
        <v>1E-3</v>
      </c>
      <c r="W788" s="67">
        <v>7.0000000000000001E-3</v>
      </c>
      <c r="X788" s="67">
        <v>0.88800000000000001</v>
      </c>
      <c r="Y788" s="67">
        <v>0.78400000000000003</v>
      </c>
      <c r="AB788" s="67">
        <v>0.76700000000000002</v>
      </c>
      <c r="AC788" s="67">
        <v>0.76600000000000001</v>
      </c>
      <c r="AI788" s="70">
        <f t="shared" si="228"/>
        <v>7.0000000000000001E-3</v>
      </c>
    </row>
    <row r="789" spans="1:49" ht="30" customHeight="1" x14ac:dyDescent="0.25">
      <c r="A789" s="73" t="s">
        <v>73</v>
      </c>
      <c r="B789" s="67" t="s">
        <v>221</v>
      </c>
      <c r="C789" s="73" t="s">
        <v>294</v>
      </c>
      <c r="D789" s="67">
        <f t="shared" si="229"/>
        <v>44</v>
      </c>
      <c r="E789" s="67" t="s">
        <v>605</v>
      </c>
      <c r="F789" s="73" t="s">
        <v>240</v>
      </c>
      <c r="G789" s="73" t="s">
        <v>578</v>
      </c>
      <c r="H789" s="67">
        <v>1</v>
      </c>
      <c r="I789" s="67">
        <v>84</v>
      </c>
      <c r="J789" s="67">
        <v>1</v>
      </c>
      <c r="K789" s="68" t="s">
        <v>941</v>
      </c>
      <c r="L789" s="68" t="s">
        <v>240</v>
      </c>
      <c r="M789" s="68" t="s">
        <v>824</v>
      </c>
      <c r="N789" s="67" t="s">
        <v>240</v>
      </c>
      <c r="O789" s="69">
        <v>1.6118549330560228E-2</v>
      </c>
      <c r="P789" s="74">
        <v>-1.8219485318299311E-3</v>
      </c>
      <c r="R789" s="67" t="s">
        <v>338</v>
      </c>
      <c r="S789" s="67">
        <v>15138</v>
      </c>
      <c r="T789" s="67">
        <v>9264</v>
      </c>
      <c r="U789" s="67">
        <v>5874</v>
      </c>
      <c r="V789" s="67">
        <v>7.0000000000000001E-3</v>
      </c>
      <c r="W789" s="67">
        <v>7.0000000000000001E-3</v>
      </c>
      <c r="X789" s="67">
        <v>0.88800000000000001</v>
      </c>
      <c r="Y789" s="67">
        <v>0.78400000000000003</v>
      </c>
      <c r="AB789" s="67">
        <v>0.73799999999999999</v>
      </c>
      <c r="AC789" s="67">
        <v>0.73099999999999998</v>
      </c>
      <c r="AI789" s="70">
        <f t="shared" si="228"/>
        <v>7.0000000000000001E-3</v>
      </c>
    </row>
    <row r="790" spans="1:49" ht="30" customHeight="1" x14ac:dyDescent="0.25">
      <c r="A790" s="73" t="s">
        <v>73</v>
      </c>
      <c r="B790" s="67" t="s">
        <v>273</v>
      </c>
      <c r="C790" s="73" t="s">
        <v>294</v>
      </c>
      <c r="D790" s="67">
        <f t="shared" si="229"/>
        <v>45</v>
      </c>
      <c r="E790" s="67" t="s">
        <v>583</v>
      </c>
      <c r="F790" s="73" t="s">
        <v>240</v>
      </c>
      <c r="G790" s="73" t="s">
        <v>627</v>
      </c>
      <c r="H790" s="67">
        <v>1</v>
      </c>
      <c r="I790" s="67">
        <v>24</v>
      </c>
      <c r="J790" s="67">
        <v>2</v>
      </c>
      <c r="K790" s="68" t="s">
        <v>954</v>
      </c>
      <c r="L790" s="68" t="s">
        <v>938</v>
      </c>
      <c r="M790" s="68" t="s">
        <v>953</v>
      </c>
      <c r="N790" s="67" t="s">
        <v>240</v>
      </c>
      <c r="O790" s="69">
        <f>1 - (4485+6828)/(5977 + 9409)</f>
        <v>0.26472117509424153</v>
      </c>
      <c r="P790" s="74">
        <f>(1-6828/9409)-(1-4485/5977)</f>
        <v>2.468827213141922E-2</v>
      </c>
      <c r="Q790" s="67" t="s">
        <v>240</v>
      </c>
      <c r="R790" s="67" t="s">
        <v>462</v>
      </c>
      <c r="S790" s="67">
        <f t="shared" ref="S790:S822" si="230">T790+U790</f>
        <v>6674.67</v>
      </c>
      <c r="T790" s="67">
        <f>6828*0.59</f>
        <v>4028.52</v>
      </c>
      <c r="U790" s="67">
        <f>4485*0.59</f>
        <v>2646.1499999999996</v>
      </c>
      <c r="V790" s="67">
        <v>1530</v>
      </c>
      <c r="W790" s="67">
        <v>345</v>
      </c>
      <c r="AI790" s="70">
        <f t="shared" si="228"/>
        <v>345</v>
      </c>
      <c r="AP790" s="67">
        <f t="shared" ref="AP790:AP811" si="231">+V790/AQ790</f>
        <v>0.11097042353175014</v>
      </c>
      <c r="AQ790" s="67">
        <f t="shared" ref="AQ790:AQ811" si="232">+AI790*SQRT(T790*U790/S790)</f>
        <v>13787.457516211482</v>
      </c>
      <c r="AS790" s="67">
        <f t="shared" ref="AS790:AS811" si="233">+AP790^2/(AU790-2)*(AU790/(V790/AI790)^2+AU790*AV790^2-AU790+2)</f>
        <v>6.3001748719628697E-4</v>
      </c>
      <c r="AU790" s="67">
        <f t="shared" ref="AU790:AU811" si="234">+S790-2</f>
        <v>6672.67</v>
      </c>
      <c r="AV790" s="67">
        <f t="shared" ref="AV790:AV811" si="235">IFERROR(1/(SQRT(AU790/2)*_xlfn.GAMMA(AU790/2-0.5)/_xlfn.GAMMA(AU790/2)),1)</f>
        <v>1</v>
      </c>
      <c r="AW790" s="67" t="s">
        <v>1350</v>
      </c>
    </row>
    <row r="791" spans="1:49" ht="30" customHeight="1" x14ac:dyDescent="0.25">
      <c r="A791" s="73" t="s">
        <v>73</v>
      </c>
      <c r="B791" s="67" t="s">
        <v>273</v>
      </c>
      <c r="C791" s="73" t="s">
        <v>294</v>
      </c>
      <c r="D791" s="67">
        <f t="shared" si="229"/>
        <v>46</v>
      </c>
      <c r="E791" s="67" t="s">
        <v>577</v>
      </c>
      <c r="F791" s="73" t="s">
        <v>240</v>
      </c>
      <c r="G791" s="73" t="s">
        <v>627</v>
      </c>
      <c r="H791" s="67">
        <v>1</v>
      </c>
      <c r="I791" s="67">
        <v>24</v>
      </c>
      <c r="J791" s="67">
        <v>2</v>
      </c>
      <c r="K791" s="68" t="s">
        <v>954</v>
      </c>
      <c r="L791" s="68" t="s">
        <v>938</v>
      </c>
      <c r="M791" s="68" t="s">
        <v>953</v>
      </c>
      <c r="N791" s="67" t="s">
        <v>240</v>
      </c>
      <c r="O791" s="69">
        <f>1 - (4485+6828)/(5977 + 9409)</f>
        <v>0.26472117509424153</v>
      </c>
      <c r="P791" s="74">
        <f>(1-6828/9409)-(1-4485/5977)</f>
        <v>2.468827213141922E-2</v>
      </c>
      <c r="Q791" s="67" t="s">
        <v>240</v>
      </c>
      <c r="R791" s="67" t="s">
        <v>462</v>
      </c>
      <c r="S791" s="67">
        <f t="shared" si="230"/>
        <v>4638.33</v>
      </c>
      <c r="T791" s="67">
        <f>6828*0.41</f>
        <v>2799.48</v>
      </c>
      <c r="U791" s="67">
        <f>4485*0.41</f>
        <v>1838.85</v>
      </c>
      <c r="V791" s="67">
        <v>1134</v>
      </c>
      <c r="W791" s="67">
        <v>366</v>
      </c>
      <c r="AI791" s="70">
        <f t="shared" si="228"/>
        <v>366</v>
      </c>
      <c r="AP791" s="67">
        <f t="shared" si="231"/>
        <v>9.3003855870787161E-2</v>
      </c>
      <c r="AQ791" s="67">
        <f t="shared" si="232"/>
        <v>12193.042851637223</v>
      </c>
      <c r="AS791" s="67">
        <f t="shared" si="233"/>
        <v>9.0514908013366235E-4</v>
      </c>
      <c r="AU791" s="67">
        <f t="shared" si="234"/>
        <v>4636.33</v>
      </c>
      <c r="AV791" s="67">
        <f t="shared" si="235"/>
        <v>1</v>
      </c>
      <c r="AW791" s="67" t="s">
        <v>1350</v>
      </c>
    </row>
    <row r="792" spans="1:49" ht="30" customHeight="1" x14ac:dyDescent="0.25">
      <c r="A792" s="73" t="s">
        <v>73</v>
      </c>
      <c r="B792" s="67" t="s">
        <v>273</v>
      </c>
      <c r="C792" s="73" t="s">
        <v>294</v>
      </c>
      <c r="D792" s="67">
        <f t="shared" si="229"/>
        <v>47</v>
      </c>
      <c r="E792" s="67" t="s">
        <v>605</v>
      </c>
      <c r="F792" s="73" t="s">
        <v>785</v>
      </c>
      <c r="G792" s="73" t="s">
        <v>627</v>
      </c>
      <c r="H792" s="67">
        <v>1</v>
      </c>
      <c r="I792" s="67">
        <v>24</v>
      </c>
      <c r="J792" s="67">
        <v>2</v>
      </c>
      <c r="K792" s="68" t="s">
        <v>954</v>
      </c>
      <c r="L792" s="68" t="s">
        <v>938</v>
      </c>
      <c r="M792" s="68" t="s">
        <v>587</v>
      </c>
      <c r="N792" s="67" t="s">
        <v>240</v>
      </c>
      <c r="O792" s="69">
        <v>0</v>
      </c>
      <c r="P792" s="74" t="s">
        <v>240</v>
      </c>
      <c r="Q792" s="67" t="s">
        <v>240</v>
      </c>
      <c r="R792" s="67" t="s">
        <v>462</v>
      </c>
      <c r="S792" s="67">
        <f t="shared" si="230"/>
        <v>6206.58</v>
      </c>
      <c r="T792" s="67">
        <f>9264*0.41</f>
        <v>3798.24</v>
      </c>
      <c r="U792" s="67">
        <f>5874*0.41</f>
        <v>2408.3399999999997</v>
      </c>
      <c r="V792" s="67">
        <v>195</v>
      </c>
      <c r="W792" s="67">
        <v>161</v>
      </c>
      <c r="AI792" s="70">
        <f t="shared" si="228"/>
        <v>161</v>
      </c>
      <c r="AP792" s="67">
        <f t="shared" si="231"/>
        <v>3.1548942978022125E-2</v>
      </c>
      <c r="AQ792" s="67">
        <f t="shared" si="232"/>
        <v>6180.8726883763566</v>
      </c>
      <c r="AS792" s="67">
        <f t="shared" si="233"/>
        <v>6.7904332255688414E-4</v>
      </c>
      <c r="AU792" s="67">
        <f t="shared" si="234"/>
        <v>6204.58</v>
      </c>
      <c r="AV792" s="67">
        <f t="shared" si="235"/>
        <v>1</v>
      </c>
      <c r="AW792" s="67" t="s">
        <v>1350</v>
      </c>
    </row>
    <row r="793" spans="1:49" ht="30" customHeight="1" x14ac:dyDescent="0.25">
      <c r="A793" s="73" t="s">
        <v>73</v>
      </c>
      <c r="B793" s="67" t="s">
        <v>273</v>
      </c>
      <c r="C793" s="73" t="s">
        <v>294</v>
      </c>
      <c r="D793" s="67">
        <f t="shared" si="229"/>
        <v>48</v>
      </c>
      <c r="E793" s="67" t="s">
        <v>605</v>
      </c>
      <c r="F793" s="73" t="s">
        <v>786</v>
      </c>
      <c r="G793" s="73" t="s">
        <v>627</v>
      </c>
      <c r="H793" s="67">
        <v>1</v>
      </c>
      <c r="I793" s="67">
        <v>24</v>
      </c>
      <c r="J793" s="67">
        <v>2</v>
      </c>
      <c r="K793" s="68" t="s">
        <v>954</v>
      </c>
      <c r="L793" s="68" t="s">
        <v>938</v>
      </c>
      <c r="M793" s="68" t="s">
        <v>587</v>
      </c>
      <c r="N793" s="67" t="s">
        <v>240</v>
      </c>
      <c r="O793" s="69">
        <v>0</v>
      </c>
      <c r="P793" s="74" t="s">
        <v>240</v>
      </c>
      <c r="Q793" s="67" t="s">
        <v>240</v>
      </c>
      <c r="R793" s="67" t="s">
        <v>462</v>
      </c>
      <c r="S793" s="67">
        <f t="shared" si="230"/>
        <v>4844.16</v>
      </c>
      <c r="T793" s="67">
        <f>9264*0.32</f>
        <v>2964.48</v>
      </c>
      <c r="U793" s="67">
        <f>5874*0.32</f>
        <v>1879.68</v>
      </c>
      <c r="V793" s="67">
        <v>76</v>
      </c>
      <c r="W793" s="67">
        <v>265</v>
      </c>
      <c r="AI793" s="70">
        <f t="shared" si="228"/>
        <v>265</v>
      </c>
      <c r="AP793" s="67">
        <f t="shared" si="231"/>
        <v>8.4559174652543753E-3</v>
      </c>
      <c r="AQ793" s="67">
        <f t="shared" si="232"/>
        <v>8987.7887659483822</v>
      </c>
      <c r="AS793" s="67">
        <f t="shared" si="233"/>
        <v>8.6972149822005121E-4</v>
      </c>
      <c r="AU793" s="67">
        <f t="shared" si="234"/>
        <v>4842.16</v>
      </c>
      <c r="AV793" s="67">
        <f t="shared" si="235"/>
        <v>1</v>
      </c>
      <c r="AW793" s="67" t="s">
        <v>1350</v>
      </c>
    </row>
    <row r="794" spans="1:49" ht="30" customHeight="1" x14ac:dyDescent="0.25">
      <c r="A794" s="73" t="s">
        <v>73</v>
      </c>
      <c r="B794" s="67" t="s">
        <v>273</v>
      </c>
      <c r="C794" s="73" t="s">
        <v>294</v>
      </c>
      <c r="D794" s="67">
        <f t="shared" si="229"/>
        <v>49</v>
      </c>
      <c r="E794" s="67" t="s">
        <v>605</v>
      </c>
      <c r="F794" s="73" t="s">
        <v>787</v>
      </c>
      <c r="G794" s="73" t="s">
        <v>627</v>
      </c>
      <c r="H794" s="67">
        <v>1</v>
      </c>
      <c r="I794" s="67">
        <v>24</v>
      </c>
      <c r="J794" s="67">
        <v>2</v>
      </c>
      <c r="K794" s="68" t="s">
        <v>954</v>
      </c>
      <c r="L794" s="68" t="s">
        <v>938</v>
      </c>
      <c r="M794" s="68" t="s">
        <v>587</v>
      </c>
      <c r="N794" s="67" t="s">
        <v>240</v>
      </c>
      <c r="O794" s="69">
        <v>0</v>
      </c>
      <c r="P794" s="74" t="s">
        <v>240</v>
      </c>
      <c r="Q794" s="67" t="s">
        <v>240</v>
      </c>
      <c r="R794" s="67" t="s">
        <v>462</v>
      </c>
      <c r="S794" s="67">
        <f t="shared" si="230"/>
        <v>4087.26</v>
      </c>
      <c r="T794" s="67">
        <f>9264*0.27</f>
        <v>2501.2800000000002</v>
      </c>
      <c r="U794" s="67">
        <f>5874*0.27</f>
        <v>1585.98</v>
      </c>
      <c r="V794" s="67">
        <v>704</v>
      </c>
      <c r="W794" s="67">
        <v>342</v>
      </c>
      <c r="AI794" s="70">
        <f t="shared" si="228"/>
        <v>342</v>
      </c>
      <c r="AP794" s="67">
        <f t="shared" si="231"/>
        <v>6.6074316175390349E-2</v>
      </c>
      <c r="AQ794" s="67">
        <f t="shared" si="232"/>
        <v>10654.66948051757</v>
      </c>
      <c r="AS794" s="67">
        <f t="shared" si="233"/>
        <v>1.032963332526713E-3</v>
      </c>
      <c r="AU794" s="67">
        <f t="shared" si="234"/>
        <v>4085.26</v>
      </c>
      <c r="AV794" s="67">
        <f t="shared" si="235"/>
        <v>1</v>
      </c>
      <c r="AW794" s="67" t="s">
        <v>1350</v>
      </c>
    </row>
    <row r="795" spans="1:49" ht="30" customHeight="1" x14ac:dyDescent="0.25">
      <c r="A795" s="73" t="s">
        <v>73</v>
      </c>
      <c r="B795" s="67" t="s">
        <v>273</v>
      </c>
      <c r="C795" s="73" t="s">
        <v>294</v>
      </c>
      <c r="D795" s="67">
        <f t="shared" si="229"/>
        <v>50</v>
      </c>
      <c r="E795" s="67" t="s">
        <v>583</v>
      </c>
      <c r="F795" s="73" t="s">
        <v>240</v>
      </c>
      <c r="G795" s="73" t="s">
        <v>627</v>
      </c>
      <c r="H795" s="67">
        <v>1</v>
      </c>
      <c r="I795" s="67">
        <v>24</v>
      </c>
      <c r="J795" s="67">
        <v>2</v>
      </c>
      <c r="K795" s="68" t="s">
        <v>954</v>
      </c>
      <c r="L795" s="68" t="s">
        <v>938</v>
      </c>
      <c r="M795" s="68" t="s">
        <v>587</v>
      </c>
      <c r="N795" s="67" t="s">
        <v>240</v>
      </c>
      <c r="O795" s="69">
        <v>0</v>
      </c>
      <c r="P795" s="74" t="s">
        <v>240</v>
      </c>
      <c r="Q795" s="67" t="s">
        <v>240</v>
      </c>
      <c r="R795" s="67" t="s">
        <v>462</v>
      </c>
      <c r="S795" s="67">
        <f t="shared" si="230"/>
        <v>8931.4199999999983</v>
      </c>
      <c r="T795" s="67">
        <f>9264*0.59</f>
        <v>5465.7599999999993</v>
      </c>
      <c r="U795" s="67">
        <f>5874*0.59</f>
        <v>3465.66</v>
      </c>
      <c r="V795" s="67">
        <v>512</v>
      </c>
      <c r="W795" s="67">
        <v>180</v>
      </c>
      <c r="AI795" s="70">
        <f t="shared" si="228"/>
        <v>180</v>
      </c>
      <c r="AP795" s="67">
        <f t="shared" si="231"/>
        <v>6.1764574831754362E-2</v>
      </c>
      <c r="AQ795" s="67">
        <f t="shared" si="232"/>
        <v>8289.5413980372923</v>
      </c>
      <c r="AS795" s="67">
        <f t="shared" si="233"/>
        <v>4.7246277061268412E-4</v>
      </c>
      <c r="AU795" s="67">
        <f t="shared" si="234"/>
        <v>8929.4199999999983</v>
      </c>
      <c r="AV795" s="67">
        <f t="shared" si="235"/>
        <v>1</v>
      </c>
      <c r="AW795" s="67" t="s">
        <v>1350</v>
      </c>
    </row>
    <row r="796" spans="1:49" ht="30" customHeight="1" x14ac:dyDescent="0.25">
      <c r="A796" s="73" t="s">
        <v>73</v>
      </c>
      <c r="B796" s="67" t="s">
        <v>273</v>
      </c>
      <c r="C796" s="73" t="s">
        <v>294</v>
      </c>
      <c r="D796" s="67">
        <f t="shared" si="229"/>
        <v>51</v>
      </c>
      <c r="E796" s="67" t="s">
        <v>577</v>
      </c>
      <c r="F796" s="73" t="s">
        <v>240</v>
      </c>
      <c r="G796" s="73" t="s">
        <v>627</v>
      </c>
      <c r="H796" s="67">
        <v>1</v>
      </c>
      <c r="I796" s="67">
        <v>24</v>
      </c>
      <c r="J796" s="67">
        <v>2</v>
      </c>
      <c r="K796" s="68" t="s">
        <v>954</v>
      </c>
      <c r="L796" s="68" t="s">
        <v>938</v>
      </c>
      <c r="M796" s="68" t="s">
        <v>587</v>
      </c>
      <c r="N796" s="67" t="s">
        <v>240</v>
      </c>
      <c r="O796" s="69">
        <v>0</v>
      </c>
      <c r="P796" s="74" t="s">
        <v>240</v>
      </c>
      <c r="Q796" s="67" t="s">
        <v>240</v>
      </c>
      <c r="R796" s="67" t="s">
        <v>462</v>
      </c>
      <c r="S796" s="67">
        <f t="shared" si="230"/>
        <v>6206.58</v>
      </c>
      <c r="T796" s="67">
        <f>9264*0.41</f>
        <v>3798.24</v>
      </c>
      <c r="U796" s="67">
        <f>5874*0.41</f>
        <v>2408.3399999999997</v>
      </c>
      <c r="V796" s="67">
        <v>-28</v>
      </c>
      <c r="W796" s="67">
        <v>220</v>
      </c>
      <c r="AI796" s="70">
        <f t="shared" si="228"/>
        <v>220</v>
      </c>
      <c r="AP796" s="67">
        <f t="shared" si="231"/>
        <v>-3.3152129357791084E-3</v>
      </c>
      <c r="AQ796" s="67">
        <f t="shared" si="232"/>
        <v>8445.9129903279409</v>
      </c>
      <c r="AS796" s="67">
        <f t="shared" si="233"/>
        <v>6.7872592393688406E-4</v>
      </c>
      <c r="AU796" s="67">
        <f t="shared" si="234"/>
        <v>6204.58</v>
      </c>
      <c r="AV796" s="67">
        <f t="shared" si="235"/>
        <v>1</v>
      </c>
      <c r="AW796" s="67" t="s">
        <v>1350</v>
      </c>
    </row>
    <row r="797" spans="1:49" ht="30" customHeight="1" x14ac:dyDescent="0.25">
      <c r="A797" s="73" t="s">
        <v>73</v>
      </c>
      <c r="B797" s="67" t="s">
        <v>273</v>
      </c>
      <c r="C797" s="73" t="s">
        <v>294</v>
      </c>
      <c r="D797" s="67">
        <f t="shared" si="229"/>
        <v>52</v>
      </c>
      <c r="E797" s="67" t="s">
        <v>605</v>
      </c>
      <c r="F797" s="73" t="s">
        <v>785</v>
      </c>
      <c r="G797" s="73" t="s">
        <v>627</v>
      </c>
      <c r="H797" s="67">
        <v>1</v>
      </c>
      <c r="I797" s="67">
        <v>36</v>
      </c>
      <c r="J797" s="67">
        <v>2</v>
      </c>
      <c r="K797" s="68" t="s">
        <v>954</v>
      </c>
      <c r="L797" s="68" t="s">
        <v>938</v>
      </c>
      <c r="M797" s="68" t="s">
        <v>587</v>
      </c>
      <c r="N797" s="67" t="s">
        <v>240</v>
      </c>
      <c r="O797" s="69">
        <v>0</v>
      </c>
      <c r="P797" s="74" t="s">
        <v>240</v>
      </c>
      <c r="Q797" s="67" t="s">
        <v>240</v>
      </c>
      <c r="R797" s="67" t="s">
        <v>462</v>
      </c>
      <c r="S797" s="67">
        <f t="shared" si="230"/>
        <v>6206.58</v>
      </c>
      <c r="T797" s="67">
        <f>9264*0.41</f>
        <v>3798.24</v>
      </c>
      <c r="U797" s="67">
        <f>5874*0.41</f>
        <v>2408.3399999999997</v>
      </c>
      <c r="V797" s="67">
        <v>2</v>
      </c>
      <c r="W797" s="67">
        <v>195</v>
      </c>
      <c r="AI797" s="70">
        <f t="shared" si="228"/>
        <v>195</v>
      </c>
      <c r="AP797" s="67">
        <f t="shared" si="231"/>
        <v>2.6716001680271206E-4</v>
      </c>
      <c r="AQ797" s="67">
        <f t="shared" si="232"/>
        <v>7486.1501505179467</v>
      </c>
      <c r="AS797" s="67">
        <f t="shared" si="233"/>
        <v>6.787224030593347E-4</v>
      </c>
      <c r="AU797" s="67">
        <f t="shared" si="234"/>
        <v>6204.58</v>
      </c>
      <c r="AV797" s="67">
        <f t="shared" si="235"/>
        <v>1</v>
      </c>
      <c r="AW797" s="67" t="s">
        <v>1350</v>
      </c>
    </row>
    <row r="798" spans="1:49" ht="30" customHeight="1" x14ac:dyDescent="0.25">
      <c r="A798" s="73" t="s">
        <v>73</v>
      </c>
      <c r="B798" s="67" t="s">
        <v>273</v>
      </c>
      <c r="C798" s="73" t="s">
        <v>294</v>
      </c>
      <c r="D798" s="67">
        <f t="shared" si="229"/>
        <v>53</v>
      </c>
      <c r="E798" s="67" t="s">
        <v>605</v>
      </c>
      <c r="F798" s="73" t="s">
        <v>786</v>
      </c>
      <c r="G798" s="73" t="s">
        <v>627</v>
      </c>
      <c r="H798" s="67">
        <v>1</v>
      </c>
      <c r="I798" s="67">
        <v>36</v>
      </c>
      <c r="J798" s="67">
        <v>2</v>
      </c>
      <c r="K798" s="68" t="s">
        <v>954</v>
      </c>
      <c r="L798" s="68" t="s">
        <v>938</v>
      </c>
      <c r="M798" s="68" t="s">
        <v>587</v>
      </c>
      <c r="N798" s="67" t="s">
        <v>240</v>
      </c>
      <c r="O798" s="69">
        <v>0</v>
      </c>
      <c r="P798" s="74" t="s">
        <v>240</v>
      </c>
      <c r="Q798" s="67" t="s">
        <v>240</v>
      </c>
      <c r="R798" s="67" t="s">
        <v>462</v>
      </c>
      <c r="S798" s="67">
        <f t="shared" si="230"/>
        <v>4844.16</v>
      </c>
      <c r="T798" s="67">
        <f>9264*0.32</f>
        <v>2964.48</v>
      </c>
      <c r="U798" s="67">
        <f>5874*0.32</f>
        <v>1879.68</v>
      </c>
      <c r="V798" s="67">
        <v>-399</v>
      </c>
      <c r="W798" s="67">
        <v>295</v>
      </c>
      <c r="AI798" s="70">
        <f t="shared" si="228"/>
        <v>295</v>
      </c>
      <c r="AP798" s="67">
        <f t="shared" si="231"/>
        <v>-3.9878966689949662E-2</v>
      </c>
      <c r="AQ798" s="67">
        <f t="shared" si="232"/>
        <v>10005.274286621785</v>
      </c>
      <c r="AS798" s="67">
        <f t="shared" si="233"/>
        <v>8.7034909294587818E-4</v>
      </c>
      <c r="AU798" s="67">
        <f t="shared" si="234"/>
        <v>4842.16</v>
      </c>
      <c r="AV798" s="67">
        <f t="shared" si="235"/>
        <v>1</v>
      </c>
      <c r="AW798" s="67" t="s">
        <v>1350</v>
      </c>
    </row>
    <row r="799" spans="1:49" ht="30" customHeight="1" x14ac:dyDescent="0.25">
      <c r="A799" s="73" t="s">
        <v>73</v>
      </c>
      <c r="B799" s="67" t="s">
        <v>273</v>
      </c>
      <c r="C799" s="73" t="s">
        <v>294</v>
      </c>
      <c r="D799" s="67">
        <f t="shared" si="229"/>
        <v>54</v>
      </c>
      <c r="E799" s="67" t="s">
        <v>605</v>
      </c>
      <c r="F799" s="73" t="s">
        <v>787</v>
      </c>
      <c r="G799" s="73" t="s">
        <v>627</v>
      </c>
      <c r="H799" s="67">
        <v>1</v>
      </c>
      <c r="I799" s="67">
        <v>36</v>
      </c>
      <c r="J799" s="67">
        <v>2</v>
      </c>
      <c r="K799" s="68" t="s">
        <v>954</v>
      </c>
      <c r="L799" s="68" t="s">
        <v>938</v>
      </c>
      <c r="M799" s="68" t="s">
        <v>587</v>
      </c>
      <c r="N799" s="67" t="s">
        <v>240</v>
      </c>
      <c r="O799" s="69">
        <v>0</v>
      </c>
      <c r="P799" s="74" t="s">
        <v>240</v>
      </c>
      <c r="Q799" s="67" t="s">
        <v>240</v>
      </c>
      <c r="R799" s="67" t="s">
        <v>462</v>
      </c>
      <c r="S799" s="67">
        <f t="shared" si="230"/>
        <v>4087.26</v>
      </c>
      <c r="T799" s="67">
        <f>9264*0.27</f>
        <v>2501.2800000000002</v>
      </c>
      <c r="U799" s="67">
        <f>5874*0.27</f>
        <v>1585.98</v>
      </c>
      <c r="V799" s="67">
        <v>626</v>
      </c>
      <c r="W799" s="67">
        <v>384</v>
      </c>
      <c r="AI799" s="70">
        <f t="shared" si="228"/>
        <v>384</v>
      </c>
      <c r="AP799" s="67">
        <f t="shared" si="231"/>
        <v>5.2327409218978126E-2</v>
      </c>
      <c r="AQ799" s="67">
        <f t="shared" si="232"/>
        <v>11963.137662335517</v>
      </c>
      <c r="AS799" s="67">
        <f t="shared" si="233"/>
        <v>1.0321660982078231E-3</v>
      </c>
      <c r="AU799" s="67">
        <f t="shared" si="234"/>
        <v>4085.26</v>
      </c>
      <c r="AV799" s="67">
        <f t="shared" si="235"/>
        <v>1</v>
      </c>
      <c r="AW799" s="67" t="s">
        <v>1350</v>
      </c>
    </row>
    <row r="800" spans="1:49" ht="30" customHeight="1" x14ac:dyDescent="0.25">
      <c r="A800" s="73" t="s">
        <v>73</v>
      </c>
      <c r="B800" s="67" t="s">
        <v>273</v>
      </c>
      <c r="C800" s="73" t="s">
        <v>294</v>
      </c>
      <c r="D800" s="67">
        <f t="shared" si="229"/>
        <v>55</v>
      </c>
      <c r="E800" s="67" t="s">
        <v>583</v>
      </c>
      <c r="F800" s="73" t="s">
        <v>240</v>
      </c>
      <c r="G800" s="73" t="s">
        <v>627</v>
      </c>
      <c r="H800" s="67">
        <v>1</v>
      </c>
      <c r="I800" s="67">
        <v>36</v>
      </c>
      <c r="J800" s="67">
        <v>2</v>
      </c>
      <c r="K800" s="68" t="s">
        <v>954</v>
      </c>
      <c r="L800" s="68" t="s">
        <v>938</v>
      </c>
      <c r="M800" s="68" t="s">
        <v>587</v>
      </c>
      <c r="N800" s="67" t="s">
        <v>240</v>
      </c>
      <c r="O800" s="69">
        <v>0</v>
      </c>
      <c r="P800" s="74" t="s">
        <v>240</v>
      </c>
      <c r="Q800" s="67" t="s">
        <v>240</v>
      </c>
      <c r="R800" s="67" t="s">
        <v>462</v>
      </c>
      <c r="S800" s="67">
        <f t="shared" si="230"/>
        <v>8931.4199999999983</v>
      </c>
      <c r="T800" s="67">
        <f>9264*0.59</f>
        <v>5465.7599999999993</v>
      </c>
      <c r="U800" s="67">
        <f>5874*0.59</f>
        <v>3465.66</v>
      </c>
      <c r="V800" s="67">
        <v>175</v>
      </c>
      <c r="W800" s="67">
        <v>205</v>
      </c>
      <c r="AI800" s="70">
        <f t="shared" si="228"/>
        <v>205</v>
      </c>
      <c r="AP800" s="67">
        <f t="shared" si="231"/>
        <v>1.8536433948173232E-2</v>
      </c>
      <c r="AQ800" s="67">
        <f t="shared" si="232"/>
        <v>9440.8665922091386</v>
      </c>
      <c r="AS800" s="67">
        <f t="shared" si="233"/>
        <v>4.7168510734140682E-4</v>
      </c>
      <c r="AU800" s="67">
        <f t="shared" si="234"/>
        <v>8929.4199999999983</v>
      </c>
      <c r="AV800" s="67">
        <f t="shared" si="235"/>
        <v>1</v>
      </c>
      <c r="AW800" s="67" t="s">
        <v>1350</v>
      </c>
    </row>
    <row r="801" spans="1:49" ht="30" customHeight="1" x14ac:dyDescent="0.25">
      <c r="A801" s="73" t="s">
        <v>73</v>
      </c>
      <c r="B801" s="67" t="s">
        <v>273</v>
      </c>
      <c r="C801" s="73" t="s">
        <v>294</v>
      </c>
      <c r="D801" s="67">
        <f t="shared" si="229"/>
        <v>56</v>
      </c>
      <c r="E801" s="67" t="s">
        <v>577</v>
      </c>
      <c r="F801" s="73" t="s">
        <v>240</v>
      </c>
      <c r="G801" s="73" t="s">
        <v>627</v>
      </c>
      <c r="H801" s="67">
        <v>1</v>
      </c>
      <c r="I801" s="67">
        <v>36</v>
      </c>
      <c r="J801" s="67">
        <v>2</v>
      </c>
      <c r="K801" s="68" t="s">
        <v>954</v>
      </c>
      <c r="L801" s="68" t="s">
        <v>938</v>
      </c>
      <c r="M801" s="68" t="s">
        <v>587</v>
      </c>
      <c r="N801" s="67" t="s">
        <v>240</v>
      </c>
      <c r="O801" s="69">
        <v>0</v>
      </c>
      <c r="P801" s="74" t="s">
        <v>240</v>
      </c>
      <c r="Q801" s="67" t="s">
        <v>240</v>
      </c>
      <c r="R801" s="67" t="s">
        <v>462</v>
      </c>
      <c r="S801" s="67">
        <f t="shared" si="230"/>
        <v>6206.58</v>
      </c>
      <c r="T801" s="67">
        <f>9264*0.41</f>
        <v>3798.24</v>
      </c>
      <c r="U801" s="67">
        <f>5874*0.41</f>
        <v>2408.3399999999997</v>
      </c>
      <c r="V801" s="67">
        <v>-142</v>
      </c>
      <c r="W801" s="67">
        <v>251</v>
      </c>
      <c r="AI801" s="70">
        <f t="shared" si="228"/>
        <v>251</v>
      </c>
      <c r="AP801" s="67">
        <f t="shared" si="231"/>
        <v>-1.4736376225631665E-2</v>
      </c>
      <c r="AQ801" s="67">
        <f t="shared" si="232"/>
        <v>9636.018911692332</v>
      </c>
      <c r="AS801" s="67">
        <f t="shared" si="233"/>
        <v>6.7879240277228894E-4</v>
      </c>
      <c r="AU801" s="67">
        <f t="shared" si="234"/>
        <v>6204.58</v>
      </c>
      <c r="AV801" s="67">
        <f t="shared" si="235"/>
        <v>1</v>
      </c>
      <c r="AW801" s="67" t="s">
        <v>1350</v>
      </c>
    </row>
    <row r="802" spans="1:49" ht="30" customHeight="1" x14ac:dyDescent="0.25">
      <c r="A802" s="73" t="s">
        <v>73</v>
      </c>
      <c r="B802" s="67" t="s">
        <v>273</v>
      </c>
      <c r="C802" s="73" t="s">
        <v>294</v>
      </c>
      <c r="D802" s="67">
        <f t="shared" si="229"/>
        <v>57</v>
      </c>
      <c r="E802" s="67" t="s">
        <v>605</v>
      </c>
      <c r="F802" s="73" t="s">
        <v>785</v>
      </c>
      <c r="G802" s="73" t="s">
        <v>627</v>
      </c>
      <c r="H802" s="67">
        <v>1</v>
      </c>
      <c r="I802" s="67">
        <v>72</v>
      </c>
      <c r="J802" s="67">
        <v>2</v>
      </c>
      <c r="K802" s="68" t="s">
        <v>954</v>
      </c>
      <c r="L802" s="68" t="s">
        <v>938</v>
      </c>
      <c r="M802" s="68" t="s">
        <v>587</v>
      </c>
      <c r="N802" s="67" t="s">
        <v>240</v>
      </c>
      <c r="O802" s="69">
        <v>0</v>
      </c>
      <c r="P802" s="74" t="s">
        <v>240</v>
      </c>
      <c r="Q802" s="67" t="s">
        <v>240</v>
      </c>
      <c r="R802" s="67" t="s">
        <v>462</v>
      </c>
      <c r="S802" s="67">
        <f t="shared" si="230"/>
        <v>6206.58</v>
      </c>
      <c r="T802" s="67">
        <f>9264*0.41</f>
        <v>3798.24</v>
      </c>
      <c r="U802" s="67">
        <f>5874*0.41</f>
        <v>2408.3399999999997</v>
      </c>
      <c r="V802" s="67">
        <v>-36</v>
      </c>
      <c r="W802" s="67">
        <v>256</v>
      </c>
      <c r="AI802" s="70">
        <f t="shared" si="228"/>
        <v>256</v>
      </c>
      <c r="AP802" s="67">
        <f t="shared" si="231"/>
        <v>-3.6630142928809348E-3</v>
      </c>
      <c r="AQ802" s="67">
        <f t="shared" si="232"/>
        <v>9827.9714796543303</v>
      </c>
      <c r="AS802" s="67">
        <f t="shared" si="233"/>
        <v>6.7872670652635494E-4</v>
      </c>
      <c r="AU802" s="67">
        <f t="shared" si="234"/>
        <v>6204.58</v>
      </c>
      <c r="AV802" s="67">
        <f t="shared" si="235"/>
        <v>1</v>
      </c>
      <c r="AW802" s="67" t="s">
        <v>1350</v>
      </c>
    </row>
    <row r="803" spans="1:49" ht="30" customHeight="1" x14ac:dyDescent="0.25">
      <c r="A803" s="73" t="s">
        <v>73</v>
      </c>
      <c r="B803" s="67" t="s">
        <v>273</v>
      </c>
      <c r="C803" s="73" t="s">
        <v>294</v>
      </c>
      <c r="D803" s="67">
        <f t="shared" si="229"/>
        <v>58</v>
      </c>
      <c r="E803" s="67" t="s">
        <v>605</v>
      </c>
      <c r="F803" s="73" t="s">
        <v>786</v>
      </c>
      <c r="G803" s="73" t="s">
        <v>627</v>
      </c>
      <c r="H803" s="67">
        <v>1</v>
      </c>
      <c r="I803" s="67">
        <v>72</v>
      </c>
      <c r="J803" s="67">
        <v>2</v>
      </c>
      <c r="K803" s="68" t="s">
        <v>954</v>
      </c>
      <c r="L803" s="68" t="s">
        <v>938</v>
      </c>
      <c r="M803" s="68" t="s">
        <v>587</v>
      </c>
      <c r="N803" s="67" t="s">
        <v>240</v>
      </c>
      <c r="O803" s="69">
        <v>0</v>
      </c>
      <c r="P803" s="74" t="s">
        <v>240</v>
      </c>
      <c r="Q803" s="67" t="s">
        <v>240</v>
      </c>
      <c r="R803" s="67" t="s">
        <v>462</v>
      </c>
      <c r="S803" s="67">
        <f t="shared" si="230"/>
        <v>4844.16</v>
      </c>
      <c r="T803" s="67">
        <f>9264*0.32</f>
        <v>2964.48</v>
      </c>
      <c r="U803" s="67">
        <f>5874*0.32</f>
        <v>1879.68</v>
      </c>
      <c r="V803" s="67">
        <v>-545</v>
      </c>
      <c r="W803" s="67">
        <v>383</v>
      </c>
      <c r="AI803" s="70">
        <f t="shared" si="228"/>
        <v>383</v>
      </c>
      <c r="AP803" s="67">
        <f t="shared" si="231"/>
        <v>-4.1955678161308338E-2</v>
      </c>
      <c r="AQ803" s="67">
        <f t="shared" si="232"/>
        <v>12989.898480597098</v>
      </c>
      <c r="AS803" s="67">
        <f t="shared" si="233"/>
        <v>8.7041931663506061E-4</v>
      </c>
      <c r="AU803" s="67">
        <f t="shared" si="234"/>
        <v>4842.16</v>
      </c>
      <c r="AV803" s="67">
        <f t="shared" si="235"/>
        <v>1</v>
      </c>
      <c r="AW803" s="67" t="s">
        <v>1350</v>
      </c>
    </row>
    <row r="804" spans="1:49" ht="30" customHeight="1" x14ac:dyDescent="0.25">
      <c r="A804" s="73" t="s">
        <v>73</v>
      </c>
      <c r="B804" s="67" t="s">
        <v>273</v>
      </c>
      <c r="C804" s="73" t="s">
        <v>294</v>
      </c>
      <c r="D804" s="67">
        <f t="shared" si="229"/>
        <v>59</v>
      </c>
      <c r="E804" s="67" t="s">
        <v>605</v>
      </c>
      <c r="F804" s="73" t="s">
        <v>787</v>
      </c>
      <c r="G804" s="73" t="s">
        <v>627</v>
      </c>
      <c r="H804" s="67">
        <v>1</v>
      </c>
      <c r="I804" s="67">
        <v>72</v>
      </c>
      <c r="J804" s="67">
        <v>2</v>
      </c>
      <c r="K804" s="68" t="s">
        <v>954</v>
      </c>
      <c r="L804" s="68" t="s">
        <v>938</v>
      </c>
      <c r="M804" s="68" t="s">
        <v>587</v>
      </c>
      <c r="N804" s="67" t="s">
        <v>240</v>
      </c>
      <c r="O804" s="69">
        <v>0</v>
      </c>
      <c r="P804" s="74" t="s">
        <v>240</v>
      </c>
      <c r="Q804" s="67" t="s">
        <v>240</v>
      </c>
      <c r="R804" s="67" t="s">
        <v>462</v>
      </c>
      <c r="S804" s="67">
        <f t="shared" si="230"/>
        <v>4087.26</v>
      </c>
      <c r="T804" s="67">
        <f>9264*0.27</f>
        <v>2501.2800000000002</v>
      </c>
      <c r="U804" s="67">
        <f>5874*0.27</f>
        <v>1585.98</v>
      </c>
      <c r="V804" s="67">
        <v>1094</v>
      </c>
      <c r="W804" s="67">
        <v>475</v>
      </c>
      <c r="AI804" s="70">
        <f t="shared" si="228"/>
        <v>475</v>
      </c>
      <c r="AP804" s="67">
        <f t="shared" si="231"/>
        <v>7.3928149666237883E-2</v>
      </c>
      <c r="AQ804" s="67">
        <f t="shared" si="232"/>
        <v>14798.152056274403</v>
      </c>
      <c r="AS804" s="67">
        <f t="shared" si="233"/>
        <v>1.0335019002667186E-3</v>
      </c>
      <c r="AU804" s="67">
        <f t="shared" si="234"/>
        <v>4085.26</v>
      </c>
      <c r="AV804" s="67">
        <f t="shared" si="235"/>
        <v>1</v>
      </c>
      <c r="AW804" s="67" t="s">
        <v>1350</v>
      </c>
    </row>
    <row r="805" spans="1:49" ht="30" customHeight="1" x14ac:dyDescent="0.25">
      <c r="A805" s="73" t="s">
        <v>73</v>
      </c>
      <c r="B805" s="67" t="s">
        <v>273</v>
      </c>
      <c r="C805" s="73" t="s">
        <v>294</v>
      </c>
      <c r="D805" s="67">
        <f t="shared" si="229"/>
        <v>60</v>
      </c>
      <c r="E805" s="67" t="s">
        <v>583</v>
      </c>
      <c r="F805" s="73" t="s">
        <v>240</v>
      </c>
      <c r="G805" s="73" t="s">
        <v>627</v>
      </c>
      <c r="H805" s="67">
        <v>1</v>
      </c>
      <c r="I805" s="67">
        <v>72</v>
      </c>
      <c r="J805" s="67">
        <v>2</v>
      </c>
      <c r="K805" s="68" t="s">
        <v>954</v>
      </c>
      <c r="L805" s="68" t="s">
        <v>938</v>
      </c>
      <c r="M805" s="68" t="s">
        <v>587</v>
      </c>
      <c r="N805" s="67" t="s">
        <v>240</v>
      </c>
      <c r="O805" s="69">
        <v>0</v>
      </c>
      <c r="P805" s="74" t="s">
        <v>240</v>
      </c>
      <c r="Q805" s="67" t="s">
        <v>240</v>
      </c>
      <c r="R805" s="67" t="s">
        <v>462</v>
      </c>
      <c r="S805" s="67">
        <f t="shared" si="230"/>
        <v>8931.4199999999983</v>
      </c>
      <c r="T805" s="67">
        <f>9264*0.59</f>
        <v>5465.7599999999993</v>
      </c>
      <c r="U805" s="67">
        <f>5874*0.59</f>
        <v>3465.66</v>
      </c>
      <c r="V805" s="67">
        <v>252</v>
      </c>
      <c r="W805" s="67">
        <v>261</v>
      </c>
      <c r="AI805" s="70">
        <f t="shared" si="228"/>
        <v>261</v>
      </c>
      <c r="AP805" s="67">
        <f t="shared" si="231"/>
        <v>2.0965345982761445E-2</v>
      </c>
      <c r="AQ805" s="67">
        <f t="shared" si="232"/>
        <v>12019.835027154075</v>
      </c>
      <c r="AS805" s="67">
        <f t="shared" si="233"/>
        <v>4.717066020954705E-4</v>
      </c>
      <c r="AU805" s="67">
        <f t="shared" si="234"/>
        <v>8929.4199999999983</v>
      </c>
      <c r="AV805" s="67">
        <f t="shared" si="235"/>
        <v>1</v>
      </c>
      <c r="AW805" s="67" t="s">
        <v>1350</v>
      </c>
    </row>
    <row r="806" spans="1:49" ht="30" customHeight="1" x14ac:dyDescent="0.25">
      <c r="A806" s="73" t="s">
        <v>73</v>
      </c>
      <c r="B806" s="67" t="s">
        <v>273</v>
      </c>
      <c r="C806" s="73" t="s">
        <v>294</v>
      </c>
      <c r="D806" s="67">
        <f t="shared" si="229"/>
        <v>61</v>
      </c>
      <c r="E806" s="67" t="s">
        <v>577</v>
      </c>
      <c r="F806" s="73" t="s">
        <v>240</v>
      </c>
      <c r="G806" s="73" t="s">
        <v>627</v>
      </c>
      <c r="H806" s="67">
        <v>1</v>
      </c>
      <c r="I806" s="67">
        <v>72</v>
      </c>
      <c r="J806" s="67">
        <v>2</v>
      </c>
      <c r="K806" s="68" t="s">
        <v>954</v>
      </c>
      <c r="L806" s="68" t="s">
        <v>938</v>
      </c>
      <c r="M806" s="68" t="s">
        <v>587</v>
      </c>
      <c r="N806" s="67" t="s">
        <v>240</v>
      </c>
      <c r="O806" s="69">
        <v>0</v>
      </c>
      <c r="P806" s="74" t="s">
        <v>240</v>
      </c>
      <c r="Q806" s="67" t="s">
        <v>240</v>
      </c>
      <c r="R806" s="67" t="s">
        <v>462</v>
      </c>
      <c r="S806" s="67">
        <f t="shared" si="230"/>
        <v>6206.58</v>
      </c>
      <c r="T806" s="67">
        <f>9264*0.41</f>
        <v>3798.24</v>
      </c>
      <c r="U806" s="67">
        <f>5874*0.41</f>
        <v>2408.3399999999997</v>
      </c>
      <c r="V806" s="67">
        <v>-136</v>
      </c>
      <c r="W806" s="67">
        <v>322</v>
      </c>
      <c r="AI806" s="70">
        <f t="shared" si="228"/>
        <v>322</v>
      </c>
      <c r="AP806" s="67">
        <f t="shared" si="231"/>
        <v>-1.1001682679515408E-2</v>
      </c>
      <c r="AQ806" s="67">
        <f t="shared" si="232"/>
        <v>12361.745376752713</v>
      </c>
      <c r="AS806" s="67">
        <f t="shared" si="233"/>
        <v>6.787614080047945E-4</v>
      </c>
      <c r="AU806" s="67">
        <f t="shared" si="234"/>
        <v>6204.58</v>
      </c>
      <c r="AV806" s="67">
        <f t="shared" si="235"/>
        <v>1</v>
      </c>
      <c r="AW806" s="67" t="s">
        <v>1350</v>
      </c>
    </row>
    <row r="807" spans="1:49" ht="30" customHeight="1" x14ac:dyDescent="0.25">
      <c r="A807" s="73" t="s">
        <v>73</v>
      </c>
      <c r="B807" s="67" t="s">
        <v>273</v>
      </c>
      <c r="C807" s="73" t="s">
        <v>294</v>
      </c>
      <c r="D807" s="67">
        <f t="shared" si="229"/>
        <v>62</v>
      </c>
      <c r="E807" s="67" t="s">
        <v>605</v>
      </c>
      <c r="F807" s="73" t="s">
        <v>785</v>
      </c>
      <c r="G807" s="73" t="s">
        <v>627</v>
      </c>
      <c r="H807" s="67">
        <v>1</v>
      </c>
      <c r="I807" s="67">
        <v>84</v>
      </c>
      <c r="J807" s="67">
        <v>2</v>
      </c>
      <c r="K807" s="68" t="s">
        <v>954</v>
      </c>
      <c r="L807" s="68" t="s">
        <v>938</v>
      </c>
      <c r="M807" s="68" t="s">
        <v>587</v>
      </c>
      <c r="N807" s="67" t="s">
        <v>240</v>
      </c>
      <c r="O807" s="69">
        <v>0</v>
      </c>
      <c r="P807" s="74" t="s">
        <v>240</v>
      </c>
      <c r="Q807" s="67" t="s">
        <v>240</v>
      </c>
      <c r="R807" s="67" t="s">
        <v>462</v>
      </c>
      <c r="S807" s="67">
        <f t="shared" si="230"/>
        <v>6206.58</v>
      </c>
      <c r="T807" s="67">
        <f>9264*0.41</f>
        <v>3798.24</v>
      </c>
      <c r="U807" s="67">
        <f>5874*0.41</f>
        <v>2408.3399999999997</v>
      </c>
      <c r="V807" s="67">
        <v>-47</v>
      </c>
      <c r="W807" s="67">
        <v>268</v>
      </c>
      <c r="AI807" s="70">
        <f t="shared" si="228"/>
        <v>268</v>
      </c>
      <c r="AP807" s="67">
        <f t="shared" si="231"/>
        <v>-4.5681372276060745E-3</v>
      </c>
      <c r="AQ807" s="67">
        <f t="shared" si="232"/>
        <v>10288.657642763126</v>
      </c>
      <c r="AS807" s="67">
        <f t="shared" si="233"/>
        <v>6.7872910881831079E-4</v>
      </c>
      <c r="AU807" s="67">
        <f t="shared" si="234"/>
        <v>6204.58</v>
      </c>
      <c r="AV807" s="67">
        <f t="shared" si="235"/>
        <v>1</v>
      </c>
      <c r="AW807" s="67" t="s">
        <v>1350</v>
      </c>
    </row>
    <row r="808" spans="1:49" ht="30" customHeight="1" x14ac:dyDescent="0.25">
      <c r="A808" s="73" t="s">
        <v>73</v>
      </c>
      <c r="B808" s="67" t="s">
        <v>273</v>
      </c>
      <c r="C808" s="73" t="s">
        <v>294</v>
      </c>
      <c r="D808" s="67">
        <f t="shared" si="229"/>
        <v>63</v>
      </c>
      <c r="E808" s="67" t="s">
        <v>605</v>
      </c>
      <c r="F808" s="73" t="s">
        <v>786</v>
      </c>
      <c r="G808" s="73" t="s">
        <v>627</v>
      </c>
      <c r="H808" s="67">
        <v>1</v>
      </c>
      <c r="I808" s="67">
        <v>84</v>
      </c>
      <c r="J808" s="67">
        <v>2</v>
      </c>
      <c r="K808" s="68" t="s">
        <v>954</v>
      </c>
      <c r="L808" s="68" t="s">
        <v>938</v>
      </c>
      <c r="M808" s="68" t="s">
        <v>587</v>
      </c>
      <c r="N808" s="67" t="s">
        <v>240</v>
      </c>
      <c r="O808" s="69">
        <v>0</v>
      </c>
      <c r="P808" s="74" t="s">
        <v>240</v>
      </c>
      <c r="Q808" s="67" t="s">
        <v>240</v>
      </c>
      <c r="R808" s="67" t="s">
        <v>462</v>
      </c>
      <c r="S808" s="67">
        <f t="shared" si="230"/>
        <v>4844.16</v>
      </c>
      <c r="T808" s="67">
        <f>9264*0.32</f>
        <v>2964.48</v>
      </c>
      <c r="U808" s="67">
        <f>5874*0.32</f>
        <v>1879.68</v>
      </c>
      <c r="V808" s="67">
        <v>-588</v>
      </c>
      <c r="W808" s="67">
        <v>400</v>
      </c>
      <c r="AI808" s="70">
        <f t="shared" si="228"/>
        <v>400</v>
      </c>
      <c r="AP808" s="67">
        <f t="shared" si="231"/>
        <v>-4.3342140113024237E-2</v>
      </c>
      <c r="AQ808" s="67">
        <f t="shared" si="232"/>
        <v>13566.473608978691</v>
      </c>
      <c r="AS808" s="67">
        <f t="shared" si="233"/>
        <v>8.704681836888778E-4</v>
      </c>
      <c r="AU808" s="67">
        <f t="shared" si="234"/>
        <v>4842.16</v>
      </c>
      <c r="AV808" s="67">
        <f t="shared" si="235"/>
        <v>1</v>
      </c>
      <c r="AW808" s="67" t="s">
        <v>1350</v>
      </c>
    </row>
    <row r="809" spans="1:49" ht="30" customHeight="1" x14ac:dyDescent="0.25">
      <c r="A809" s="73" t="s">
        <v>73</v>
      </c>
      <c r="B809" s="67" t="s">
        <v>273</v>
      </c>
      <c r="C809" s="73" t="s">
        <v>294</v>
      </c>
      <c r="D809" s="67">
        <f t="shared" si="229"/>
        <v>64</v>
      </c>
      <c r="E809" s="67" t="s">
        <v>605</v>
      </c>
      <c r="F809" s="73" t="s">
        <v>787</v>
      </c>
      <c r="G809" s="73" t="s">
        <v>627</v>
      </c>
      <c r="H809" s="67">
        <v>1</v>
      </c>
      <c r="I809" s="67">
        <v>84</v>
      </c>
      <c r="J809" s="67">
        <v>2</v>
      </c>
      <c r="K809" s="68" t="s">
        <v>954</v>
      </c>
      <c r="L809" s="68" t="s">
        <v>938</v>
      </c>
      <c r="M809" s="68" t="s">
        <v>587</v>
      </c>
      <c r="N809" s="67" t="s">
        <v>240</v>
      </c>
      <c r="O809" s="69">
        <v>0</v>
      </c>
      <c r="P809" s="74" t="s">
        <v>240</v>
      </c>
      <c r="Q809" s="67" t="s">
        <v>240</v>
      </c>
      <c r="R809" s="67" t="s">
        <v>462</v>
      </c>
      <c r="S809" s="67">
        <f t="shared" si="230"/>
        <v>4087.26</v>
      </c>
      <c r="T809" s="67">
        <f>9264*0.27</f>
        <v>2501.2800000000002</v>
      </c>
      <c r="U809" s="67">
        <f>5874*0.27</f>
        <v>1585.98</v>
      </c>
      <c r="V809" s="67">
        <v>917</v>
      </c>
      <c r="W809" s="67">
        <v>503</v>
      </c>
      <c r="AI809" s="70">
        <f t="shared" si="228"/>
        <v>503</v>
      </c>
      <c r="AP809" s="67">
        <f t="shared" si="231"/>
        <v>5.8517730528840795E-2</v>
      </c>
      <c r="AQ809" s="67">
        <f t="shared" si="232"/>
        <v>15670.464177486367</v>
      </c>
      <c r="AS809" s="67">
        <f t="shared" si="233"/>
        <v>1.0325021860546298E-3</v>
      </c>
      <c r="AU809" s="67">
        <f t="shared" si="234"/>
        <v>4085.26</v>
      </c>
      <c r="AV809" s="67">
        <f t="shared" si="235"/>
        <v>1</v>
      </c>
      <c r="AW809" s="67" t="s">
        <v>1350</v>
      </c>
    </row>
    <row r="810" spans="1:49" ht="30" customHeight="1" x14ac:dyDescent="0.25">
      <c r="A810" s="73" t="s">
        <v>73</v>
      </c>
      <c r="B810" s="67" t="s">
        <v>273</v>
      </c>
      <c r="C810" s="73" t="s">
        <v>294</v>
      </c>
      <c r="D810" s="67">
        <f t="shared" si="229"/>
        <v>65</v>
      </c>
      <c r="E810" s="67" t="s">
        <v>583</v>
      </c>
      <c r="F810" s="73" t="s">
        <v>240</v>
      </c>
      <c r="G810" s="73" t="s">
        <v>627</v>
      </c>
      <c r="H810" s="67">
        <v>1</v>
      </c>
      <c r="I810" s="67">
        <v>84</v>
      </c>
      <c r="J810" s="67">
        <v>2</v>
      </c>
      <c r="K810" s="68" t="s">
        <v>954</v>
      </c>
      <c r="L810" s="68" t="s">
        <v>938</v>
      </c>
      <c r="M810" s="68" t="s">
        <v>587</v>
      </c>
      <c r="N810" s="67" t="s">
        <v>240</v>
      </c>
      <c r="O810" s="69">
        <v>0</v>
      </c>
      <c r="P810" s="74" t="s">
        <v>240</v>
      </c>
      <c r="Q810" s="67" t="s">
        <v>240</v>
      </c>
      <c r="R810" s="67" t="s">
        <v>462</v>
      </c>
      <c r="S810" s="67">
        <f t="shared" si="230"/>
        <v>8931.4199999999983</v>
      </c>
      <c r="T810" s="67">
        <f>9264*0.59</f>
        <v>5465.7599999999993</v>
      </c>
      <c r="U810" s="67">
        <f>5874*0.59</f>
        <v>3465.66</v>
      </c>
      <c r="V810" s="67">
        <v>69</v>
      </c>
      <c r="W810" s="67">
        <v>274</v>
      </c>
      <c r="AI810" s="70">
        <f t="shared" si="228"/>
        <v>274</v>
      </c>
      <c r="AP810" s="67">
        <f t="shared" si="231"/>
        <v>5.4681513701128337E-3</v>
      </c>
      <c r="AQ810" s="67">
        <f t="shared" si="232"/>
        <v>12618.524128123434</v>
      </c>
      <c r="AS810" s="67">
        <f t="shared" si="233"/>
        <v>4.7161482976869085E-4</v>
      </c>
      <c r="AU810" s="67">
        <f t="shared" si="234"/>
        <v>8929.4199999999983</v>
      </c>
      <c r="AV810" s="67">
        <f t="shared" si="235"/>
        <v>1</v>
      </c>
      <c r="AW810" s="67" t="s">
        <v>1350</v>
      </c>
    </row>
    <row r="811" spans="1:49" ht="30" customHeight="1" x14ac:dyDescent="0.25">
      <c r="A811" s="73" t="s">
        <v>73</v>
      </c>
      <c r="B811" s="67" t="s">
        <v>273</v>
      </c>
      <c r="C811" s="73" t="s">
        <v>294</v>
      </c>
      <c r="D811" s="67">
        <f t="shared" si="229"/>
        <v>66</v>
      </c>
      <c r="E811" s="67" t="s">
        <v>577</v>
      </c>
      <c r="F811" s="73" t="s">
        <v>240</v>
      </c>
      <c r="G811" s="73" t="s">
        <v>627</v>
      </c>
      <c r="H811" s="67">
        <v>1</v>
      </c>
      <c r="I811" s="67">
        <v>84</v>
      </c>
      <c r="J811" s="67">
        <v>2</v>
      </c>
      <c r="K811" s="68" t="s">
        <v>954</v>
      </c>
      <c r="L811" s="68" t="s">
        <v>938</v>
      </c>
      <c r="M811" s="68" t="s">
        <v>587</v>
      </c>
      <c r="N811" s="67" t="s">
        <v>240</v>
      </c>
      <c r="O811" s="69">
        <v>0</v>
      </c>
      <c r="P811" s="74" t="s">
        <v>240</v>
      </c>
      <c r="Q811" s="67" t="s">
        <v>240</v>
      </c>
      <c r="R811" s="67" t="s">
        <v>462</v>
      </c>
      <c r="S811" s="67">
        <f t="shared" si="230"/>
        <v>6206.58</v>
      </c>
      <c r="T811" s="67">
        <f>9264*0.41</f>
        <v>3798.24</v>
      </c>
      <c r="U811" s="67">
        <f>5874*0.41</f>
        <v>2408.3399999999997</v>
      </c>
      <c r="V811" s="67">
        <v>2</v>
      </c>
      <c r="W811" s="67">
        <v>335</v>
      </c>
      <c r="AI811" s="70">
        <f t="shared" si="228"/>
        <v>335</v>
      </c>
      <c r="AP811" s="67">
        <f t="shared" si="231"/>
        <v>1.5551105455680254E-4</v>
      </c>
      <c r="AQ811" s="67">
        <f t="shared" si="232"/>
        <v>12860.822053453909</v>
      </c>
      <c r="AS811" s="67">
        <f t="shared" si="233"/>
        <v>6.7872238784283238E-4</v>
      </c>
      <c r="AU811" s="67">
        <f t="shared" si="234"/>
        <v>6204.58</v>
      </c>
      <c r="AV811" s="67">
        <f t="shared" si="235"/>
        <v>1</v>
      </c>
      <c r="AW811" s="67" t="s">
        <v>1350</v>
      </c>
    </row>
    <row r="812" spans="1:49" ht="30" customHeight="1" x14ac:dyDescent="0.25">
      <c r="A812" s="67" t="s">
        <v>174</v>
      </c>
      <c r="B812" s="67" t="s">
        <v>293</v>
      </c>
      <c r="C812" s="67" t="s">
        <v>536</v>
      </c>
      <c r="D812" s="67">
        <v>1</v>
      </c>
      <c r="E812" s="67" t="s">
        <v>605</v>
      </c>
      <c r="F812" s="67" t="s">
        <v>240</v>
      </c>
      <c r="G812" s="68" t="s">
        <v>578</v>
      </c>
      <c r="H812" s="67">
        <v>1</v>
      </c>
      <c r="I812" s="67">
        <v>12</v>
      </c>
      <c r="J812" s="67">
        <v>1</v>
      </c>
      <c r="K812" s="68" t="s">
        <v>579</v>
      </c>
      <c r="L812" s="67" t="s">
        <v>240</v>
      </c>
      <c r="M812" s="68" t="s">
        <v>587</v>
      </c>
      <c r="N812" s="67" t="s">
        <v>240</v>
      </c>
      <c r="O812" s="67" t="s">
        <v>240</v>
      </c>
      <c r="P812" s="67" t="s">
        <v>240</v>
      </c>
      <c r="Q812" s="67" t="s">
        <v>240</v>
      </c>
      <c r="R812" s="67" t="s">
        <v>955</v>
      </c>
      <c r="S812" s="67">
        <f t="shared" si="230"/>
        <v>2678</v>
      </c>
      <c r="T812" s="67">
        <v>1638</v>
      </c>
      <c r="U812" s="67">
        <v>1040</v>
      </c>
      <c r="V812" s="67">
        <v>0.28999999999999998</v>
      </c>
      <c r="AB812" s="67">
        <v>95.1</v>
      </c>
      <c r="AC812" s="67">
        <v>66</v>
      </c>
      <c r="AI812" s="67">
        <f>(V812-AJ812)/1.645</f>
        <v>1.2765957446808487E-2</v>
      </c>
      <c r="AJ812" s="67">
        <v>0.26900000000000002</v>
      </c>
      <c r="AL812" s="67"/>
    </row>
    <row r="813" spans="1:49" ht="30" customHeight="1" x14ac:dyDescent="0.25">
      <c r="A813" s="67" t="s">
        <v>174</v>
      </c>
      <c r="B813" s="67" t="s">
        <v>293</v>
      </c>
      <c r="C813" s="67" t="s">
        <v>536</v>
      </c>
      <c r="D813" s="67">
        <f t="shared" ref="D813:D822" si="236">D812+1</f>
        <v>2</v>
      </c>
      <c r="E813" s="67" t="s">
        <v>605</v>
      </c>
      <c r="F813" s="67" t="s">
        <v>240</v>
      </c>
      <c r="G813" s="68" t="s">
        <v>578</v>
      </c>
      <c r="H813" s="67">
        <v>1</v>
      </c>
      <c r="I813" s="67">
        <v>12</v>
      </c>
      <c r="J813" s="67">
        <v>2</v>
      </c>
      <c r="K813" s="68" t="s">
        <v>956</v>
      </c>
      <c r="L813" s="67" t="s">
        <v>916</v>
      </c>
      <c r="M813" s="68" t="s">
        <v>587</v>
      </c>
      <c r="N813" s="67" t="s">
        <v>240</v>
      </c>
      <c r="O813" s="67" t="s">
        <v>240</v>
      </c>
      <c r="P813" s="67" t="s">
        <v>240</v>
      </c>
      <c r="Q813" s="67" t="s">
        <v>240</v>
      </c>
      <c r="R813" s="67" t="s">
        <v>955</v>
      </c>
      <c r="S813" s="67">
        <f t="shared" si="230"/>
        <v>2678</v>
      </c>
      <c r="T813" s="67">
        <v>1638</v>
      </c>
      <c r="U813" s="67">
        <v>1040</v>
      </c>
      <c r="V813" s="67">
        <v>3433</v>
      </c>
      <c r="AB813" s="67">
        <v>6685</v>
      </c>
      <c r="AC813" s="67">
        <v>3252</v>
      </c>
      <c r="AF813" s="67">
        <f>_xlfn.NORM.S.INV(0.05)</f>
        <v>-1.6448536269514726</v>
      </c>
      <c r="AI813" s="67">
        <f>(V813-AJ813)/1.645</f>
        <v>195.13677811550153</v>
      </c>
      <c r="AJ813" s="67">
        <v>3112</v>
      </c>
      <c r="AL813" s="67"/>
      <c r="AP813" s="67">
        <f>+V813/AQ813</f>
        <v>0.69753554179687438</v>
      </c>
      <c r="AQ813" s="67">
        <f>+AI813*SQRT(T813*U813/S813)</f>
        <v>4921.6130136630454</v>
      </c>
      <c r="AS813" s="67">
        <f>+AP813^2/(AU813-2)*(AU813/(V813/AI813)^2+AU813*AV813^2-AU813+2)</f>
        <v>1.9371309726687223E-3</v>
      </c>
      <c r="AU813" s="67">
        <f>+S813-2</f>
        <v>2676</v>
      </c>
      <c r="AV813" s="67">
        <f>IFERROR(1/(SQRT(AU813/2)*_xlfn.GAMMA(AU813/2-0.5)/_xlfn.GAMMA(AU813/2)),1)</f>
        <v>1</v>
      </c>
      <c r="AW813" s="67" t="s">
        <v>1350</v>
      </c>
    </row>
    <row r="814" spans="1:49" ht="30" customHeight="1" x14ac:dyDescent="0.25">
      <c r="A814" s="67" t="s">
        <v>174</v>
      </c>
      <c r="B814" s="67" t="s">
        <v>293</v>
      </c>
      <c r="C814" s="67" t="s">
        <v>536</v>
      </c>
      <c r="D814" s="67">
        <f t="shared" si="236"/>
        <v>3</v>
      </c>
      <c r="E814" s="67" t="s">
        <v>605</v>
      </c>
      <c r="F814" s="67" t="s">
        <v>240</v>
      </c>
      <c r="G814" s="68" t="s">
        <v>578</v>
      </c>
      <c r="H814" s="67">
        <v>1</v>
      </c>
      <c r="I814" s="67">
        <v>12</v>
      </c>
      <c r="J814" s="67">
        <v>1</v>
      </c>
      <c r="K814" s="68" t="s">
        <v>957</v>
      </c>
      <c r="L814" s="67" t="s">
        <v>240</v>
      </c>
      <c r="M814" s="68" t="s">
        <v>570</v>
      </c>
      <c r="N814" s="67" t="s">
        <v>240</v>
      </c>
      <c r="O814" s="95">
        <v>0.2</v>
      </c>
      <c r="P814" s="67" t="s">
        <v>240</v>
      </c>
      <c r="Q814" s="67" t="s">
        <v>240</v>
      </c>
      <c r="R814" s="67" t="s">
        <v>955</v>
      </c>
      <c r="S814" s="67">
        <f t="shared" si="230"/>
        <v>2127</v>
      </c>
      <c r="T814" s="67">
        <v>1327</v>
      </c>
      <c r="U814" s="67">
        <v>800</v>
      </c>
      <c r="V814" s="67">
        <v>0.04</v>
      </c>
      <c r="AB814" s="67">
        <v>32.4</v>
      </c>
      <c r="AC814" s="67">
        <v>28.4</v>
      </c>
      <c r="AI814" s="67">
        <f>(V814-AJ814)/1.645</f>
        <v>2.0668693009118541E-2</v>
      </c>
      <c r="AJ814" s="67">
        <v>6.0000000000000001E-3</v>
      </c>
      <c r="AL814" s="67"/>
    </row>
    <row r="815" spans="1:49" ht="30" customHeight="1" x14ac:dyDescent="0.25">
      <c r="A815" s="67" t="s">
        <v>174</v>
      </c>
      <c r="B815" s="67" t="s">
        <v>293</v>
      </c>
      <c r="C815" s="67" t="s">
        <v>536</v>
      </c>
      <c r="D815" s="67">
        <f t="shared" si="236"/>
        <v>4</v>
      </c>
      <c r="E815" s="67" t="s">
        <v>605</v>
      </c>
      <c r="F815" s="67" t="s">
        <v>240</v>
      </c>
      <c r="G815" s="68" t="s">
        <v>578</v>
      </c>
      <c r="H815" s="67">
        <v>1</v>
      </c>
      <c r="I815" s="67">
        <v>12</v>
      </c>
      <c r="J815" s="67">
        <v>1</v>
      </c>
      <c r="K815" s="68" t="s">
        <v>958</v>
      </c>
      <c r="L815" s="67" t="s">
        <v>240</v>
      </c>
      <c r="M815" s="68" t="s">
        <v>570</v>
      </c>
      <c r="N815" s="67" t="s">
        <v>240</v>
      </c>
      <c r="O815" s="95">
        <v>0.2</v>
      </c>
      <c r="P815" s="67" t="s">
        <v>240</v>
      </c>
      <c r="Q815" s="67" t="s">
        <v>240</v>
      </c>
      <c r="R815" s="67" t="s">
        <v>955</v>
      </c>
      <c r="S815" s="67">
        <f t="shared" si="230"/>
        <v>2127</v>
      </c>
      <c r="T815" s="67">
        <v>1327</v>
      </c>
      <c r="U815" s="67">
        <v>800</v>
      </c>
      <c r="V815" s="67">
        <v>-1.2999999999999999E-2</v>
      </c>
      <c r="AB815" s="67">
        <v>21</v>
      </c>
      <c r="AC815" s="67">
        <v>22.3</v>
      </c>
      <c r="AI815" s="67">
        <f>(V815-AJ815)/1.645</f>
        <v>1.82370820668693E-2</v>
      </c>
      <c r="AJ815" s="67">
        <v>-4.2999999999999997E-2</v>
      </c>
      <c r="AK815" s="68">
        <f>+_xlfn.NORM.S.INV(0.05)</f>
        <v>-1.6448536269514726</v>
      </c>
      <c r="AL815" s="67"/>
    </row>
    <row r="816" spans="1:49" ht="30" customHeight="1" x14ac:dyDescent="0.25">
      <c r="A816" s="67" t="s">
        <v>174</v>
      </c>
      <c r="B816" s="67" t="s">
        <v>293</v>
      </c>
      <c r="C816" s="67" t="s">
        <v>536</v>
      </c>
      <c r="D816" s="67">
        <f t="shared" si="236"/>
        <v>5</v>
      </c>
      <c r="E816" s="67" t="s">
        <v>605</v>
      </c>
      <c r="F816" s="67" t="s">
        <v>240</v>
      </c>
      <c r="G816" s="68" t="s">
        <v>578</v>
      </c>
      <c r="H816" s="67">
        <v>1</v>
      </c>
      <c r="I816" s="67">
        <v>12</v>
      </c>
      <c r="J816" s="67">
        <v>6</v>
      </c>
      <c r="K816" s="68" t="s">
        <v>959</v>
      </c>
      <c r="L816" s="67" t="s">
        <v>916</v>
      </c>
      <c r="M816" s="68" t="s">
        <v>570</v>
      </c>
      <c r="N816" s="67" t="s">
        <v>240</v>
      </c>
      <c r="O816" s="95">
        <v>0.2</v>
      </c>
      <c r="P816" s="67" t="s">
        <v>240</v>
      </c>
      <c r="Q816" s="67" t="s">
        <v>240</v>
      </c>
      <c r="R816" s="67" t="s">
        <v>955</v>
      </c>
      <c r="S816" s="67">
        <f t="shared" si="230"/>
        <v>2127</v>
      </c>
      <c r="T816" s="67">
        <v>1327</v>
      </c>
      <c r="U816" s="67">
        <v>800</v>
      </c>
      <c r="V816" s="67">
        <v>0.1</v>
      </c>
      <c r="AB816" s="67">
        <v>10.6</v>
      </c>
      <c r="AC816" s="67">
        <v>10.5</v>
      </c>
      <c r="AF816" s="67">
        <f>_xlfn.T.INV.2T(AH816,S816-2)</f>
        <v>0.674605219528706</v>
      </c>
      <c r="AH816" s="70">
        <v>0.5</v>
      </c>
      <c r="AI816" s="70">
        <f>ABS(V816/AF816)</f>
        <v>0.14823484477315815</v>
      </c>
      <c r="AK816" s="68" t="s">
        <v>994</v>
      </c>
      <c r="AP816" s="67">
        <f>+V816/AQ816</f>
        <v>3.0196248246576848E-2</v>
      </c>
      <c r="AQ816" s="67">
        <f>+AI816*SQRT(T816*U816/S816)</f>
        <v>3.3116696876850042</v>
      </c>
      <c r="AS816" s="67">
        <f>+AP816^2/(AU816-2)*(AU816/(V816/AI816)^2+AU816*AV816^2-AU816+2)</f>
        <v>2.0063259867739444E-3</v>
      </c>
      <c r="AU816" s="67">
        <f>+S816-2</f>
        <v>2125</v>
      </c>
      <c r="AV816" s="67">
        <f>IFERROR(1/(SQRT(AU816/2)*_xlfn.GAMMA(AU816/2-0.5)/_xlfn.GAMMA(AU816/2)),1)</f>
        <v>1</v>
      </c>
      <c r="AW816" s="67" t="s">
        <v>1350</v>
      </c>
    </row>
    <row r="817" spans="1:49" ht="30" customHeight="1" x14ac:dyDescent="0.25">
      <c r="A817" s="67" t="s">
        <v>174</v>
      </c>
      <c r="B817" s="67" t="s">
        <v>293</v>
      </c>
      <c r="C817" s="67" t="s">
        <v>536</v>
      </c>
      <c r="D817" s="67">
        <f t="shared" si="236"/>
        <v>6</v>
      </c>
      <c r="E817" s="67" t="s">
        <v>644</v>
      </c>
      <c r="F817" s="67" t="s">
        <v>240</v>
      </c>
      <c r="G817" s="68" t="s">
        <v>578</v>
      </c>
      <c r="H817" s="67">
        <v>1</v>
      </c>
      <c r="I817" s="67">
        <v>12</v>
      </c>
      <c r="J817" s="67">
        <v>1</v>
      </c>
      <c r="K817" s="68" t="s">
        <v>579</v>
      </c>
      <c r="L817" s="67" t="s">
        <v>240</v>
      </c>
      <c r="M817" s="68" t="s">
        <v>587</v>
      </c>
      <c r="N817" s="67" t="s">
        <v>240</v>
      </c>
      <c r="O817" s="67" t="s">
        <v>240</v>
      </c>
      <c r="P817" s="67" t="s">
        <v>240</v>
      </c>
      <c r="Q817" s="67" t="s">
        <v>240</v>
      </c>
      <c r="R817" s="67" t="s">
        <v>960</v>
      </c>
      <c r="S817" s="67">
        <f t="shared" si="230"/>
        <v>1359</v>
      </c>
      <c r="T817" s="67">
        <v>833</v>
      </c>
      <c r="U817" s="67">
        <v>526</v>
      </c>
      <c r="V817" s="67">
        <v>0.25</v>
      </c>
      <c r="AB817" s="67">
        <v>95.2</v>
      </c>
      <c r="AC817" s="67">
        <v>70.3</v>
      </c>
      <c r="AI817" s="67">
        <f t="shared" ref="AI817:AI822" si="237">(V817-AJ817)/1.645</f>
        <v>1.7629179331306991E-2</v>
      </c>
      <c r="AJ817" s="67">
        <v>0.221</v>
      </c>
      <c r="AL817" s="67"/>
    </row>
    <row r="818" spans="1:49" ht="30" customHeight="1" x14ac:dyDescent="0.25">
      <c r="A818" s="67" t="s">
        <v>174</v>
      </c>
      <c r="B818" s="67" t="s">
        <v>293</v>
      </c>
      <c r="C818" s="67" t="s">
        <v>536</v>
      </c>
      <c r="D818" s="67">
        <f t="shared" si="236"/>
        <v>7</v>
      </c>
      <c r="E818" s="67" t="s">
        <v>644</v>
      </c>
      <c r="F818" s="67" t="s">
        <v>240</v>
      </c>
      <c r="G818" s="68" t="s">
        <v>578</v>
      </c>
      <c r="H818" s="67">
        <v>1</v>
      </c>
      <c r="I818" s="67">
        <v>12</v>
      </c>
      <c r="J818" s="67">
        <v>2</v>
      </c>
      <c r="K818" s="68" t="s">
        <v>956</v>
      </c>
      <c r="L818" s="67" t="s">
        <v>916</v>
      </c>
      <c r="M818" s="68" t="s">
        <v>587</v>
      </c>
      <c r="N818" s="67" t="s">
        <v>240</v>
      </c>
      <c r="O818" s="67" t="s">
        <v>240</v>
      </c>
      <c r="P818" s="67" t="s">
        <v>240</v>
      </c>
      <c r="Q818" s="67" t="s">
        <v>240</v>
      </c>
      <c r="R818" s="67" t="s">
        <v>960</v>
      </c>
      <c r="S818" s="67">
        <f t="shared" si="230"/>
        <v>1359</v>
      </c>
      <c r="T818" s="67">
        <v>833</v>
      </c>
      <c r="U818" s="67">
        <v>526</v>
      </c>
      <c r="V818" s="67">
        <v>3377</v>
      </c>
      <c r="AB818" s="67">
        <v>6485</v>
      </c>
      <c r="AC818" s="67">
        <v>3108</v>
      </c>
      <c r="AI818" s="67">
        <f t="shared" si="237"/>
        <v>244.37689969604864</v>
      </c>
      <c r="AJ818" s="67">
        <v>2975</v>
      </c>
      <c r="AL818" s="67"/>
      <c r="AP818" s="67">
        <f>+V818/AQ818</f>
        <v>0.76960036574311141</v>
      </c>
      <c r="AQ818" s="67">
        <f>+AI818*SQRT(T818*U818/S818)</f>
        <v>4387.9916776536784</v>
      </c>
      <c r="AS818" s="67">
        <f>+AP818^2/(AU818-2)*(AU818/(V818/AI818)^2+AU818*AV818^2-AU818+2)</f>
        <v>3.9804199079684893E-3</v>
      </c>
      <c r="AU818" s="67">
        <f>+S818-2</f>
        <v>1357</v>
      </c>
      <c r="AV818" s="67">
        <f>IFERROR(1/(SQRT(AU818/2)*_xlfn.GAMMA(AU818/2-0.5)/_xlfn.GAMMA(AU818/2)),1)</f>
        <v>1</v>
      </c>
      <c r="AW818" s="67" t="s">
        <v>1350</v>
      </c>
    </row>
    <row r="819" spans="1:49" ht="30" customHeight="1" x14ac:dyDescent="0.25">
      <c r="A819" s="67" t="s">
        <v>174</v>
      </c>
      <c r="B819" s="67" t="s">
        <v>293</v>
      </c>
      <c r="C819" s="67" t="s">
        <v>536</v>
      </c>
      <c r="D819" s="67">
        <f t="shared" si="236"/>
        <v>8</v>
      </c>
      <c r="E819" s="67" t="s">
        <v>644</v>
      </c>
      <c r="F819" s="67" t="s">
        <v>240</v>
      </c>
      <c r="G819" s="68" t="s">
        <v>578</v>
      </c>
      <c r="H819" s="67">
        <v>1</v>
      </c>
      <c r="I819" s="67">
        <v>12</v>
      </c>
      <c r="J819" s="67">
        <v>1</v>
      </c>
      <c r="K819" s="68" t="s">
        <v>961</v>
      </c>
      <c r="L819" s="67" t="s">
        <v>240</v>
      </c>
      <c r="M819" s="68" t="s">
        <v>570</v>
      </c>
      <c r="N819" s="67" t="s">
        <v>240</v>
      </c>
      <c r="O819" s="95">
        <v>0.2</v>
      </c>
      <c r="P819" s="67" t="s">
        <v>240</v>
      </c>
      <c r="Q819" s="67" t="s">
        <v>240</v>
      </c>
      <c r="R819" s="67" t="s">
        <v>960</v>
      </c>
      <c r="S819" s="67">
        <f t="shared" si="230"/>
        <v>1359</v>
      </c>
      <c r="T819" s="67">
        <v>833</v>
      </c>
      <c r="U819" s="67">
        <v>526</v>
      </c>
      <c r="V819" s="67">
        <v>3.4000000000000002E-2</v>
      </c>
      <c r="AB819" s="67">
        <v>53.5</v>
      </c>
      <c r="AC819" s="67">
        <v>50.1</v>
      </c>
      <c r="AI819" s="67">
        <f t="shared" si="237"/>
        <v>3.1003039513677815E-2</v>
      </c>
      <c r="AJ819" s="67">
        <v>-1.7000000000000001E-2</v>
      </c>
      <c r="AL819" s="67"/>
    </row>
    <row r="820" spans="1:49" ht="30" customHeight="1" x14ac:dyDescent="0.25">
      <c r="A820" s="67" t="s">
        <v>174</v>
      </c>
      <c r="B820" s="67" t="s">
        <v>293</v>
      </c>
      <c r="C820" s="67" t="s">
        <v>536</v>
      </c>
      <c r="D820" s="67">
        <f t="shared" si="236"/>
        <v>9</v>
      </c>
      <c r="E820" s="67" t="s">
        <v>646</v>
      </c>
      <c r="F820" s="67" t="s">
        <v>240</v>
      </c>
      <c r="G820" s="68" t="s">
        <v>578</v>
      </c>
      <c r="H820" s="67">
        <v>1</v>
      </c>
      <c r="I820" s="67">
        <v>12</v>
      </c>
      <c r="J820" s="67">
        <v>1</v>
      </c>
      <c r="K820" s="68" t="s">
        <v>579</v>
      </c>
      <c r="L820" s="67" t="s">
        <v>240</v>
      </c>
      <c r="M820" s="68" t="s">
        <v>587</v>
      </c>
      <c r="N820" s="67" t="s">
        <v>240</v>
      </c>
      <c r="O820" s="67" t="s">
        <v>240</v>
      </c>
      <c r="P820" s="67" t="s">
        <v>240</v>
      </c>
      <c r="Q820" s="67" t="s">
        <v>240</v>
      </c>
      <c r="R820" s="67" t="s">
        <v>960</v>
      </c>
      <c r="S820" s="67">
        <f t="shared" si="230"/>
        <v>1310</v>
      </c>
      <c r="T820" s="67">
        <v>799</v>
      </c>
      <c r="U820" s="67">
        <v>511</v>
      </c>
      <c r="V820" s="67">
        <v>0.33200000000000002</v>
      </c>
      <c r="AB820" s="67">
        <v>95</v>
      </c>
      <c r="AC820" s="67">
        <v>61.8</v>
      </c>
      <c r="AI820" s="67">
        <f t="shared" si="237"/>
        <v>1.945288753799394E-2</v>
      </c>
      <c r="AJ820" s="67">
        <v>0.3</v>
      </c>
      <c r="AL820" s="67"/>
    </row>
    <row r="821" spans="1:49" ht="30" customHeight="1" x14ac:dyDescent="0.25">
      <c r="A821" s="67" t="s">
        <v>174</v>
      </c>
      <c r="B821" s="67" t="s">
        <v>293</v>
      </c>
      <c r="C821" s="67" t="s">
        <v>536</v>
      </c>
      <c r="D821" s="67">
        <f t="shared" si="236"/>
        <v>10</v>
      </c>
      <c r="E821" s="67" t="s">
        <v>583</v>
      </c>
      <c r="F821" s="67" t="s">
        <v>240</v>
      </c>
      <c r="G821" s="68" t="s">
        <v>578</v>
      </c>
      <c r="H821" s="67">
        <v>1</v>
      </c>
      <c r="I821" s="67">
        <v>12</v>
      </c>
      <c r="J821" s="67">
        <v>2</v>
      </c>
      <c r="K821" s="68" t="s">
        <v>956</v>
      </c>
      <c r="L821" s="67" t="s">
        <v>916</v>
      </c>
      <c r="M821" s="68" t="s">
        <v>587</v>
      </c>
      <c r="N821" s="67" t="s">
        <v>240</v>
      </c>
      <c r="O821" s="67" t="s">
        <v>240</v>
      </c>
      <c r="P821" s="67" t="s">
        <v>240</v>
      </c>
      <c r="Q821" s="67" t="s">
        <v>240</v>
      </c>
      <c r="R821" s="67" t="s">
        <v>960</v>
      </c>
      <c r="S821" s="67">
        <f t="shared" si="230"/>
        <v>1310</v>
      </c>
      <c r="T821" s="67">
        <v>799</v>
      </c>
      <c r="U821" s="67">
        <v>511</v>
      </c>
      <c r="V821" s="67">
        <v>3444</v>
      </c>
      <c r="AB821" s="67">
        <v>6896</v>
      </c>
      <c r="AC821" s="67">
        <v>3452</v>
      </c>
      <c r="AI821" s="67">
        <f t="shared" si="237"/>
        <v>304.55927051671733</v>
      </c>
      <c r="AJ821" s="67">
        <v>2943</v>
      </c>
      <c r="AL821" s="67"/>
      <c r="AP821" s="67">
        <f>+V821/AQ821</f>
        <v>0.64053538632104545</v>
      </c>
      <c r="AQ821" s="67">
        <f>+AI821*SQRT(T821*U821/S821)</f>
        <v>5376.752125719122</v>
      </c>
      <c r="AS821" s="67">
        <f>+AP821^2/(AU821-2)*(AU821/(V821/AI821)^2+AU821*AV821^2-AU821+2)</f>
        <v>3.8417338120963307E-3</v>
      </c>
      <c r="AU821" s="67">
        <f>+S821-2</f>
        <v>1308</v>
      </c>
      <c r="AV821" s="67">
        <f>IFERROR(1/(SQRT(AU821/2)*_xlfn.GAMMA(AU821/2-0.5)/_xlfn.GAMMA(AU821/2)),1)</f>
        <v>1</v>
      </c>
      <c r="AW821" s="67" t="s">
        <v>1350</v>
      </c>
    </row>
    <row r="822" spans="1:49" ht="30" customHeight="1" x14ac:dyDescent="0.25">
      <c r="A822" s="67" t="s">
        <v>174</v>
      </c>
      <c r="B822" s="67" t="s">
        <v>293</v>
      </c>
      <c r="C822" s="67" t="s">
        <v>536</v>
      </c>
      <c r="D822" s="67">
        <f t="shared" si="236"/>
        <v>11</v>
      </c>
      <c r="E822" s="67" t="s">
        <v>583</v>
      </c>
      <c r="F822" s="67" t="s">
        <v>240</v>
      </c>
      <c r="G822" s="68" t="s">
        <v>578</v>
      </c>
      <c r="H822" s="67">
        <v>1</v>
      </c>
      <c r="I822" s="67">
        <v>12</v>
      </c>
      <c r="J822" s="67">
        <v>1</v>
      </c>
      <c r="K822" s="68" t="s">
        <v>961</v>
      </c>
      <c r="L822" s="67" t="s">
        <v>240</v>
      </c>
      <c r="M822" s="68" t="s">
        <v>570</v>
      </c>
      <c r="N822" s="67" t="s">
        <v>240</v>
      </c>
      <c r="O822" s="95">
        <v>0.2</v>
      </c>
      <c r="P822" s="67" t="s">
        <v>240</v>
      </c>
      <c r="Q822" s="67" t="s">
        <v>240</v>
      </c>
      <c r="R822" s="67" t="s">
        <v>960</v>
      </c>
      <c r="S822" s="67">
        <f t="shared" si="230"/>
        <v>1310</v>
      </c>
      <c r="T822" s="67">
        <v>799</v>
      </c>
      <c r="U822" s="67">
        <v>511</v>
      </c>
      <c r="V822" s="67">
        <v>1.2E-2</v>
      </c>
      <c r="AB822" s="67">
        <v>54.1</v>
      </c>
      <c r="AC822" s="67">
        <v>52.9</v>
      </c>
      <c r="AI822" s="67">
        <f t="shared" si="237"/>
        <v>3.1610942249240125E-2</v>
      </c>
      <c r="AJ822" s="67">
        <v>-0.04</v>
      </c>
      <c r="AL822" s="67"/>
    </row>
    <row r="823" spans="1:49" ht="30" customHeight="1" x14ac:dyDescent="0.25">
      <c r="A823" s="10" t="s">
        <v>175</v>
      </c>
      <c r="B823" s="67" t="s">
        <v>293</v>
      </c>
      <c r="C823" s="10" t="s">
        <v>175</v>
      </c>
      <c r="D823" s="67">
        <v>1</v>
      </c>
      <c r="E823" s="67" t="s">
        <v>605</v>
      </c>
      <c r="F823" s="67" t="s">
        <v>240</v>
      </c>
      <c r="G823" s="68" t="s">
        <v>578</v>
      </c>
      <c r="H823" s="67">
        <v>1</v>
      </c>
      <c r="I823" s="67">
        <v>36</v>
      </c>
      <c r="J823" s="67">
        <v>1</v>
      </c>
      <c r="K823" s="68" t="s">
        <v>647</v>
      </c>
      <c r="L823" s="67" t="s">
        <v>240</v>
      </c>
      <c r="M823" s="68" t="s">
        <v>570</v>
      </c>
      <c r="N823" s="67" t="s">
        <v>240</v>
      </c>
      <c r="O823" s="69">
        <f t="shared" ref="O823:O834" si="238">(2025-1444)/2025</f>
        <v>0.2869135802469136</v>
      </c>
      <c r="P823" s="67" t="s">
        <v>240</v>
      </c>
      <c r="Q823" s="67" t="s">
        <v>240</v>
      </c>
      <c r="R823" s="67" t="s">
        <v>962</v>
      </c>
      <c r="S823" s="67">
        <v>655</v>
      </c>
      <c r="T823" s="78">
        <f t="shared" ref="T823:T831" si="239">S823/2</f>
        <v>327.5</v>
      </c>
      <c r="U823" s="78">
        <f t="shared" ref="U823:U831" si="240">S823/2</f>
        <v>327.5</v>
      </c>
      <c r="V823" s="67">
        <v>-2E-3</v>
      </c>
      <c r="W823" s="67">
        <v>4.2999999999999997E-2</v>
      </c>
      <c r="AC823" s="67">
        <v>0.83899999999999997</v>
      </c>
      <c r="AI823" s="70">
        <f t="shared" ref="AI823:AI854" si="241">+W823</f>
        <v>4.2999999999999997E-2</v>
      </c>
    </row>
    <row r="824" spans="1:49" ht="30" customHeight="1" x14ac:dyDescent="0.25">
      <c r="A824" s="10" t="s">
        <v>175</v>
      </c>
      <c r="B824" s="67" t="s">
        <v>293</v>
      </c>
      <c r="C824" s="10" t="s">
        <v>175</v>
      </c>
      <c r="D824" s="67">
        <f t="shared" ref="D824:D834" si="242">D823+1</f>
        <v>2</v>
      </c>
      <c r="E824" s="67" t="s">
        <v>577</v>
      </c>
      <c r="F824" s="67" t="s">
        <v>240</v>
      </c>
      <c r="G824" s="68" t="s">
        <v>578</v>
      </c>
      <c r="H824" s="67">
        <v>1</v>
      </c>
      <c r="I824" s="67">
        <v>36</v>
      </c>
      <c r="J824" s="67">
        <v>1</v>
      </c>
      <c r="K824" s="68" t="s">
        <v>647</v>
      </c>
      <c r="L824" s="67" t="s">
        <v>240</v>
      </c>
      <c r="M824" s="68" t="s">
        <v>570</v>
      </c>
      <c r="N824" s="67" t="s">
        <v>240</v>
      </c>
      <c r="O824" s="69">
        <f t="shared" si="238"/>
        <v>0.2869135802469136</v>
      </c>
      <c r="P824" s="67" t="s">
        <v>240</v>
      </c>
      <c r="Q824" s="67" t="s">
        <v>240</v>
      </c>
      <c r="R824" s="67" t="s">
        <v>962</v>
      </c>
      <c r="S824" s="67">
        <v>219</v>
      </c>
      <c r="T824" s="78">
        <f t="shared" si="239"/>
        <v>109.5</v>
      </c>
      <c r="U824" s="78">
        <f t="shared" si="240"/>
        <v>109.5</v>
      </c>
      <c r="V824" s="67">
        <v>0.1</v>
      </c>
      <c r="W824" s="67">
        <v>9.9000000000000005E-2</v>
      </c>
      <c r="AI824" s="70">
        <f t="shared" si="241"/>
        <v>9.9000000000000005E-2</v>
      </c>
    </row>
    <row r="825" spans="1:49" ht="30" customHeight="1" x14ac:dyDescent="0.25">
      <c r="A825" s="10" t="s">
        <v>175</v>
      </c>
      <c r="B825" s="67" t="s">
        <v>293</v>
      </c>
      <c r="C825" s="10" t="s">
        <v>175</v>
      </c>
      <c r="D825" s="67">
        <f t="shared" si="242"/>
        <v>3</v>
      </c>
      <c r="E825" s="67" t="s">
        <v>583</v>
      </c>
      <c r="F825" s="67" t="s">
        <v>240</v>
      </c>
      <c r="G825" s="68" t="s">
        <v>578</v>
      </c>
      <c r="H825" s="67">
        <v>1</v>
      </c>
      <c r="I825" s="67">
        <v>36</v>
      </c>
      <c r="J825" s="67">
        <v>1</v>
      </c>
      <c r="K825" s="68" t="s">
        <v>647</v>
      </c>
      <c r="L825" s="67" t="s">
        <v>240</v>
      </c>
      <c r="M825" s="68" t="s">
        <v>570</v>
      </c>
      <c r="N825" s="67" t="s">
        <v>240</v>
      </c>
      <c r="O825" s="69">
        <f t="shared" si="238"/>
        <v>0.2869135802469136</v>
      </c>
      <c r="P825" s="67" t="s">
        <v>240</v>
      </c>
      <c r="Q825" s="67" t="s">
        <v>240</v>
      </c>
      <c r="R825" s="67" t="s">
        <v>962</v>
      </c>
      <c r="S825" s="67">
        <v>436</v>
      </c>
      <c r="T825" s="78">
        <f t="shared" si="239"/>
        <v>218</v>
      </c>
      <c r="U825" s="78">
        <f t="shared" si="240"/>
        <v>218</v>
      </c>
      <c r="V825" s="67">
        <v>-4.7E-2</v>
      </c>
      <c r="W825" s="67">
        <v>4.5999999999999999E-2</v>
      </c>
      <c r="AI825" s="70">
        <f t="shared" si="241"/>
        <v>4.5999999999999999E-2</v>
      </c>
    </row>
    <row r="826" spans="1:49" ht="30" customHeight="1" x14ac:dyDescent="0.25">
      <c r="A826" s="10" t="s">
        <v>175</v>
      </c>
      <c r="B826" s="67" t="s">
        <v>293</v>
      </c>
      <c r="C826" s="10" t="s">
        <v>175</v>
      </c>
      <c r="D826" s="67">
        <f t="shared" si="242"/>
        <v>4</v>
      </c>
      <c r="E826" s="67" t="s">
        <v>605</v>
      </c>
      <c r="F826" s="67" t="s">
        <v>240</v>
      </c>
      <c r="G826" s="68" t="s">
        <v>578</v>
      </c>
      <c r="H826" s="67">
        <v>1</v>
      </c>
      <c r="I826" s="67">
        <v>36</v>
      </c>
      <c r="J826" s="67">
        <v>3</v>
      </c>
      <c r="K826" s="68" t="s">
        <v>964</v>
      </c>
      <c r="L826" s="67" t="s">
        <v>240</v>
      </c>
      <c r="M826" s="68" t="s">
        <v>570</v>
      </c>
      <c r="N826" s="67" t="s">
        <v>240</v>
      </c>
      <c r="O826" s="69">
        <f t="shared" si="238"/>
        <v>0.2869135802469136</v>
      </c>
      <c r="P826" s="67" t="s">
        <v>240</v>
      </c>
      <c r="Q826" s="67" t="s">
        <v>240</v>
      </c>
      <c r="R826" s="67" t="s">
        <v>962</v>
      </c>
      <c r="S826" s="67">
        <v>655</v>
      </c>
      <c r="T826" s="78">
        <f t="shared" si="239"/>
        <v>327.5</v>
      </c>
      <c r="U826" s="78">
        <f t="shared" si="240"/>
        <v>327.5</v>
      </c>
      <c r="V826" s="67">
        <v>6.6000000000000003E-2</v>
      </c>
      <c r="W826" s="67">
        <v>6.0999999999999999E-2</v>
      </c>
      <c r="AC826" s="67">
        <v>0.64100000000000001</v>
      </c>
      <c r="AI826" s="70">
        <f t="shared" si="241"/>
        <v>6.0999999999999999E-2</v>
      </c>
    </row>
    <row r="827" spans="1:49" s="81" customFormat="1" ht="30" customHeight="1" x14ac:dyDescent="0.25">
      <c r="A827" s="10" t="s">
        <v>175</v>
      </c>
      <c r="B827" s="67" t="s">
        <v>293</v>
      </c>
      <c r="C827" s="10" t="s">
        <v>175</v>
      </c>
      <c r="D827" s="67">
        <f t="shared" si="242"/>
        <v>5</v>
      </c>
      <c r="E827" s="67" t="s">
        <v>577</v>
      </c>
      <c r="F827" s="67" t="s">
        <v>240</v>
      </c>
      <c r="G827" s="68" t="s">
        <v>578</v>
      </c>
      <c r="H827" s="67">
        <v>1</v>
      </c>
      <c r="I827" s="67">
        <v>36</v>
      </c>
      <c r="J827" s="67">
        <v>3</v>
      </c>
      <c r="K827" s="68" t="s">
        <v>964</v>
      </c>
      <c r="L827" s="67" t="s">
        <v>240</v>
      </c>
      <c r="M827" s="68" t="s">
        <v>570</v>
      </c>
      <c r="N827" s="67" t="s">
        <v>240</v>
      </c>
      <c r="O827" s="69">
        <f t="shared" si="238"/>
        <v>0.2869135802469136</v>
      </c>
      <c r="P827" s="67" t="s">
        <v>240</v>
      </c>
      <c r="Q827" s="67" t="s">
        <v>240</v>
      </c>
      <c r="R827" s="67" t="s">
        <v>962</v>
      </c>
      <c r="S827" s="67">
        <v>219</v>
      </c>
      <c r="T827" s="78">
        <f t="shared" si="239"/>
        <v>109.5</v>
      </c>
      <c r="U827" s="78">
        <f t="shared" si="240"/>
        <v>109.5</v>
      </c>
      <c r="V827" s="67">
        <v>0.33100000000000002</v>
      </c>
      <c r="W827" s="67">
        <v>0.112</v>
      </c>
      <c r="X827" s="67"/>
      <c r="Y827" s="67"/>
      <c r="Z827" s="67"/>
      <c r="AA827" s="67"/>
      <c r="AB827" s="67"/>
      <c r="AC827" s="67"/>
      <c r="AD827" s="67"/>
      <c r="AE827" s="67"/>
      <c r="AF827" s="67"/>
      <c r="AG827" s="67"/>
      <c r="AH827" s="70"/>
      <c r="AI827" s="70">
        <f t="shared" si="241"/>
        <v>0.112</v>
      </c>
      <c r="AJ827" s="70"/>
      <c r="AK827" s="68"/>
      <c r="AL827" s="68"/>
      <c r="AM827" s="67"/>
      <c r="AN827" s="67"/>
      <c r="AO827" s="67"/>
    </row>
    <row r="828" spans="1:49" ht="30" customHeight="1" x14ac:dyDescent="0.25">
      <c r="A828" s="10" t="s">
        <v>175</v>
      </c>
      <c r="B828" s="67" t="s">
        <v>293</v>
      </c>
      <c r="C828" s="10" t="s">
        <v>175</v>
      </c>
      <c r="D828" s="67">
        <f t="shared" si="242"/>
        <v>6</v>
      </c>
      <c r="E828" s="67" t="s">
        <v>583</v>
      </c>
      <c r="F828" s="67" t="s">
        <v>240</v>
      </c>
      <c r="G828" s="68" t="s">
        <v>578</v>
      </c>
      <c r="H828" s="67">
        <v>1</v>
      </c>
      <c r="I828" s="67">
        <v>36</v>
      </c>
      <c r="J828" s="67">
        <v>3</v>
      </c>
      <c r="K828" s="68" t="s">
        <v>964</v>
      </c>
      <c r="L828" s="67" t="s">
        <v>240</v>
      </c>
      <c r="M828" s="68" t="s">
        <v>570</v>
      </c>
      <c r="N828" s="67" t="s">
        <v>240</v>
      </c>
      <c r="O828" s="69">
        <f t="shared" si="238"/>
        <v>0.2869135802469136</v>
      </c>
      <c r="P828" s="67" t="s">
        <v>240</v>
      </c>
      <c r="Q828" s="67" t="s">
        <v>240</v>
      </c>
      <c r="R828" s="67" t="s">
        <v>962</v>
      </c>
      <c r="S828" s="67">
        <v>436</v>
      </c>
      <c r="T828" s="78">
        <f t="shared" si="239"/>
        <v>218</v>
      </c>
      <c r="U828" s="78">
        <f t="shared" si="240"/>
        <v>218</v>
      </c>
      <c r="V828" s="67">
        <v>-8.2000000000000003E-2</v>
      </c>
      <c r="W828" s="67">
        <v>6.2E-2</v>
      </c>
      <c r="AI828" s="70">
        <f t="shared" si="241"/>
        <v>6.2E-2</v>
      </c>
    </row>
    <row r="829" spans="1:49" ht="30" customHeight="1" x14ac:dyDescent="0.25">
      <c r="A829" s="10" t="s">
        <v>175</v>
      </c>
      <c r="B829" s="67" t="s">
        <v>293</v>
      </c>
      <c r="C829" s="10" t="s">
        <v>175</v>
      </c>
      <c r="D829" s="67">
        <f t="shared" si="242"/>
        <v>7</v>
      </c>
      <c r="E829" s="67" t="s">
        <v>605</v>
      </c>
      <c r="F829" s="67" t="s">
        <v>240</v>
      </c>
      <c r="G829" s="68" t="s">
        <v>578</v>
      </c>
      <c r="H829" s="67">
        <v>1</v>
      </c>
      <c r="I829" s="67">
        <v>36</v>
      </c>
      <c r="J829" s="81">
        <v>7</v>
      </c>
      <c r="K829" s="68" t="s">
        <v>789</v>
      </c>
      <c r="L829" s="67" t="s">
        <v>671</v>
      </c>
      <c r="M829" s="68" t="s">
        <v>570</v>
      </c>
      <c r="N829" s="67" t="s">
        <v>240</v>
      </c>
      <c r="O829" s="69">
        <f t="shared" si="238"/>
        <v>0.2869135802469136</v>
      </c>
      <c r="P829" s="67" t="s">
        <v>240</v>
      </c>
      <c r="Q829" s="67" t="s">
        <v>240</v>
      </c>
      <c r="R829" s="67" t="s">
        <v>962</v>
      </c>
      <c r="S829" s="67">
        <v>507</v>
      </c>
      <c r="T829" s="78">
        <f t="shared" si="239"/>
        <v>253.5</v>
      </c>
      <c r="U829" s="78">
        <f t="shared" si="240"/>
        <v>253.5</v>
      </c>
      <c r="V829" s="67">
        <v>5.5E-2</v>
      </c>
      <c r="W829" s="67">
        <v>6.0999999999999999E-2</v>
      </c>
      <c r="AC829" s="67">
        <v>7.2480000000000002</v>
      </c>
      <c r="AI829" s="70">
        <f t="shared" si="241"/>
        <v>6.0999999999999999E-2</v>
      </c>
      <c r="AL829" s="68" t="s">
        <v>965</v>
      </c>
      <c r="AP829" s="67">
        <f t="shared" ref="AP829:AP860" si="243">+V829/AQ829</f>
        <v>8.0086418172583648E-2</v>
      </c>
      <c r="AQ829" s="67">
        <f t="shared" ref="AQ829:AQ860" si="244">+AI829*SQRT(T829*U829/S829)</f>
        <v>0.68675814520105982</v>
      </c>
      <c r="AS829" s="67">
        <f t="shared" ref="AS829:AS860" si="245">+AP829^2/(AU829-2)*(AU829/(V829/AI829)^2+AU829*AV829^2-AU829+2)</f>
        <v>7.9464186402569761E-3</v>
      </c>
      <c r="AU829" s="67">
        <f t="shared" ref="AU829:AU860" si="246">+S829-2</f>
        <v>505</v>
      </c>
      <c r="AV829" s="67">
        <f t="shared" ref="AV829:AV860" si="247">IFERROR(1/(SQRT(AU829/2)*_xlfn.GAMMA(AU829/2-0.5)/_xlfn.GAMMA(AU829/2)),1)</f>
        <v>1</v>
      </c>
      <c r="AW829" s="67" t="s">
        <v>1350</v>
      </c>
    </row>
    <row r="830" spans="1:49" ht="30" customHeight="1" x14ac:dyDescent="0.25">
      <c r="A830" s="10" t="s">
        <v>175</v>
      </c>
      <c r="B830" s="67" t="s">
        <v>293</v>
      </c>
      <c r="C830" s="10" t="s">
        <v>175</v>
      </c>
      <c r="D830" s="67">
        <f t="shared" si="242"/>
        <v>8</v>
      </c>
      <c r="E830" s="67" t="s">
        <v>577</v>
      </c>
      <c r="F830" s="67" t="s">
        <v>240</v>
      </c>
      <c r="G830" s="68" t="s">
        <v>578</v>
      </c>
      <c r="H830" s="67">
        <v>1</v>
      </c>
      <c r="I830" s="67">
        <v>36</v>
      </c>
      <c r="J830" s="81">
        <v>7</v>
      </c>
      <c r="K830" s="68" t="s">
        <v>789</v>
      </c>
      <c r="L830" s="67" t="s">
        <v>671</v>
      </c>
      <c r="M830" s="68" t="s">
        <v>570</v>
      </c>
      <c r="N830" s="67" t="s">
        <v>240</v>
      </c>
      <c r="O830" s="69">
        <f t="shared" si="238"/>
        <v>0.2869135802469136</v>
      </c>
      <c r="P830" s="67" t="s">
        <v>240</v>
      </c>
      <c r="Q830" s="67" t="s">
        <v>240</v>
      </c>
      <c r="R830" s="67" t="s">
        <v>962</v>
      </c>
      <c r="S830" s="67">
        <v>154</v>
      </c>
      <c r="T830" s="78">
        <f t="shared" si="239"/>
        <v>77</v>
      </c>
      <c r="U830" s="78">
        <f t="shared" si="240"/>
        <v>77</v>
      </c>
      <c r="V830" s="67">
        <v>0.25900000000000001</v>
      </c>
      <c r="W830" s="67">
        <v>0.14399999999999999</v>
      </c>
      <c r="AI830" s="70">
        <f t="shared" si="241"/>
        <v>0.14399999999999999</v>
      </c>
      <c r="AP830" s="67">
        <f t="shared" si="243"/>
        <v>0.28987242733690766</v>
      </c>
      <c r="AQ830" s="67">
        <f t="shared" si="244"/>
        <v>0.89349650251134161</v>
      </c>
      <c r="AS830" s="67">
        <f t="shared" si="245"/>
        <v>2.6600898316270969E-2</v>
      </c>
      <c r="AU830" s="67">
        <f t="shared" si="246"/>
        <v>152</v>
      </c>
      <c r="AV830" s="67">
        <f t="shared" si="247"/>
        <v>0.99505630144916024</v>
      </c>
      <c r="AW830" s="67" t="s">
        <v>1350</v>
      </c>
    </row>
    <row r="831" spans="1:49" ht="30" customHeight="1" x14ac:dyDescent="0.25">
      <c r="A831" s="10" t="s">
        <v>175</v>
      </c>
      <c r="B831" s="67" t="s">
        <v>293</v>
      </c>
      <c r="C831" s="10" t="s">
        <v>175</v>
      </c>
      <c r="D831" s="67">
        <f t="shared" si="242"/>
        <v>9</v>
      </c>
      <c r="E831" s="67" t="s">
        <v>583</v>
      </c>
      <c r="F831" s="67" t="s">
        <v>240</v>
      </c>
      <c r="G831" s="68" t="s">
        <v>578</v>
      </c>
      <c r="H831" s="67">
        <v>1</v>
      </c>
      <c r="I831" s="67">
        <v>36</v>
      </c>
      <c r="J831" s="81">
        <v>7</v>
      </c>
      <c r="K831" s="68" t="s">
        <v>789</v>
      </c>
      <c r="L831" s="67" t="s">
        <v>671</v>
      </c>
      <c r="M831" s="68" t="s">
        <v>570</v>
      </c>
      <c r="N831" s="67" t="s">
        <v>240</v>
      </c>
      <c r="O831" s="69">
        <f t="shared" si="238"/>
        <v>0.2869135802469136</v>
      </c>
      <c r="P831" s="67" t="s">
        <v>240</v>
      </c>
      <c r="Q831" s="67" t="s">
        <v>240</v>
      </c>
      <c r="R831" s="67" t="s">
        <v>962</v>
      </c>
      <c r="S831" s="67">
        <v>353</v>
      </c>
      <c r="T831" s="78">
        <f t="shared" si="239"/>
        <v>176.5</v>
      </c>
      <c r="U831" s="78">
        <f t="shared" si="240"/>
        <v>176.5</v>
      </c>
      <c r="V831" s="67">
        <v>1E-3</v>
      </c>
      <c r="W831" s="67">
        <v>6.6000000000000003E-2</v>
      </c>
      <c r="AI831" s="70">
        <f t="shared" si="241"/>
        <v>6.6000000000000003E-2</v>
      </c>
      <c r="AP831" s="67">
        <f t="shared" si="243"/>
        <v>1.6128675618556044E-3</v>
      </c>
      <c r="AQ831" s="67">
        <f t="shared" si="244"/>
        <v>0.62001370952584589</v>
      </c>
      <c r="AS831" s="67">
        <f t="shared" si="245"/>
        <v>1.1396396312794068E-2</v>
      </c>
      <c r="AU831" s="67">
        <f t="shared" si="246"/>
        <v>351</v>
      </c>
      <c r="AV831" s="67">
        <f t="shared" si="247"/>
        <v>1</v>
      </c>
      <c r="AW831" s="67" t="s">
        <v>1350</v>
      </c>
    </row>
    <row r="832" spans="1:49" ht="30" customHeight="1" x14ac:dyDescent="0.25">
      <c r="A832" s="10" t="s">
        <v>175</v>
      </c>
      <c r="B832" s="67" t="s">
        <v>293</v>
      </c>
      <c r="C832" s="10" t="s">
        <v>175</v>
      </c>
      <c r="D832" s="67">
        <f t="shared" si="242"/>
        <v>10</v>
      </c>
      <c r="E832" s="67" t="s">
        <v>605</v>
      </c>
      <c r="F832" s="67" t="s">
        <v>240</v>
      </c>
      <c r="G832" s="68" t="s">
        <v>578</v>
      </c>
      <c r="H832" s="67">
        <v>1</v>
      </c>
      <c r="I832" s="67">
        <v>36</v>
      </c>
      <c r="J832" s="81">
        <v>8</v>
      </c>
      <c r="K832" s="68" t="s">
        <v>966</v>
      </c>
      <c r="L832" s="67" t="s">
        <v>671</v>
      </c>
      <c r="M832" s="68" t="s">
        <v>570</v>
      </c>
      <c r="N832" s="67" t="s">
        <v>240</v>
      </c>
      <c r="O832" s="69">
        <f t="shared" si="238"/>
        <v>0.2869135802469136</v>
      </c>
      <c r="P832" s="67" t="s">
        <v>240</v>
      </c>
      <c r="Q832" s="67" t="s">
        <v>240</v>
      </c>
      <c r="R832" s="67" t="s">
        <v>833</v>
      </c>
      <c r="S832" s="67">
        <v>559</v>
      </c>
      <c r="T832" s="67">
        <f>ROUND(S832/2,0)</f>
        <v>280</v>
      </c>
      <c r="U832" s="67">
        <f>ROUND(S832/2,0)</f>
        <v>280</v>
      </c>
      <c r="V832" s="67">
        <v>3.6999999999999998E-2</v>
      </c>
      <c r="W832" s="67">
        <v>6.2E-2</v>
      </c>
      <c r="AC832" s="67">
        <v>7.3040000000000003</v>
      </c>
      <c r="AI832" s="70">
        <f t="shared" si="241"/>
        <v>6.2E-2</v>
      </c>
      <c r="AL832" s="68" t="s">
        <v>967</v>
      </c>
      <c r="AP832" s="67">
        <f t="shared" si="243"/>
        <v>5.0391572056320839E-2</v>
      </c>
      <c r="AQ832" s="67">
        <f t="shared" si="244"/>
        <v>0.73424976618404436</v>
      </c>
      <c r="AS832" s="67">
        <f t="shared" si="245"/>
        <v>7.1649467708167691E-3</v>
      </c>
      <c r="AU832" s="67">
        <f t="shared" si="246"/>
        <v>557</v>
      </c>
      <c r="AV832" s="67">
        <f t="shared" si="247"/>
        <v>1</v>
      </c>
      <c r="AW832" s="67" t="s">
        <v>1350</v>
      </c>
    </row>
    <row r="833" spans="1:49" ht="30" customHeight="1" x14ac:dyDescent="0.25">
      <c r="A833" s="10" t="s">
        <v>175</v>
      </c>
      <c r="B833" s="67" t="s">
        <v>293</v>
      </c>
      <c r="C833" s="10" t="s">
        <v>175</v>
      </c>
      <c r="D833" s="67">
        <f t="shared" si="242"/>
        <v>11</v>
      </c>
      <c r="E833" s="67" t="s">
        <v>577</v>
      </c>
      <c r="F833" s="67" t="s">
        <v>240</v>
      </c>
      <c r="G833" s="68" t="s">
        <v>578</v>
      </c>
      <c r="H833" s="67">
        <v>1</v>
      </c>
      <c r="I833" s="67">
        <v>36</v>
      </c>
      <c r="J833" s="81">
        <v>8</v>
      </c>
      <c r="K833" s="68" t="s">
        <v>966</v>
      </c>
      <c r="L833" s="67" t="s">
        <v>671</v>
      </c>
      <c r="M833" s="68" t="s">
        <v>570</v>
      </c>
      <c r="N833" s="67" t="s">
        <v>240</v>
      </c>
      <c r="O833" s="69">
        <f t="shared" si="238"/>
        <v>0.2869135802469136</v>
      </c>
      <c r="P833" s="67" t="s">
        <v>240</v>
      </c>
      <c r="Q833" s="67" t="s">
        <v>240</v>
      </c>
      <c r="R833" s="67" t="s">
        <v>833</v>
      </c>
      <c r="S833" s="67">
        <v>170</v>
      </c>
      <c r="T833" s="67">
        <f>S833/2</f>
        <v>85</v>
      </c>
      <c r="U833" s="67">
        <f>S833/2</f>
        <v>85</v>
      </c>
      <c r="V833" s="67">
        <v>0.29399999999999998</v>
      </c>
      <c r="W833" s="67">
        <v>0.14899999999999999</v>
      </c>
      <c r="AI833" s="70">
        <f t="shared" si="241"/>
        <v>0.14899999999999999</v>
      </c>
      <c r="AL833" s="68" t="s">
        <v>963</v>
      </c>
      <c r="AP833" s="67">
        <f t="shared" si="243"/>
        <v>0.30266806271292201</v>
      </c>
      <c r="AQ833" s="67">
        <f t="shared" si="244"/>
        <v>0.97136115837519466</v>
      </c>
      <c r="AS833" s="67">
        <f t="shared" si="245"/>
        <v>2.4089240529580103E-2</v>
      </c>
      <c r="AU833" s="67">
        <f t="shared" si="246"/>
        <v>168</v>
      </c>
      <c r="AV833" s="67">
        <f t="shared" si="247"/>
        <v>0.99552794899753116</v>
      </c>
      <c r="AW833" s="67" t="s">
        <v>1350</v>
      </c>
    </row>
    <row r="834" spans="1:49" ht="30" customHeight="1" x14ac:dyDescent="0.25">
      <c r="A834" s="10" t="s">
        <v>175</v>
      </c>
      <c r="B834" s="67" t="s">
        <v>293</v>
      </c>
      <c r="C834" s="10" t="s">
        <v>175</v>
      </c>
      <c r="D834" s="67">
        <f t="shared" si="242"/>
        <v>12</v>
      </c>
      <c r="E834" s="67" t="s">
        <v>583</v>
      </c>
      <c r="F834" s="67" t="s">
        <v>240</v>
      </c>
      <c r="G834" s="68" t="s">
        <v>578</v>
      </c>
      <c r="H834" s="67">
        <v>1</v>
      </c>
      <c r="I834" s="67">
        <v>36</v>
      </c>
      <c r="J834" s="81">
        <v>8</v>
      </c>
      <c r="K834" s="68" t="s">
        <v>966</v>
      </c>
      <c r="L834" s="67" t="s">
        <v>671</v>
      </c>
      <c r="M834" s="68" t="s">
        <v>570</v>
      </c>
      <c r="N834" s="67" t="s">
        <v>240</v>
      </c>
      <c r="O834" s="69">
        <f t="shared" si="238"/>
        <v>0.2869135802469136</v>
      </c>
      <c r="P834" s="67" t="s">
        <v>240</v>
      </c>
      <c r="Q834" s="67" t="s">
        <v>240</v>
      </c>
      <c r="R834" s="67" t="s">
        <v>833</v>
      </c>
      <c r="S834" s="67">
        <v>389</v>
      </c>
      <c r="T834" s="67">
        <f>ROUND(S834/2,0)</f>
        <v>195</v>
      </c>
      <c r="U834" s="67">
        <f>ROUND(S834/2,0)</f>
        <v>195</v>
      </c>
      <c r="V834" s="67">
        <v>-3.2000000000000001E-2</v>
      </c>
      <c r="W834" s="67">
        <v>6.3E-2</v>
      </c>
      <c r="AI834" s="70">
        <f t="shared" si="241"/>
        <v>6.3E-2</v>
      </c>
      <c r="AL834" s="68" t="s">
        <v>963</v>
      </c>
      <c r="AP834" s="67">
        <f t="shared" si="243"/>
        <v>-5.1374737773391341E-2</v>
      </c>
      <c r="AQ834" s="67">
        <f t="shared" si="244"/>
        <v>0.62287422548312932</v>
      </c>
      <c r="AS834" s="67">
        <f t="shared" si="245"/>
        <v>1.0296966186494649E-2</v>
      </c>
      <c r="AU834" s="67">
        <f t="shared" si="246"/>
        <v>387</v>
      </c>
      <c r="AV834" s="67">
        <f t="shared" si="247"/>
        <v>1</v>
      </c>
      <c r="AW834" s="67" t="s">
        <v>1350</v>
      </c>
    </row>
    <row r="835" spans="1:49" ht="30" customHeight="1" x14ac:dyDescent="0.25">
      <c r="A835" s="67" t="s">
        <v>176</v>
      </c>
      <c r="B835" s="67" t="s">
        <v>293</v>
      </c>
      <c r="C835" s="67" t="s">
        <v>176</v>
      </c>
      <c r="D835" s="67">
        <v>1</v>
      </c>
      <c r="E835" s="67" t="s">
        <v>583</v>
      </c>
      <c r="F835" s="67" t="s">
        <v>240</v>
      </c>
      <c r="G835" s="68" t="s">
        <v>578</v>
      </c>
      <c r="H835" s="67">
        <v>0</v>
      </c>
      <c r="I835" s="67">
        <v>12</v>
      </c>
      <c r="J835" s="67">
        <v>2</v>
      </c>
      <c r="K835" s="68" t="s">
        <v>823</v>
      </c>
      <c r="L835" s="67" t="s">
        <v>968</v>
      </c>
      <c r="M835" s="68" t="s">
        <v>587</v>
      </c>
      <c r="N835" s="67" t="s">
        <v>240</v>
      </c>
      <c r="O835" s="67" t="s">
        <v>240</v>
      </c>
      <c r="P835" s="67" t="s">
        <v>240</v>
      </c>
      <c r="Q835" s="67" t="s">
        <v>240</v>
      </c>
      <c r="R835" s="67" t="s">
        <v>969</v>
      </c>
      <c r="S835" s="67">
        <f t="shared" ref="S835:S860" si="248">T835+U835</f>
        <v>50865</v>
      </c>
      <c r="T835" s="88">
        <v>8115</v>
      </c>
      <c r="U835" s="88">
        <v>42750</v>
      </c>
      <c r="V835" s="88">
        <v>33999</v>
      </c>
      <c r="W835" s="88">
        <v>1126</v>
      </c>
      <c r="X835" s="67">
        <v>91.081000000000003</v>
      </c>
      <c r="AI835" s="70">
        <f t="shared" si="241"/>
        <v>1126</v>
      </c>
      <c r="AL835" s="68" t="s">
        <v>972</v>
      </c>
      <c r="AP835" s="67">
        <f t="shared" si="243"/>
        <v>0.36561580031600344</v>
      </c>
      <c r="AQ835" s="67">
        <f t="shared" si="244"/>
        <v>92991.057745902959</v>
      </c>
      <c r="AS835" s="67">
        <f t="shared" si="245"/>
        <v>1.5188264738457628E-4</v>
      </c>
      <c r="AU835" s="67">
        <f t="shared" si="246"/>
        <v>50863</v>
      </c>
      <c r="AV835" s="67">
        <f t="shared" si="247"/>
        <v>1</v>
      </c>
      <c r="AW835" s="67" t="s">
        <v>1350</v>
      </c>
    </row>
    <row r="836" spans="1:49" ht="30" customHeight="1" x14ac:dyDescent="0.25">
      <c r="A836" s="67" t="s">
        <v>176</v>
      </c>
      <c r="B836" s="67" t="s">
        <v>293</v>
      </c>
      <c r="C836" s="67" t="s">
        <v>176</v>
      </c>
      <c r="D836" s="67">
        <f t="shared" ref="D836:D860" si="249">D835+1</f>
        <v>2</v>
      </c>
      <c r="E836" s="67" t="s">
        <v>583</v>
      </c>
      <c r="F836" s="67" t="s">
        <v>240</v>
      </c>
      <c r="G836" s="68" t="s">
        <v>578</v>
      </c>
      <c r="H836" s="67">
        <v>0</v>
      </c>
      <c r="I836" s="67">
        <f t="shared" ref="I836:I847" si="250">I835+12</f>
        <v>24</v>
      </c>
      <c r="J836" s="67">
        <v>2</v>
      </c>
      <c r="K836" s="68" t="s">
        <v>823</v>
      </c>
      <c r="L836" s="67" t="s">
        <v>968</v>
      </c>
      <c r="M836" s="68" t="s">
        <v>587</v>
      </c>
      <c r="N836" s="67" t="s">
        <v>240</v>
      </c>
      <c r="O836" s="67" t="s">
        <v>240</v>
      </c>
      <c r="P836" s="67" t="s">
        <v>240</v>
      </c>
      <c r="Q836" s="67" t="s">
        <v>240</v>
      </c>
      <c r="R836" s="67" t="s">
        <v>969</v>
      </c>
      <c r="S836" s="67">
        <f t="shared" si="248"/>
        <v>50865</v>
      </c>
      <c r="T836" s="88">
        <v>8115</v>
      </c>
      <c r="U836" s="88">
        <v>42750</v>
      </c>
      <c r="V836" s="88">
        <v>46876</v>
      </c>
      <c r="W836" s="88">
        <v>1129</v>
      </c>
      <c r="X836" s="67">
        <v>91.081000000000003</v>
      </c>
      <c r="AI836" s="70">
        <f t="shared" si="241"/>
        <v>1129</v>
      </c>
      <c r="AL836" s="68" t="s">
        <v>972</v>
      </c>
      <c r="AP836" s="67">
        <f t="shared" si="243"/>
        <v>0.50275199944843407</v>
      </c>
      <c r="AQ836" s="67">
        <f t="shared" si="244"/>
        <v>93238.813672401811</v>
      </c>
      <c r="AS836" s="67">
        <f t="shared" si="245"/>
        <v>1.565653968196741E-4</v>
      </c>
      <c r="AU836" s="67">
        <f t="shared" si="246"/>
        <v>50863</v>
      </c>
      <c r="AV836" s="67">
        <f t="shared" si="247"/>
        <v>1</v>
      </c>
      <c r="AW836" s="67" t="s">
        <v>1350</v>
      </c>
    </row>
    <row r="837" spans="1:49" ht="30" customHeight="1" x14ac:dyDescent="0.25">
      <c r="A837" s="67" t="s">
        <v>176</v>
      </c>
      <c r="B837" s="67" t="s">
        <v>293</v>
      </c>
      <c r="C837" s="67" t="s">
        <v>176</v>
      </c>
      <c r="D837" s="67">
        <f t="shared" si="249"/>
        <v>3</v>
      </c>
      <c r="E837" s="67" t="s">
        <v>583</v>
      </c>
      <c r="F837" s="67" t="s">
        <v>240</v>
      </c>
      <c r="G837" s="68" t="s">
        <v>578</v>
      </c>
      <c r="H837" s="67">
        <v>0</v>
      </c>
      <c r="I837" s="67">
        <f t="shared" si="250"/>
        <v>36</v>
      </c>
      <c r="J837" s="67">
        <v>2</v>
      </c>
      <c r="K837" s="68" t="s">
        <v>823</v>
      </c>
      <c r="L837" s="67" t="s">
        <v>968</v>
      </c>
      <c r="M837" s="68" t="s">
        <v>587</v>
      </c>
      <c r="N837" s="67" t="s">
        <v>240</v>
      </c>
      <c r="O837" s="67" t="s">
        <v>240</v>
      </c>
      <c r="P837" s="67" t="s">
        <v>240</v>
      </c>
      <c r="Q837" s="67" t="s">
        <v>240</v>
      </c>
      <c r="R837" s="67" t="s">
        <v>969</v>
      </c>
      <c r="S837" s="67">
        <f t="shared" si="248"/>
        <v>50865</v>
      </c>
      <c r="T837" s="88">
        <v>8115</v>
      </c>
      <c r="U837" s="88">
        <v>42750</v>
      </c>
      <c r="V837" s="88">
        <v>43787</v>
      </c>
      <c r="W837" s="88">
        <v>1130</v>
      </c>
      <c r="X837" s="67">
        <v>91.081000000000003</v>
      </c>
      <c r="AI837" s="70">
        <f t="shared" si="241"/>
        <v>1130</v>
      </c>
      <c r="AL837" s="68" t="s">
        <v>972</v>
      </c>
      <c r="AP837" s="67">
        <f t="shared" si="243"/>
        <v>0.46920642508589883</v>
      </c>
      <c r="AQ837" s="67">
        <f t="shared" si="244"/>
        <v>93321.398981234757</v>
      </c>
      <c r="AS837" s="67">
        <f t="shared" si="245"/>
        <v>1.5528327874855238E-4</v>
      </c>
      <c r="AU837" s="67">
        <f t="shared" si="246"/>
        <v>50863</v>
      </c>
      <c r="AV837" s="67">
        <f t="shared" si="247"/>
        <v>1</v>
      </c>
      <c r="AW837" s="67" t="s">
        <v>1350</v>
      </c>
    </row>
    <row r="838" spans="1:49" ht="30" customHeight="1" x14ac:dyDescent="0.25">
      <c r="A838" s="67" t="s">
        <v>176</v>
      </c>
      <c r="B838" s="67" t="s">
        <v>293</v>
      </c>
      <c r="C838" s="67" t="s">
        <v>176</v>
      </c>
      <c r="D838" s="67">
        <f t="shared" si="249"/>
        <v>4</v>
      </c>
      <c r="E838" s="67" t="s">
        <v>583</v>
      </c>
      <c r="F838" s="67" t="s">
        <v>240</v>
      </c>
      <c r="G838" s="68" t="s">
        <v>578</v>
      </c>
      <c r="H838" s="67">
        <v>0</v>
      </c>
      <c r="I838" s="67">
        <f t="shared" si="250"/>
        <v>48</v>
      </c>
      <c r="J838" s="67">
        <v>2</v>
      </c>
      <c r="K838" s="68" t="s">
        <v>823</v>
      </c>
      <c r="L838" s="67" t="s">
        <v>968</v>
      </c>
      <c r="M838" s="68" t="s">
        <v>587</v>
      </c>
      <c r="N838" s="67" t="s">
        <v>240</v>
      </c>
      <c r="O838" s="67" t="s">
        <v>240</v>
      </c>
      <c r="P838" s="67" t="s">
        <v>240</v>
      </c>
      <c r="Q838" s="67" t="s">
        <v>240</v>
      </c>
      <c r="R838" s="67" t="s">
        <v>969</v>
      </c>
      <c r="S838" s="67">
        <f t="shared" si="248"/>
        <v>50865</v>
      </c>
      <c r="T838" s="88">
        <v>8115</v>
      </c>
      <c r="U838" s="88">
        <v>42750</v>
      </c>
      <c r="V838" s="88">
        <v>35972</v>
      </c>
      <c r="W838" s="88">
        <v>1132</v>
      </c>
      <c r="X838" s="67">
        <v>91.081000000000003</v>
      </c>
      <c r="AI838" s="70">
        <f t="shared" si="241"/>
        <v>1132</v>
      </c>
      <c r="AL838" s="68" t="s">
        <v>972</v>
      </c>
      <c r="AP838" s="67">
        <f t="shared" si="243"/>
        <v>0.3847825431432132</v>
      </c>
      <c r="AQ838" s="67">
        <f t="shared" si="244"/>
        <v>93486.569598900664</v>
      </c>
      <c r="AS838" s="67">
        <f t="shared" si="245"/>
        <v>1.5244821597611217E-4</v>
      </c>
      <c r="AU838" s="67">
        <f t="shared" si="246"/>
        <v>50863</v>
      </c>
      <c r="AV838" s="67">
        <f t="shared" si="247"/>
        <v>1</v>
      </c>
      <c r="AW838" s="67" t="s">
        <v>1350</v>
      </c>
    </row>
    <row r="839" spans="1:49" ht="30" customHeight="1" x14ac:dyDescent="0.25">
      <c r="A839" s="67" t="s">
        <v>176</v>
      </c>
      <c r="B839" s="67" t="s">
        <v>293</v>
      </c>
      <c r="C839" s="67" t="s">
        <v>176</v>
      </c>
      <c r="D839" s="67">
        <f t="shared" si="249"/>
        <v>5</v>
      </c>
      <c r="E839" s="67" t="s">
        <v>583</v>
      </c>
      <c r="F839" s="67" t="s">
        <v>240</v>
      </c>
      <c r="G839" s="68" t="s">
        <v>578</v>
      </c>
      <c r="H839" s="67">
        <v>0</v>
      </c>
      <c r="I839" s="67">
        <f t="shared" si="250"/>
        <v>60</v>
      </c>
      <c r="J839" s="67">
        <v>2</v>
      </c>
      <c r="K839" s="68" t="s">
        <v>823</v>
      </c>
      <c r="L839" s="67" t="s">
        <v>968</v>
      </c>
      <c r="M839" s="68" t="s">
        <v>587</v>
      </c>
      <c r="N839" s="67" t="s">
        <v>240</v>
      </c>
      <c r="O839" s="67" t="s">
        <v>240</v>
      </c>
      <c r="P839" s="67" t="s">
        <v>240</v>
      </c>
      <c r="Q839" s="67" t="s">
        <v>240</v>
      </c>
      <c r="R839" s="67" t="s">
        <v>969</v>
      </c>
      <c r="S839" s="67">
        <f t="shared" si="248"/>
        <v>50865</v>
      </c>
      <c r="T839" s="88">
        <v>8115</v>
      </c>
      <c r="U839" s="88">
        <v>42750</v>
      </c>
      <c r="V839" s="88">
        <v>28725</v>
      </c>
      <c r="W839" s="88">
        <v>1134</v>
      </c>
      <c r="X839" s="67">
        <v>91.081000000000003</v>
      </c>
      <c r="AI839" s="70">
        <f t="shared" si="241"/>
        <v>1134</v>
      </c>
      <c r="AL839" s="68" t="s">
        <v>972</v>
      </c>
      <c r="AP839" s="67">
        <f t="shared" si="243"/>
        <v>0.30672147611538647</v>
      </c>
      <c r="AQ839" s="67">
        <f t="shared" si="244"/>
        <v>93651.74021656657</v>
      </c>
      <c r="AS839" s="67">
        <f t="shared" si="245"/>
        <v>1.5032558600040581E-4</v>
      </c>
      <c r="AU839" s="67">
        <f t="shared" si="246"/>
        <v>50863</v>
      </c>
      <c r="AV839" s="67">
        <f t="shared" si="247"/>
        <v>1</v>
      </c>
      <c r="AW839" s="67" t="s">
        <v>1350</v>
      </c>
    </row>
    <row r="840" spans="1:49" ht="30" customHeight="1" x14ac:dyDescent="0.25">
      <c r="A840" s="67" t="s">
        <v>176</v>
      </c>
      <c r="B840" s="67" t="s">
        <v>293</v>
      </c>
      <c r="C840" s="67" t="s">
        <v>176</v>
      </c>
      <c r="D840" s="67">
        <f t="shared" si="249"/>
        <v>6</v>
      </c>
      <c r="E840" s="67" t="s">
        <v>583</v>
      </c>
      <c r="F840" s="67" t="s">
        <v>240</v>
      </c>
      <c r="G840" s="68" t="s">
        <v>578</v>
      </c>
      <c r="H840" s="67">
        <v>0</v>
      </c>
      <c r="I840" s="67">
        <f t="shared" si="250"/>
        <v>72</v>
      </c>
      <c r="J840" s="67">
        <v>2</v>
      </c>
      <c r="K840" s="68" t="s">
        <v>823</v>
      </c>
      <c r="L840" s="67" t="s">
        <v>968</v>
      </c>
      <c r="M840" s="68" t="s">
        <v>587</v>
      </c>
      <c r="N840" s="67" t="s">
        <v>240</v>
      </c>
      <c r="O840" s="67" t="s">
        <v>240</v>
      </c>
      <c r="P840" s="67" t="s">
        <v>240</v>
      </c>
      <c r="Q840" s="67" t="s">
        <v>240</v>
      </c>
      <c r="R840" s="67" t="s">
        <v>969</v>
      </c>
      <c r="S840" s="67">
        <f t="shared" si="248"/>
        <v>50865</v>
      </c>
      <c r="T840" s="88">
        <v>8115</v>
      </c>
      <c r="U840" s="88">
        <v>42750</v>
      </c>
      <c r="V840" s="88">
        <v>22897</v>
      </c>
      <c r="W840" s="88">
        <v>1137</v>
      </c>
      <c r="X840" s="67">
        <v>91.081000000000003</v>
      </c>
      <c r="AI840" s="70">
        <f t="shared" si="241"/>
        <v>1137</v>
      </c>
      <c r="AL840" s="68" t="s">
        <v>972</v>
      </c>
      <c r="AP840" s="67">
        <f t="shared" si="243"/>
        <v>0.24384582389147322</v>
      </c>
      <c r="AQ840" s="67">
        <f t="shared" si="244"/>
        <v>93899.496143065422</v>
      </c>
      <c r="AS840" s="67">
        <f t="shared" si="245"/>
        <v>1.4896433560890324E-4</v>
      </c>
      <c r="AU840" s="67">
        <f t="shared" si="246"/>
        <v>50863</v>
      </c>
      <c r="AV840" s="67">
        <f t="shared" si="247"/>
        <v>1</v>
      </c>
      <c r="AW840" s="67" t="s">
        <v>1350</v>
      </c>
    </row>
    <row r="841" spans="1:49" ht="30" customHeight="1" x14ac:dyDescent="0.25">
      <c r="A841" s="67" t="s">
        <v>176</v>
      </c>
      <c r="B841" s="67" t="s">
        <v>293</v>
      </c>
      <c r="C841" s="67" t="s">
        <v>176</v>
      </c>
      <c r="D841" s="67">
        <f t="shared" si="249"/>
        <v>7</v>
      </c>
      <c r="E841" s="67" t="s">
        <v>583</v>
      </c>
      <c r="F841" s="67" t="s">
        <v>240</v>
      </c>
      <c r="G841" s="68" t="s">
        <v>578</v>
      </c>
      <c r="H841" s="67">
        <v>0</v>
      </c>
      <c r="I841" s="67">
        <f t="shared" si="250"/>
        <v>84</v>
      </c>
      <c r="J841" s="67">
        <v>2</v>
      </c>
      <c r="K841" s="68" t="s">
        <v>823</v>
      </c>
      <c r="L841" s="67" t="s">
        <v>968</v>
      </c>
      <c r="M841" s="68" t="s">
        <v>587</v>
      </c>
      <c r="N841" s="67" t="s">
        <v>240</v>
      </c>
      <c r="O841" s="67" t="s">
        <v>240</v>
      </c>
      <c r="P841" s="67" t="s">
        <v>240</v>
      </c>
      <c r="Q841" s="67" t="s">
        <v>240</v>
      </c>
      <c r="R841" s="67" t="s">
        <v>969</v>
      </c>
      <c r="S841" s="67">
        <f t="shared" si="248"/>
        <v>50865</v>
      </c>
      <c r="T841" s="88">
        <v>8115</v>
      </c>
      <c r="U841" s="88">
        <v>42750</v>
      </c>
      <c r="V841" s="88">
        <v>21931</v>
      </c>
      <c r="W841" s="88">
        <v>1139</v>
      </c>
      <c r="X841" s="67">
        <v>91.081000000000003</v>
      </c>
      <c r="AI841" s="70">
        <f t="shared" si="241"/>
        <v>1139</v>
      </c>
      <c r="AL841" s="68" t="s">
        <v>972</v>
      </c>
      <c r="AP841" s="67">
        <f t="shared" si="243"/>
        <v>0.23314811772825436</v>
      </c>
      <c r="AQ841" s="67">
        <f t="shared" si="244"/>
        <v>94064.666760731314</v>
      </c>
      <c r="AS841" s="67">
        <f t="shared" si="245"/>
        <v>1.4876368123604137E-4</v>
      </c>
      <c r="AU841" s="67">
        <f t="shared" si="246"/>
        <v>50863</v>
      </c>
      <c r="AV841" s="67">
        <f t="shared" si="247"/>
        <v>1</v>
      </c>
      <c r="AW841" s="67" t="s">
        <v>1350</v>
      </c>
    </row>
    <row r="842" spans="1:49" ht="30" customHeight="1" x14ac:dyDescent="0.25">
      <c r="A842" s="67" t="s">
        <v>176</v>
      </c>
      <c r="B842" s="67" t="s">
        <v>293</v>
      </c>
      <c r="C842" s="67" t="s">
        <v>176</v>
      </c>
      <c r="D842" s="67">
        <f t="shared" si="249"/>
        <v>8</v>
      </c>
      <c r="E842" s="67" t="s">
        <v>583</v>
      </c>
      <c r="F842" s="67" t="s">
        <v>240</v>
      </c>
      <c r="G842" s="68" t="s">
        <v>578</v>
      </c>
      <c r="H842" s="67">
        <v>0</v>
      </c>
      <c r="I842" s="67">
        <f t="shared" si="250"/>
        <v>96</v>
      </c>
      <c r="J842" s="67">
        <v>2</v>
      </c>
      <c r="K842" s="68" t="s">
        <v>823</v>
      </c>
      <c r="L842" s="67" t="s">
        <v>968</v>
      </c>
      <c r="M842" s="68" t="s">
        <v>587</v>
      </c>
      <c r="N842" s="67" t="s">
        <v>240</v>
      </c>
      <c r="O842" s="67" t="s">
        <v>240</v>
      </c>
      <c r="P842" s="67" t="s">
        <v>240</v>
      </c>
      <c r="Q842" s="67" t="s">
        <v>240</v>
      </c>
      <c r="R842" s="67" t="s">
        <v>969</v>
      </c>
      <c r="S842" s="67">
        <f t="shared" si="248"/>
        <v>50865</v>
      </c>
      <c r="T842" s="88">
        <v>8115</v>
      </c>
      <c r="U842" s="88">
        <v>42750</v>
      </c>
      <c r="V842" s="88">
        <v>21248</v>
      </c>
      <c r="W842" s="88">
        <v>1143</v>
      </c>
      <c r="X842" s="67">
        <v>91.081000000000003</v>
      </c>
      <c r="AI842" s="70">
        <f t="shared" si="241"/>
        <v>1143</v>
      </c>
      <c r="AL842" s="68" t="s">
        <v>972</v>
      </c>
      <c r="AP842" s="67">
        <f t="shared" si="243"/>
        <v>0.22509664918812419</v>
      </c>
      <c r="AQ842" s="67">
        <f t="shared" si="244"/>
        <v>94395.007996063126</v>
      </c>
      <c r="AS842" s="67">
        <f t="shared" si="245"/>
        <v>1.4861859783915144E-4</v>
      </c>
      <c r="AU842" s="67">
        <f t="shared" si="246"/>
        <v>50863</v>
      </c>
      <c r="AV842" s="67">
        <f t="shared" si="247"/>
        <v>1</v>
      </c>
      <c r="AW842" s="67" t="s">
        <v>1350</v>
      </c>
    </row>
    <row r="843" spans="1:49" ht="30" customHeight="1" x14ac:dyDescent="0.25">
      <c r="A843" s="67" t="s">
        <v>176</v>
      </c>
      <c r="B843" s="67" t="s">
        <v>293</v>
      </c>
      <c r="C843" s="67" t="s">
        <v>176</v>
      </c>
      <c r="D843" s="67">
        <f t="shared" si="249"/>
        <v>9</v>
      </c>
      <c r="E843" s="67" t="s">
        <v>583</v>
      </c>
      <c r="F843" s="67" t="s">
        <v>240</v>
      </c>
      <c r="G843" s="68" t="s">
        <v>578</v>
      </c>
      <c r="H843" s="67">
        <v>0</v>
      </c>
      <c r="I843" s="67">
        <f t="shared" si="250"/>
        <v>108</v>
      </c>
      <c r="J843" s="67">
        <v>2</v>
      </c>
      <c r="K843" s="68" t="s">
        <v>823</v>
      </c>
      <c r="L843" s="67" t="s">
        <v>968</v>
      </c>
      <c r="M843" s="68" t="s">
        <v>587</v>
      </c>
      <c r="N843" s="67" t="s">
        <v>240</v>
      </c>
      <c r="O843" s="67" t="s">
        <v>240</v>
      </c>
      <c r="P843" s="67" t="s">
        <v>240</v>
      </c>
      <c r="Q843" s="67" t="s">
        <v>240</v>
      </c>
      <c r="R843" s="67" t="s">
        <v>969</v>
      </c>
      <c r="S843" s="67">
        <f t="shared" si="248"/>
        <v>50865</v>
      </c>
      <c r="T843" s="88">
        <v>8115</v>
      </c>
      <c r="U843" s="88">
        <v>42750</v>
      </c>
      <c r="V843" s="88">
        <v>21976</v>
      </c>
      <c r="W843" s="88">
        <v>1145</v>
      </c>
      <c r="X843" s="67">
        <v>91.081000000000003</v>
      </c>
      <c r="AI843" s="70">
        <f t="shared" si="241"/>
        <v>1145</v>
      </c>
      <c r="AL843" s="68" t="s">
        <v>972</v>
      </c>
      <c r="AP843" s="67">
        <f t="shared" si="243"/>
        <v>0.23240226829276892</v>
      </c>
      <c r="AQ843" s="67">
        <f t="shared" si="244"/>
        <v>94560.178613729018</v>
      </c>
      <c r="AS843" s="67">
        <f t="shared" si="245"/>
        <v>1.4875002713987163E-4</v>
      </c>
      <c r="AU843" s="67">
        <f t="shared" si="246"/>
        <v>50863</v>
      </c>
      <c r="AV843" s="67">
        <f t="shared" si="247"/>
        <v>1</v>
      </c>
      <c r="AW843" s="67" t="s">
        <v>1350</v>
      </c>
    </row>
    <row r="844" spans="1:49" ht="30" customHeight="1" x14ac:dyDescent="0.25">
      <c r="A844" s="67" t="s">
        <v>176</v>
      </c>
      <c r="B844" s="67" t="s">
        <v>293</v>
      </c>
      <c r="C844" s="67" t="s">
        <v>176</v>
      </c>
      <c r="D844" s="67">
        <f t="shared" si="249"/>
        <v>10</v>
      </c>
      <c r="E844" s="67" t="s">
        <v>583</v>
      </c>
      <c r="F844" s="67" t="s">
        <v>240</v>
      </c>
      <c r="G844" s="68" t="s">
        <v>578</v>
      </c>
      <c r="H844" s="67">
        <v>0</v>
      </c>
      <c r="I844" s="67">
        <f t="shared" si="250"/>
        <v>120</v>
      </c>
      <c r="J844" s="67">
        <v>2</v>
      </c>
      <c r="K844" s="68" t="s">
        <v>823</v>
      </c>
      <c r="L844" s="67" t="s">
        <v>968</v>
      </c>
      <c r="M844" s="68" t="s">
        <v>587</v>
      </c>
      <c r="N844" s="67" t="s">
        <v>240</v>
      </c>
      <c r="O844" s="67" t="s">
        <v>240</v>
      </c>
      <c r="P844" s="67" t="s">
        <v>240</v>
      </c>
      <c r="Q844" s="67" t="s">
        <v>240</v>
      </c>
      <c r="R844" s="67" t="s">
        <v>969</v>
      </c>
      <c r="S844" s="67">
        <f t="shared" si="248"/>
        <v>50865</v>
      </c>
      <c r="T844" s="88">
        <v>8115</v>
      </c>
      <c r="U844" s="88">
        <v>42750</v>
      </c>
      <c r="V844" s="88">
        <v>22305</v>
      </c>
      <c r="W844" s="88">
        <v>1148</v>
      </c>
      <c r="X844" s="67">
        <v>91.081000000000003</v>
      </c>
      <c r="AI844" s="70">
        <f t="shared" si="241"/>
        <v>1148</v>
      </c>
      <c r="AL844" s="68" t="s">
        <v>972</v>
      </c>
      <c r="AP844" s="67">
        <f t="shared" si="243"/>
        <v>0.23526511898153188</v>
      </c>
      <c r="AQ844" s="67">
        <f t="shared" si="244"/>
        <v>94807.934540227885</v>
      </c>
      <c r="AS844" s="67">
        <f t="shared" si="245"/>
        <v>1.4880267501945484E-4</v>
      </c>
      <c r="AU844" s="67">
        <f t="shared" si="246"/>
        <v>50863</v>
      </c>
      <c r="AV844" s="67">
        <f t="shared" si="247"/>
        <v>1</v>
      </c>
      <c r="AW844" s="67" t="s">
        <v>1350</v>
      </c>
    </row>
    <row r="845" spans="1:49" ht="30" customHeight="1" x14ac:dyDescent="0.25">
      <c r="A845" s="67" t="s">
        <v>176</v>
      </c>
      <c r="B845" s="67" t="s">
        <v>293</v>
      </c>
      <c r="C845" s="67" t="s">
        <v>176</v>
      </c>
      <c r="D845" s="67">
        <f t="shared" si="249"/>
        <v>11</v>
      </c>
      <c r="E845" s="67" t="s">
        <v>583</v>
      </c>
      <c r="F845" s="67" t="s">
        <v>240</v>
      </c>
      <c r="G845" s="68" t="s">
        <v>578</v>
      </c>
      <c r="H845" s="67">
        <v>0</v>
      </c>
      <c r="I845" s="67">
        <f t="shared" si="250"/>
        <v>132</v>
      </c>
      <c r="J845" s="67">
        <v>2</v>
      </c>
      <c r="K845" s="68" t="s">
        <v>823</v>
      </c>
      <c r="L845" s="67" t="s">
        <v>968</v>
      </c>
      <c r="M845" s="68" t="s">
        <v>587</v>
      </c>
      <c r="N845" s="67" t="s">
        <v>240</v>
      </c>
      <c r="O845" s="67" t="s">
        <v>240</v>
      </c>
      <c r="P845" s="67" t="s">
        <v>240</v>
      </c>
      <c r="Q845" s="67" t="s">
        <v>240</v>
      </c>
      <c r="R845" s="67" t="s">
        <v>969</v>
      </c>
      <c r="S845" s="67">
        <f t="shared" si="248"/>
        <v>50865</v>
      </c>
      <c r="T845" s="88">
        <v>8115</v>
      </c>
      <c r="U845" s="88">
        <v>42750</v>
      </c>
      <c r="V845" s="88">
        <v>21509</v>
      </c>
      <c r="W845" s="88">
        <v>1150</v>
      </c>
      <c r="X845" s="67">
        <v>91.081000000000003</v>
      </c>
      <c r="AI845" s="70">
        <f t="shared" si="241"/>
        <v>1150</v>
      </c>
      <c r="AL845" s="68" t="s">
        <v>972</v>
      </c>
      <c r="AP845" s="67">
        <f t="shared" si="243"/>
        <v>0.22647464210253065</v>
      </c>
      <c r="AQ845" s="67">
        <f t="shared" si="244"/>
        <v>94973.105157893777</v>
      </c>
      <c r="AS845" s="67">
        <f t="shared" si="245"/>
        <v>1.4864306696243723E-4</v>
      </c>
      <c r="AU845" s="67">
        <f t="shared" si="246"/>
        <v>50863</v>
      </c>
      <c r="AV845" s="67">
        <f t="shared" si="247"/>
        <v>1</v>
      </c>
      <c r="AW845" s="67" t="s">
        <v>1350</v>
      </c>
    </row>
    <row r="846" spans="1:49" ht="30" customHeight="1" x14ac:dyDescent="0.25">
      <c r="A846" s="67" t="s">
        <v>176</v>
      </c>
      <c r="B846" s="67" t="s">
        <v>293</v>
      </c>
      <c r="C846" s="67" t="s">
        <v>176</v>
      </c>
      <c r="D846" s="67">
        <f t="shared" si="249"/>
        <v>12</v>
      </c>
      <c r="E846" s="67" t="s">
        <v>583</v>
      </c>
      <c r="F846" s="67" t="s">
        <v>240</v>
      </c>
      <c r="G846" s="68" t="s">
        <v>578</v>
      </c>
      <c r="H846" s="67">
        <v>0</v>
      </c>
      <c r="I846" s="67">
        <f t="shared" si="250"/>
        <v>144</v>
      </c>
      <c r="J846" s="67">
        <v>2</v>
      </c>
      <c r="K846" s="68" t="s">
        <v>823</v>
      </c>
      <c r="L846" s="67" t="s">
        <v>968</v>
      </c>
      <c r="M846" s="68" t="s">
        <v>587</v>
      </c>
      <c r="N846" s="67" t="s">
        <v>240</v>
      </c>
      <c r="O846" s="67" t="s">
        <v>240</v>
      </c>
      <c r="P846" s="67" t="s">
        <v>240</v>
      </c>
      <c r="Q846" s="67" t="s">
        <v>240</v>
      </c>
      <c r="R846" s="67" t="s">
        <v>969</v>
      </c>
      <c r="S846" s="67">
        <f t="shared" si="248"/>
        <v>50865</v>
      </c>
      <c r="T846" s="88">
        <v>8115</v>
      </c>
      <c r="U846" s="88">
        <v>42750</v>
      </c>
      <c r="V846" s="88">
        <v>22383</v>
      </c>
      <c r="W846" s="88">
        <v>1153</v>
      </c>
      <c r="X846" s="67">
        <v>91.081000000000003</v>
      </c>
      <c r="AI846" s="70">
        <f t="shared" si="241"/>
        <v>1153</v>
      </c>
      <c r="AL846" s="68" t="s">
        <v>972</v>
      </c>
      <c r="AP846" s="67">
        <f t="shared" si="243"/>
        <v>0.23506403686228303</v>
      </c>
      <c r="AQ846" s="67">
        <f t="shared" si="244"/>
        <v>95220.861084392629</v>
      </c>
      <c r="AS846" s="67">
        <f t="shared" si="245"/>
        <v>1.4879895606845475E-4</v>
      </c>
      <c r="AU846" s="67">
        <f t="shared" si="246"/>
        <v>50863</v>
      </c>
      <c r="AV846" s="67">
        <f t="shared" si="247"/>
        <v>1</v>
      </c>
      <c r="AW846" s="67" t="s">
        <v>1350</v>
      </c>
    </row>
    <row r="847" spans="1:49" ht="30" customHeight="1" x14ac:dyDescent="0.25">
      <c r="A847" s="67" t="s">
        <v>176</v>
      </c>
      <c r="B847" s="67" t="s">
        <v>293</v>
      </c>
      <c r="C847" s="67" t="s">
        <v>176</v>
      </c>
      <c r="D847" s="67">
        <f t="shared" si="249"/>
        <v>13</v>
      </c>
      <c r="E847" s="67" t="s">
        <v>583</v>
      </c>
      <c r="F847" s="67" t="s">
        <v>240</v>
      </c>
      <c r="G847" s="68" t="s">
        <v>578</v>
      </c>
      <c r="H847" s="67">
        <v>0</v>
      </c>
      <c r="I847" s="67">
        <f t="shared" si="250"/>
        <v>156</v>
      </c>
      <c r="J847" s="67">
        <v>2</v>
      </c>
      <c r="K847" s="68" t="s">
        <v>823</v>
      </c>
      <c r="L847" s="67" t="s">
        <v>968</v>
      </c>
      <c r="M847" s="68" t="s">
        <v>587</v>
      </c>
      <c r="N847" s="67" t="s">
        <v>240</v>
      </c>
      <c r="O847" s="67" t="s">
        <v>240</v>
      </c>
      <c r="P847" s="67" t="s">
        <v>240</v>
      </c>
      <c r="Q847" s="67" t="s">
        <v>240</v>
      </c>
      <c r="R847" s="67" t="s">
        <v>969</v>
      </c>
      <c r="S847" s="67">
        <f t="shared" si="248"/>
        <v>50865</v>
      </c>
      <c r="T847" s="88">
        <v>8115</v>
      </c>
      <c r="U847" s="88">
        <v>42750</v>
      </c>
      <c r="V847" s="88">
        <v>22137</v>
      </c>
      <c r="W847" s="88">
        <v>1156</v>
      </c>
      <c r="X847" s="67">
        <v>91.081000000000003</v>
      </c>
      <c r="AI847" s="70">
        <f t="shared" si="241"/>
        <v>1156</v>
      </c>
      <c r="AL847" s="68" t="s">
        <v>972</v>
      </c>
      <c r="AP847" s="67">
        <f t="shared" si="243"/>
        <v>0.23187724608469518</v>
      </c>
      <c r="AQ847" s="67">
        <f t="shared" si="244"/>
        <v>95468.617010891481</v>
      </c>
      <c r="AS847" s="67">
        <f t="shared" si="245"/>
        <v>1.4874044191520928E-4</v>
      </c>
      <c r="AU847" s="67">
        <f t="shared" si="246"/>
        <v>50863</v>
      </c>
      <c r="AV847" s="67">
        <f t="shared" si="247"/>
        <v>1</v>
      </c>
      <c r="AW847" s="67" t="s">
        <v>1350</v>
      </c>
    </row>
    <row r="848" spans="1:49" ht="30" customHeight="1" x14ac:dyDescent="0.25">
      <c r="A848" s="67" t="s">
        <v>176</v>
      </c>
      <c r="B848" s="67" t="s">
        <v>293</v>
      </c>
      <c r="C848" s="67" t="s">
        <v>176</v>
      </c>
      <c r="D848" s="67">
        <f t="shared" si="249"/>
        <v>14</v>
      </c>
      <c r="E848" s="67" t="s">
        <v>577</v>
      </c>
      <c r="F848" s="67" t="s">
        <v>240</v>
      </c>
      <c r="G848" s="68" t="s">
        <v>578</v>
      </c>
      <c r="H848" s="67">
        <v>0</v>
      </c>
      <c r="I848" s="67">
        <v>12</v>
      </c>
      <c r="J848" s="67">
        <v>2</v>
      </c>
      <c r="K848" s="68" t="s">
        <v>823</v>
      </c>
      <c r="L848" s="67" t="s">
        <v>968</v>
      </c>
      <c r="M848" s="68" t="s">
        <v>587</v>
      </c>
      <c r="N848" s="67" t="s">
        <v>240</v>
      </c>
      <c r="O848" s="67" t="s">
        <v>240</v>
      </c>
      <c r="P848" s="67" t="s">
        <v>240</v>
      </c>
      <c r="Q848" s="67" t="s">
        <v>240</v>
      </c>
      <c r="R848" s="67" t="s">
        <v>973</v>
      </c>
      <c r="S848" s="67">
        <f t="shared" si="248"/>
        <v>60133</v>
      </c>
      <c r="T848" s="88">
        <v>6944</v>
      </c>
      <c r="U848" s="88">
        <v>53189</v>
      </c>
      <c r="V848" s="88">
        <v>18533</v>
      </c>
      <c r="W848" s="67">
        <v>992</v>
      </c>
      <c r="X848" s="67">
        <v>67.593000000000004</v>
      </c>
      <c r="AI848" s="70">
        <f t="shared" si="241"/>
        <v>992</v>
      </c>
      <c r="AL848" s="68" t="s">
        <v>974</v>
      </c>
      <c r="AP848" s="67">
        <f t="shared" si="243"/>
        <v>0.23838269230235118</v>
      </c>
      <c r="AQ848" s="67">
        <f t="shared" si="244"/>
        <v>77744.738181301291</v>
      </c>
      <c r="AS848" s="67">
        <f t="shared" si="245"/>
        <v>1.6470565828267397E-4</v>
      </c>
      <c r="AU848" s="67">
        <f t="shared" si="246"/>
        <v>60131</v>
      </c>
      <c r="AV848" s="67">
        <f t="shared" si="247"/>
        <v>1</v>
      </c>
      <c r="AW848" s="67" t="s">
        <v>1350</v>
      </c>
    </row>
    <row r="849" spans="1:49" ht="30" customHeight="1" x14ac:dyDescent="0.25">
      <c r="A849" s="67" t="s">
        <v>176</v>
      </c>
      <c r="B849" s="67" t="s">
        <v>293</v>
      </c>
      <c r="C849" s="67" t="s">
        <v>176</v>
      </c>
      <c r="D849" s="67">
        <f t="shared" si="249"/>
        <v>15</v>
      </c>
      <c r="E849" s="67" t="s">
        <v>577</v>
      </c>
      <c r="F849" s="67" t="s">
        <v>240</v>
      </c>
      <c r="G849" s="68" t="s">
        <v>578</v>
      </c>
      <c r="H849" s="67">
        <v>0</v>
      </c>
      <c r="I849" s="67">
        <f t="shared" ref="I849:I860" si="251">I848+12</f>
        <v>24</v>
      </c>
      <c r="J849" s="67">
        <v>2</v>
      </c>
      <c r="K849" s="68" t="s">
        <v>823</v>
      </c>
      <c r="L849" s="67" t="s">
        <v>968</v>
      </c>
      <c r="M849" s="68" t="s">
        <v>587</v>
      </c>
      <c r="N849" s="67" t="s">
        <v>240</v>
      </c>
      <c r="O849" s="67" t="s">
        <v>240</v>
      </c>
      <c r="P849" s="67" t="s">
        <v>240</v>
      </c>
      <c r="Q849" s="67" t="s">
        <v>240</v>
      </c>
      <c r="R849" s="67" t="s">
        <v>973</v>
      </c>
      <c r="S849" s="67">
        <f t="shared" si="248"/>
        <v>60133</v>
      </c>
      <c r="T849" s="88">
        <v>6944</v>
      </c>
      <c r="U849" s="88">
        <v>53189</v>
      </c>
      <c r="V849" s="88">
        <v>34116</v>
      </c>
      <c r="W849" s="67">
        <v>993</v>
      </c>
      <c r="X849" s="67">
        <v>67.593000000000004</v>
      </c>
      <c r="AI849" s="70">
        <f t="shared" si="241"/>
        <v>993</v>
      </c>
      <c r="AL849" s="68" t="s">
        <v>974</v>
      </c>
      <c r="AP849" s="67">
        <f t="shared" si="243"/>
        <v>0.43837878037550382</v>
      </c>
      <c r="AQ849" s="67">
        <f t="shared" si="244"/>
        <v>77823.109893177592</v>
      </c>
      <c r="AS849" s="67">
        <f t="shared" si="245"/>
        <v>1.6920763393815785E-4</v>
      </c>
      <c r="AU849" s="67">
        <f t="shared" si="246"/>
        <v>60131</v>
      </c>
      <c r="AV849" s="67">
        <f t="shared" si="247"/>
        <v>1</v>
      </c>
      <c r="AW849" s="67" t="s">
        <v>1350</v>
      </c>
    </row>
    <row r="850" spans="1:49" ht="30" customHeight="1" x14ac:dyDescent="0.25">
      <c r="A850" s="67" t="s">
        <v>176</v>
      </c>
      <c r="B850" s="67" t="s">
        <v>293</v>
      </c>
      <c r="C850" s="67" t="s">
        <v>176</v>
      </c>
      <c r="D850" s="67">
        <f t="shared" si="249"/>
        <v>16</v>
      </c>
      <c r="E850" s="67" t="s">
        <v>577</v>
      </c>
      <c r="F850" s="67" t="s">
        <v>240</v>
      </c>
      <c r="G850" s="68" t="s">
        <v>578</v>
      </c>
      <c r="H850" s="67">
        <v>0</v>
      </c>
      <c r="I850" s="67">
        <f t="shared" si="251"/>
        <v>36</v>
      </c>
      <c r="J850" s="67">
        <v>2</v>
      </c>
      <c r="K850" s="68" t="s">
        <v>823</v>
      </c>
      <c r="L850" s="67" t="s">
        <v>968</v>
      </c>
      <c r="M850" s="68" t="s">
        <v>587</v>
      </c>
      <c r="N850" s="67" t="s">
        <v>240</v>
      </c>
      <c r="O850" s="67" t="s">
        <v>240</v>
      </c>
      <c r="P850" s="67" t="s">
        <v>240</v>
      </c>
      <c r="Q850" s="67" t="s">
        <v>240</v>
      </c>
      <c r="R850" s="67" t="s">
        <v>973</v>
      </c>
      <c r="S850" s="67">
        <f t="shared" si="248"/>
        <v>60133</v>
      </c>
      <c r="T850" s="88">
        <v>6944</v>
      </c>
      <c r="U850" s="88">
        <v>53189</v>
      </c>
      <c r="V850" s="88">
        <v>33234</v>
      </c>
      <c r="W850" s="67">
        <v>994</v>
      </c>
      <c r="X850" s="67">
        <v>67.593000000000004</v>
      </c>
      <c r="AI850" s="70">
        <f t="shared" si="241"/>
        <v>994</v>
      </c>
      <c r="AL850" s="68" t="s">
        <v>974</v>
      </c>
      <c r="AP850" s="67">
        <f t="shared" si="243"/>
        <v>0.42661576282323138</v>
      </c>
      <c r="AQ850" s="67">
        <f t="shared" si="244"/>
        <v>77901.481605053908</v>
      </c>
      <c r="AS850" s="67">
        <f t="shared" si="245"/>
        <v>1.6886919671171889E-4</v>
      </c>
      <c r="AU850" s="67">
        <f t="shared" si="246"/>
        <v>60131</v>
      </c>
      <c r="AV850" s="67">
        <f t="shared" si="247"/>
        <v>1</v>
      </c>
      <c r="AW850" s="67" t="s">
        <v>1350</v>
      </c>
    </row>
    <row r="851" spans="1:49" ht="30" customHeight="1" x14ac:dyDescent="0.25">
      <c r="A851" s="67" t="s">
        <v>176</v>
      </c>
      <c r="B851" s="67" t="s">
        <v>293</v>
      </c>
      <c r="C851" s="67" t="s">
        <v>176</v>
      </c>
      <c r="D851" s="67">
        <f t="shared" si="249"/>
        <v>17</v>
      </c>
      <c r="E851" s="67" t="s">
        <v>577</v>
      </c>
      <c r="F851" s="67" t="s">
        <v>240</v>
      </c>
      <c r="G851" s="68" t="s">
        <v>578</v>
      </c>
      <c r="H851" s="67">
        <v>0</v>
      </c>
      <c r="I851" s="67">
        <f t="shared" si="251"/>
        <v>48</v>
      </c>
      <c r="J851" s="67">
        <v>2</v>
      </c>
      <c r="K851" s="68" t="s">
        <v>823</v>
      </c>
      <c r="L851" s="67" t="s">
        <v>968</v>
      </c>
      <c r="M851" s="68" t="s">
        <v>587</v>
      </c>
      <c r="N851" s="67" t="s">
        <v>240</v>
      </c>
      <c r="O851" s="67" t="s">
        <v>240</v>
      </c>
      <c r="P851" s="67" t="s">
        <v>240</v>
      </c>
      <c r="Q851" s="67" t="s">
        <v>240</v>
      </c>
      <c r="R851" s="67" t="s">
        <v>973</v>
      </c>
      <c r="S851" s="67">
        <f t="shared" si="248"/>
        <v>60133</v>
      </c>
      <c r="T851" s="88">
        <v>6944</v>
      </c>
      <c r="U851" s="88">
        <v>53189</v>
      </c>
      <c r="V851" s="88">
        <v>26994</v>
      </c>
      <c r="W851" s="67">
        <v>995</v>
      </c>
      <c r="X851" s="67">
        <v>67.593000000000004</v>
      </c>
      <c r="AI851" s="70">
        <f t="shared" si="241"/>
        <v>995</v>
      </c>
      <c r="AL851" s="68" t="s">
        <v>974</v>
      </c>
      <c r="AP851" s="67">
        <f t="shared" si="243"/>
        <v>0.34616633465940783</v>
      </c>
      <c r="AQ851" s="67">
        <f t="shared" si="244"/>
        <v>77979.853316930225</v>
      </c>
      <c r="AS851" s="67">
        <f t="shared" si="245"/>
        <v>1.6680131339957398E-4</v>
      </c>
      <c r="AU851" s="67">
        <f t="shared" si="246"/>
        <v>60131</v>
      </c>
      <c r="AV851" s="67">
        <f t="shared" si="247"/>
        <v>1</v>
      </c>
      <c r="AW851" s="67" t="s">
        <v>1350</v>
      </c>
    </row>
    <row r="852" spans="1:49" ht="30" customHeight="1" x14ac:dyDescent="0.25">
      <c r="A852" s="67" t="s">
        <v>176</v>
      </c>
      <c r="B852" s="67" t="s">
        <v>293</v>
      </c>
      <c r="C852" s="67" t="s">
        <v>176</v>
      </c>
      <c r="D852" s="67">
        <f t="shared" si="249"/>
        <v>18</v>
      </c>
      <c r="E852" s="67" t="s">
        <v>577</v>
      </c>
      <c r="F852" s="67" t="s">
        <v>240</v>
      </c>
      <c r="G852" s="68" t="s">
        <v>578</v>
      </c>
      <c r="H852" s="67">
        <v>0</v>
      </c>
      <c r="I852" s="67">
        <f t="shared" si="251"/>
        <v>60</v>
      </c>
      <c r="J852" s="67">
        <v>2</v>
      </c>
      <c r="K852" s="68" t="s">
        <v>823</v>
      </c>
      <c r="L852" s="67" t="s">
        <v>968</v>
      </c>
      <c r="M852" s="68" t="s">
        <v>587</v>
      </c>
      <c r="N852" s="67" t="s">
        <v>240</v>
      </c>
      <c r="O852" s="67" t="s">
        <v>240</v>
      </c>
      <c r="P852" s="67" t="s">
        <v>240</v>
      </c>
      <c r="Q852" s="67" t="s">
        <v>240</v>
      </c>
      <c r="R852" s="67" t="s">
        <v>973</v>
      </c>
      <c r="S852" s="67">
        <f t="shared" si="248"/>
        <v>60133</v>
      </c>
      <c r="T852" s="88">
        <v>6944</v>
      </c>
      <c r="U852" s="88">
        <v>53189</v>
      </c>
      <c r="V852" s="88">
        <v>19486</v>
      </c>
      <c r="W852" s="67">
        <v>996</v>
      </c>
      <c r="X852" s="67">
        <v>67.593000000000004</v>
      </c>
      <c r="AI852" s="70">
        <f t="shared" si="241"/>
        <v>996</v>
      </c>
      <c r="AL852" s="68" t="s">
        <v>974</v>
      </c>
      <c r="AP852" s="67">
        <f t="shared" si="243"/>
        <v>0.24963416722336315</v>
      </c>
      <c r="AQ852" s="67">
        <f t="shared" si="244"/>
        <v>78058.225028806526</v>
      </c>
      <c r="AS852" s="67">
        <f t="shared" si="245"/>
        <v>1.6488829592693462E-4</v>
      </c>
      <c r="AU852" s="67">
        <f t="shared" si="246"/>
        <v>60131</v>
      </c>
      <c r="AV852" s="67">
        <f t="shared" si="247"/>
        <v>1</v>
      </c>
      <c r="AW852" s="67" t="s">
        <v>1350</v>
      </c>
    </row>
    <row r="853" spans="1:49" ht="30" customHeight="1" x14ac:dyDescent="0.25">
      <c r="A853" s="67" t="s">
        <v>176</v>
      </c>
      <c r="B853" s="67" t="s">
        <v>293</v>
      </c>
      <c r="C853" s="67" t="s">
        <v>176</v>
      </c>
      <c r="D853" s="67">
        <f t="shared" si="249"/>
        <v>19</v>
      </c>
      <c r="E853" s="67" t="s">
        <v>577</v>
      </c>
      <c r="F853" s="67" t="s">
        <v>240</v>
      </c>
      <c r="G853" s="68" t="s">
        <v>578</v>
      </c>
      <c r="H853" s="67">
        <v>0</v>
      </c>
      <c r="I853" s="67">
        <f t="shared" si="251"/>
        <v>72</v>
      </c>
      <c r="J853" s="67">
        <v>2</v>
      </c>
      <c r="K853" s="68" t="s">
        <v>823</v>
      </c>
      <c r="L853" s="67" t="s">
        <v>968</v>
      </c>
      <c r="M853" s="68" t="s">
        <v>587</v>
      </c>
      <c r="N853" s="67" t="s">
        <v>240</v>
      </c>
      <c r="O853" s="67" t="s">
        <v>240</v>
      </c>
      <c r="P853" s="67" t="s">
        <v>240</v>
      </c>
      <c r="Q853" s="67" t="s">
        <v>240</v>
      </c>
      <c r="R853" s="67" t="s">
        <v>973</v>
      </c>
      <c r="S853" s="67">
        <f t="shared" si="248"/>
        <v>60133</v>
      </c>
      <c r="T853" s="88">
        <v>6944</v>
      </c>
      <c r="U853" s="88">
        <v>53189</v>
      </c>
      <c r="V853" s="88">
        <v>13070</v>
      </c>
      <c r="W853" s="67">
        <v>997</v>
      </c>
      <c r="X853" s="67">
        <v>67.593000000000004</v>
      </c>
      <c r="AI853" s="70">
        <f t="shared" si="241"/>
        <v>997</v>
      </c>
      <c r="AL853" s="68" t="s">
        <v>974</v>
      </c>
      <c r="AP853" s="67">
        <f t="shared" si="243"/>
        <v>0.16727117055502538</v>
      </c>
      <c r="AQ853" s="67">
        <f t="shared" si="244"/>
        <v>78136.596740682842</v>
      </c>
      <c r="AS853" s="67">
        <f t="shared" si="245"/>
        <v>1.6374616574195159E-4</v>
      </c>
      <c r="AU853" s="67">
        <f t="shared" si="246"/>
        <v>60131</v>
      </c>
      <c r="AV853" s="67">
        <f t="shared" si="247"/>
        <v>1</v>
      </c>
      <c r="AW853" s="67" t="s">
        <v>1350</v>
      </c>
    </row>
    <row r="854" spans="1:49" ht="30" customHeight="1" x14ac:dyDescent="0.25">
      <c r="A854" s="67" t="s">
        <v>176</v>
      </c>
      <c r="B854" s="67" t="s">
        <v>293</v>
      </c>
      <c r="C854" s="67" t="s">
        <v>176</v>
      </c>
      <c r="D854" s="67">
        <f t="shared" si="249"/>
        <v>20</v>
      </c>
      <c r="E854" s="67" t="s">
        <v>577</v>
      </c>
      <c r="F854" s="67" t="s">
        <v>240</v>
      </c>
      <c r="G854" s="68" t="s">
        <v>578</v>
      </c>
      <c r="H854" s="67">
        <v>0</v>
      </c>
      <c r="I854" s="67">
        <f t="shared" si="251"/>
        <v>84</v>
      </c>
      <c r="J854" s="67">
        <v>2</v>
      </c>
      <c r="K854" s="68" t="s">
        <v>823</v>
      </c>
      <c r="L854" s="67" t="s">
        <v>968</v>
      </c>
      <c r="M854" s="68" t="s">
        <v>587</v>
      </c>
      <c r="N854" s="67" t="s">
        <v>240</v>
      </c>
      <c r="O854" s="67" t="s">
        <v>240</v>
      </c>
      <c r="P854" s="67" t="s">
        <v>240</v>
      </c>
      <c r="Q854" s="67" t="s">
        <v>240</v>
      </c>
      <c r="R854" s="67" t="s">
        <v>973</v>
      </c>
      <c r="S854" s="67">
        <f t="shared" si="248"/>
        <v>60133</v>
      </c>
      <c r="T854" s="88">
        <v>6944</v>
      </c>
      <c r="U854" s="88">
        <v>53189</v>
      </c>
      <c r="V854" s="88">
        <v>11406</v>
      </c>
      <c r="W854" s="67">
        <v>998</v>
      </c>
      <c r="X854" s="67">
        <v>67.593000000000004</v>
      </c>
      <c r="AI854" s="70">
        <f t="shared" si="241"/>
        <v>998</v>
      </c>
      <c r="AL854" s="68" t="s">
        <v>974</v>
      </c>
      <c r="AP854" s="67">
        <f t="shared" si="243"/>
        <v>0.14582886403538275</v>
      </c>
      <c r="AQ854" s="67">
        <f t="shared" si="244"/>
        <v>78214.968452559158</v>
      </c>
      <c r="AS854" s="67">
        <f t="shared" si="245"/>
        <v>1.6352285961968252E-4</v>
      </c>
      <c r="AU854" s="67">
        <f t="shared" si="246"/>
        <v>60131</v>
      </c>
      <c r="AV854" s="67">
        <f t="shared" si="247"/>
        <v>1</v>
      </c>
      <c r="AW854" s="67" t="s">
        <v>1350</v>
      </c>
    </row>
    <row r="855" spans="1:49" ht="30" customHeight="1" x14ac:dyDescent="0.25">
      <c r="A855" s="67" t="s">
        <v>176</v>
      </c>
      <c r="B855" s="67" t="s">
        <v>293</v>
      </c>
      <c r="C855" s="67" t="s">
        <v>176</v>
      </c>
      <c r="D855" s="67">
        <f t="shared" si="249"/>
        <v>21</v>
      </c>
      <c r="E855" s="67" t="s">
        <v>577</v>
      </c>
      <c r="F855" s="67" t="s">
        <v>240</v>
      </c>
      <c r="G855" s="68" t="s">
        <v>578</v>
      </c>
      <c r="H855" s="67">
        <v>0</v>
      </c>
      <c r="I855" s="67">
        <f t="shared" si="251"/>
        <v>96</v>
      </c>
      <c r="J855" s="67">
        <v>2</v>
      </c>
      <c r="K855" s="68" t="s">
        <v>823</v>
      </c>
      <c r="L855" s="67" t="s">
        <v>968</v>
      </c>
      <c r="M855" s="68" t="s">
        <v>587</v>
      </c>
      <c r="N855" s="67" t="s">
        <v>240</v>
      </c>
      <c r="O855" s="67" t="s">
        <v>240</v>
      </c>
      <c r="P855" s="67" t="s">
        <v>240</v>
      </c>
      <c r="Q855" s="67" t="s">
        <v>240</v>
      </c>
      <c r="R855" s="67" t="s">
        <v>973</v>
      </c>
      <c r="S855" s="67">
        <f t="shared" si="248"/>
        <v>60133</v>
      </c>
      <c r="T855" s="88">
        <v>6944</v>
      </c>
      <c r="U855" s="88">
        <v>53189</v>
      </c>
      <c r="V855" s="88">
        <v>11374</v>
      </c>
      <c r="W855" s="88">
        <v>1000</v>
      </c>
      <c r="X855" s="67">
        <v>67.593000000000004</v>
      </c>
      <c r="AI855" s="70">
        <f t="shared" ref="AI855:AI872" si="252">+W855</f>
        <v>1000</v>
      </c>
      <c r="AL855" s="68" t="s">
        <v>974</v>
      </c>
      <c r="AP855" s="67">
        <f t="shared" si="243"/>
        <v>0.14512889571623414</v>
      </c>
      <c r="AQ855" s="67">
        <f t="shared" si="244"/>
        <v>78371.711876311776</v>
      </c>
      <c r="AS855" s="67">
        <f t="shared" si="245"/>
        <v>1.6351608547695375E-4</v>
      </c>
      <c r="AU855" s="67">
        <f t="shared" si="246"/>
        <v>60131</v>
      </c>
      <c r="AV855" s="67">
        <f t="shared" si="247"/>
        <v>1</v>
      </c>
      <c r="AW855" s="67" t="s">
        <v>1350</v>
      </c>
    </row>
    <row r="856" spans="1:49" ht="30" customHeight="1" x14ac:dyDescent="0.25">
      <c r="A856" s="67" t="s">
        <v>176</v>
      </c>
      <c r="B856" s="67" t="s">
        <v>293</v>
      </c>
      <c r="C856" s="67" t="s">
        <v>176</v>
      </c>
      <c r="D856" s="67">
        <f t="shared" si="249"/>
        <v>22</v>
      </c>
      <c r="E856" s="67" t="s">
        <v>577</v>
      </c>
      <c r="F856" s="67" t="s">
        <v>240</v>
      </c>
      <c r="G856" s="68" t="s">
        <v>578</v>
      </c>
      <c r="H856" s="67">
        <v>0</v>
      </c>
      <c r="I856" s="67">
        <f t="shared" si="251"/>
        <v>108</v>
      </c>
      <c r="J856" s="67">
        <v>2</v>
      </c>
      <c r="K856" s="68" t="s">
        <v>823</v>
      </c>
      <c r="L856" s="67" t="s">
        <v>968</v>
      </c>
      <c r="M856" s="68" t="s">
        <v>587</v>
      </c>
      <c r="N856" s="67" t="s">
        <v>240</v>
      </c>
      <c r="O856" s="67" t="s">
        <v>240</v>
      </c>
      <c r="P856" s="67" t="s">
        <v>240</v>
      </c>
      <c r="Q856" s="67" t="s">
        <v>240</v>
      </c>
      <c r="R856" s="67" t="s">
        <v>973</v>
      </c>
      <c r="S856" s="67">
        <f t="shared" si="248"/>
        <v>60133</v>
      </c>
      <c r="T856" s="88">
        <v>6944</v>
      </c>
      <c r="U856" s="88">
        <v>53189</v>
      </c>
      <c r="V856" s="88">
        <v>11259</v>
      </c>
      <c r="W856" s="88">
        <v>1002</v>
      </c>
      <c r="X856" s="67">
        <v>67.593000000000004</v>
      </c>
      <c r="AI856" s="70">
        <f t="shared" si="252"/>
        <v>1002</v>
      </c>
      <c r="AL856" s="68" t="s">
        <v>974</v>
      </c>
      <c r="AP856" s="67">
        <f t="shared" si="243"/>
        <v>0.14337477996960887</v>
      </c>
      <c r="AQ856" s="67">
        <f t="shared" si="244"/>
        <v>78528.455300064408</v>
      </c>
      <c r="AS856" s="67">
        <f t="shared" si="245"/>
        <v>1.6349925270606248E-4</v>
      </c>
      <c r="AU856" s="67">
        <f t="shared" si="246"/>
        <v>60131</v>
      </c>
      <c r="AV856" s="67">
        <f t="shared" si="247"/>
        <v>1</v>
      </c>
      <c r="AW856" s="67" t="s">
        <v>1350</v>
      </c>
    </row>
    <row r="857" spans="1:49" ht="30" customHeight="1" x14ac:dyDescent="0.25">
      <c r="A857" s="67" t="s">
        <v>176</v>
      </c>
      <c r="B857" s="67" t="s">
        <v>293</v>
      </c>
      <c r="C857" s="67" t="s">
        <v>176</v>
      </c>
      <c r="D857" s="67">
        <f t="shared" si="249"/>
        <v>23</v>
      </c>
      <c r="E857" s="67" t="s">
        <v>577</v>
      </c>
      <c r="F857" s="67" t="s">
        <v>240</v>
      </c>
      <c r="G857" s="68" t="s">
        <v>578</v>
      </c>
      <c r="H857" s="67">
        <v>0</v>
      </c>
      <c r="I857" s="67">
        <f t="shared" si="251"/>
        <v>120</v>
      </c>
      <c r="J857" s="67">
        <v>2</v>
      </c>
      <c r="K857" s="68" t="s">
        <v>823</v>
      </c>
      <c r="L857" s="67" t="s">
        <v>968</v>
      </c>
      <c r="M857" s="68" t="s">
        <v>587</v>
      </c>
      <c r="N857" s="67" t="s">
        <v>240</v>
      </c>
      <c r="O857" s="67" t="s">
        <v>240</v>
      </c>
      <c r="P857" s="67" t="s">
        <v>240</v>
      </c>
      <c r="Q857" s="67" t="s">
        <v>240</v>
      </c>
      <c r="R857" s="67" t="s">
        <v>973</v>
      </c>
      <c r="S857" s="67">
        <f t="shared" si="248"/>
        <v>60133</v>
      </c>
      <c r="T857" s="88">
        <v>6944</v>
      </c>
      <c r="U857" s="88">
        <v>53189</v>
      </c>
      <c r="V857" s="88">
        <v>10806</v>
      </c>
      <c r="W857" s="88">
        <v>1003</v>
      </c>
      <c r="X857" s="67">
        <v>67.593000000000004</v>
      </c>
      <c r="AI857" s="70">
        <f t="shared" si="252"/>
        <v>1003</v>
      </c>
      <c r="AL857" s="68" t="s">
        <v>974</v>
      </c>
      <c r="AP857" s="67">
        <f t="shared" si="243"/>
        <v>0.13746897579721062</v>
      </c>
      <c r="AQ857" s="67">
        <f t="shared" si="244"/>
        <v>78606.82701194071</v>
      </c>
      <c r="AS857" s="67">
        <f t="shared" si="245"/>
        <v>1.6344408437714861E-4</v>
      </c>
      <c r="AU857" s="67">
        <f t="shared" si="246"/>
        <v>60131</v>
      </c>
      <c r="AV857" s="67">
        <f t="shared" si="247"/>
        <v>1</v>
      </c>
      <c r="AW857" s="67" t="s">
        <v>1350</v>
      </c>
    </row>
    <row r="858" spans="1:49" ht="30" customHeight="1" x14ac:dyDescent="0.25">
      <c r="A858" s="67" t="s">
        <v>176</v>
      </c>
      <c r="B858" s="67" t="s">
        <v>293</v>
      </c>
      <c r="C858" s="67" t="s">
        <v>176</v>
      </c>
      <c r="D858" s="67">
        <f t="shared" si="249"/>
        <v>24</v>
      </c>
      <c r="E858" s="67" t="s">
        <v>577</v>
      </c>
      <c r="F858" s="67" t="s">
        <v>240</v>
      </c>
      <c r="G858" s="68" t="s">
        <v>578</v>
      </c>
      <c r="H858" s="67">
        <v>0</v>
      </c>
      <c r="I858" s="67">
        <f t="shared" si="251"/>
        <v>132</v>
      </c>
      <c r="J858" s="67">
        <v>2</v>
      </c>
      <c r="K858" s="68" t="s">
        <v>823</v>
      </c>
      <c r="L858" s="67" t="s">
        <v>968</v>
      </c>
      <c r="M858" s="68" t="s">
        <v>587</v>
      </c>
      <c r="N858" s="67" t="s">
        <v>240</v>
      </c>
      <c r="O858" s="67" t="s">
        <v>240</v>
      </c>
      <c r="P858" s="67" t="s">
        <v>240</v>
      </c>
      <c r="Q858" s="67" t="s">
        <v>240</v>
      </c>
      <c r="R858" s="67" t="s">
        <v>973</v>
      </c>
      <c r="S858" s="67">
        <f t="shared" si="248"/>
        <v>60133</v>
      </c>
      <c r="T858" s="88">
        <v>6944</v>
      </c>
      <c r="U858" s="88">
        <v>53189</v>
      </c>
      <c r="V858" s="88">
        <v>11050</v>
      </c>
      <c r="W858" s="88">
        <v>1004</v>
      </c>
      <c r="X858" s="67">
        <v>67.593000000000004</v>
      </c>
      <c r="AI858" s="70">
        <f t="shared" si="252"/>
        <v>1004</v>
      </c>
      <c r="AL858" s="68" t="s">
        <v>974</v>
      </c>
      <c r="AP858" s="67">
        <f t="shared" si="243"/>
        <v>0.14043301890594709</v>
      </c>
      <c r="AQ858" s="67">
        <f t="shared" si="244"/>
        <v>78685.198723817026</v>
      </c>
      <c r="AS858" s="67">
        <f t="shared" si="245"/>
        <v>1.6347148258740699E-4</v>
      </c>
      <c r="AU858" s="67">
        <f t="shared" si="246"/>
        <v>60131</v>
      </c>
      <c r="AV858" s="67">
        <f t="shared" si="247"/>
        <v>1</v>
      </c>
      <c r="AW858" s="67" t="s">
        <v>1350</v>
      </c>
    </row>
    <row r="859" spans="1:49" ht="30" customHeight="1" x14ac:dyDescent="0.25">
      <c r="A859" s="67" t="s">
        <v>176</v>
      </c>
      <c r="B859" s="67" t="s">
        <v>293</v>
      </c>
      <c r="C859" s="67" t="s">
        <v>176</v>
      </c>
      <c r="D859" s="67">
        <f t="shared" si="249"/>
        <v>25</v>
      </c>
      <c r="E859" s="67" t="s">
        <v>577</v>
      </c>
      <c r="F859" s="67" t="s">
        <v>240</v>
      </c>
      <c r="G859" s="68" t="s">
        <v>578</v>
      </c>
      <c r="H859" s="67">
        <v>0</v>
      </c>
      <c r="I859" s="67">
        <f t="shared" si="251"/>
        <v>144</v>
      </c>
      <c r="J859" s="67">
        <v>2</v>
      </c>
      <c r="K859" s="68" t="s">
        <v>823</v>
      </c>
      <c r="L859" s="67" t="s">
        <v>968</v>
      </c>
      <c r="M859" s="68" t="s">
        <v>587</v>
      </c>
      <c r="N859" s="67" t="s">
        <v>240</v>
      </c>
      <c r="O859" s="67" t="s">
        <v>240</v>
      </c>
      <c r="P859" s="67" t="s">
        <v>240</v>
      </c>
      <c r="Q859" s="67" t="s">
        <v>240</v>
      </c>
      <c r="R859" s="67" t="s">
        <v>973</v>
      </c>
      <c r="S859" s="67">
        <f t="shared" si="248"/>
        <v>60133</v>
      </c>
      <c r="T859" s="88">
        <v>6944</v>
      </c>
      <c r="U859" s="88">
        <v>53189</v>
      </c>
      <c r="V859" s="88">
        <v>9858</v>
      </c>
      <c r="W859" s="88">
        <v>1005</v>
      </c>
      <c r="X859" s="67">
        <v>67.593000000000004</v>
      </c>
      <c r="AI859" s="70">
        <f t="shared" si="252"/>
        <v>1005</v>
      </c>
      <c r="AL859" s="68" t="s">
        <v>974</v>
      </c>
      <c r="AP859" s="67">
        <f t="shared" si="243"/>
        <v>0.12515938454121481</v>
      </c>
      <c r="AQ859" s="67">
        <f t="shared" si="244"/>
        <v>78763.570435693342</v>
      </c>
      <c r="AS859" s="67">
        <f t="shared" si="245"/>
        <v>1.6333655397524711E-4</v>
      </c>
      <c r="AU859" s="67">
        <f t="shared" si="246"/>
        <v>60131</v>
      </c>
      <c r="AV859" s="67">
        <f t="shared" si="247"/>
        <v>1</v>
      </c>
      <c r="AW859" s="67" t="s">
        <v>1350</v>
      </c>
    </row>
    <row r="860" spans="1:49" ht="30" customHeight="1" x14ac:dyDescent="0.25">
      <c r="A860" s="67" t="s">
        <v>176</v>
      </c>
      <c r="B860" s="67" t="s">
        <v>293</v>
      </c>
      <c r="C860" s="67" t="s">
        <v>176</v>
      </c>
      <c r="D860" s="67">
        <f t="shared" si="249"/>
        <v>26</v>
      </c>
      <c r="E860" s="67" t="s">
        <v>577</v>
      </c>
      <c r="F860" s="67" t="s">
        <v>240</v>
      </c>
      <c r="G860" s="68" t="s">
        <v>578</v>
      </c>
      <c r="H860" s="67">
        <v>0</v>
      </c>
      <c r="I860" s="67">
        <f t="shared" si="251"/>
        <v>156</v>
      </c>
      <c r="J860" s="67">
        <v>2</v>
      </c>
      <c r="K860" s="68" t="s">
        <v>823</v>
      </c>
      <c r="L860" s="67" t="s">
        <v>968</v>
      </c>
      <c r="M860" s="68" t="s">
        <v>587</v>
      </c>
      <c r="N860" s="67" t="s">
        <v>240</v>
      </c>
      <c r="O860" s="67" t="s">
        <v>240</v>
      </c>
      <c r="P860" s="67" t="s">
        <v>240</v>
      </c>
      <c r="Q860" s="67" t="s">
        <v>240</v>
      </c>
      <c r="R860" s="67" t="s">
        <v>973</v>
      </c>
      <c r="S860" s="67">
        <f t="shared" si="248"/>
        <v>60133</v>
      </c>
      <c r="T860" s="88">
        <v>6944</v>
      </c>
      <c r="U860" s="88">
        <v>53189</v>
      </c>
      <c r="V860" s="88">
        <v>8276</v>
      </c>
      <c r="W860" s="88">
        <v>1006</v>
      </c>
      <c r="X860" s="67">
        <v>67.593000000000004</v>
      </c>
      <c r="AI860" s="70">
        <f t="shared" si="252"/>
        <v>1006</v>
      </c>
      <c r="AL860" s="68" t="s">
        <v>974</v>
      </c>
      <c r="AP860" s="67">
        <f t="shared" si="243"/>
        <v>0.10496950956014867</v>
      </c>
      <c r="AQ860" s="67">
        <f t="shared" si="244"/>
        <v>78841.942147569644</v>
      </c>
      <c r="AS860" s="67">
        <f t="shared" si="245"/>
        <v>1.6318201045709631E-4</v>
      </c>
      <c r="AU860" s="67">
        <f t="shared" si="246"/>
        <v>60131</v>
      </c>
      <c r="AV860" s="67">
        <f t="shared" si="247"/>
        <v>1</v>
      </c>
      <c r="AW860" s="67" t="s">
        <v>1350</v>
      </c>
    </row>
    <row r="861" spans="1:49" ht="30" customHeight="1" x14ac:dyDescent="0.25">
      <c r="A861" s="67" t="s">
        <v>177</v>
      </c>
      <c r="B861" s="67" t="s">
        <v>293</v>
      </c>
      <c r="C861" s="67" t="s">
        <v>177</v>
      </c>
      <c r="D861" s="67">
        <v>1</v>
      </c>
      <c r="E861" s="67" t="s">
        <v>605</v>
      </c>
      <c r="F861" s="67" t="s">
        <v>240</v>
      </c>
      <c r="G861" s="68" t="s">
        <v>578</v>
      </c>
      <c r="H861" s="67">
        <v>1</v>
      </c>
      <c r="I861" s="67">
        <v>12</v>
      </c>
      <c r="J861" s="67">
        <v>1</v>
      </c>
      <c r="K861" s="68" t="s">
        <v>841</v>
      </c>
      <c r="L861" s="67" t="s">
        <v>240</v>
      </c>
      <c r="M861" s="68" t="s">
        <v>570</v>
      </c>
      <c r="N861" s="67" t="s">
        <v>240</v>
      </c>
      <c r="O861" s="95">
        <f t="shared" ref="O861:O872" si="253">1-(0.77+0.73)/2</f>
        <v>0.25</v>
      </c>
      <c r="P861" s="79">
        <f t="shared" ref="P861:P872" si="254">(1-(0.8+0.77)/2) - (1-(0.75+0.69)/2)</f>
        <v>-6.5000000000000058E-2</v>
      </c>
      <c r="Q861" s="67" t="s">
        <v>240</v>
      </c>
      <c r="R861" s="67" t="s">
        <v>604</v>
      </c>
      <c r="S861" s="67">
        <v>555</v>
      </c>
      <c r="T861" s="78">
        <f t="shared" ref="T861:U872" si="255">S861/2</f>
        <v>277.5</v>
      </c>
      <c r="U861" s="78">
        <f t="shared" si="255"/>
        <v>138.75</v>
      </c>
      <c r="V861" s="67">
        <v>-5.2999999999999999E-2</v>
      </c>
      <c r="W861" s="67">
        <v>0.04</v>
      </c>
      <c r="AB861" s="67">
        <v>0.313</v>
      </c>
      <c r="AC861" s="67">
        <v>0.37</v>
      </c>
      <c r="AI861" s="70">
        <f t="shared" si="252"/>
        <v>0.04</v>
      </c>
      <c r="AK861" s="68" t="s">
        <v>975</v>
      </c>
    </row>
    <row r="862" spans="1:49" ht="30" customHeight="1" x14ac:dyDescent="0.25">
      <c r="A862" s="72" t="s">
        <v>177</v>
      </c>
      <c r="B862" s="67" t="s">
        <v>293</v>
      </c>
      <c r="C862" s="72" t="s">
        <v>177</v>
      </c>
      <c r="D862" s="67">
        <f t="shared" ref="D862:D872" si="256">D861+1</f>
        <v>2</v>
      </c>
      <c r="E862" s="67" t="s">
        <v>605</v>
      </c>
      <c r="F862" s="67" t="s">
        <v>240</v>
      </c>
      <c r="G862" s="68" t="s">
        <v>578</v>
      </c>
      <c r="H862" s="67">
        <v>1</v>
      </c>
      <c r="I862" s="67">
        <v>24</v>
      </c>
      <c r="J862" s="67">
        <v>1</v>
      </c>
      <c r="K862" s="68" t="s">
        <v>841</v>
      </c>
      <c r="L862" s="67" t="s">
        <v>240</v>
      </c>
      <c r="M862" s="68" t="s">
        <v>570</v>
      </c>
      <c r="N862" s="67" t="s">
        <v>240</v>
      </c>
      <c r="O862" s="95">
        <f t="shared" si="253"/>
        <v>0.25</v>
      </c>
      <c r="P862" s="79">
        <f t="shared" si="254"/>
        <v>-6.5000000000000058E-2</v>
      </c>
      <c r="Q862" s="67" t="s">
        <v>240</v>
      </c>
      <c r="R862" s="67" t="s">
        <v>604</v>
      </c>
      <c r="S862" s="67">
        <v>555</v>
      </c>
      <c r="T862" s="78">
        <f t="shared" si="255"/>
        <v>277.5</v>
      </c>
      <c r="U862" s="78">
        <f t="shared" si="255"/>
        <v>138.75</v>
      </c>
      <c r="V862" s="67">
        <v>-2.1999999999999999E-2</v>
      </c>
      <c r="W862" s="67">
        <v>4.2999999999999997E-2</v>
      </c>
      <c r="AB862" s="67">
        <v>0.45700000000000002</v>
      </c>
      <c r="AC862" s="67">
        <v>0.47799999999999998</v>
      </c>
      <c r="AI862" s="70">
        <f t="shared" si="252"/>
        <v>4.2999999999999997E-2</v>
      </c>
      <c r="AK862" s="68" t="s">
        <v>976</v>
      </c>
    </row>
    <row r="863" spans="1:49" ht="30" customHeight="1" x14ac:dyDescent="0.25">
      <c r="A863" s="72" t="s">
        <v>177</v>
      </c>
      <c r="B863" s="67" t="s">
        <v>293</v>
      </c>
      <c r="C863" s="72" t="s">
        <v>177</v>
      </c>
      <c r="D863" s="67">
        <f t="shared" si="256"/>
        <v>3</v>
      </c>
      <c r="E863" s="67" t="s">
        <v>605</v>
      </c>
      <c r="F863" s="67" t="s">
        <v>240</v>
      </c>
      <c r="G863" s="68" t="s">
        <v>578</v>
      </c>
      <c r="H863" s="67">
        <v>1</v>
      </c>
      <c r="I863" s="67">
        <v>12</v>
      </c>
      <c r="J863" s="67">
        <v>6</v>
      </c>
      <c r="K863" s="68" t="s">
        <v>977</v>
      </c>
      <c r="L863" s="67" t="s">
        <v>916</v>
      </c>
      <c r="M863" s="68" t="s">
        <v>570</v>
      </c>
      <c r="N863" s="67" t="s">
        <v>240</v>
      </c>
      <c r="O863" s="95">
        <f t="shared" si="253"/>
        <v>0.25</v>
      </c>
      <c r="P863" s="79">
        <f t="shared" si="254"/>
        <v>-6.5000000000000058E-2</v>
      </c>
      <c r="Q863" s="67" t="s">
        <v>240</v>
      </c>
      <c r="R863" s="67" t="s">
        <v>604</v>
      </c>
      <c r="S863" s="67">
        <v>553</v>
      </c>
      <c r="T863" s="78">
        <f t="shared" si="255"/>
        <v>276.5</v>
      </c>
      <c r="U863" s="78">
        <f t="shared" si="255"/>
        <v>138.25</v>
      </c>
      <c r="V863" s="67">
        <v>-0.17899999999999999</v>
      </c>
      <c r="W863" s="67">
        <v>0.36599999999999999</v>
      </c>
      <c r="AB863" s="67">
        <v>2.5539999999999998</v>
      </c>
      <c r="AC863" s="67">
        <v>2.8340000000000001</v>
      </c>
      <c r="AI863" s="70">
        <f t="shared" si="252"/>
        <v>0.36599999999999999</v>
      </c>
      <c r="AK863" s="68" t="s">
        <v>978</v>
      </c>
      <c r="AP863" s="67">
        <f>+V863/AQ863</f>
        <v>-5.8823975682537263E-2</v>
      </c>
      <c r="AQ863" s="67">
        <f>+AI863*SQRT(T863*U863/S863)</f>
        <v>3.0429769141418079</v>
      </c>
      <c r="AS863" s="67">
        <f>+AP863^2/(AU863-2)*(AU863/(V863/AI863)^2+AU863*AV863^2-AU863+2)</f>
        <v>1.4531853238626534E-2</v>
      </c>
      <c r="AU863" s="67">
        <f>+S863-2</f>
        <v>551</v>
      </c>
      <c r="AV863" s="67">
        <f>IFERROR(1/(SQRT(AU863/2)*_xlfn.GAMMA(AU863/2-0.5)/_xlfn.GAMMA(AU863/2)),1)</f>
        <v>1</v>
      </c>
      <c r="AW863" s="67" t="s">
        <v>1350</v>
      </c>
    </row>
    <row r="864" spans="1:49" ht="30" customHeight="1" x14ac:dyDescent="0.25">
      <c r="A864" s="72" t="s">
        <v>177</v>
      </c>
      <c r="B864" s="67" t="s">
        <v>293</v>
      </c>
      <c r="C864" s="72" t="s">
        <v>177</v>
      </c>
      <c r="D864" s="67">
        <f t="shared" si="256"/>
        <v>4</v>
      </c>
      <c r="E864" s="67" t="s">
        <v>605</v>
      </c>
      <c r="F864" s="67" t="s">
        <v>240</v>
      </c>
      <c r="G864" s="68" t="s">
        <v>578</v>
      </c>
      <c r="H864" s="67">
        <v>1</v>
      </c>
      <c r="I864" s="67">
        <v>24</v>
      </c>
      <c r="J864" s="67">
        <v>6</v>
      </c>
      <c r="K864" s="68" t="s">
        <v>977</v>
      </c>
      <c r="L864" s="67" t="s">
        <v>916</v>
      </c>
      <c r="M864" s="68" t="s">
        <v>570</v>
      </c>
      <c r="N864" s="67" t="s">
        <v>240</v>
      </c>
      <c r="O864" s="95">
        <f t="shared" si="253"/>
        <v>0.25</v>
      </c>
      <c r="P864" s="79">
        <f t="shared" si="254"/>
        <v>-6.5000000000000058E-2</v>
      </c>
      <c r="Q864" s="67" t="s">
        <v>240</v>
      </c>
      <c r="R864" s="67" t="s">
        <v>604</v>
      </c>
      <c r="S864" s="67">
        <v>553</v>
      </c>
      <c r="T864" s="78">
        <f t="shared" si="255"/>
        <v>276.5</v>
      </c>
      <c r="U864" s="78">
        <f t="shared" si="255"/>
        <v>138.25</v>
      </c>
      <c r="V864" s="67">
        <v>-4.7E-2</v>
      </c>
      <c r="W864" s="67">
        <v>0.36799999999999999</v>
      </c>
      <c r="AB864" s="67">
        <v>2.556</v>
      </c>
      <c r="AC864" s="67">
        <v>2.5590000000000002</v>
      </c>
      <c r="AI864" s="70">
        <f t="shared" si="252"/>
        <v>0.36799999999999999</v>
      </c>
      <c r="AK864" s="68" t="s">
        <v>979</v>
      </c>
      <c r="AP864" s="67">
        <f>+V864/AQ864</f>
        <v>-1.5361459037087171E-2</v>
      </c>
      <c r="AQ864" s="67">
        <f>+AI864*SQRT(T864*U864/S864)</f>
        <v>3.0596052032901238</v>
      </c>
      <c r="AS864" s="67">
        <f>+AP864^2/(AU864-2)*(AU864/(V864/AI864)^2+AU864*AV864^2-AU864+2)</f>
        <v>1.4520107206964051E-2</v>
      </c>
      <c r="AU864" s="67">
        <f>+S864-2</f>
        <v>551</v>
      </c>
      <c r="AV864" s="67">
        <f>IFERROR(1/(SQRT(AU864/2)*_xlfn.GAMMA(AU864/2-0.5)/_xlfn.GAMMA(AU864/2)),1)</f>
        <v>1</v>
      </c>
      <c r="AW864" s="67" t="s">
        <v>1350</v>
      </c>
    </row>
    <row r="865" spans="1:49" ht="30" customHeight="1" x14ac:dyDescent="0.25">
      <c r="A865" s="72" t="s">
        <v>177</v>
      </c>
      <c r="B865" s="67" t="s">
        <v>293</v>
      </c>
      <c r="C865" s="72" t="s">
        <v>177</v>
      </c>
      <c r="D865" s="67">
        <f t="shared" si="256"/>
        <v>5</v>
      </c>
      <c r="E865" s="67" t="s">
        <v>577</v>
      </c>
      <c r="F865" s="67" t="s">
        <v>240</v>
      </c>
      <c r="G865" s="68" t="s">
        <v>578</v>
      </c>
      <c r="H865" s="67">
        <v>1</v>
      </c>
      <c r="I865" s="67">
        <v>12</v>
      </c>
      <c r="J865" s="67">
        <v>1</v>
      </c>
      <c r="K865" s="68" t="s">
        <v>841</v>
      </c>
      <c r="L865" s="67" t="s">
        <v>240</v>
      </c>
      <c r="M865" s="68" t="s">
        <v>570</v>
      </c>
      <c r="N865" s="67" t="s">
        <v>240</v>
      </c>
      <c r="O865" s="95">
        <f t="shared" si="253"/>
        <v>0.25</v>
      </c>
      <c r="P865" s="79">
        <f t="shared" si="254"/>
        <v>-6.5000000000000058E-2</v>
      </c>
      <c r="Q865" s="67" t="s">
        <v>240</v>
      </c>
      <c r="R865" s="67" t="s">
        <v>980</v>
      </c>
      <c r="S865" s="67">
        <v>376</v>
      </c>
      <c r="T865" s="78">
        <f t="shared" si="255"/>
        <v>188</v>
      </c>
      <c r="U865" s="78">
        <f t="shared" si="255"/>
        <v>94</v>
      </c>
      <c r="V865" s="67">
        <v>-1.7999999999999999E-2</v>
      </c>
      <c r="W865" s="67">
        <v>4.8000000000000001E-2</v>
      </c>
      <c r="AB865" s="67">
        <v>0.308</v>
      </c>
      <c r="AC865" s="67">
        <v>0.32600000000000001</v>
      </c>
      <c r="AI865" s="70">
        <f t="shared" si="252"/>
        <v>4.8000000000000001E-2</v>
      </c>
      <c r="AK865" s="68" t="s">
        <v>981</v>
      </c>
    </row>
    <row r="866" spans="1:49" ht="30" customHeight="1" x14ac:dyDescent="0.25">
      <c r="A866" s="72" t="s">
        <v>177</v>
      </c>
      <c r="B866" s="67" t="s">
        <v>293</v>
      </c>
      <c r="C866" s="72" t="s">
        <v>177</v>
      </c>
      <c r="D866" s="67">
        <f t="shared" si="256"/>
        <v>6</v>
      </c>
      <c r="E866" s="67" t="s">
        <v>577</v>
      </c>
      <c r="F866" s="67" t="s">
        <v>240</v>
      </c>
      <c r="G866" s="68" t="s">
        <v>578</v>
      </c>
      <c r="H866" s="67">
        <v>1</v>
      </c>
      <c r="I866" s="67">
        <v>24</v>
      </c>
      <c r="J866" s="67">
        <v>1</v>
      </c>
      <c r="K866" s="68" t="s">
        <v>841</v>
      </c>
      <c r="L866" s="67" t="s">
        <v>240</v>
      </c>
      <c r="M866" s="68" t="s">
        <v>570</v>
      </c>
      <c r="N866" s="67" t="s">
        <v>240</v>
      </c>
      <c r="O866" s="95">
        <f t="shared" si="253"/>
        <v>0.25</v>
      </c>
      <c r="P866" s="79">
        <f t="shared" si="254"/>
        <v>-6.5000000000000058E-2</v>
      </c>
      <c r="Q866" s="67" t="s">
        <v>240</v>
      </c>
      <c r="R866" s="67" t="s">
        <v>980</v>
      </c>
      <c r="S866" s="67">
        <v>373</v>
      </c>
      <c r="T866" s="78">
        <f t="shared" si="255"/>
        <v>186.5</v>
      </c>
      <c r="U866" s="78">
        <f t="shared" si="255"/>
        <v>93.25</v>
      </c>
      <c r="V866" s="67">
        <v>-3.7999999999999999E-2</v>
      </c>
      <c r="W866" s="67">
        <v>5.1999999999999998E-2</v>
      </c>
      <c r="AB866" s="67">
        <v>0.45600000000000002</v>
      </c>
      <c r="AC866" s="67">
        <v>0.49199999999999999</v>
      </c>
      <c r="AI866" s="70">
        <f t="shared" si="252"/>
        <v>5.1999999999999998E-2</v>
      </c>
      <c r="AK866" s="68" t="s">
        <v>982</v>
      </c>
    </row>
    <row r="867" spans="1:49" ht="30" customHeight="1" x14ac:dyDescent="0.25">
      <c r="A867" s="72" t="s">
        <v>177</v>
      </c>
      <c r="B867" s="67" t="s">
        <v>293</v>
      </c>
      <c r="C867" s="72" t="s">
        <v>177</v>
      </c>
      <c r="D867" s="67">
        <f t="shared" si="256"/>
        <v>7</v>
      </c>
      <c r="E867" s="67" t="s">
        <v>577</v>
      </c>
      <c r="F867" s="67" t="s">
        <v>240</v>
      </c>
      <c r="G867" s="68" t="s">
        <v>578</v>
      </c>
      <c r="H867" s="67">
        <v>1</v>
      </c>
      <c r="I867" s="67">
        <v>12</v>
      </c>
      <c r="J867" s="67">
        <v>6</v>
      </c>
      <c r="K867" s="68" t="s">
        <v>977</v>
      </c>
      <c r="L867" s="67" t="s">
        <v>916</v>
      </c>
      <c r="M867" s="68" t="s">
        <v>570</v>
      </c>
      <c r="N867" s="67" t="s">
        <v>240</v>
      </c>
      <c r="O867" s="95">
        <f t="shared" si="253"/>
        <v>0.25</v>
      </c>
      <c r="P867" s="79">
        <f t="shared" si="254"/>
        <v>-6.5000000000000058E-2</v>
      </c>
      <c r="Q867" s="67" t="s">
        <v>240</v>
      </c>
      <c r="R867" s="67" t="s">
        <v>980</v>
      </c>
      <c r="S867" s="67">
        <v>372</v>
      </c>
      <c r="T867" s="78">
        <f t="shared" si="255"/>
        <v>186</v>
      </c>
      <c r="U867" s="78">
        <f t="shared" si="255"/>
        <v>93</v>
      </c>
      <c r="V867" s="67">
        <v>5.2999999999999999E-2</v>
      </c>
      <c r="W867" s="67">
        <v>0.43099999999999999</v>
      </c>
      <c r="AB867" s="67">
        <v>2.5569999999999999</v>
      </c>
      <c r="AC867" s="67">
        <v>2.5569999999999999</v>
      </c>
      <c r="AI867" s="70">
        <f t="shared" si="252"/>
        <v>0.43099999999999999</v>
      </c>
      <c r="AK867" s="68" t="s">
        <v>983</v>
      </c>
      <c r="AP867" s="67">
        <f>+V867/AQ867</f>
        <v>1.8033171916778945E-2</v>
      </c>
      <c r="AQ867" s="67">
        <f>+AI867*SQRT(T867*U867/S867)</f>
        <v>2.9390281557004516</v>
      </c>
      <c r="AS867" s="67">
        <f>+AP867^2/(AU867-2)*(AU867/(V867/AI867)^2+AU867*AV867^2-AU867+2)</f>
        <v>2.1624020755137474E-2</v>
      </c>
      <c r="AU867" s="67">
        <f>+S867-2</f>
        <v>370</v>
      </c>
      <c r="AV867" s="67">
        <f>IFERROR(1/(SQRT(AU867/2)*_xlfn.GAMMA(AU867/2-0.5)/_xlfn.GAMMA(AU867/2)),1)</f>
        <v>1</v>
      </c>
      <c r="AW867" s="67" t="s">
        <v>1350</v>
      </c>
    </row>
    <row r="868" spans="1:49" ht="30" customHeight="1" x14ac:dyDescent="0.25">
      <c r="A868" s="72" t="s">
        <v>177</v>
      </c>
      <c r="B868" s="67" t="s">
        <v>293</v>
      </c>
      <c r="C868" s="72" t="s">
        <v>177</v>
      </c>
      <c r="D868" s="67">
        <f t="shared" si="256"/>
        <v>8</v>
      </c>
      <c r="E868" s="67" t="s">
        <v>577</v>
      </c>
      <c r="F868" s="67" t="s">
        <v>240</v>
      </c>
      <c r="G868" s="68" t="s">
        <v>578</v>
      </c>
      <c r="H868" s="67">
        <v>1</v>
      </c>
      <c r="I868" s="67">
        <v>24</v>
      </c>
      <c r="J868" s="67">
        <v>6</v>
      </c>
      <c r="K868" s="68" t="s">
        <v>977</v>
      </c>
      <c r="L868" s="67" t="s">
        <v>916</v>
      </c>
      <c r="M868" s="68" t="s">
        <v>570</v>
      </c>
      <c r="N868" s="67" t="s">
        <v>240</v>
      </c>
      <c r="O868" s="95">
        <f t="shared" si="253"/>
        <v>0.25</v>
      </c>
      <c r="P868" s="79">
        <f t="shared" si="254"/>
        <v>-6.5000000000000058E-2</v>
      </c>
      <c r="Q868" s="67" t="s">
        <v>240</v>
      </c>
      <c r="R868" s="67" t="s">
        <v>980</v>
      </c>
      <c r="S868" s="67">
        <v>372</v>
      </c>
      <c r="T868" s="78">
        <f t="shared" si="255"/>
        <v>186</v>
      </c>
      <c r="U868" s="78">
        <f t="shared" si="255"/>
        <v>93</v>
      </c>
      <c r="V868" s="67">
        <v>-8.8999999999999996E-2</v>
      </c>
      <c r="W868" s="67">
        <v>0.43</v>
      </c>
      <c r="AB868" s="67">
        <v>2.4430000000000001</v>
      </c>
      <c r="AC868" s="67">
        <v>2.52</v>
      </c>
      <c r="AI868" s="70">
        <f t="shared" si="252"/>
        <v>0.43</v>
      </c>
      <c r="AK868" s="68" t="s">
        <v>984</v>
      </c>
      <c r="AP868" s="67">
        <f>+V868/AQ868</f>
        <v>-3.0352542411396378E-2</v>
      </c>
      <c r="AQ868" s="67">
        <f>+AI868*SQRT(T868*U868/S868)</f>
        <v>2.9322090648519588</v>
      </c>
      <c r="AS868" s="67">
        <f>+AP868^2/(AU868-2)*(AU868/(V868/AI868)^2+AU868*AV868^2-AU868+2)</f>
        <v>2.1627260328732339E-2</v>
      </c>
      <c r="AU868" s="67">
        <f>+S868-2</f>
        <v>370</v>
      </c>
      <c r="AV868" s="67">
        <f>IFERROR(1/(SQRT(AU868/2)*_xlfn.GAMMA(AU868/2-0.5)/_xlfn.GAMMA(AU868/2)),1)</f>
        <v>1</v>
      </c>
      <c r="AW868" s="67" t="s">
        <v>1350</v>
      </c>
    </row>
    <row r="869" spans="1:49" ht="30" customHeight="1" x14ac:dyDescent="0.25">
      <c r="A869" s="72" t="s">
        <v>177</v>
      </c>
      <c r="B869" s="67" t="s">
        <v>293</v>
      </c>
      <c r="C869" s="72" t="s">
        <v>177</v>
      </c>
      <c r="D869" s="67">
        <f t="shared" si="256"/>
        <v>9</v>
      </c>
      <c r="E869" s="67" t="s">
        <v>583</v>
      </c>
      <c r="F869" s="67" t="s">
        <v>240</v>
      </c>
      <c r="G869" s="68" t="s">
        <v>578</v>
      </c>
      <c r="H869" s="67">
        <v>1</v>
      </c>
      <c r="I869" s="67">
        <v>12</v>
      </c>
      <c r="J869" s="67">
        <v>1</v>
      </c>
      <c r="K869" s="68" t="s">
        <v>841</v>
      </c>
      <c r="L869" s="67" t="s">
        <v>240</v>
      </c>
      <c r="M869" s="68" t="s">
        <v>570</v>
      </c>
      <c r="N869" s="67" t="s">
        <v>240</v>
      </c>
      <c r="O869" s="95">
        <f t="shared" si="253"/>
        <v>0.25</v>
      </c>
      <c r="P869" s="79">
        <f t="shared" si="254"/>
        <v>-6.5000000000000058E-2</v>
      </c>
      <c r="Q869" s="67" t="s">
        <v>240</v>
      </c>
      <c r="R869" s="67" t="s">
        <v>985</v>
      </c>
      <c r="S869" s="67">
        <v>185</v>
      </c>
      <c r="T869" s="78">
        <f t="shared" si="255"/>
        <v>92.5</v>
      </c>
      <c r="U869" s="78">
        <f t="shared" si="255"/>
        <v>46.25</v>
      </c>
      <c r="V869" s="67">
        <v>-0.16</v>
      </c>
      <c r="W869" s="67">
        <v>7.2999999999999995E-2</v>
      </c>
      <c r="AB869" s="67">
        <v>0.32300000000000001</v>
      </c>
      <c r="AC869" s="67">
        <v>0.46100000000000002</v>
      </c>
      <c r="AI869" s="70">
        <f t="shared" si="252"/>
        <v>7.2999999999999995E-2</v>
      </c>
      <c r="AK869" s="68" t="s">
        <v>986</v>
      </c>
    </row>
    <row r="870" spans="1:49" ht="30" customHeight="1" x14ac:dyDescent="0.25">
      <c r="A870" s="72" t="s">
        <v>177</v>
      </c>
      <c r="B870" s="67" t="s">
        <v>293</v>
      </c>
      <c r="C870" s="72" t="s">
        <v>177</v>
      </c>
      <c r="D870" s="67">
        <f t="shared" si="256"/>
        <v>10</v>
      </c>
      <c r="E870" s="67" t="s">
        <v>583</v>
      </c>
      <c r="F870" s="67" t="s">
        <v>240</v>
      </c>
      <c r="G870" s="68" t="s">
        <v>578</v>
      </c>
      <c r="H870" s="67">
        <v>1</v>
      </c>
      <c r="I870" s="67">
        <v>24</v>
      </c>
      <c r="J870" s="67">
        <v>1</v>
      </c>
      <c r="K870" s="68" t="s">
        <v>841</v>
      </c>
      <c r="L870" s="67" t="s">
        <v>240</v>
      </c>
      <c r="M870" s="68" t="s">
        <v>570</v>
      </c>
      <c r="N870" s="67" t="s">
        <v>240</v>
      </c>
      <c r="O870" s="95">
        <f t="shared" si="253"/>
        <v>0.25</v>
      </c>
      <c r="P870" s="79">
        <f t="shared" si="254"/>
        <v>-6.5000000000000058E-2</v>
      </c>
      <c r="Q870" s="67" t="s">
        <v>240</v>
      </c>
      <c r="R870" s="67" t="s">
        <v>985</v>
      </c>
      <c r="S870" s="67">
        <v>182</v>
      </c>
      <c r="T870" s="78">
        <f t="shared" si="255"/>
        <v>91</v>
      </c>
      <c r="U870" s="78">
        <f t="shared" si="255"/>
        <v>45.5</v>
      </c>
      <c r="V870" s="67">
        <v>1.9E-2</v>
      </c>
      <c r="W870" s="67">
        <v>7.9000000000000001E-2</v>
      </c>
      <c r="AB870" s="67">
        <v>0.45800000000000002</v>
      </c>
      <c r="AC870" s="67">
        <v>0.44900000000000001</v>
      </c>
      <c r="AI870" s="70">
        <f t="shared" si="252"/>
        <v>7.9000000000000001E-2</v>
      </c>
      <c r="AK870" s="68" t="s">
        <v>987</v>
      </c>
    </row>
    <row r="871" spans="1:49" ht="30" customHeight="1" x14ac:dyDescent="0.25">
      <c r="A871" s="72" t="s">
        <v>177</v>
      </c>
      <c r="B871" s="67" t="s">
        <v>293</v>
      </c>
      <c r="C871" s="72" t="s">
        <v>177</v>
      </c>
      <c r="D871" s="67">
        <f t="shared" si="256"/>
        <v>11</v>
      </c>
      <c r="E871" s="67" t="s">
        <v>583</v>
      </c>
      <c r="F871" s="67" t="s">
        <v>240</v>
      </c>
      <c r="G871" s="68" t="s">
        <v>578</v>
      </c>
      <c r="H871" s="67">
        <v>1</v>
      </c>
      <c r="I871" s="67">
        <v>12</v>
      </c>
      <c r="J871" s="67">
        <v>6</v>
      </c>
      <c r="K871" s="68" t="s">
        <v>977</v>
      </c>
      <c r="L871" s="67" t="s">
        <v>916</v>
      </c>
      <c r="M871" s="68" t="s">
        <v>570</v>
      </c>
      <c r="N871" s="67" t="s">
        <v>240</v>
      </c>
      <c r="O871" s="95">
        <f t="shared" si="253"/>
        <v>0.25</v>
      </c>
      <c r="P871" s="79">
        <f t="shared" si="254"/>
        <v>-6.5000000000000058E-2</v>
      </c>
      <c r="Q871" s="67" t="s">
        <v>240</v>
      </c>
      <c r="R871" s="67" t="s">
        <v>985</v>
      </c>
      <c r="S871" s="67">
        <v>181</v>
      </c>
      <c r="T871" s="78">
        <f t="shared" si="255"/>
        <v>90.5</v>
      </c>
      <c r="U871" s="78">
        <f t="shared" si="255"/>
        <v>45.25</v>
      </c>
      <c r="V871" s="67">
        <v>-0.72599999999999998</v>
      </c>
      <c r="W871" s="67">
        <v>0.71199999999999997</v>
      </c>
      <c r="AB871" s="67">
        <v>2.5459999999999998</v>
      </c>
      <c r="AC871" s="67">
        <v>3.3969999999999998</v>
      </c>
      <c r="AI871" s="70">
        <f t="shared" si="252"/>
        <v>0.71199999999999997</v>
      </c>
      <c r="AK871" s="68" t="s">
        <v>988</v>
      </c>
      <c r="AP871" s="67">
        <f>+V871/AQ871</f>
        <v>-0.21436917329846308</v>
      </c>
      <c r="AQ871" s="67">
        <f>+AI871*SQRT(T871*U871/S871)</f>
        <v>3.3866809710983992</v>
      </c>
      <c r="AS871" s="67">
        <f>+AP871^2/(AU871-2)*(AU871/(V871/AI871)^2+AU871*AV871^2-AU871+2)</f>
        <v>4.4828314365364393E-2</v>
      </c>
      <c r="AU871" s="67">
        <f>+S871-2</f>
        <v>179</v>
      </c>
      <c r="AV871" s="67">
        <f>IFERROR(1/(SQRT(AU871/2)*_xlfn.GAMMA(AU871/2-0.5)/_xlfn.GAMMA(AU871/2)),1)</f>
        <v>0.99580321644462055</v>
      </c>
      <c r="AW871" s="67" t="s">
        <v>1350</v>
      </c>
    </row>
    <row r="872" spans="1:49" ht="30" customHeight="1" x14ac:dyDescent="0.25">
      <c r="A872" s="72" t="s">
        <v>177</v>
      </c>
      <c r="B872" s="67" t="s">
        <v>293</v>
      </c>
      <c r="C872" s="72" t="s">
        <v>177</v>
      </c>
      <c r="D872" s="67">
        <f t="shared" si="256"/>
        <v>12</v>
      </c>
      <c r="E872" s="67" t="s">
        <v>583</v>
      </c>
      <c r="F872" s="67" t="s">
        <v>240</v>
      </c>
      <c r="G872" s="68" t="s">
        <v>578</v>
      </c>
      <c r="H872" s="67">
        <v>1</v>
      </c>
      <c r="I872" s="67">
        <v>24</v>
      </c>
      <c r="J872" s="67">
        <v>6</v>
      </c>
      <c r="K872" s="68" t="s">
        <v>977</v>
      </c>
      <c r="L872" s="67" t="s">
        <v>916</v>
      </c>
      <c r="M872" s="68" t="s">
        <v>570</v>
      </c>
      <c r="N872" s="67" t="s">
        <v>240</v>
      </c>
      <c r="O872" s="95">
        <f t="shared" si="253"/>
        <v>0.25</v>
      </c>
      <c r="P872" s="79">
        <f t="shared" si="254"/>
        <v>-6.5000000000000058E-2</v>
      </c>
      <c r="Q872" s="67" t="s">
        <v>240</v>
      </c>
      <c r="R872" s="67" t="s">
        <v>985</v>
      </c>
      <c r="S872" s="67">
        <v>181</v>
      </c>
      <c r="T872" s="78">
        <f t="shared" si="255"/>
        <v>90.5</v>
      </c>
      <c r="U872" s="78">
        <f t="shared" si="255"/>
        <v>45.25</v>
      </c>
      <c r="V872" s="67">
        <v>0.23599999999999999</v>
      </c>
      <c r="W872" s="67">
        <v>0.72899999999999998</v>
      </c>
      <c r="AB872" s="67">
        <v>2.7869999999999999</v>
      </c>
      <c r="AC872" s="67">
        <v>2.6389999999999998</v>
      </c>
      <c r="AI872" s="70">
        <f t="shared" si="252"/>
        <v>0.72899999999999998</v>
      </c>
      <c r="AK872" s="68" t="s">
        <v>989</v>
      </c>
      <c r="AP872" s="67">
        <f>+V872/AQ872</f>
        <v>6.8059723549916198E-2</v>
      </c>
      <c r="AQ872" s="67">
        <f>+AI872*SQRT(T872*U872/S872)</f>
        <v>3.4675427358577711</v>
      </c>
      <c r="AS872" s="67">
        <f>+AP872^2/(AU872-2)*(AU872/(V872/AI872)^2+AU872*AV872^2-AU872+2)</f>
        <v>4.4711421101310198E-2</v>
      </c>
      <c r="AU872" s="67">
        <f>+S872-2</f>
        <v>179</v>
      </c>
      <c r="AV872" s="67">
        <f>IFERROR(1/(SQRT(AU872/2)*_xlfn.GAMMA(AU872/2-0.5)/_xlfn.GAMMA(AU872/2)),1)</f>
        <v>0.99580321644462055</v>
      </c>
      <c r="AW872" s="67" t="s">
        <v>1350</v>
      </c>
    </row>
    <row r="873" spans="1:49" ht="30" customHeight="1" x14ac:dyDescent="0.25">
      <c r="A873" s="51" t="s">
        <v>129</v>
      </c>
      <c r="B873" s="51" t="s">
        <v>1082</v>
      </c>
      <c r="C873" s="51" t="s">
        <v>129</v>
      </c>
      <c r="D873" s="64">
        <v>1</v>
      </c>
      <c r="E873" s="64" t="s">
        <v>605</v>
      </c>
      <c r="F873" s="64" t="s">
        <v>240</v>
      </c>
      <c r="G873" s="73" t="s">
        <v>578</v>
      </c>
      <c r="H873" s="64">
        <v>0</v>
      </c>
      <c r="I873" s="100">
        <f>+(24+36)/2</f>
        <v>30</v>
      </c>
      <c r="J873" s="64">
        <v>3</v>
      </c>
      <c r="K873" s="49" t="s">
        <v>1249</v>
      </c>
      <c r="L873" s="64" t="s">
        <v>240</v>
      </c>
      <c r="M873" s="49" t="s">
        <v>1250</v>
      </c>
      <c r="N873" s="64" t="s">
        <v>240</v>
      </c>
      <c r="O873" s="101">
        <v>0.05</v>
      </c>
      <c r="P873" s="64" t="s">
        <v>240</v>
      </c>
      <c r="Q873" s="64" t="s">
        <v>240</v>
      </c>
      <c r="R873" s="64" t="s">
        <v>462</v>
      </c>
      <c r="S873" s="64">
        <v>44855</v>
      </c>
      <c r="T873" s="64">
        <v>11483</v>
      </c>
      <c r="U873" s="64">
        <f t="shared" ref="U873:U888" si="257">+S873-T873</f>
        <v>33372</v>
      </c>
      <c r="V873" s="64">
        <v>8.2600000000000007E-2</v>
      </c>
      <c r="W873" s="64">
        <v>9.7000000000000003E-3</v>
      </c>
      <c r="X873" s="64" t="s">
        <v>240</v>
      </c>
      <c r="Y873" s="64" t="s">
        <v>240</v>
      </c>
      <c r="Z873" s="102" t="s">
        <v>240</v>
      </c>
      <c r="AA873" s="102" t="s">
        <v>240</v>
      </c>
      <c r="AB873" s="102" t="s">
        <v>240</v>
      </c>
      <c r="AC873" s="102" t="s">
        <v>240</v>
      </c>
      <c r="AD873" s="102" t="s">
        <v>240</v>
      </c>
      <c r="AE873" s="102" t="s">
        <v>240</v>
      </c>
      <c r="AF873" s="102" t="s">
        <v>240</v>
      </c>
      <c r="AG873" s="102" t="s">
        <v>240</v>
      </c>
      <c r="AH873" s="102" t="s">
        <v>240</v>
      </c>
      <c r="AI873" s="102"/>
      <c r="AJ873" s="102" t="s">
        <v>240</v>
      </c>
      <c r="AK873" s="49"/>
      <c r="AL873" s="49" t="s">
        <v>1251</v>
      </c>
      <c r="AM873" s="64"/>
      <c r="AN873" s="64"/>
      <c r="AO873" s="64"/>
    </row>
    <row r="874" spans="1:49" ht="30" customHeight="1" x14ac:dyDescent="0.25">
      <c r="A874" s="51" t="s">
        <v>129</v>
      </c>
      <c r="B874" s="51" t="s">
        <v>1082</v>
      </c>
      <c r="C874" s="51" t="s">
        <v>129</v>
      </c>
      <c r="D874" s="64">
        <v>2</v>
      </c>
      <c r="E874" s="64" t="s">
        <v>605</v>
      </c>
      <c r="F874" s="64" t="s">
        <v>240</v>
      </c>
      <c r="G874" s="73" t="s">
        <v>578</v>
      </c>
      <c r="H874" s="64">
        <v>0</v>
      </c>
      <c r="I874" s="100">
        <f>+(24+36)/2</f>
        <v>30</v>
      </c>
      <c r="J874" s="64">
        <v>1</v>
      </c>
      <c r="K874" s="49" t="s">
        <v>1252</v>
      </c>
      <c r="L874" s="64" t="s">
        <v>240</v>
      </c>
      <c r="M874" s="49" t="s">
        <v>1250</v>
      </c>
      <c r="N874" s="64" t="s">
        <v>240</v>
      </c>
      <c r="O874" s="101">
        <v>0.05</v>
      </c>
      <c r="P874" s="64" t="s">
        <v>240</v>
      </c>
      <c r="Q874" s="64" t="s">
        <v>240</v>
      </c>
      <c r="R874" s="64" t="s">
        <v>462</v>
      </c>
      <c r="S874" s="64">
        <v>44855</v>
      </c>
      <c r="T874" s="64">
        <v>11483</v>
      </c>
      <c r="U874" s="64">
        <f t="shared" si="257"/>
        <v>33372</v>
      </c>
      <c r="V874" s="64">
        <v>0.1113</v>
      </c>
      <c r="W874" s="64">
        <v>1.7999999999999999E-2</v>
      </c>
      <c r="X874" s="64" t="s">
        <v>240</v>
      </c>
      <c r="Y874" s="64" t="s">
        <v>240</v>
      </c>
      <c r="Z874" s="102" t="s">
        <v>240</v>
      </c>
      <c r="AA874" s="102" t="s">
        <v>240</v>
      </c>
      <c r="AB874" s="102" t="s">
        <v>240</v>
      </c>
      <c r="AC874" s="102" t="s">
        <v>240</v>
      </c>
      <c r="AD874" s="102" t="s">
        <v>240</v>
      </c>
      <c r="AE874" s="102" t="s">
        <v>240</v>
      </c>
      <c r="AF874" s="102" t="s">
        <v>240</v>
      </c>
      <c r="AG874" s="102" t="s">
        <v>240</v>
      </c>
      <c r="AH874" s="102" t="s">
        <v>240</v>
      </c>
      <c r="AI874" s="102">
        <f>+W874</f>
        <v>1.7999999999999999E-2</v>
      </c>
      <c r="AJ874" s="102" t="s">
        <v>240</v>
      </c>
      <c r="AK874" s="49"/>
      <c r="AL874" s="49" t="s">
        <v>1251</v>
      </c>
      <c r="AM874" s="64"/>
      <c r="AN874" s="64"/>
      <c r="AO874" s="64"/>
    </row>
    <row r="875" spans="1:49" ht="30" customHeight="1" x14ac:dyDescent="0.25">
      <c r="A875" s="51" t="s">
        <v>129</v>
      </c>
      <c r="B875" s="51" t="s">
        <v>1082</v>
      </c>
      <c r="C875" s="51" t="s">
        <v>129</v>
      </c>
      <c r="D875" s="64">
        <v>3</v>
      </c>
      <c r="E875" s="64" t="s">
        <v>605</v>
      </c>
      <c r="F875" s="64" t="s">
        <v>240</v>
      </c>
      <c r="G875" s="49" t="s">
        <v>1253</v>
      </c>
      <c r="H875" s="64">
        <v>0</v>
      </c>
      <c r="I875" s="100">
        <f>+(24+36)/2</f>
        <v>30</v>
      </c>
      <c r="J875" s="64">
        <v>7</v>
      </c>
      <c r="K875" s="49" t="s">
        <v>1254</v>
      </c>
      <c r="L875" s="64" t="s">
        <v>1255</v>
      </c>
      <c r="M875" s="49" t="s">
        <v>1256</v>
      </c>
      <c r="N875" s="64" t="s">
        <v>240</v>
      </c>
      <c r="O875" s="101">
        <v>0.05</v>
      </c>
      <c r="P875" s="64" t="s">
        <v>240</v>
      </c>
      <c r="Q875" s="64" t="s">
        <v>240</v>
      </c>
      <c r="R875" s="64" t="s">
        <v>462</v>
      </c>
      <c r="S875" s="64">
        <v>44855</v>
      </c>
      <c r="T875" s="64">
        <v>11483</v>
      </c>
      <c r="U875" s="64">
        <f t="shared" si="257"/>
        <v>33372</v>
      </c>
      <c r="V875" s="64">
        <f>1.9137/100</f>
        <v>1.9137000000000001E-2</v>
      </c>
      <c r="W875" s="64">
        <f>0.1887/100</f>
        <v>1.887E-3</v>
      </c>
      <c r="X875" s="64" t="s">
        <v>240</v>
      </c>
      <c r="Y875" s="64" t="s">
        <v>240</v>
      </c>
      <c r="Z875" s="102" t="s">
        <v>240</v>
      </c>
      <c r="AA875" s="102" t="s">
        <v>240</v>
      </c>
      <c r="AB875" s="102" t="s">
        <v>240</v>
      </c>
      <c r="AC875" s="102" t="s">
        <v>240</v>
      </c>
      <c r="AD875" s="102" t="s">
        <v>240</v>
      </c>
      <c r="AE875" s="102" t="s">
        <v>240</v>
      </c>
      <c r="AF875" s="102" t="s">
        <v>240</v>
      </c>
      <c r="AG875" s="102" t="s">
        <v>240</v>
      </c>
      <c r="AH875" s="102" t="s">
        <v>240</v>
      </c>
      <c r="AI875" s="102">
        <f>+W875</f>
        <v>1.887E-3</v>
      </c>
      <c r="AJ875" s="102" t="s">
        <v>240</v>
      </c>
      <c r="AK875" s="49"/>
      <c r="AL875" s="49" t="s">
        <v>1257</v>
      </c>
      <c r="AM875" s="64"/>
      <c r="AN875" s="64"/>
      <c r="AO875" s="64"/>
      <c r="AP875" s="67">
        <f>+V875/AQ875</f>
        <v>0.10972070446521207</v>
      </c>
      <c r="AQ875" s="67">
        <f>+AI875*SQRT(T875*U875/S875)</f>
        <v>0.17441557719917447</v>
      </c>
      <c r="AS875" s="67">
        <f>+AP875^2/(AU875-2)*(AU875/(V875/AI875)^2+AU875*AV875^2-AU875+2)</f>
        <v>1.1759254416574462E-4</v>
      </c>
      <c r="AU875" s="67">
        <f>+S875-2</f>
        <v>44853</v>
      </c>
      <c r="AV875" s="67">
        <f>IFERROR(1/(SQRT(AU875/2)*_xlfn.GAMMA(AU875/2-0.5)/_xlfn.GAMMA(AU875/2)),1)</f>
        <v>1</v>
      </c>
      <c r="AW875" s="67" t="s">
        <v>1350</v>
      </c>
    </row>
    <row r="876" spans="1:49" ht="30" customHeight="1" x14ac:dyDescent="0.25">
      <c r="A876" s="51" t="s">
        <v>129</v>
      </c>
      <c r="B876" s="51" t="s">
        <v>1082</v>
      </c>
      <c r="C876" s="51" t="s">
        <v>129</v>
      </c>
      <c r="D876" s="64">
        <v>4</v>
      </c>
      <c r="E876" s="64" t="s">
        <v>605</v>
      </c>
      <c r="F876" s="64" t="s">
        <v>240</v>
      </c>
      <c r="G876" s="49" t="s">
        <v>1253</v>
      </c>
      <c r="H876" s="64">
        <v>0</v>
      </c>
      <c r="I876" s="103">
        <v>12</v>
      </c>
      <c r="J876" s="64">
        <v>7</v>
      </c>
      <c r="K876" s="49" t="s">
        <v>1258</v>
      </c>
      <c r="L876" s="64" t="s">
        <v>1255</v>
      </c>
      <c r="M876" s="49" t="s">
        <v>1256</v>
      </c>
      <c r="N876" s="64" t="s">
        <v>240</v>
      </c>
      <c r="O876" s="101">
        <v>0.05</v>
      </c>
      <c r="P876" s="64" t="s">
        <v>240</v>
      </c>
      <c r="Q876" s="64" t="s">
        <v>240</v>
      </c>
      <c r="R876" s="64" t="s">
        <v>462</v>
      </c>
      <c r="S876" s="64">
        <v>44855</v>
      </c>
      <c r="T876" s="64">
        <v>11483</v>
      </c>
      <c r="U876" s="64">
        <f t="shared" si="257"/>
        <v>33372</v>
      </c>
      <c r="V876" s="64">
        <f>2.3837/100</f>
        <v>2.3837000000000001E-2</v>
      </c>
      <c r="W876" s="64">
        <f>0.2894/100</f>
        <v>2.8939999999999999E-3</v>
      </c>
      <c r="X876" s="64" t="s">
        <v>240</v>
      </c>
      <c r="Y876" s="64" t="s">
        <v>240</v>
      </c>
      <c r="Z876" s="102" t="s">
        <v>240</v>
      </c>
      <c r="AA876" s="102" t="s">
        <v>240</v>
      </c>
      <c r="AB876" s="102" t="s">
        <v>240</v>
      </c>
      <c r="AC876" s="102" t="s">
        <v>240</v>
      </c>
      <c r="AD876" s="102" t="s">
        <v>240</v>
      </c>
      <c r="AE876" s="102" t="s">
        <v>240</v>
      </c>
      <c r="AF876" s="102" t="s">
        <v>240</v>
      </c>
      <c r="AG876" s="102" t="s">
        <v>240</v>
      </c>
      <c r="AH876" s="102" t="s">
        <v>240</v>
      </c>
      <c r="AI876" s="102">
        <f>+W876</f>
        <v>2.8939999999999999E-3</v>
      </c>
      <c r="AJ876" s="102" t="s">
        <v>240</v>
      </c>
      <c r="AK876" s="49"/>
      <c r="AL876" s="49" t="s">
        <v>1257</v>
      </c>
      <c r="AM876" s="64"/>
      <c r="AN876" s="64"/>
      <c r="AO876" s="64"/>
      <c r="AP876" s="67">
        <f>+V876/AQ876</f>
        <v>8.9112720088480146E-2</v>
      </c>
      <c r="AQ876" s="67">
        <f>+AI876*SQRT(T876*U876/S876)</f>
        <v>0.267492676425231</v>
      </c>
      <c r="AS876" s="67">
        <f>+AP876^2/(AU876-2)*(AU876/(V876/AI876)^2+AU876*AV876^2-AU876+2)</f>
        <v>1.1740982555939106E-4</v>
      </c>
      <c r="AU876" s="67">
        <f>+S876-2</f>
        <v>44853</v>
      </c>
      <c r="AV876" s="67">
        <f>IFERROR(1/(SQRT(AU876/2)*_xlfn.GAMMA(AU876/2-0.5)/_xlfn.GAMMA(AU876/2)),1)</f>
        <v>1</v>
      </c>
      <c r="AW876" s="67" t="s">
        <v>1350</v>
      </c>
    </row>
    <row r="877" spans="1:49" ht="30" customHeight="1" x14ac:dyDescent="0.25">
      <c r="A877" s="51" t="s">
        <v>129</v>
      </c>
      <c r="B877" s="51" t="s">
        <v>1082</v>
      </c>
      <c r="C877" s="51" t="s">
        <v>129</v>
      </c>
      <c r="D877" s="64">
        <v>5</v>
      </c>
      <c r="E877" s="64" t="s">
        <v>605</v>
      </c>
      <c r="F877" s="64" t="s">
        <v>240</v>
      </c>
      <c r="G877" s="73" t="s">
        <v>578</v>
      </c>
      <c r="H877" s="64">
        <v>0</v>
      </c>
      <c r="I877" s="100">
        <f>+(24+36)/2</f>
        <v>30</v>
      </c>
      <c r="J877" s="64">
        <v>3</v>
      </c>
      <c r="K877" s="49" t="s">
        <v>1249</v>
      </c>
      <c r="L877" s="64" t="s">
        <v>240</v>
      </c>
      <c r="M877" s="49" t="s">
        <v>1250</v>
      </c>
      <c r="N877" s="64" t="s">
        <v>240</v>
      </c>
      <c r="O877" s="101">
        <v>0.05</v>
      </c>
      <c r="P877" s="64" t="s">
        <v>240</v>
      </c>
      <c r="Q877" s="64" t="s">
        <v>240</v>
      </c>
      <c r="R877" s="64" t="s">
        <v>462</v>
      </c>
      <c r="S877" s="64">
        <v>44855</v>
      </c>
      <c r="T877" s="64">
        <v>11483</v>
      </c>
      <c r="U877" s="64">
        <f t="shared" si="257"/>
        <v>33372</v>
      </c>
      <c r="V877" s="64">
        <v>5.0099999999999999E-2</v>
      </c>
      <c r="W877" s="64">
        <v>8.3000000000000001E-3</v>
      </c>
      <c r="X877" s="64" t="s">
        <v>240</v>
      </c>
      <c r="Y877" s="64" t="s">
        <v>240</v>
      </c>
      <c r="Z877" s="102" t="s">
        <v>240</v>
      </c>
      <c r="AA877" s="102" t="s">
        <v>240</v>
      </c>
      <c r="AB877" s="102" t="s">
        <v>240</v>
      </c>
      <c r="AC877" s="102" t="s">
        <v>240</v>
      </c>
      <c r="AD877" s="102" t="s">
        <v>240</v>
      </c>
      <c r="AE877" s="102" t="s">
        <v>240</v>
      </c>
      <c r="AF877" s="102" t="s">
        <v>240</v>
      </c>
      <c r="AG877" s="102" t="s">
        <v>240</v>
      </c>
      <c r="AH877" s="102" t="s">
        <v>240</v>
      </c>
      <c r="AI877" s="102"/>
      <c r="AJ877" s="102" t="s">
        <v>240</v>
      </c>
      <c r="AK877" s="49"/>
      <c r="AL877" s="49" t="s">
        <v>1259</v>
      </c>
      <c r="AM877" s="64"/>
      <c r="AN877" s="64"/>
      <c r="AO877" s="64"/>
    </row>
    <row r="878" spans="1:49" ht="30" customHeight="1" x14ac:dyDescent="0.25">
      <c r="A878" s="51" t="s">
        <v>129</v>
      </c>
      <c r="B878" s="51" t="s">
        <v>1082</v>
      </c>
      <c r="C878" s="51" t="s">
        <v>129</v>
      </c>
      <c r="D878" s="64">
        <v>6</v>
      </c>
      <c r="E878" s="64" t="s">
        <v>605</v>
      </c>
      <c r="F878" s="64" t="s">
        <v>240</v>
      </c>
      <c r="G878" s="73" t="s">
        <v>578</v>
      </c>
      <c r="H878" s="64">
        <v>0</v>
      </c>
      <c r="I878" s="100">
        <f>+(24+36)/2</f>
        <v>30</v>
      </c>
      <c r="J878" s="64">
        <v>1</v>
      </c>
      <c r="K878" s="49" t="s">
        <v>1252</v>
      </c>
      <c r="L878" s="64" t="s">
        <v>240</v>
      </c>
      <c r="M878" s="49" t="s">
        <v>1250</v>
      </c>
      <c r="N878" s="64" t="s">
        <v>240</v>
      </c>
      <c r="O878" s="101">
        <v>0.05</v>
      </c>
      <c r="P878" s="64" t="s">
        <v>240</v>
      </c>
      <c r="Q878" s="64" t="s">
        <v>240</v>
      </c>
      <c r="R878" s="64" t="s">
        <v>462</v>
      </c>
      <c r="S878" s="64">
        <v>44855</v>
      </c>
      <c r="T878" s="64">
        <v>11483</v>
      </c>
      <c r="U878" s="64">
        <f t="shared" si="257"/>
        <v>33372</v>
      </c>
      <c r="V878" s="64">
        <v>4.8599999999999997E-2</v>
      </c>
      <c r="W878" s="64">
        <v>1.0999999999999999E-2</v>
      </c>
      <c r="X878" s="64" t="s">
        <v>240</v>
      </c>
      <c r="Y878" s="64" t="s">
        <v>240</v>
      </c>
      <c r="Z878" s="102" t="s">
        <v>240</v>
      </c>
      <c r="AA878" s="102" t="s">
        <v>240</v>
      </c>
      <c r="AB878" s="102" t="s">
        <v>240</v>
      </c>
      <c r="AC878" s="102" t="s">
        <v>240</v>
      </c>
      <c r="AD878" s="102" t="s">
        <v>240</v>
      </c>
      <c r="AE878" s="102" t="s">
        <v>240</v>
      </c>
      <c r="AF878" s="102" t="s">
        <v>240</v>
      </c>
      <c r="AG878" s="102" t="s">
        <v>240</v>
      </c>
      <c r="AH878" s="102" t="s">
        <v>240</v>
      </c>
      <c r="AI878" s="102">
        <f>+W878</f>
        <v>1.0999999999999999E-2</v>
      </c>
      <c r="AJ878" s="102" t="s">
        <v>240</v>
      </c>
      <c r="AK878" s="49"/>
      <c r="AL878" s="49" t="s">
        <v>1259</v>
      </c>
      <c r="AM878" s="64"/>
      <c r="AN878" s="64"/>
      <c r="AO878" s="64"/>
    </row>
    <row r="879" spans="1:49" ht="30" customHeight="1" x14ac:dyDescent="0.25">
      <c r="A879" s="51" t="s">
        <v>129</v>
      </c>
      <c r="B879" s="51" t="s">
        <v>1082</v>
      </c>
      <c r="C879" s="51" t="s">
        <v>129</v>
      </c>
      <c r="D879" s="64">
        <v>7</v>
      </c>
      <c r="E879" s="64" t="s">
        <v>605</v>
      </c>
      <c r="F879" s="64" t="s">
        <v>240</v>
      </c>
      <c r="G879" s="49" t="s">
        <v>1253</v>
      </c>
      <c r="H879" s="64">
        <v>0</v>
      </c>
      <c r="I879" s="100">
        <f>+(24+36)/2</f>
        <v>30</v>
      </c>
      <c r="J879" s="64">
        <v>7</v>
      </c>
      <c r="K879" s="49" t="s">
        <v>1254</v>
      </c>
      <c r="L879" s="64" t="s">
        <v>1255</v>
      </c>
      <c r="M879" s="49" t="s">
        <v>1256</v>
      </c>
      <c r="N879" s="64" t="s">
        <v>240</v>
      </c>
      <c r="O879" s="101">
        <v>0.05</v>
      </c>
      <c r="P879" s="64" t="s">
        <v>240</v>
      </c>
      <c r="Q879" s="64" t="s">
        <v>240</v>
      </c>
      <c r="R879" s="64" t="s">
        <v>462</v>
      </c>
      <c r="S879" s="64">
        <v>44855</v>
      </c>
      <c r="T879" s="64">
        <v>11483</v>
      </c>
      <c r="U879" s="64">
        <f t="shared" si="257"/>
        <v>33372</v>
      </c>
      <c r="V879" s="64">
        <f>1.1694/100</f>
        <v>1.1694E-2</v>
      </c>
      <c r="W879" s="64">
        <f>0.1241/100</f>
        <v>1.2409999999999999E-3</v>
      </c>
      <c r="X879" s="64" t="s">
        <v>240</v>
      </c>
      <c r="Y879" s="64" t="s">
        <v>240</v>
      </c>
      <c r="Z879" s="102" t="s">
        <v>240</v>
      </c>
      <c r="AA879" s="102" t="s">
        <v>240</v>
      </c>
      <c r="AB879" s="102" t="s">
        <v>240</v>
      </c>
      <c r="AC879" s="102" t="s">
        <v>240</v>
      </c>
      <c r="AD879" s="102" t="s">
        <v>240</v>
      </c>
      <c r="AE879" s="102" t="s">
        <v>240</v>
      </c>
      <c r="AF879" s="102" t="s">
        <v>240</v>
      </c>
      <c r="AG879" s="102" t="s">
        <v>240</v>
      </c>
      <c r="AH879" s="102" t="s">
        <v>240</v>
      </c>
      <c r="AI879" s="102">
        <f>+W879</f>
        <v>1.2409999999999999E-3</v>
      </c>
      <c r="AJ879" s="102" t="s">
        <v>240</v>
      </c>
      <c r="AK879" s="49"/>
      <c r="AL879" s="49" t="s">
        <v>1260</v>
      </c>
      <c r="AM879" s="64"/>
      <c r="AN879" s="64"/>
      <c r="AO879" s="64"/>
      <c r="AP879" s="67">
        <f>+V879/AQ879</f>
        <v>0.10194781886326286</v>
      </c>
      <c r="AQ879" s="67">
        <f>+AI879*SQRT(T879*U879/S879)</f>
        <v>0.11470573995981743</v>
      </c>
      <c r="AS879" s="67">
        <f>+AP879^2/(AU879-2)*(AU879/(V879/AI879)^2+AU879*AV879^2-AU879+2)</f>
        <v>1.1751917789888921E-4</v>
      </c>
      <c r="AU879" s="67">
        <f>+S879-2</f>
        <v>44853</v>
      </c>
      <c r="AV879" s="67">
        <f>IFERROR(1/(SQRT(AU879/2)*_xlfn.GAMMA(AU879/2-0.5)/_xlfn.GAMMA(AU879/2)),1)</f>
        <v>1</v>
      </c>
      <c r="AW879" s="67" t="s">
        <v>1350</v>
      </c>
    </row>
    <row r="880" spans="1:49" ht="30" customHeight="1" x14ac:dyDescent="0.25">
      <c r="A880" s="51" t="s">
        <v>129</v>
      </c>
      <c r="B880" s="51" t="s">
        <v>1082</v>
      </c>
      <c r="C880" s="51" t="s">
        <v>129</v>
      </c>
      <c r="D880" s="64">
        <v>8</v>
      </c>
      <c r="E880" s="64" t="s">
        <v>605</v>
      </c>
      <c r="F880" s="64" t="s">
        <v>240</v>
      </c>
      <c r="G880" s="49" t="s">
        <v>1253</v>
      </c>
      <c r="H880" s="64">
        <v>0</v>
      </c>
      <c r="I880" s="103">
        <v>12</v>
      </c>
      <c r="J880" s="64">
        <v>7</v>
      </c>
      <c r="K880" s="49" t="s">
        <v>1258</v>
      </c>
      <c r="L880" s="64" t="s">
        <v>1255</v>
      </c>
      <c r="M880" s="49" t="s">
        <v>1256</v>
      </c>
      <c r="N880" s="64" t="s">
        <v>240</v>
      </c>
      <c r="O880" s="101">
        <v>0.05</v>
      </c>
      <c r="P880" s="64" t="s">
        <v>240</v>
      </c>
      <c r="Q880" s="64" t="s">
        <v>240</v>
      </c>
      <c r="R880" s="64" t="s">
        <v>462</v>
      </c>
      <c r="S880" s="64">
        <v>44855</v>
      </c>
      <c r="T880" s="64">
        <v>11483</v>
      </c>
      <c r="U880" s="64">
        <f t="shared" si="257"/>
        <v>33372</v>
      </c>
      <c r="V880" s="64">
        <f>1.3759/100</f>
        <v>1.3758999999999999E-2</v>
      </c>
      <c r="W880" s="64">
        <f>0.1429/100</f>
        <v>1.4289999999999999E-3</v>
      </c>
      <c r="X880" s="64" t="s">
        <v>240</v>
      </c>
      <c r="Y880" s="64" t="s">
        <v>240</v>
      </c>
      <c r="Z880" s="102" t="s">
        <v>240</v>
      </c>
      <c r="AA880" s="102" t="s">
        <v>240</v>
      </c>
      <c r="AB880" s="102" t="s">
        <v>240</v>
      </c>
      <c r="AC880" s="102" t="s">
        <v>240</v>
      </c>
      <c r="AD880" s="102" t="s">
        <v>240</v>
      </c>
      <c r="AE880" s="102" t="s">
        <v>240</v>
      </c>
      <c r="AF880" s="102" t="s">
        <v>240</v>
      </c>
      <c r="AG880" s="102" t="s">
        <v>240</v>
      </c>
      <c r="AH880" s="102" t="s">
        <v>240</v>
      </c>
      <c r="AI880" s="102">
        <f>+W880</f>
        <v>1.4289999999999999E-3</v>
      </c>
      <c r="AJ880" s="102" t="s">
        <v>240</v>
      </c>
      <c r="AK880" s="49"/>
      <c r="AL880" s="49" t="s">
        <v>1260</v>
      </c>
      <c r="AM880" s="64"/>
      <c r="AN880" s="64"/>
      <c r="AO880" s="64"/>
      <c r="AP880" s="67">
        <f>+V880/AQ880</f>
        <v>0.10416966619624338</v>
      </c>
      <c r="AQ880" s="67">
        <f>+AI880*SQRT(T880*U880/S880)</f>
        <v>0.1320825966177108</v>
      </c>
      <c r="AS880" s="67">
        <f>+AP880^2/(AU880-2)*(AU880/(V880/AI880)^2+AU880*AV880^2-AU880+2)</f>
        <v>1.1753959936483046E-4</v>
      </c>
      <c r="AU880" s="67">
        <f>+S880-2</f>
        <v>44853</v>
      </c>
      <c r="AV880" s="67">
        <f>IFERROR(1/(SQRT(AU880/2)*_xlfn.GAMMA(AU880/2-0.5)/_xlfn.GAMMA(AU880/2)),1)</f>
        <v>1</v>
      </c>
      <c r="AW880" s="67" t="s">
        <v>1350</v>
      </c>
    </row>
    <row r="881" spans="1:49" ht="30" customHeight="1" x14ac:dyDescent="0.25">
      <c r="A881" s="51" t="s">
        <v>120</v>
      </c>
      <c r="B881" s="51" t="s">
        <v>1082</v>
      </c>
      <c r="C881" s="51" t="s">
        <v>120</v>
      </c>
      <c r="D881" s="64">
        <v>1</v>
      </c>
      <c r="E881" s="64" t="s">
        <v>605</v>
      </c>
      <c r="F881" s="64" t="s">
        <v>240</v>
      </c>
      <c r="G881" s="73" t="s">
        <v>578</v>
      </c>
      <c r="H881" s="64">
        <v>1</v>
      </c>
      <c r="I881" s="64">
        <v>13</v>
      </c>
      <c r="J881" s="64">
        <v>1</v>
      </c>
      <c r="K881" s="49" t="s">
        <v>1261</v>
      </c>
      <c r="L881" s="64" t="s">
        <v>240</v>
      </c>
      <c r="M881" s="49" t="s">
        <v>570</v>
      </c>
      <c r="N881" s="64" t="s">
        <v>240</v>
      </c>
      <c r="O881" s="101">
        <v>0.21</v>
      </c>
      <c r="P881" s="69">
        <f>+(150/163-1)-(178/195-1)</f>
        <v>7.4248859524933541E-3</v>
      </c>
      <c r="Q881" s="64" t="s">
        <v>240</v>
      </c>
      <c r="R881" s="64" t="s">
        <v>712</v>
      </c>
      <c r="S881" s="64">
        <v>342</v>
      </c>
      <c r="T881" s="64">
        <f t="shared" ref="T881:T888" si="258">+ROUND(S881*(150/(150+178)),0)</f>
        <v>156</v>
      </c>
      <c r="U881" s="64">
        <f t="shared" si="257"/>
        <v>186</v>
      </c>
      <c r="V881" s="64">
        <v>-2.7E-2</v>
      </c>
      <c r="W881" s="64">
        <v>3.6999999999999998E-2</v>
      </c>
      <c r="X881" s="64" t="s">
        <v>240</v>
      </c>
      <c r="Y881" s="64" t="s">
        <v>240</v>
      </c>
      <c r="Z881" s="102" t="s">
        <v>240</v>
      </c>
      <c r="AA881" s="102" t="s">
        <v>240</v>
      </c>
      <c r="AB881" s="102" t="s">
        <v>240</v>
      </c>
      <c r="AC881" s="102" t="s">
        <v>240</v>
      </c>
      <c r="AD881" s="102" t="s">
        <v>240</v>
      </c>
      <c r="AE881" s="102" t="s">
        <v>240</v>
      </c>
      <c r="AF881" s="102" t="s">
        <v>240</v>
      </c>
      <c r="AG881" s="102" t="s">
        <v>240</v>
      </c>
      <c r="AH881" s="102" t="s">
        <v>240</v>
      </c>
      <c r="AI881" s="102">
        <f>+W881</f>
        <v>3.6999999999999998E-2</v>
      </c>
      <c r="AJ881" s="102" t="s">
        <v>240</v>
      </c>
      <c r="AK881" s="49"/>
      <c r="AL881" s="49" t="s">
        <v>1262</v>
      </c>
      <c r="AM881" s="64"/>
      <c r="AN881" s="64"/>
      <c r="AO881" s="64"/>
    </row>
    <row r="882" spans="1:49" ht="30" customHeight="1" x14ac:dyDescent="0.25">
      <c r="A882" s="51" t="s">
        <v>120</v>
      </c>
      <c r="B882" s="51" t="s">
        <v>1082</v>
      </c>
      <c r="C882" s="51" t="s">
        <v>120</v>
      </c>
      <c r="D882" s="64">
        <v>2</v>
      </c>
      <c r="E882" s="64" t="s">
        <v>605</v>
      </c>
      <c r="F882" s="64" t="s">
        <v>240</v>
      </c>
      <c r="G882" s="73" t="s">
        <v>578</v>
      </c>
      <c r="H882" s="64">
        <v>1</v>
      </c>
      <c r="I882" s="64">
        <v>13</v>
      </c>
      <c r="J882" s="64">
        <v>3</v>
      </c>
      <c r="K882" s="49" t="s">
        <v>1263</v>
      </c>
      <c r="L882" s="64" t="s">
        <v>240</v>
      </c>
      <c r="M882" s="49" t="s">
        <v>570</v>
      </c>
      <c r="N882" s="64" t="s">
        <v>240</v>
      </c>
      <c r="O882" s="101">
        <v>0.21</v>
      </c>
      <c r="P882" s="69">
        <f>+(150/163-1)-(178/195-1)</f>
        <v>7.4248859524933541E-3</v>
      </c>
      <c r="Q882" s="64" t="s">
        <v>240</v>
      </c>
      <c r="R882" s="64" t="s">
        <v>712</v>
      </c>
      <c r="S882" s="64">
        <v>285</v>
      </c>
      <c r="T882" s="64">
        <f t="shared" si="258"/>
        <v>130</v>
      </c>
      <c r="U882" s="64">
        <f t="shared" si="257"/>
        <v>155</v>
      </c>
      <c r="V882" s="64">
        <v>0.02</v>
      </c>
      <c r="W882" s="64">
        <v>4.3999999999999997E-2</v>
      </c>
      <c r="X882" s="64">
        <v>0.7</v>
      </c>
      <c r="Y882" s="64">
        <v>0.71399999999999997</v>
      </c>
      <c r="Z882" s="64">
        <v>0.46200000000000002</v>
      </c>
      <c r="AA882" s="64" t="s">
        <v>704</v>
      </c>
      <c r="AB882" s="102" t="s">
        <v>240</v>
      </c>
      <c r="AC882" s="102" t="s">
        <v>240</v>
      </c>
      <c r="AD882" s="102" t="s">
        <v>240</v>
      </c>
      <c r="AE882" s="102" t="s">
        <v>240</v>
      </c>
      <c r="AF882" s="102" t="s">
        <v>240</v>
      </c>
      <c r="AG882" s="102" t="s">
        <v>240</v>
      </c>
      <c r="AH882" s="102" t="s">
        <v>240</v>
      </c>
      <c r="AI882" s="102"/>
      <c r="AJ882" s="102" t="s">
        <v>240</v>
      </c>
      <c r="AK882" s="49"/>
      <c r="AL882" s="49" t="s">
        <v>1262</v>
      </c>
      <c r="AM882" s="64"/>
      <c r="AN882" s="64"/>
      <c r="AO882" s="64"/>
    </row>
    <row r="883" spans="1:49" ht="30" customHeight="1" x14ac:dyDescent="0.25">
      <c r="A883" s="51" t="s">
        <v>120</v>
      </c>
      <c r="B883" s="51" t="s">
        <v>1082</v>
      </c>
      <c r="C883" s="51" t="s">
        <v>120</v>
      </c>
      <c r="D883" s="64">
        <v>3</v>
      </c>
      <c r="E883" s="64" t="s">
        <v>605</v>
      </c>
      <c r="F883" s="64" t="s">
        <v>240</v>
      </c>
      <c r="G883" s="73" t="s">
        <v>578</v>
      </c>
      <c r="H883" s="64">
        <v>1</v>
      </c>
      <c r="I883" s="64">
        <v>13</v>
      </c>
      <c r="J883" s="64">
        <v>2</v>
      </c>
      <c r="K883" s="49" t="s">
        <v>1264</v>
      </c>
      <c r="L883" s="64" t="s">
        <v>1265</v>
      </c>
      <c r="M883" s="49" t="s">
        <v>570</v>
      </c>
      <c r="N883" s="64">
        <v>0</v>
      </c>
      <c r="O883" s="101">
        <v>0.21</v>
      </c>
      <c r="P883" s="69">
        <f>+(150/163-1)-(178/195-1)</f>
        <v>7.4248859524933541E-3</v>
      </c>
      <c r="Q883" s="64" t="s">
        <v>240</v>
      </c>
      <c r="R883" s="64" t="s">
        <v>712</v>
      </c>
      <c r="S883" s="64">
        <v>341</v>
      </c>
      <c r="T883" s="64">
        <f t="shared" si="258"/>
        <v>156</v>
      </c>
      <c r="U883" s="64">
        <f t="shared" si="257"/>
        <v>185</v>
      </c>
      <c r="V883" s="64">
        <v>47.220999999999997</v>
      </c>
      <c r="W883" s="64">
        <v>52.210999999999999</v>
      </c>
      <c r="X883" s="64">
        <v>406.8</v>
      </c>
      <c r="Y883" s="64">
        <v>499.47</v>
      </c>
      <c r="Z883" s="64">
        <v>436.54</v>
      </c>
      <c r="AA883" s="64" t="s">
        <v>704</v>
      </c>
      <c r="AB883" s="102" t="s">
        <v>240</v>
      </c>
      <c r="AC883" s="102" t="s">
        <v>240</v>
      </c>
      <c r="AD883" s="102" t="s">
        <v>240</v>
      </c>
      <c r="AE883" s="102" t="s">
        <v>240</v>
      </c>
      <c r="AF883" s="102" t="s">
        <v>240</v>
      </c>
      <c r="AG883" s="102" t="s">
        <v>240</v>
      </c>
      <c r="AH883" s="102" t="s">
        <v>240</v>
      </c>
      <c r="AI883" s="102">
        <f>+W883</f>
        <v>52.210999999999999</v>
      </c>
      <c r="AJ883" s="102" t="s">
        <v>240</v>
      </c>
      <c r="AK883" s="49"/>
      <c r="AL883" s="49" t="s">
        <v>1262</v>
      </c>
      <c r="AM883" s="64"/>
      <c r="AN883" s="64"/>
      <c r="AO883" s="64"/>
      <c r="AP883" s="67">
        <f>+V883/AQ883</f>
        <v>9.8311018332058561E-2</v>
      </c>
      <c r="AQ883" s="67">
        <f>+AI883*SQRT(T883*U883/S883)</f>
        <v>480.32255998513591</v>
      </c>
      <c r="AS883" s="67">
        <f>+AP883^2/(AU883-2)*(AU883/(V883/AI883)^2+AU883*AV883^2-AU883+2)</f>
        <v>1.1900134905949268E-2</v>
      </c>
      <c r="AU883" s="67">
        <f>+S883-2</f>
        <v>339</v>
      </c>
      <c r="AV883" s="67">
        <f>IFERROR(1/(SQRT(AU883/2)*_xlfn.GAMMA(AU883/2-0.5)/_xlfn.GAMMA(AU883/2)),1)</f>
        <v>0.99778570533532185</v>
      </c>
      <c r="AW883" s="67" t="s">
        <v>1350</v>
      </c>
    </row>
    <row r="884" spans="1:49" ht="30" customHeight="1" x14ac:dyDescent="0.25">
      <c r="A884" s="51" t="s">
        <v>120</v>
      </c>
      <c r="B884" s="51" t="s">
        <v>1082</v>
      </c>
      <c r="C884" s="51" t="s">
        <v>120</v>
      </c>
      <c r="D884" s="64">
        <v>4</v>
      </c>
      <c r="E884" s="64" t="s">
        <v>605</v>
      </c>
      <c r="F884" s="64" t="s">
        <v>240</v>
      </c>
      <c r="G884" s="73" t="s">
        <v>578</v>
      </c>
      <c r="H884" s="64">
        <v>1</v>
      </c>
      <c r="I884" s="64">
        <v>13</v>
      </c>
      <c r="J884" s="64">
        <v>4</v>
      </c>
      <c r="K884" s="49" t="s">
        <v>1266</v>
      </c>
      <c r="L884" s="64" t="s">
        <v>1265</v>
      </c>
      <c r="M884" s="49" t="s">
        <v>570</v>
      </c>
      <c r="N884" s="64">
        <v>0</v>
      </c>
      <c r="O884" s="101">
        <v>0.21</v>
      </c>
      <c r="P884" s="69">
        <f>+(150/163-1)-(178/195-1)</f>
        <v>7.4248859524933541E-3</v>
      </c>
      <c r="Q884" s="64" t="s">
        <v>240</v>
      </c>
      <c r="R884" s="64" t="s">
        <v>712</v>
      </c>
      <c r="S884" s="64">
        <v>300</v>
      </c>
      <c r="T884" s="64">
        <f t="shared" si="258"/>
        <v>137</v>
      </c>
      <c r="U884" s="64">
        <f t="shared" si="257"/>
        <v>163</v>
      </c>
      <c r="V884" s="64">
        <v>60.933999999999997</v>
      </c>
      <c r="W884" s="64">
        <v>43.786999999999999</v>
      </c>
      <c r="X884" s="64">
        <v>749.37</v>
      </c>
      <c r="Y884" s="64">
        <v>760.46</v>
      </c>
      <c r="Z884" s="64">
        <v>305.05</v>
      </c>
      <c r="AA884" s="64" t="s">
        <v>704</v>
      </c>
      <c r="AB884" s="102" t="s">
        <v>240</v>
      </c>
      <c r="AC884" s="102" t="s">
        <v>240</v>
      </c>
      <c r="AD884" s="102" t="s">
        <v>240</v>
      </c>
      <c r="AE884" s="102" t="s">
        <v>240</v>
      </c>
      <c r="AF884" s="102" t="s">
        <v>240</v>
      </c>
      <c r="AG884" s="102" t="s">
        <v>240</v>
      </c>
      <c r="AH884" s="102" t="s">
        <v>240</v>
      </c>
      <c r="AI884" s="102">
        <f>+W884</f>
        <v>43.786999999999999</v>
      </c>
      <c r="AJ884" s="102" t="s">
        <v>240</v>
      </c>
      <c r="AK884" s="49"/>
      <c r="AL884" s="49" t="s">
        <v>1262</v>
      </c>
      <c r="AM884" s="64"/>
      <c r="AN884" s="64"/>
      <c r="AO884" s="64"/>
      <c r="AP884" s="67">
        <f>+V884/AQ884</f>
        <v>0.16129504968190153</v>
      </c>
      <c r="AQ884" s="67">
        <f>+AI884*SQRT(T884*U884/S884)</f>
        <v>377.77972802123281</v>
      </c>
      <c r="AS884" s="67">
        <f>+AP884^2/(AU884-2)*(AU884/(V884/AI884)^2+AU884*AV884^2-AU884+2)</f>
        <v>1.3568994442912319E-2</v>
      </c>
      <c r="AU884" s="67">
        <f>+S884-2</f>
        <v>298</v>
      </c>
      <c r="AV884" s="67">
        <f>IFERROR(1/(SQRT(AU884/2)*_xlfn.GAMMA(AU884/2-0.5)/_xlfn.GAMMA(AU884/2)),1)</f>
        <v>0.99748075553329352</v>
      </c>
      <c r="AW884" s="67" t="s">
        <v>1350</v>
      </c>
    </row>
    <row r="885" spans="1:49" ht="30" customHeight="1" x14ac:dyDescent="0.25">
      <c r="A885" s="51" t="s">
        <v>120</v>
      </c>
      <c r="B885" s="51" t="s">
        <v>1082</v>
      </c>
      <c r="C885" s="51" t="s">
        <v>120</v>
      </c>
      <c r="D885" s="64">
        <v>5</v>
      </c>
      <c r="E885" s="64" t="s">
        <v>605</v>
      </c>
      <c r="F885" s="64" t="s">
        <v>240</v>
      </c>
      <c r="G885" s="49" t="s">
        <v>1253</v>
      </c>
      <c r="H885" s="64">
        <v>1</v>
      </c>
      <c r="I885" s="103">
        <f>+(2+5)/2</f>
        <v>3.5</v>
      </c>
      <c r="J885" s="64">
        <v>1</v>
      </c>
      <c r="K885" s="49" t="s">
        <v>1267</v>
      </c>
      <c r="L885" s="64" t="s">
        <v>240</v>
      </c>
      <c r="M885" s="49" t="s">
        <v>570</v>
      </c>
      <c r="N885" s="64" t="s">
        <v>240</v>
      </c>
      <c r="O885" s="101">
        <v>0.08</v>
      </c>
      <c r="P885" s="64">
        <v>-4.0000000000000002E-4</v>
      </c>
      <c r="Q885" s="64">
        <v>0.03</v>
      </c>
      <c r="R885" s="64" t="s">
        <v>722</v>
      </c>
      <c r="S885" s="64">
        <v>358</v>
      </c>
      <c r="T885" s="64">
        <f t="shared" si="258"/>
        <v>164</v>
      </c>
      <c r="U885" s="64">
        <f t="shared" si="257"/>
        <v>194</v>
      </c>
      <c r="V885" s="64">
        <v>3.7999999999999999E-2</v>
      </c>
      <c r="W885" s="64">
        <v>6.4000000000000001E-2</v>
      </c>
      <c r="X885" s="64">
        <v>0.61099999999999999</v>
      </c>
      <c r="Y885" s="64">
        <v>0.69699999999999995</v>
      </c>
      <c r="Z885" s="64">
        <v>0.46100000000000002</v>
      </c>
      <c r="AA885" s="64" t="s">
        <v>1268</v>
      </c>
      <c r="AB885" s="64" t="s">
        <v>240</v>
      </c>
      <c r="AC885" s="64">
        <v>0.747</v>
      </c>
      <c r="AD885" s="64" t="s">
        <v>240</v>
      </c>
      <c r="AE885" s="102" t="s">
        <v>240</v>
      </c>
      <c r="AF885" s="102" t="s">
        <v>240</v>
      </c>
      <c r="AG885" s="102" t="s">
        <v>240</v>
      </c>
      <c r="AH885" s="102" t="s">
        <v>240</v>
      </c>
      <c r="AI885" s="102">
        <f>+W885</f>
        <v>6.4000000000000001E-2</v>
      </c>
      <c r="AJ885" s="102" t="s">
        <v>240</v>
      </c>
      <c r="AK885" s="49"/>
      <c r="AL885" s="49"/>
      <c r="AM885" s="64"/>
      <c r="AN885" s="64"/>
      <c r="AO885" s="64"/>
    </row>
    <row r="886" spans="1:49" ht="30" customHeight="1" x14ac:dyDescent="0.25">
      <c r="A886" s="51" t="s">
        <v>120</v>
      </c>
      <c r="B886" s="51" t="s">
        <v>1082</v>
      </c>
      <c r="C886" s="51" t="s">
        <v>120</v>
      </c>
      <c r="D886" s="64">
        <v>6</v>
      </c>
      <c r="E886" s="64" t="s">
        <v>605</v>
      </c>
      <c r="F886" s="64" t="s">
        <v>240</v>
      </c>
      <c r="G886" s="49" t="s">
        <v>1253</v>
      </c>
      <c r="H886" s="64">
        <v>1</v>
      </c>
      <c r="I886" s="103">
        <f>+(11+13)/2</f>
        <v>12</v>
      </c>
      <c r="J886" s="64">
        <v>1</v>
      </c>
      <c r="K886" s="49" t="s">
        <v>1267</v>
      </c>
      <c r="L886" s="64" t="s">
        <v>240</v>
      </c>
      <c r="M886" s="49" t="s">
        <v>570</v>
      </c>
      <c r="N886" s="64" t="s">
        <v>240</v>
      </c>
      <c r="O886" s="101">
        <v>0.21</v>
      </c>
      <c r="P886" s="64">
        <v>-5.9799999999999999E-2</v>
      </c>
      <c r="Q886" s="64">
        <v>4.3999999999999997E-2</v>
      </c>
      <c r="R886" s="64" t="s">
        <v>722</v>
      </c>
      <c r="S886" s="64">
        <v>358</v>
      </c>
      <c r="T886" s="64">
        <f t="shared" si="258"/>
        <v>164</v>
      </c>
      <c r="U886" s="64">
        <f t="shared" si="257"/>
        <v>194</v>
      </c>
      <c r="V886" s="64">
        <v>0.129</v>
      </c>
      <c r="W886" s="64">
        <v>6.9000000000000006E-2</v>
      </c>
      <c r="X886" s="64">
        <v>0.61099999999999999</v>
      </c>
      <c r="Y886" s="64">
        <v>0.69699999999999995</v>
      </c>
      <c r="Z886" s="64">
        <v>0.46100000000000002</v>
      </c>
      <c r="AA886" s="64" t="s">
        <v>1268</v>
      </c>
      <c r="AB886" s="64" t="s">
        <v>240</v>
      </c>
      <c r="AC886" s="64">
        <v>0.83699999999999997</v>
      </c>
      <c r="AD886" s="64" t="s">
        <v>240</v>
      </c>
      <c r="AE886" s="102" t="s">
        <v>240</v>
      </c>
      <c r="AF886" s="102" t="s">
        <v>240</v>
      </c>
      <c r="AG886" s="102" t="s">
        <v>240</v>
      </c>
      <c r="AH886" s="102" t="s">
        <v>240</v>
      </c>
      <c r="AI886" s="102">
        <f>+W886</f>
        <v>6.9000000000000006E-2</v>
      </c>
      <c r="AJ886" s="102" t="s">
        <v>240</v>
      </c>
      <c r="AK886" s="49"/>
      <c r="AL886" s="49" t="s">
        <v>1269</v>
      </c>
      <c r="AM886" s="64"/>
      <c r="AN886" s="64"/>
      <c r="AO886" s="64"/>
    </row>
    <row r="887" spans="1:49" ht="30" customHeight="1" x14ac:dyDescent="0.25">
      <c r="A887" s="51" t="s">
        <v>120</v>
      </c>
      <c r="B887" s="51" t="s">
        <v>1082</v>
      </c>
      <c r="C887" s="51" t="s">
        <v>120</v>
      </c>
      <c r="D887" s="64">
        <v>7</v>
      </c>
      <c r="E887" s="64" t="s">
        <v>605</v>
      </c>
      <c r="F887" s="64" t="s">
        <v>240</v>
      </c>
      <c r="G887" s="49" t="s">
        <v>1253</v>
      </c>
      <c r="H887" s="64">
        <v>1</v>
      </c>
      <c r="I887" s="103">
        <f>+(2+5)/2</f>
        <v>3.5</v>
      </c>
      <c r="J887" s="64">
        <v>3</v>
      </c>
      <c r="K887" s="49" t="s">
        <v>1270</v>
      </c>
      <c r="L887" s="64" t="s">
        <v>240</v>
      </c>
      <c r="M887" s="49" t="s">
        <v>570</v>
      </c>
      <c r="N887" s="64" t="s">
        <v>240</v>
      </c>
      <c r="O887" s="101">
        <v>0.08</v>
      </c>
      <c r="P887" s="64">
        <v>-4.0000000000000002E-4</v>
      </c>
      <c r="Q887" s="64">
        <v>0.03</v>
      </c>
      <c r="R887" s="64" t="s">
        <v>722</v>
      </c>
      <c r="S887" s="64">
        <v>307</v>
      </c>
      <c r="T887" s="64">
        <f t="shared" si="258"/>
        <v>140</v>
      </c>
      <c r="U887" s="64">
        <f t="shared" si="257"/>
        <v>167</v>
      </c>
      <c r="V887" s="64">
        <v>-3.0000000000000001E-3</v>
      </c>
      <c r="W887" s="64">
        <v>8.4000000000000005E-2</v>
      </c>
      <c r="X887" s="64">
        <v>0.7</v>
      </c>
      <c r="Y887" s="64">
        <v>0.71399999999999997</v>
      </c>
      <c r="Z887" s="64">
        <v>0.45400000000000001</v>
      </c>
      <c r="AA887" s="64" t="s">
        <v>1268</v>
      </c>
      <c r="AB887" s="64" t="s">
        <v>240</v>
      </c>
      <c r="AC887" s="64">
        <v>0.80200000000000005</v>
      </c>
      <c r="AD887" s="64" t="s">
        <v>240</v>
      </c>
      <c r="AE887" s="102" t="s">
        <v>240</v>
      </c>
      <c r="AF887" s="102" t="s">
        <v>240</v>
      </c>
      <c r="AG887" s="102" t="s">
        <v>240</v>
      </c>
      <c r="AH887" s="102" t="s">
        <v>240</v>
      </c>
      <c r="AI887" s="102"/>
      <c r="AJ887" s="102" t="s">
        <v>240</v>
      </c>
      <c r="AK887" s="49"/>
      <c r="AL887" s="49" t="s">
        <v>1269</v>
      </c>
      <c r="AM887" s="64"/>
      <c r="AN887" s="64"/>
      <c r="AO887" s="64"/>
    </row>
    <row r="888" spans="1:49" ht="30" customHeight="1" x14ac:dyDescent="0.25">
      <c r="A888" s="51" t="s">
        <v>120</v>
      </c>
      <c r="B888" s="51" t="s">
        <v>1082</v>
      </c>
      <c r="C888" s="51" t="s">
        <v>120</v>
      </c>
      <c r="D888" s="64">
        <v>8</v>
      </c>
      <c r="E888" s="64" t="s">
        <v>605</v>
      </c>
      <c r="F888" s="64" t="s">
        <v>240</v>
      </c>
      <c r="G888" s="49" t="s">
        <v>1253</v>
      </c>
      <c r="H888" s="64">
        <v>1</v>
      </c>
      <c r="I888" s="103">
        <f>+(11+13)/2</f>
        <v>12</v>
      </c>
      <c r="J888" s="64">
        <v>3</v>
      </c>
      <c r="K888" s="49" t="s">
        <v>1270</v>
      </c>
      <c r="L888" s="64" t="s">
        <v>240</v>
      </c>
      <c r="M888" s="49" t="s">
        <v>570</v>
      </c>
      <c r="N888" s="64" t="s">
        <v>240</v>
      </c>
      <c r="O888" s="101">
        <v>0.21</v>
      </c>
      <c r="P888" s="64">
        <v>-5.9799999999999999E-2</v>
      </c>
      <c r="Q888" s="64">
        <v>4.3999999999999997E-2</v>
      </c>
      <c r="R888" s="64" t="s">
        <v>722</v>
      </c>
      <c r="S888" s="64">
        <v>307</v>
      </c>
      <c r="T888" s="64">
        <f t="shared" si="258"/>
        <v>140</v>
      </c>
      <c r="U888" s="64">
        <f t="shared" si="257"/>
        <v>167</v>
      </c>
      <c r="V888" s="64">
        <v>-1.0999999999999999E-2</v>
      </c>
      <c r="W888" s="64">
        <v>9.2999999999999999E-2</v>
      </c>
      <c r="X888" s="64">
        <v>0.7</v>
      </c>
      <c r="Y888" s="64">
        <v>0.71399999999999997</v>
      </c>
      <c r="Z888" s="64">
        <v>0.45400000000000001</v>
      </c>
      <c r="AA888" s="64" t="s">
        <v>1268</v>
      </c>
      <c r="AB888" s="64" t="s">
        <v>240</v>
      </c>
      <c r="AC888" s="64">
        <v>0.82099999999999995</v>
      </c>
      <c r="AD888" s="64" t="s">
        <v>240</v>
      </c>
      <c r="AE888" s="102" t="s">
        <v>240</v>
      </c>
      <c r="AF888" s="102" t="s">
        <v>240</v>
      </c>
      <c r="AG888" s="102" t="s">
        <v>240</v>
      </c>
      <c r="AH888" s="102" t="s">
        <v>240</v>
      </c>
      <c r="AI888" s="102"/>
      <c r="AJ888" s="102" t="s">
        <v>240</v>
      </c>
      <c r="AK888" s="49"/>
      <c r="AL888" s="49" t="s">
        <v>1269</v>
      </c>
      <c r="AM888" s="64"/>
      <c r="AN888" s="64"/>
      <c r="AO888" s="64"/>
    </row>
    <row r="889" spans="1:49" ht="30" customHeight="1" x14ac:dyDescent="0.25">
      <c r="A889" s="51" t="s">
        <v>120</v>
      </c>
      <c r="B889" s="51" t="s">
        <v>1082</v>
      </c>
      <c r="C889" s="51" t="s">
        <v>120</v>
      </c>
      <c r="D889" s="64">
        <v>9</v>
      </c>
      <c r="E889" s="64" t="s">
        <v>605</v>
      </c>
      <c r="F889" s="64" t="s">
        <v>240</v>
      </c>
      <c r="G889" s="49" t="s">
        <v>1253</v>
      </c>
      <c r="H889" s="64">
        <v>1</v>
      </c>
      <c r="I889" s="103">
        <f>+(2+5)/2</f>
        <v>3.5</v>
      </c>
      <c r="J889" s="64">
        <v>3</v>
      </c>
      <c r="K889" s="49" t="s">
        <v>1270</v>
      </c>
      <c r="L889" s="64" t="s">
        <v>240</v>
      </c>
      <c r="M889" s="49" t="s">
        <v>570</v>
      </c>
      <c r="N889" s="64" t="s">
        <v>240</v>
      </c>
      <c r="O889" s="101">
        <v>0.08</v>
      </c>
      <c r="P889" s="64">
        <v>-4.0000000000000002E-4</v>
      </c>
      <c r="Q889" s="64">
        <v>0.03</v>
      </c>
      <c r="R889" s="64" t="s">
        <v>722</v>
      </c>
      <c r="S889" s="64">
        <f t="shared" ref="S889:S894" si="259">+T889+U889</f>
        <v>328</v>
      </c>
      <c r="T889" s="64">
        <v>150</v>
      </c>
      <c r="U889" s="64">
        <v>178</v>
      </c>
      <c r="V889" s="64">
        <v>-3.0000000000000001E-3</v>
      </c>
      <c r="W889" s="64">
        <v>8.4000000000000005E-2</v>
      </c>
      <c r="X889" s="64">
        <v>0.7</v>
      </c>
      <c r="Y889" s="64">
        <v>0.71399999999999997</v>
      </c>
      <c r="Z889" s="64">
        <v>0.45400000000000001</v>
      </c>
      <c r="AA889" s="64" t="s">
        <v>1268</v>
      </c>
      <c r="AB889" s="64" t="s">
        <v>240</v>
      </c>
      <c r="AC889" s="64">
        <v>0.80200000000000005</v>
      </c>
      <c r="AD889" s="64" t="s">
        <v>240</v>
      </c>
      <c r="AE889" s="102" t="s">
        <v>240</v>
      </c>
      <c r="AF889" s="102" t="s">
        <v>240</v>
      </c>
      <c r="AG889" s="102" t="s">
        <v>240</v>
      </c>
      <c r="AH889" s="102" t="s">
        <v>240</v>
      </c>
      <c r="AI889" s="102"/>
      <c r="AJ889" s="102" t="s">
        <v>240</v>
      </c>
      <c r="AK889" s="49"/>
      <c r="AL889" s="49" t="s">
        <v>1269</v>
      </c>
      <c r="AM889" s="64"/>
      <c r="AN889" s="64"/>
      <c r="AO889" s="64"/>
    </row>
    <row r="890" spans="1:49" ht="30" customHeight="1" x14ac:dyDescent="0.25">
      <c r="A890" s="51" t="s">
        <v>120</v>
      </c>
      <c r="B890" s="51" t="s">
        <v>1082</v>
      </c>
      <c r="C890" s="51" t="s">
        <v>120</v>
      </c>
      <c r="D890" s="64">
        <v>10</v>
      </c>
      <c r="E890" s="64" t="s">
        <v>605</v>
      </c>
      <c r="F890" s="64" t="s">
        <v>240</v>
      </c>
      <c r="G890" s="49" t="s">
        <v>1253</v>
      </c>
      <c r="H890" s="64">
        <v>1</v>
      </c>
      <c r="I890" s="103">
        <f>+(11+13)/2</f>
        <v>12</v>
      </c>
      <c r="J890" s="64">
        <v>3</v>
      </c>
      <c r="K890" s="49" t="s">
        <v>1270</v>
      </c>
      <c r="L890" s="64" t="s">
        <v>240</v>
      </c>
      <c r="M890" s="49" t="s">
        <v>570</v>
      </c>
      <c r="N890" s="64" t="s">
        <v>240</v>
      </c>
      <c r="O890" s="101">
        <v>0.21</v>
      </c>
      <c r="P890" s="64">
        <v>-5.9799999999999999E-2</v>
      </c>
      <c r="Q890" s="64">
        <v>4.3999999999999997E-2</v>
      </c>
      <c r="R890" s="64" t="s">
        <v>722</v>
      </c>
      <c r="S890" s="64">
        <f t="shared" si="259"/>
        <v>282</v>
      </c>
      <c r="T890" s="64">
        <f>+T889-23</f>
        <v>127</v>
      </c>
      <c r="U890" s="64">
        <f>+U889-23</f>
        <v>155</v>
      </c>
      <c r="V890" s="64">
        <v>-1.0999999999999999E-2</v>
      </c>
      <c r="W890" s="64">
        <v>9.2999999999999999E-2</v>
      </c>
      <c r="X890" s="64">
        <v>0.7</v>
      </c>
      <c r="Y890" s="64">
        <v>0.71399999999999997</v>
      </c>
      <c r="Z890" s="64">
        <v>0.45400000000000001</v>
      </c>
      <c r="AA890" s="64" t="s">
        <v>1268</v>
      </c>
      <c r="AB890" s="64" t="s">
        <v>240</v>
      </c>
      <c r="AC890" s="64">
        <v>0.82099999999999995</v>
      </c>
      <c r="AD890" s="64" t="s">
        <v>240</v>
      </c>
      <c r="AE890" s="102" t="s">
        <v>240</v>
      </c>
      <c r="AF890" s="102" t="s">
        <v>240</v>
      </c>
      <c r="AG890" s="102" t="s">
        <v>240</v>
      </c>
      <c r="AH890" s="102" t="s">
        <v>240</v>
      </c>
      <c r="AI890" s="102"/>
      <c r="AJ890" s="102" t="s">
        <v>240</v>
      </c>
      <c r="AK890" s="49"/>
      <c r="AL890" s="49" t="s">
        <v>1269</v>
      </c>
      <c r="AM890" s="64"/>
      <c r="AN890" s="64"/>
      <c r="AO890" s="64"/>
    </row>
    <row r="891" spans="1:49" ht="30" customHeight="1" x14ac:dyDescent="0.25">
      <c r="A891" s="51" t="s">
        <v>120</v>
      </c>
      <c r="B891" s="51" t="s">
        <v>1082</v>
      </c>
      <c r="C891" s="51" t="s">
        <v>120</v>
      </c>
      <c r="D891" s="64">
        <v>11</v>
      </c>
      <c r="E891" s="64" t="s">
        <v>605</v>
      </c>
      <c r="F891" s="64" t="s">
        <v>240</v>
      </c>
      <c r="G891" s="49" t="s">
        <v>1253</v>
      </c>
      <c r="H891" s="64">
        <v>1</v>
      </c>
      <c r="I891" s="103">
        <f>+(2+5)/2</f>
        <v>3.5</v>
      </c>
      <c r="J891" s="64">
        <v>2</v>
      </c>
      <c r="K891" s="49" t="s">
        <v>1264</v>
      </c>
      <c r="L891" s="64" t="s">
        <v>1255</v>
      </c>
      <c r="M891" s="49" t="s">
        <v>570</v>
      </c>
      <c r="N891" s="64" t="s">
        <v>240</v>
      </c>
      <c r="O891" s="101">
        <v>0.08</v>
      </c>
      <c r="P891" s="64">
        <v>-4.0000000000000002E-4</v>
      </c>
      <c r="Q891" s="64">
        <v>0.03</v>
      </c>
      <c r="R891" s="64" t="s">
        <v>722</v>
      </c>
      <c r="S891" s="64">
        <f t="shared" si="259"/>
        <v>328</v>
      </c>
      <c r="T891" s="64">
        <v>150</v>
      </c>
      <c r="U891" s="64">
        <v>178</v>
      </c>
      <c r="V891" s="64">
        <v>90.575999999999993</v>
      </c>
      <c r="W891" s="64">
        <v>62.866</v>
      </c>
      <c r="X891" s="64">
        <v>406.8</v>
      </c>
      <c r="Y891" s="64">
        <v>499.47</v>
      </c>
      <c r="Z891" s="64">
        <v>454.97</v>
      </c>
      <c r="AA891" s="64" t="s">
        <v>1268</v>
      </c>
      <c r="AB891" s="64" t="s">
        <v>240</v>
      </c>
      <c r="AC891" s="64">
        <v>663.28</v>
      </c>
      <c r="AD891" s="64" t="s">
        <v>240</v>
      </c>
      <c r="AE891" s="102" t="s">
        <v>240</v>
      </c>
      <c r="AF891" s="102" t="s">
        <v>240</v>
      </c>
      <c r="AG891" s="102" t="s">
        <v>240</v>
      </c>
      <c r="AH891" s="102" t="s">
        <v>240</v>
      </c>
      <c r="AI891" s="102">
        <f t="shared" ref="AI891:AI917" si="260">+W891</f>
        <v>62.866</v>
      </c>
      <c r="AJ891" s="102" t="s">
        <v>240</v>
      </c>
      <c r="AK891" s="49"/>
      <c r="AL891" s="49" t="s">
        <v>1269</v>
      </c>
      <c r="AM891" s="64"/>
      <c r="AN891" s="64"/>
      <c r="AO891" s="64"/>
      <c r="AP891" s="67">
        <f t="shared" ref="AP891:AP917" si="261">+V891/AQ891</f>
        <v>0.15969032343652023</v>
      </c>
      <c r="AQ891" s="67">
        <f t="shared" ref="AQ891:AQ917" si="262">+AI891*SQRT(T891*U891/S891)</f>
        <v>567.19779915785307</v>
      </c>
      <c r="AS891" s="67">
        <f t="shared" ref="AS891:AS917" si="263">+AP891^2/(AU891-2)*(AU891/(V891/AI891)^2+AU891*AV891^2-AU891+2)</f>
        <v>1.2399859044219473E-2</v>
      </c>
      <c r="AU891" s="67">
        <f t="shared" ref="AU891:AU917" si="264">+S891-2</f>
        <v>326</v>
      </c>
      <c r="AV891" s="67">
        <f t="shared" ref="AV891:AV917" si="265">IFERROR(1/(SQRT(AU891/2)*_xlfn.GAMMA(AU891/2-0.5)/_xlfn.GAMMA(AU891/2)),1)</f>
        <v>0.99769732615633266</v>
      </c>
      <c r="AW891" s="67" t="s">
        <v>1350</v>
      </c>
    </row>
    <row r="892" spans="1:49" ht="30" customHeight="1" x14ac:dyDescent="0.25">
      <c r="A892" s="51" t="s">
        <v>120</v>
      </c>
      <c r="B892" s="51" t="s">
        <v>1082</v>
      </c>
      <c r="C892" s="51" t="s">
        <v>120</v>
      </c>
      <c r="D892" s="64">
        <v>12</v>
      </c>
      <c r="E892" s="64" t="s">
        <v>605</v>
      </c>
      <c r="F892" s="64" t="s">
        <v>240</v>
      </c>
      <c r="G892" s="49" t="s">
        <v>1253</v>
      </c>
      <c r="H892" s="64">
        <v>1</v>
      </c>
      <c r="I892" s="103">
        <f>+(11+13)/2</f>
        <v>12</v>
      </c>
      <c r="J892" s="64">
        <v>2</v>
      </c>
      <c r="K892" s="49" t="s">
        <v>1264</v>
      </c>
      <c r="L892" s="64" t="s">
        <v>1255</v>
      </c>
      <c r="M892" s="49" t="s">
        <v>570</v>
      </c>
      <c r="N892" s="64" t="s">
        <v>240</v>
      </c>
      <c r="O892" s="101">
        <v>0.21</v>
      </c>
      <c r="P892" s="64">
        <v>-5.9799999999999999E-2</v>
      </c>
      <c r="Q892" s="64">
        <v>4.3999999999999997E-2</v>
      </c>
      <c r="R892" s="64" t="s">
        <v>722</v>
      </c>
      <c r="S892" s="64">
        <f t="shared" si="259"/>
        <v>282</v>
      </c>
      <c r="T892" s="64">
        <f>+T891-23</f>
        <v>127</v>
      </c>
      <c r="U892" s="64">
        <f>+U891-23</f>
        <v>155</v>
      </c>
      <c r="V892" s="64">
        <v>175.66399999999999</v>
      </c>
      <c r="W892" s="64">
        <v>76.117999999999995</v>
      </c>
      <c r="X892" s="64">
        <v>406.8</v>
      </c>
      <c r="Y892" s="64">
        <v>499.47</v>
      </c>
      <c r="Z892" s="64">
        <v>454.97</v>
      </c>
      <c r="AA892" s="64" t="s">
        <v>1268</v>
      </c>
      <c r="AB892" s="64" t="s">
        <v>240</v>
      </c>
      <c r="AC892" s="64">
        <v>856.70100000000002</v>
      </c>
      <c r="AD892" s="64" t="s">
        <v>240</v>
      </c>
      <c r="AE892" s="102" t="s">
        <v>240</v>
      </c>
      <c r="AF892" s="102" t="s">
        <v>240</v>
      </c>
      <c r="AG892" s="102" t="s">
        <v>240</v>
      </c>
      <c r="AH892" s="102" t="s">
        <v>240</v>
      </c>
      <c r="AI892" s="102">
        <f t="shared" si="260"/>
        <v>76.117999999999995</v>
      </c>
      <c r="AJ892" s="102" t="s">
        <v>240</v>
      </c>
      <c r="AK892" s="49"/>
      <c r="AL892" s="49" t="s">
        <v>1269</v>
      </c>
      <c r="AM892" s="64"/>
      <c r="AN892" s="64"/>
      <c r="AO892" s="64"/>
      <c r="AP892" s="67">
        <f t="shared" si="261"/>
        <v>0.27621817000045196</v>
      </c>
      <c r="AQ892" s="67">
        <f t="shared" si="262"/>
        <v>635.96105933115325</v>
      </c>
      <c r="AS892" s="67">
        <f t="shared" si="263"/>
        <v>1.4566037788497644E-2</v>
      </c>
      <c r="AU892" s="67">
        <f t="shared" si="264"/>
        <v>280</v>
      </c>
      <c r="AV892" s="67">
        <f t="shared" si="265"/>
        <v>0.99731863519456665</v>
      </c>
      <c r="AW892" s="67" t="s">
        <v>1350</v>
      </c>
    </row>
    <row r="893" spans="1:49" ht="30" customHeight="1" x14ac:dyDescent="0.25">
      <c r="A893" s="51" t="s">
        <v>120</v>
      </c>
      <c r="B893" s="51" t="s">
        <v>1082</v>
      </c>
      <c r="C893" s="51" t="s">
        <v>120</v>
      </c>
      <c r="D893" s="64">
        <v>13</v>
      </c>
      <c r="E893" s="64" t="s">
        <v>605</v>
      </c>
      <c r="F893" s="64" t="s">
        <v>240</v>
      </c>
      <c r="G893" s="49" t="s">
        <v>1253</v>
      </c>
      <c r="H893" s="64">
        <v>1</v>
      </c>
      <c r="I893" s="103">
        <f>+(2+5)/2</f>
        <v>3.5</v>
      </c>
      <c r="J893" s="64">
        <v>4</v>
      </c>
      <c r="K893" s="49" t="s">
        <v>1266</v>
      </c>
      <c r="L893" s="64" t="s">
        <v>1255</v>
      </c>
      <c r="M893" s="49" t="s">
        <v>570</v>
      </c>
      <c r="N893" s="64" t="s">
        <v>240</v>
      </c>
      <c r="O893" s="101">
        <v>0.08</v>
      </c>
      <c r="P893" s="64">
        <v>-4.0000000000000002E-4</v>
      </c>
      <c r="Q893" s="64">
        <v>0.03</v>
      </c>
      <c r="R893" s="64" t="s">
        <v>722</v>
      </c>
      <c r="S893" s="64">
        <f t="shared" si="259"/>
        <v>301</v>
      </c>
      <c r="T893" s="64">
        <f>+ROUNDUP(327/358*T891,0)</f>
        <v>138</v>
      </c>
      <c r="U893" s="64">
        <f>+ROUNDUP(327/358*U891,0)</f>
        <v>163</v>
      </c>
      <c r="V893" s="64">
        <v>73.442999999999998</v>
      </c>
      <c r="W893" s="64">
        <v>56.765999999999998</v>
      </c>
      <c r="X893" s="64">
        <v>749.37</v>
      </c>
      <c r="Y893" s="64">
        <v>760.46</v>
      </c>
      <c r="Z893" s="64">
        <v>340.39</v>
      </c>
      <c r="AA893" s="64" t="s">
        <v>1268</v>
      </c>
      <c r="AB893" s="64" t="s">
        <v>240</v>
      </c>
      <c r="AC893" s="64">
        <v>887.9</v>
      </c>
      <c r="AD893" s="64" t="s">
        <v>240</v>
      </c>
      <c r="AE893" s="102" t="s">
        <v>240</v>
      </c>
      <c r="AF893" s="102" t="s">
        <v>240</v>
      </c>
      <c r="AG893" s="102" t="s">
        <v>240</v>
      </c>
      <c r="AH893" s="102" t="s">
        <v>240</v>
      </c>
      <c r="AI893" s="102">
        <f t="shared" si="260"/>
        <v>56.765999999999998</v>
      </c>
      <c r="AJ893" s="102" t="s">
        <v>240</v>
      </c>
      <c r="AK893" s="49"/>
      <c r="AL893" s="49" t="s">
        <v>1271</v>
      </c>
      <c r="AM893" s="64"/>
      <c r="AN893" s="64"/>
      <c r="AO893" s="64"/>
      <c r="AP893" s="67">
        <f t="shared" si="261"/>
        <v>0.14966216318976874</v>
      </c>
      <c r="AQ893" s="67">
        <f t="shared" si="262"/>
        <v>490.7252336509107</v>
      </c>
      <c r="AS893" s="67">
        <f t="shared" si="263"/>
        <v>1.3509196254606188E-2</v>
      </c>
      <c r="AU893" s="67">
        <f t="shared" si="264"/>
        <v>299</v>
      </c>
      <c r="AV893" s="67">
        <f t="shared" si="265"/>
        <v>0.99748918932859409</v>
      </c>
      <c r="AW893" s="67" t="s">
        <v>1350</v>
      </c>
    </row>
    <row r="894" spans="1:49" ht="30" customHeight="1" x14ac:dyDescent="0.25">
      <c r="A894" s="51" t="s">
        <v>120</v>
      </c>
      <c r="B894" s="51" t="s">
        <v>1082</v>
      </c>
      <c r="C894" s="51" t="s">
        <v>120</v>
      </c>
      <c r="D894" s="64">
        <v>14</v>
      </c>
      <c r="E894" s="64" t="s">
        <v>605</v>
      </c>
      <c r="F894" s="64" t="s">
        <v>240</v>
      </c>
      <c r="G894" s="49" t="s">
        <v>1253</v>
      </c>
      <c r="H894" s="64">
        <v>1</v>
      </c>
      <c r="I894" s="103">
        <f>+(11+13)/2</f>
        <v>12</v>
      </c>
      <c r="J894" s="64">
        <v>4</v>
      </c>
      <c r="K894" s="49" t="s">
        <v>1266</v>
      </c>
      <c r="L894" s="64" t="s">
        <v>1255</v>
      </c>
      <c r="M894" s="49" t="s">
        <v>570</v>
      </c>
      <c r="N894" s="64" t="s">
        <v>240</v>
      </c>
      <c r="O894" s="101">
        <v>0.21</v>
      </c>
      <c r="P894" s="64">
        <v>-5.9799999999999999E-2</v>
      </c>
      <c r="Q894" s="64">
        <v>4.3999999999999997E-2</v>
      </c>
      <c r="R894" s="64" t="s">
        <v>722</v>
      </c>
      <c r="S894" s="64">
        <f t="shared" si="259"/>
        <v>259</v>
      </c>
      <c r="T894" s="64">
        <f>+ROUNDUP(327/358*T892,0)</f>
        <v>117</v>
      </c>
      <c r="U894" s="64">
        <f>+ROUNDUP(327/358*U892,0)</f>
        <v>142</v>
      </c>
      <c r="V894" s="64">
        <v>58.368000000000002</v>
      </c>
      <c r="W894" s="64">
        <v>77.284000000000006</v>
      </c>
      <c r="X894" s="64">
        <v>749.37</v>
      </c>
      <c r="Y894" s="64">
        <v>760.46</v>
      </c>
      <c r="Z894" s="64">
        <v>340.39</v>
      </c>
      <c r="AA894" s="64" t="s">
        <v>1268</v>
      </c>
      <c r="AB894" s="64" t="s">
        <v>240</v>
      </c>
      <c r="AC894" s="64">
        <v>1028.0419999999999</v>
      </c>
      <c r="AD894" s="64" t="s">
        <v>240</v>
      </c>
      <c r="AE894" s="102" t="s">
        <v>240</v>
      </c>
      <c r="AF894" s="102" t="s">
        <v>240</v>
      </c>
      <c r="AG894" s="102" t="s">
        <v>240</v>
      </c>
      <c r="AH894" s="102" t="s">
        <v>240</v>
      </c>
      <c r="AI894" s="102">
        <f t="shared" si="260"/>
        <v>77.284000000000006</v>
      </c>
      <c r="AJ894" s="102" t="s">
        <v>240</v>
      </c>
      <c r="AK894" s="49"/>
      <c r="AL894" s="49" t="s">
        <v>1271</v>
      </c>
      <c r="AM894" s="64"/>
      <c r="AN894" s="64"/>
      <c r="AO894" s="64"/>
      <c r="AP894" s="67">
        <f t="shared" si="261"/>
        <v>9.4297026772184031E-2</v>
      </c>
      <c r="AQ894" s="67">
        <f t="shared" si="262"/>
        <v>618.98027963292623</v>
      </c>
      <c r="AS894" s="67">
        <f t="shared" si="263"/>
        <v>1.5728983005338291E-2</v>
      </c>
      <c r="AU894" s="67">
        <f t="shared" si="264"/>
        <v>257</v>
      </c>
      <c r="AV894" s="67">
        <f t="shared" si="265"/>
        <v>0.99707839599161485</v>
      </c>
      <c r="AW894" s="67" t="s">
        <v>1350</v>
      </c>
    </row>
    <row r="895" spans="1:49" ht="30" customHeight="1" x14ac:dyDescent="0.25">
      <c r="A895" s="51" t="s">
        <v>165</v>
      </c>
      <c r="B895" s="51" t="s">
        <v>1082</v>
      </c>
      <c r="C895" s="51" t="s">
        <v>165</v>
      </c>
      <c r="D895" s="64">
        <v>1</v>
      </c>
      <c r="E895" s="64" t="s">
        <v>605</v>
      </c>
      <c r="F895" s="64" t="s">
        <v>240</v>
      </c>
      <c r="G895" s="49" t="s">
        <v>1253</v>
      </c>
      <c r="H895" s="64">
        <v>1</v>
      </c>
      <c r="I895" s="103">
        <f>24-5</f>
        <v>19</v>
      </c>
      <c r="J895" s="64">
        <v>2</v>
      </c>
      <c r="K895" s="49" t="s">
        <v>1272</v>
      </c>
      <c r="L895" s="64" t="s">
        <v>1273</v>
      </c>
      <c r="M895" s="49" t="s">
        <v>1274</v>
      </c>
      <c r="N895" s="64" t="s">
        <v>240</v>
      </c>
      <c r="O895" s="101">
        <v>0.42</v>
      </c>
      <c r="P895" s="102" t="s">
        <v>240</v>
      </c>
      <c r="Q895" s="102" t="s">
        <v>240</v>
      </c>
      <c r="R895" s="64" t="s">
        <v>311</v>
      </c>
      <c r="S895" s="64">
        <v>770</v>
      </c>
      <c r="T895" s="64">
        <v>511</v>
      </c>
      <c r="U895" s="64">
        <v>259</v>
      </c>
      <c r="V895" s="64">
        <v>10088</v>
      </c>
      <c r="W895" s="64">
        <v>5373</v>
      </c>
      <c r="X895" s="64">
        <v>11117</v>
      </c>
      <c r="Y895" s="64">
        <v>9955</v>
      </c>
      <c r="Z895" s="64">
        <v>18387</v>
      </c>
      <c r="AA895" s="64" t="s">
        <v>1268</v>
      </c>
      <c r="AB895" s="64">
        <v>94715</v>
      </c>
      <c r="AC895" s="64">
        <v>77986</v>
      </c>
      <c r="AD895" s="64">
        <v>70698</v>
      </c>
      <c r="AE895" s="102" t="s">
        <v>240</v>
      </c>
      <c r="AF895" s="102" t="s">
        <v>240</v>
      </c>
      <c r="AG895" s="102" t="s">
        <v>240</v>
      </c>
      <c r="AH895" s="102" t="s">
        <v>240</v>
      </c>
      <c r="AI895" s="102">
        <f t="shared" si="260"/>
        <v>5373</v>
      </c>
      <c r="AJ895" s="102" t="s">
        <v>240</v>
      </c>
      <c r="AK895" s="49"/>
      <c r="AL895" s="49"/>
      <c r="AM895" s="64"/>
      <c r="AN895" s="64"/>
      <c r="AO895" s="64"/>
      <c r="AP895" s="67">
        <f t="shared" si="261"/>
        <v>0.14320997320250486</v>
      </c>
      <c r="AQ895" s="67">
        <f t="shared" si="262"/>
        <v>70442.021420778765</v>
      </c>
      <c r="AS895" s="67">
        <f t="shared" si="263"/>
        <v>5.8866900507100898E-3</v>
      </c>
      <c r="AU895" s="67">
        <f t="shared" si="264"/>
        <v>768</v>
      </c>
      <c r="AV895" s="67">
        <f t="shared" si="265"/>
        <v>1</v>
      </c>
      <c r="AW895" s="67" t="s">
        <v>1350</v>
      </c>
    </row>
    <row r="896" spans="1:49" ht="30" customHeight="1" x14ac:dyDescent="0.25">
      <c r="A896" s="51" t="s">
        <v>165</v>
      </c>
      <c r="B896" s="51" t="s">
        <v>1082</v>
      </c>
      <c r="C896" s="51" t="s">
        <v>165</v>
      </c>
      <c r="D896" s="64">
        <v>2</v>
      </c>
      <c r="E896" s="64" t="s">
        <v>605</v>
      </c>
      <c r="F896" s="64" t="s">
        <v>240</v>
      </c>
      <c r="G896" s="49" t="s">
        <v>1253</v>
      </c>
      <c r="H896" s="64">
        <v>1</v>
      </c>
      <c r="I896" s="103">
        <f>36-5</f>
        <v>31</v>
      </c>
      <c r="J896" s="64">
        <v>2</v>
      </c>
      <c r="K896" s="49" t="s">
        <v>1275</v>
      </c>
      <c r="L896" s="64" t="s">
        <v>1273</v>
      </c>
      <c r="M896" s="49" t="s">
        <v>1274</v>
      </c>
      <c r="N896" s="64" t="s">
        <v>240</v>
      </c>
      <c r="O896" s="101">
        <v>0.42</v>
      </c>
      <c r="P896" s="102" t="s">
        <v>240</v>
      </c>
      <c r="Q896" s="102" t="s">
        <v>240</v>
      </c>
      <c r="R896" s="64" t="s">
        <v>311</v>
      </c>
      <c r="S896" s="64">
        <v>770</v>
      </c>
      <c r="T896" s="64">
        <v>511</v>
      </c>
      <c r="U896" s="64">
        <v>259</v>
      </c>
      <c r="V896" s="64">
        <v>14060</v>
      </c>
      <c r="W896" s="64">
        <v>5543</v>
      </c>
      <c r="X896" s="64">
        <v>11117</v>
      </c>
      <c r="Y896" s="64">
        <v>9955</v>
      </c>
      <c r="Z896" s="64">
        <v>18387</v>
      </c>
      <c r="AA896" s="64" t="s">
        <v>1268</v>
      </c>
      <c r="AB896" s="64">
        <v>94715</v>
      </c>
      <c r="AC896" s="64">
        <v>77986</v>
      </c>
      <c r="AD896" s="64">
        <v>70698</v>
      </c>
      <c r="AE896" s="102" t="s">
        <v>240</v>
      </c>
      <c r="AF896" s="102" t="s">
        <v>240</v>
      </c>
      <c r="AG896" s="102" t="s">
        <v>240</v>
      </c>
      <c r="AH896" s="102" t="s">
        <v>240</v>
      </c>
      <c r="AI896" s="102">
        <f t="shared" si="260"/>
        <v>5543</v>
      </c>
      <c r="AJ896" s="102" t="s">
        <v>240</v>
      </c>
      <c r="AK896" s="49"/>
      <c r="AL896" s="49"/>
      <c r="AM896" s="64"/>
      <c r="AN896" s="64"/>
      <c r="AO896" s="64"/>
      <c r="AP896" s="67">
        <f t="shared" si="261"/>
        <v>0.19347527497512856</v>
      </c>
      <c r="AQ896" s="67">
        <f t="shared" si="262"/>
        <v>72670.784428694707</v>
      </c>
      <c r="AS896" s="67">
        <f t="shared" si="263"/>
        <v>5.9308769582872151E-3</v>
      </c>
      <c r="AU896" s="67">
        <f t="shared" si="264"/>
        <v>768</v>
      </c>
      <c r="AV896" s="67">
        <f t="shared" si="265"/>
        <v>1</v>
      </c>
      <c r="AW896" s="67" t="s">
        <v>1350</v>
      </c>
    </row>
    <row r="897" spans="1:49" ht="30" customHeight="1" x14ac:dyDescent="0.25">
      <c r="A897" s="51" t="s">
        <v>165</v>
      </c>
      <c r="B897" s="51" t="s">
        <v>1082</v>
      </c>
      <c r="C897" s="51" t="s">
        <v>165</v>
      </c>
      <c r="D897" s="64">
        <v>3</v>
      </c>
      <c r="E897" s="64" t="s">
        <v>577</v>
      </c>
      <c r="F897" s="64" t="s">
        <v>240</v>
      </c>
      <c r="G897" s="73" t="s">
        <v>578</v>
      </c>
      <c r="H897" s="64">
        <v>1</v>
      </c>
      <c r="I897" s="64">
        <f>24-5</f>
        <v>19</v>
      </c>
      <c r="J897" s="64">
        <v>2</v>
      </c>
      <c r="K897" s="49" t="s">
        <v>1272</v>
      </c>
      <c r="L897" s="64" t="s">
        <v>1273</v>
      </c>
      <c r="M897" s="49" t="s">
        <v>1274</v>
      </c>
      <c r="N897" s="64" t="s">
        <v>240</v>
      </c>
      <c r="O897" s="101">
        <v>0.42</v>
      </c>
      <c r="P897" s="64" t="s">
        <v>240</v>
      </c>
      <c r="Q897" s="64" t="s">
        <v>240</v>
      </c>
      <c r="R897" s="64" t="s">
        <v>338</v>
      </c>
      <c r="S897" s="64">
        <v>452</v>
      </c>
      <c r="T897" s="64">
        <f>ROUND(S897*511/(511+259),0)</f>
        <v>300</v>
      </c>
      <c r="U897" s="64">
        <f>+S897-T897</f>
        <v>152</v>
      </c>
      <c r="V897" s="64">
        <v>14453</v>
      </c>
      <c r="W897" s="64">
        <v>6358</v>
      </c>
      <c r="X897" s="64" t="s">
        <v>240</v>
      </c>
      <c r="Y897" s="64" t="s">
        <v>240</v>
      </c>
      <c r="Z897" s="64" t="s">
        <v>240</v>
      </c>
      <c r="AA897" s="64" t="s">
        <v>240</v>
      </c>
      <c r="AB897" s="64" t="s">
        <v>240</v>
      </c>
      <c r="AC897" s="64" t="s">
        <v>240</v>
      </c>
      <c r="AD897" s="64" t="s">
        <v>240</v>
      </c>
      <c r="AE897" s="64" t="s">
        <v>240</v>
      </c>
      <c r="AF897" s="64" t="s">
        <v>240</v>
      </c>
      <c r="AG897" s="64" t="s">
        <v>240</v>
      </c>
      <c r="AH897" s="64" t="s">
        <v>240</v>
      </c>
      <c r="AI897" s="102">
        <f t="shared" si="260"/>
        <v>6358</v>
      </c>
      <c r="AJ897" s="64" t="s">
        <v>240</v>
      </c>
      <c r="AK897" s="64" t="s">
        <v>240</v>
      </c>
      <c r="AL897" s="49"/>
      <c r="AM897" s="64"/>
      <c r="AN897" s="64"/>
      <c r="AO897" s="64"/>
      <c r="AP897" s="67">
        <f t="shared" si="261"/>
        <v>0.22632069868074656</v>
      </c>
      <c r="AQ897" s="67">
        <f t="shared" si="262"/>
        <v>63860.707766671185</v>
      </c>
      <c r="AS897" s="67">
        <f t="shared" si="263"/>
        <v>1.0185197395294983E-2</v>
      </c>
      <c r="AU897" s="67">
        <f t="shared" si="264"/>
        <v>450</v>
      </c>
      <c r="AV897" s="67">
        <f t="shared" si="265"/>
        <v>1</v>
      </c>
      <c r="AW897" s="67" t="s">
        <v>1350</v>
      </c>
    </row>
    <row r="898" spans="1:49" ht="30" customHeight="1" x14ac:dyDescent="0.25">
      <c r="A898" s="51" t="s">
        <v>165</v>
      </c>
      <c r="B898" s="51" t="s">
        <v>1082</v>
      </c>
      <c r="C898" s="51" t="s">
        <v>165</v>
      </c>
      <c r="D898" s="64">
        <v>4</v>
      </c>
      <c r="E898" s="64" t="s">
        <v>583</v>
      </c>
      <c r="F898" s="64" t="s">
        <v>240</v>
      </c>
      <c r="G898" s="73" t="s">
        <v>578</v>
      </c>
      <c r="H898" s="64">
        <v>1</v>
      </c>
      <c r="I898" s="104">
        <f>24-5</f>
        <v>19</v>
      </c>
      <c r="J898" s="64">
        <v>2</v>
      </c>
      <c r="K898" s="49" t="s">
        <v>1272</v>
      </c>
      <c r="L898" s="64" t="s">
        <v>1273</v>
      </c>
      <c r="M898" s="49" t="s">
        <v>1274</v>
      </c>
      <c r="N898" s="64" t="s">
        <v>240</v>
      </c>
      <c r="O898" s="101">
        <v>0.42</v>
      </c>
      <c r="P898" s="64" t="s">
        <v>240</v>
      </c>
      <c r="Q898" s="64" t="s">
        <v>240</v>
      </c>
      <c r="R898" s="64" t="s">
        <v>338</v>
      </c>
      <c r="S898" s="64">
        <v>319</v>
      </c>
      <c r="T898" s="64">
        <f>ROUND(S898*511/(511+259),0)</f>
        <v>212</v>
      </c>
      <c r="U898" s="64">
        <f>+S898-T898</f>
        <v>107</v>
      </c>
      <c r="V898" s="64">
        <v>7011</v>
      </c>
      <c r="W898" s="64">
        <v>9652</v>
      </c>
      <c r="X898" s="64" t="s">
        <v>240</v>
      </c>
      <c r="Y898" s="64" t="s">
        <v>240</v>
      </c>
      <c r="Z898" s="64" t="s">
        <v>240</v>
      </c>
      <c r="AA898" s="64" t="s">
        <v>240</v>
      </c>
      <c r="AB898" s="64" t="s">
        <v>240</v>
      </c>
      <c r="AC898" s="64" t="s">
        <v>240</v>
      </c>
      <c r="AD898" s="64" t="s">
        <v>240</v>
      </c>
      <c r="AE898" s="64" t="s">
        <v>240</v>
      </c>
      <c r="AF898" s="64" t="s">
        <v>240</v>
      </c>
      <c r="AG898" s="64" t="s">
        <v>240</v>
      </c>
      <c r="AH898" s="64" t="s">
        <v>240</v>
      </c>
      <c r="AI898" s="102">
        <f t="shared" si="260"/>
        <v>9652</v>
      </c>
      <c r="AJ898" s="64" t="s">
        <v>240</v>
      </c>
      <c r="AK898" s="64" t="s">
        <v>240</v>
      </c>
      <c r="AL898" s="64"/>
      <c r="AM898" s="64"/>
      <c r="AN898" s="64"/>
      <c r="AO898" s="64"/>
      <c r="AP898" s="67">
        <f t="shared" si="261"/>
        <v>8.6138672820550849E-2</v>
      </c>
      <c r="AQ898" s="67">
        <f t="shared" si="262"/>
        <v>81392.01325525096</v>
      </c>
      <c r="AS898" s="67">
        <f t="shared" si="263"/>
        <v>1.4163849893605923E-2</v>
      </c>
      <c r="AU898" s="67">
        <f t="shared" si="264"/>
        <v>317</v>
      </c>
      <c r="AV898" s="67">
        <f t="shared" si="265"/>
        <v>0.99763189034105804</v>
      </c>
      <c r="AW898" s="67" t="s">
        <v>1350</v>
      </c>
    </row>
    <row r="899" spans="1:49" ht="30" customHeight="1" x14ac:dyDescent="0.25">
      <c r="A899" s="51" t="s">
        <v>165</v>
      </c>
      <c r="B899" s="51" t="s">
        <v>1082</v>
      </c>
      <c r="C899" s="51" t="s">
        <v>165</v>
      </c>
      <c r="D899" s="64">
        <v>5</v>
      </c>
      <c r="E899" s="64" t="s">
        <v>577</v>
      </c>
      <c r="F899" s="64" t="s">
        <v>240</v>
      </c>
      <c r="G899" s="73" t="s">
        <v>578</v>
      </c>
      <c r="H899" s="64">
        <v>1</v>
      </c>
      <c r="I899" s="64">
        <f>36-5</f>
        <v>31</v>
      </c>
      <c r="J899" s="64">
        <v>2</v>
      </c>
      <c r="K899" s="49" t="s">
        <v>1275</v>
      </c>
      <c r="L899" s="64" t="s">
        <v>1273</v>
      </c>
      <c r="M899" s="49" t="s">
        <v>1274</v>
      </c>
      <c r="N899" s="64" t="s">
        <v>240</v>
      </c>
      <c r="O899" s="101">
        <v>0.42</v>
      </c>
      <c r="P899" s="64" t="s">
        <v>240</v>
      </c>
      <c r="Q899" s="64" t="s">
        <v>240</v>
      </c>
      <c r="R899" s="64" t="s">
        <v>338</v>
      </c>
      <c r="S899" s="64">
        <v>452</v>
      </c>
      <c r="T899" s="64">
        <f>ROUND(S899*511/(511+259),0)</f>
        <v>300</v>
      </c>
      <c r="U899" s="64">
        <f>+S899-T899</f>
        <v>152</v>
      </c>
      <c r="V899" s="64">
        <v>13944</v>
      </c>
      <c r="W899" s="64">
        <v>6436</v>
      </c>
      <c r="X899" s="64" t="s">
        <v>240</v>
      </c>
      <c r="Y899" s="64" t="s">
        <v>240</v>
      </c>
      <c r="Z899" s="64" t="s">
        <v>240</v>
      </c>
      <c r="AA899" s="64" t="s">
        <v>240</v>
      </c>
      <c r="AB899" s="64" t="s">
        <v>240</v>
      </c>
      <c r="AC899" s="64" t="s">
        <v>240</v>
      </c>
      <c r="AD899" s="64" t="s">
        <v>240</v>
      </c>
      <c r="AE899" s="64" t="s">
        <v>240</v>
      </c>
      <c r="AF899" s="64" t="s">
        <v>240</v>
      </c>
      <c r="AG899" s="64" t="s">
        <v>240</v>
      </c>
      <c r="AH899" s="64" t="s">
        <v>240</v>
      </c>
      <c r="AI899" s="102">
        <f t="shared" si="260"/>
        <v>6436</v>
      </c>
      <c r="AJ899" s="64" t="s">
        <v>240</v>
      </c>
      <c r="AK899" s="64" t="s">
        <v>240</v>
      </c>
      <c r="AL899" s="64"/>
      <c r="AM899" s="64"/>
      <c r="AN899" s="64"/>
      <c r="AO899" s="64"/>
      <c r="AP899" s="67">
        <f t="shared" si="261"/>
        <v>0.21570396823477855</v>
      </c>
      <c r="AQ899" s="67">
        <f t="shared" si="262"/>
        <v>64644.151492025121</v>
      </c>
      <c r="AS899" s="67">
        <f t="shared" si="263"/>
        <v>1.0164247141995392E-2</v>
      </c>
      <c r="AU899" s="67">
        <f t="shared" si="264"/>
        <v>450</v>
      </c>
      <c r="AV899" s="67">
        <f t="shared" si="265"/>
        <v>1</v>
      </c>
      <c r="AW899" s="67" t="s">
        <v>1350</v>
      </c>
    </row>
    <row r="900" spans="1:49" ht="30" customHeight="1" x14ac:dyDescent="0.25">
      <c r="A900" s="51" t="s">
        <v>165</v>
      </c>
      <c r="B900" s="51" t="s">
        <v>1082</v>
      </c>
      <c r="C900" s="51" t="s">
        <v>165</v>
      </c>
      <c r="D900" s="64">
        <v>6</v>
      </c>
      <c r="E900" s="64" t="s">
        <v>583</v>
      </c>
      <c r="F900" s="64" t="s">
        <v>240</v>
      </c>
      <c r="G900" s="73" t="s">
        <v>578</v>
      </c>
      <c r="H900" s="64">
        <v>1</v>
      </c>
      <c r="I900" s="64">
        <f>36-5</f>
        <v>31</v>
      </c>
      <c r="J900" s="64">
        <v>2</v>
      </c>
      <c r="K900" s="49" t="s">
        <v>1275</v>
      </c>
      <c r="L900" s="64" t="s">
        <v>1273</v>
      </c>
      <c r="M900" s="49" t="s">
        <v>1274</v>
      </c>
      <c r="N900" s="64" t="s">
        <v>240</v>
      </c>
      <c r="O900" s="101">
        <v>0.42</v>
      </c>
      <c r="P900" s="64" t="s">
        <v>240</v>
      </c>
      <c r="Q900" s="64" t="s">
        <v>240</v>
      </c>
      <c r="R900" s="64" t="s">
        <v>338</v>
      </c>
      <c r="S900" s="64">
        <v>319</v>
      </c>
      <c r="T900" s="64">
        <f>ROUND(S900*511/(511+259),0)</f>
        <v>212</v>
      </c>
      <c r="U900" s="64">
        <f>+S900-T900</f>
        <v>107</v>
      </c>
      <c r="V900" s="64">
        <v>13086</v>
      </c>
      <c r="W900" s="64">
        <v>10334</v>
      </c>
      <c r="X900" s="64" t="s">
        <v>240</v>
      </c>
      <c r="Y900" s="64" t="s">
        <v>240</v>
      </c>
      <c r="Z900" s="64" t="s">
        <v>240</v>
      </c>
      <c r="AA900" s="64" t="s">
        <v>240</v>
      </c>
      <c r="AB900" s="64" t="s">
        <v>240</v>
      </c>
      <c r="AC900" s="64" t="s">
        <v>240</v>
      </c>
      <c r="AD900" s="64" t="s">
        <v>240</v>
      </c>
      <c r="AE900" s="64" t="s">
        <v>240</v>
      </c>
      <c r="AF900" s="64" t="s">
        <v>240</v>
      </c>
      <c r="AG900" s="64" t="s">
        <v>240</v>
      </c>
      <c r="AH900" s="64" t="s">
        <v>240</v>
      </c>
      <c r="AI900" s="102">
        <f t="shared" si="260"/>
        <v>10334</v>
      </c>
      <c r="AJ900" s="64" t="s">
        <v>240</v>
      </c>
      <c r="AK900" s="64" t="s">
        <v>240</v>
      </c>
      <c r="AL900" s="64"/>
      <c r="AM900" s="64"/>
      <c r="AN900" s="64"/>
      <c r="AO900" s="64"/>
      <c r="AP900" s="67">
        <f t="shared" si="261"/>
        <v>0.15016681893722617</v>
      </c>
      <c r="AQ900" s="67">
        <f t="shared" si="262"/>
        <v>87143.085886838322</v>
      </c>
      <c r="AS900" s="67">
        <f t="shared" si="263"/>
        <v>1.4187885118294332E-2</v>
      </c>
      <c r="AU900" s="67">
        <f t="shared" si="264"/>
        <v>317</v>
      </c>
      <c r="AV900" s="67">
        <f t="shared" si="265"/>
        <v>0.99763189034105804</v>
      </c>
      <c r="AW900" s="67" t="s">
        <v>1350</v>
      </c>
    </row>
    <row r="901" spans="1:49" ht="30" customHeight="1" x14ac:dyDescent="0.25">
      <c r="A901" s="51" t="s">
        <v>127</v>
      </c>
      <c r="B901" s="51" t="s">
        <v>1082</v>
      </c>
      <c r="C901" s="64" t="s">
        <v>71</v>
      </c>
      <c r="D901" s="64">
        <v>1</v>
      </c>
      <c r="E901" s="64" t="s">
        <v>605</v>
      </c>
      <c r="F901" s="64" t="s">
        <v>240</v>
      </c>
      <c r="G901" s="49" t="s">
        <v>1276</v>
      </c>
      <c r="H901" s="64">
        <v>0</v>
      </c>
      <c r="I901" s="64">
        <v>6</v>
      </c>
      <c r="J901" s="64">
        <v>2</v>
      </c>
      <c r="K901" s="49" t="s">
        <v>611</v>
      </c>
      <c r="L901" s="64" t="s">
        <v>1277</v>
      </c>
      <c r="M901" s="49" t="s">
        <v>1278</v>
      </c>
      <c r="N901" s="64" t="s">
        <v>240</v>
      </c>
      <c r="O901" s="101">
        <v>0.04</v>
      </c>
      <c r="P901" s="64" t="s">
        <v>240</v>
      </c>
      <c r="Q901" s="64" t="s">
        <v>240</v>
      </c>
      <c r="R901" s="64" t="s">
        <v>338</v>
      </c>
      <c r="S901" s="64">
        <v>599</v>
      </c>
      <c r="T901" s="64">
        <v>300</v>
      </c>
      <c r="U901" s="64">
        <v>299</v>
      </c>
      <c r="V901" s="64">
        <v>76</v>
      </c>
      <c r="W901" s="64">
        <v>35</v>
      </c>
      <c r="X901" s="102" t="s">
        <v>240</v>
      </c>
      <c r="Y901" s="105">
        <f>+V901/1.7</f>
        <v>44.705882352941181</v>
      </c>
      <c r="Z901" s="64" t="s">
        <v>240</v>
      </c>
      <c r="AA901" s="64" t="s">
        <v>240</v>
      </c>
      <c r="AB901" s="102" t="s">
        <v>240</v>
      </c>
      <c r="AC901" s="102" t="s">
        <v>240</v>
      </c>
      <c r="AD901" s="102" t="s">
        <v>240</v>
      </c>
      <c r="AE901" s="64" t="s">
        <v>240</v>
      </c>
      <c r="AF901" s="102" t="s">
        <v>240</v>
      </c>
      <c r="AG901" s="102" t="s">
        <v>240</v>
      </c>
      <c r="AH901" s="102" t="s">
        <v>240</v>
      </c>
      <c r="AI901" s="102">
        <f t="shared" si="260"/>
        <v>35</v>
      </c>
      <c r="AJ901" s="102" t="s">
        <v>240</v>
      </c>
      <c r="AK901" s="49"/>
      <c r="AL901" s="49" t="s">
        <v>1279</v>
      </c>
      <c r="AM901" s="64"/>
      <c r="AN901" s="64"/>
      <c r="AO901" s="64"/>
      <c r="AP901" s="67">
        <f t="shared" si="261"/>
        <v>0.17744457964554752</v>
      </c>
      <c r="AQ901" s="67">
        <f t="shared" si="262"/>
        <v>428.30274191419636</v>
      </c>
      <c r="AS901" s="67">
        <f t="shared" si="263"/>
        <v>6.8060986152702879E-3</v>
      </c>
      <c r="AU901" s="67">
        <f t="shared" si="264"/>
        <v>597</v>
      </c>
      <c r="AV901" s="67">
        <f t="shared" si="265"/>
        <v>1</v>
      </c>
      <c r="AW901" s="67" t="s">
        <v>1350</v>
      </c>
    </row>
    <row r="902" spans="1:49" ht="30" customHeight="1" x14ac:dyDescent="0.25">
      <c r="A902" s="51" t="s">
        <v>127</v>
      </c>
      <c r="B902" s="51" t="s">
        <v>1082</v>
      </c>
      <c r="C902" s="64" t="s">
        <v>71</v>
      </c>
      <c r="D902" s="64">
        <v>2</v>
      </c>
      <c r="E902" s="64" t="s">
        <v>605</v>
      </c>
      <c r="F902" s="64" t="s">
        <v>240</v>
      </c>
      <c r="G902" s="49" t="s">
        <v>1276</v>
      </c>
      <c r="H902" s="64">
        <v>0</v>
      </c>
      <c r="I902" s="64">
        <v>12</v>
      </c>
      <c r="J902" s="64">
        <v>2</v>
      </c>
      <c r="K902" s="49" t="s">
        <v>611</v>
      </c>
      <c r="L902" s="64" t="s">
        <v>1277</v>
      </c>
      <c r="M902" s="49" t="s">
        <v>1278</v>
      </c>
      <c r="N902" s="64" t="s">
        <v>240</v>
      </c>
      <c r="O902" s="101">
        <v>0.04</v>
      </c>
      <c r="P902" s="64" t="s">
        <v>240</v>
      </c>
      <c r="Q902" s="64" t="s">
        <v>240</v>
      </c>
      <c r="R902" s="64" t="s">
        <v>338</v>
      </c>
      <c r="S902" s="64">
        <f>ROUND(S901/1541*1453,0)</f>
        <v>565</v>
      </c>
      <c r="T902" s="64">
        <f t="shared" ref="T902:T914" si="266">+S902-U902</f>
        <v>282</v>
      </c>
      <c r="U902" s="64">
        <f t="shared" ref="U902:U914" si="267">+ROUND(S902/2,0)</f>
        <v>283</v>
      </c>
      <c r="V902" s="64">
        <v>25</v>
      </c>
      <c r="W902" s="64">
        <v>34</v>
      </c>
      <c r="X902" s="102" t="s">
        <v>240</v>
      </c>
      <c r="Y902" s="105">
        <f>+V902/1.24</f>
        <v>20.161290322580644</v>
      </c>
      <c r="Z902" s="64" t="s">
        <v>240</v>
      </c>
      <c r="AA902" s="64" t="s">
        <v>240</v>
      </c>
      <c r="AB902" s="102" t="s">
        <v>240</v>
      </c>
      <c r="AC902" s="102" t="s">
        <v>240</v>
      </c>
      <c r="AD902" s="102" t="s">
        <v>240</v>
      </c>
      <c r="AE902" s="64" t="s">
        <v>240</v>
      </c>
      <c r="AF902" s="102" t="s">
        <v>240</v>
      </c>
      <c r="AG902" s="102" t="s">
        <v>240</v>
      </c>
      <c r="AH902" s="102" t="s">
        <v>240</v>
      </c>
      <c r="AI902" s="102">
        <f t="shared" si="260"/>
        <v>34</v>
      </c>
      <c r="AJ902" s="102" t="s">
        <v>240</v>
      </c>
      <c r="AK902" s="49"/>
      <c r="AL902" s="49" t="s">
        <v>1280</v>
      </c>
      <c r="AM902" s="64"/>
      <c r="AN902" s="64"/>
      <c r="AO902" s="64"/>
      <c r="AP902" s="67">
        <f t="shared" si="261"/>
        <v>6.1868208949675187E-2</v>
      </c>
      <c r="AQ902" s="67">
        <f t="shared" si="262"/>
        <v>404.08475409940331</v>
      </c>
      <c r="AS902" s="67">
        <f t="shared" si="263"/>
        <v>7.1185535553524417E-3</v>
      </c>
      <c r="AU902" s="67">
        <f t="shared" si="264"/>
        <v>563</v>
      </c>
      <c r="AV902" s="67">
        <f t="shared" si="265"/>
        <v>1</v>
      </c>
      <c r="AW902" s="67" t="s">
        <v>1350</v>
      </c>
    </row>
    <row r="903" spans="1:49" ht="30" customHeight="1" x14ac:dyDescent="0.25">
      <c r="A903" s="51" t="s">
        <v>127</v>
      </c>
      <c r="B903" s="51" t="s">
        <v>1082</v>
      </c>
      <c r="C903" s="64" t="s">
        <v>71</v>
      </c>
      <c r="D903" s="64">
        <v>3</v>
      </c>
      <c r="E903" s="64" t="s">
        <v>605</v>
      </c>
      <c r="F903" s="64" t="s">
        <v>240</v>
      </c>
      <c r="G903" s="49" t="s">
        <v>1276</v>
      </c>
      <c r="H903" s="64">
        <v>0</v>
      </c>
      <c r="I903" s="64">
        <v>18</v>
      </c>
      <c r="J903" s="64">
        <v>2</v>
      </c>
      <c r="K903" s="49" t="s">
        <v>611</v>
      </c>
      <c r="L903" s="64" t="s">
        <v>1277</v>
      </c>
      <c r="M903" s="49" t="s">
        <v>1278</v>
      </c>
      <c r="N903" s="64" t="s">
        <v>240</v>
      </c>
      <c r="O903" s="101">
        <v>0.04</v>
      </c>
      <c r="P903" s="64" t="s">
        <v>240</v>
      </c>
      <c r="Q903" s="64" t="s">
        <v>240</v>
      </c>
      <c r="R903" s="64" t="s">
        <v>338</v>
      </c>
      <c r="S903" s="64">
        <f>ROUND(S901/1541*1118,0)</f>
        <v>435</v>
      </c>
      <c r="T903" s="64">
        <f t="shared" si="266"/>
        <v>217</v>
      </c>
      <c r="U903" s="64">
        <f t="shared" si="267"/>
        <v>218</v>
      </c>
      <c r="V903" s="64">
        <v>63</v>
      </c>
      <c r="W903" s="64">
        <v>35</v>
      </c>
      <c r="X903" s="102" t="s">
        <v>240</v>
      </c>
      <c r="Y903" s="105">
        <f>+V903/1.58</f>
        <v>39.873417721518983</v>
      </c>
      <c r="Z903" s="64" t="s">
        <v>240</v>
      </c>
      <c r="AA903" s="64" t="s">
        <v>240</v>
      </c>
      <c r="AB903" s="102" t="s">
        <v>240</v>
      </c>
      <c r="AC903" s="102" t="s">
        <v>240</v>
      </c>
      <c r="AD903" s="102" t="s">
        <v>240</v>
      </c>
      <c r="AE903" s="64" t="s">
        <v>240</v>
      </c>
      <c r="AF903" s="102" t="s">
        <v>240</v>
      </c>
      <c r="AG903" s="102" t="s">
        <v>240</v>
      </c>
      <c r="AH903" s="102" t="s">
        <v>240</v>
      </c>
      <c r="AI903" s="102">
        <f t="shared" si="260"/>
        <v>35</v>
      </c>
      <c r="AJ903" s="102" t="s">
        <v>240</v>
      </c>
      <c r="AK903" s="49"/>
      <c r="AL903" s="49" t="s">
        <v>1280</v>
      </c>
      <c r="AM903" s="64"/>
      <c r="AN903" s="64"/>
      <c r="AO903" s="64"/>
      <c r="AP903" s="67">
        <f t="shared" si="261"/>
        <v>0.17260724462529892</v>
      </c>
      <c r="AQ903" s="67">
        <f t="shared" si="262"/>
        <v>364.99047381679907</v>
      </c>
      <c r="AS903" s="67">
        <f t="shared" si="263"/>
        <v>9.3763729906577564E-3</v>
      </c>
      <c r="AU903" s="67">
        <f t="shared" si="264"/>
        <v>433</v>
      </c>
      <c r="AV903" s="67">
        <f t="shared" si="265"/>
        <v>1</v>
      </c>
      <c r="AW903" s="67" t="s">
        <v>1350</v>
      </c>
    </row>
    <row r="904" spans="1:49" ht="30" customHeight="1" x14ac:dyDescent="0.25">
      <c r="A904" s="51" t="s">
        <v>127</v>
      </c>
      <c r="B904" s="51" t="s">
        <v>1082</v>
      </c>
      <c r="C904" s="64" t="s">
        <v>71</v>
      </c>
      <c r="D904" s="64">
        <v>4</v>
      </c>
      <c r="E904" s="64" t="s">
        <v>605</v>
      </c>
      <c r="F904" s="64" t="s">
        <v>240</v>
      </c>
      <c r="G904" s="49" t="s">
        <v>1281</v>
      </c>
      <c r="H904" s="64">
        <v>0</v>
      </c>
      <c r="I904" s="64">
        <v>6</v>
      </c>
      <c r="J904" s="64">
        <v>2</v>
      </c>
      <c r="K904" s="49" t="s">
        <v>611</v>
      </c>
      <c r="L904" s="64" t="s">
        <v>1277</v>
      </c>
      <c r="M904" s="49" t="s">
        <v>1278</v>
      </c>
      <c r="N904" s="64" t="s">
        <v>240</v>
      </c>
      <c r="O904" s="101">
        <v>0.04</v>
      </c>
      <c r="P904" s="64" t="s">
        <v>240</v>
      </c>
      <c r="Q904" s="64" t="s">
        <v>240</v>
      </c>
      <c r="R904" s="64" t="s">
        <v>338</v>
      </c>
      <c r="S904" s="64">
        <v>627</v>
      </c>
      <c r="T904" s="64">
        <f t="shared" si="266"/>
        <v>313</v>
      </c>
      <c r="U904" s="64">
        <f t="shared" si="267"/>
        <v>314</v>
      </c>
      <c r="V904" s="64">
        <v>58</v>
      </c>
      <c r="W904" s="64">
        <v>34</v>
      </c>
      <c r="X904" s="102" t="s">
        <v>240</v>
      </c>
      <c r="Y904" s="105">
        <f>+V904/1.52</f>
        <v>38.157894736842103</v>
      </c>
      <c r="Z904" s="64" t="s">
        <v>240</v>
      </c>
      <c r="AA904" s="64" t="s">
        <v>240</v>
      </c>
      <c r="AB904" s="102" t="s">
        <v>240</v>
      </c>
      <c r="AC904" s="102" t="s">
        <v>240</v>
      </c>
      <c r="AD904" s="102" t="s">
        <v>240</v>
      </c>
      <c r="AE904" s="64" t="s">
        <v>240</v>
      </c>
      <c r="AF904" s="102" t="s">
        <v>240</v>
      </c>
      <c r="AG904" s="102" t="s">
        <v>240</v>
      </c>
      <c r="AH904" s="102" t="s">
        <v>240</v>
      </c>
      <c r="AI904" s="102">
        <f t="shared" si="260"/>
        <v>34</v>
      </c>
      <c r="AJ904" s="102" t="s">
        <v>240</v>
      </c>
      <c r="AK904" s="49"/>
      <c r="AL904" s="49" t="s">
        <v>1279</v>
      </c>
      <c r="AM904" s="64"/>
      <c r="AN904" s="64"/>
      <c r="AO904" s="64"/>
      <c r="AP904" s="67">
        <f t="shared" si="261"/>
        <v>0.1362529312406324</v>
      </c>
      <c r="AQ904" s="67">
        <f t="shared" si="262"/>
        <v>425.67891546911284</v>
      </c>
      <c r="AS904" s="67">
        <f t="shared" si="263"/>
        <v>6.4596800870578277E-3</v>
      </c>
      <c r="AU904" s="67">
        <f t="shared" si="264"/>
        <v>625</v>
      </c>
      <c r="AV904" s="67">
        <f t="shared" si="265"/>
        <v>1</v>
      </c>
      <c r="AW904" s="67" t="s">
        <v>1350</v>
      </c>
    </row>
    <row r="905" spans="1:49" ht="30" customHeight="1" x14ac:dyDescent="0.25">
      <c r="A905" s="51" t="s">
        <v>127</v>
      </c>
      <c r="B905" s="51" t="s">
        <v>1082</v>
      </c>
      <c r="C905" s="64" t="s">
        <v>71</v>
      </c>
      <c r="D905" s="64">
        <v>5</v>
      </c>
      <c r="E905" s="64" t="s">
        <v>605</v>
      </c>
      <c r="F905" s="64" t="s">
        <v>240</v>
      </c>
      <c r="G905" s="49" t="s">
        <v>1281</v>
      </c>
      <c r="H905" s="64">
        <v>0</v>
      </c>
      <c r="I905" s="64">
        <v>12</v>
      </c>
      <c r="J905" s="64">
        <v>2</v>
      </c>
      <c r="K905" s="49" t="s">
        <v>611</v>
      </c>
      <c r="L905" s="64" t="s">
        <v>1277</v>
      </c>
      <c r="M905" s="49" t="s">
        <v>1278</v>
      </c>
      <c r="N905" s="64" t="s">
        <v>240</v>
      </c>
      <c r="O905" s="101">
        <v>0.04</v>
      </c>
      <c r="P905" s="64" t="s">
        <v>240</v>
      </c>
      <c r="Q905" s="64" t="s">
        <v>240</v>
      </c>
      <c r="R905" s="64" t="s">
        <v>338</v>
      </c>
      <c r="S905" s="64">
        <f>ROUND(S904/1541*1453,0)</f>
        <v>591</v>
      </c>
      <c r="T905" s="64">
        <f t="shared" si="266"/>
        <v>295</v>
      </c>
      <c r="U905" s="64">
        <f t="shared" si="267"/>
        <v>296</v>
      </c>
      <c r="V905" s="64">
        <v>82</v>
      </c>
      <c r="W905" s="64">
        <v>41</v>
      </c>
      <c r="X905" s="102" t="s">
        <v>240</v>
      </c>
      <c r="Y905" s="105">
        <f>+V905/1.73</f>
        <v>47.398843930635842</v>
      </c>
      <c r="Z905" s="64" t="s">
        <v>240</v>
      </c>
      <c r="AA905" s="64" t="s">
        <v>240</v>
      </c>
      <c r="AB905" s="102" t="s">
        <v>240</v>
      </c>
      <c r="AC905" s="102" t="s">
        <v>240</v>
      </c>
      <c r="AD905" s="102" t="s">
        <v>240</v>
      </c>
      <c r="AE905" s="64" t="s">
        <v>240</v>
      </c>
      <c r="AF905" s="102" t="s">
        <v>240</v>
      </c>
      <c r="AG905" s="102" t="s">
        <v>240</v>
      </c>
      <c r="AH905" s="102" t="s">
        <v>240</v>
      </c>
      <c r="AI905" s="102">
        <f t="shared" si="260"/>
        <v>41</v>
      </c>
      <c r="AJ905" s="102" t="s">
        <v>240</v>
      </c>
      <c r="AK905" s="49"/>
      <c r="AL905" s="49" t="s">
        <v>1280</v>
      </c>
      <c r="AM905" s="64"/>
      <c r="AN905" s="64"/>
      <c r="AO905" s="64"/>
      <c r="AP905" s="67">
        <f t="shared" si="261"/>
        <v>0.16453824949661952</v>
      </c>
      <c r="AQ905" s="67">
        <f t="shared" si="262"/>
        <v>498.36436361069167</v>
      </c>
      <c r="AS905" s="67">
        <f t="shared" si="263"/>
        <v>6.8835105714671434E-3</v>
      </c>
      <c r="AU905" s="67">
        <f t="shared" si="264"/>
        <v>589</v>
      </c>
      <c r="AV905" s="67">
        <f t="shared" si="265"/>
        <v>1</v>
      </c>
      <c r="AW905" s="67" t="s">
        <v>1350</v>
      </c>
    </row>
    <row r="906" spans="1:49" ht="30" customHeight="1" x14ac:dyDescent="0.25">
      <c r="A906" s="51" t="s">
        <v>127</v>
      </c>
      <c r="B906" s="51" t="s">
        <v>1082</v>
      </c>
      <c r="C906" s="64" t="s">
        <v>71</v>
      </c>
      <c r="D906" s="64">
        <v>6</v>
      </c>
      <c r="E906" s="64" t="s">
        <v>605</v>
      </c>
      <c r="F906" s="64" t="s">
        <v>240</v>
      </c>
      <c r="G906" s="49" t="s">
        <v>1281</v>
      </c>
      <c r="H906" s="64">
        <v>0</v>
      </c>
      <c r="I906" s="64">
        <v>18</v>
      </c>
      <c r="J906" s="64">
        <v>2</v>
      </c>
      <c r="K906" s="49" t="s">
        <v>611</v>
      </c>
      <c r="L906" s="64" t="s">
        <v>1277</v>
      </c>
      <c r="M906" s="49" t="s">
        <v>1278</v>
      </c>
      <c r="N906" s="64" t="s">
        <v>240</v>
      </c>
      <c r="O906" s="101">
        <v>0.04</v>
      </c>
      <c r="P906" s="64" t="s">
        <v>240</v>
      </c>
      <c r="Q906" s="64" t="s">
        <v>240</v>
      </c>
      <c r="R906" s="64" t="s">
        <v>338</v>
      </c>
      <c r="S906" s="64">
        <f>ROUND(S904/1541*1118,0)</f>
        <v>455</v>
      </c>
      <c r="T906" s="64">
        <f t="shared" si="266"/>
        <v>227</v>
      </c>
      <c r="U906" s="64">
        <f t="shared" si="267"/>
        <v>228</v>
      </c>
      <c r="V906" s="64">
        <v>68</v>
      </c>
      <c r="W906" s="64">
        <v>38</v>
      </c>
      <c r="X906" s="102" t="s">
        <v>240</v>
      </c>
      <c r="Y906" s="105">
        <f>+V906/1.61</f>
        <v>42.236024844720497</v>
      </c>
      <c r="Z906" s="64" t="s">
        <v>240</v>
      </c>
      <c r="AA906" s="64" t="s">
        <v>240</v>
      </c>
      <c r="AB906" s="102" t="s">
        <v>240</v>
      </c>
      <c r="AC906" s="102" t="s">
        <v>240</v>
      </c>
      <c r="AD906" s="102" t="s">
        <v>240</v>
      </c>
      <c r="AE906" s="64" t="s">
        <v>240</v>
      </c>
      <c r="AF906" s="102" t="s">
        <v>240</v>
      </c>
      <c r="AG906" s="102" t="s">
        <v>240</v>
      </c>
      <c r="AH906" s="102" t="s">
        <v>240</v>
      </c>
      <c r="AI906" s="102">
        <f t="shared" si="260"/>
        <v>38</v>
      </c>
      <c r="AJ906" s="102" t="s">
        <v>240</v>
      </c>
      <c r="AK906" s="49"/>
      <c r="AL906" s="49" t="s">
        <v>1280</v>
      </c>
      <c r="AM906" s="64"/>
      <c r="AN906" s="64"/>
      <c r="AO906" s="64"/>
      <c r="AP906" s="67">
        <f t="shared" si="261"/>
        <v>0.16778404577343073</v>
      </c>
      <c r="AQ906" s="67">
        <f t="shared" si="262"/>
        <v>405.28287231686289</v>
      </c>
      <c r="AS906" s="67">
        <f t="shared" si="263"/>
        <v>8.9550771417998831E-3</v>
      </c>
      <c r="AU906" s="67">
        <f t="shared" si="264"/>
        <v>453</v>
      </c>
      <c r="AV906" s="67">
        <f t="shared" si="265"/>
        <v>1</v>
      </c>
      <c r="AW906" s="67" t="s">
        <v>1350</v>
      </c>
    </row>
    <row r="907" spans="1:49" ht="30" customHeight="1" x14ac:dyDescent="0.25">
      <c r="A907" s="51" t="s">
        <v>127</v>
      </c>
      <c r="B907" s="51" t="s">
        <v>1082</v>
      </c>
      <c r="C907" s="64" t="s">
        <v>71</v>
      </c>
      <c r="D907" s="64">
        <v>7</v>
      </c>
      <c r="E907" s="64" t="s">
        <v>605</v>
      </c>
      <c r="F907" s="64" t="s">
        <v>240</v>
      </c>
      <c r="G907" s="49" t="s">
        <v>1282</v>
      </c>
      <c r="H907" s="64">
        <v>0</v>
      </c>
      <c r="I907" s="64">
        <v>6</v>
      </c>
      <c r="J907" s="64">
        <v>2</v>
      </c>
      <c r="K907" s="49" t="s">
        <v>611</v>
      </c>
      <c r="L907" s="64" t="s">
        <v>1277</v>
      </c>
      <c r="M907" s="49" t="s">
        <v>1278</v>
      </c>
      <c r="N907" s="64" t="s">
        <v>240</v>
      </c>
      <c r="O907" s="101">
        <v>0.04</v>
      </c>
      <c r="P907" s="64" t="s">
        <v>240</v>
      </c>
      <c r="Q907" s="64" t="s">
        <v>240</v>
      </c>
      <c r="R907" s="64" t="s">
        <v>338</v>
      </c>
      <c r="S907" s="64">
        <v>720</v>
      </c>
      <c r="T907" s="64">
        <f t="shared" si="266"/>
        <v>360</v>
      </c>
      <c r="U907" s="64">
        <f t="shared" si="267"/>
        <v>360</v>
      </c>
      <c r="V907" s="64">
        <v>43</v>
      </c>
      <c r="W907" s="64">
        <v>24</v>
      </c>
      <c r="X907" s="102" t="s">
        <v>240</v>
      </c>
      <c r="Y907" s="105">
        <f>+V907/1.4</f>
        <v>30.714285714285715</v>
      </c>
      <c r="Z907" s="64" t="s">
        <v>240</v>
      </c>
      <c r="AA907" s="64" t="s">
        <v>240</v>
      </c>
      <c r="AB907" s="102" t="s">
        <v>240</v>
      </c>
      <c r="AC907" s="102" t="s">
        <v>240</v>
      </c>
      <c r="AD907" s="102" t="s">
        <v>240</v>
      </c>
      <c r="AE907" s="64" t="s">
        <v>240</v>
      </c>
      <c r="AF907" s="102" t="s">
        <v>240</v>
      </c>
      <c r="AG907" s="102" t="s">
        <v>240</v>
      </c>
      <c r="AH907" s="102" t="s">
        <v>240</v>
      </c>
      <c r="AI907" s="102">
        <f t="shared" si="260"/>
        <v>24</v>
      </c>
      <c r="AJ907" s="102" t="s">
        <v>240</v>
      </c>
      <c r="AK907" s="49"/>
      <c r="AL907" s="49" t="s">
        <v>1279</v>
      </c>
      <c r="AM907" s="64"/>
      <c r="AN907" s="64"/>
      <c r="AO907" s="64"/>
      <c r="AP907" s="67">
        <f t="shared" si="261"/>
        <v>0.13354294865623742</v>
      </c>
      <c r="AQ907" s="67">
        <f t="shared" si="262"/>
        <v>321.99378875996973</v>
      </c>
      <c r="AS907" s="67">
        <f t="shared" si="263"/>
        <v>5.6208887250844856E-3</v>
      </c>
      <c r="AU907" s="67">
        <f t="shared" si="264"/>
        <v>718</v>
      </c>
      <c r="AV907" s="67">
        <f t="shared" si="265"/>
        <v>1</v>
      </c>
      <c r="AW907" s="67" t="s">
        <v>1350</v>
      </c>
    </row>
    <row r="908" spans="1:49" ht="30" customHeight="1" x14ac:dyDescent="0.25">
      <c r="A908" s="51" t="s">
        <v>127</v>
      </c>
      <c r="B908" s="51" t="s">
        <v>1082</v>
      </c>
      <c r="C908" s="64" t="s">
        <v>71</v>
      </c>
      <c r="D908" s="64">
        <v>8</v>
      </c>
      <c r="E908" s="64" t="s">
        <v>605</v>
      </c>
      <c r="F908" s="64" t="s">
        <v>240</v>
      </c>
      <c r="G908" s="49" t="s">
        <v>1282</v>
      </c>
      <c r="H908" s="64">
        <v>0</v>
      </c>
      <c r="I908" s="64">
        <v>12</v>
      </c>
      <c r="J908" s="64">
        <v>2</v>
      </c>
      <c r="K908" s="49" t="s">
        <v>611</v>
      </c>
      <c r="L908" s="64" t="s">
        <v>1277</v>
      </c>
      <c r="M908" s="49" t="s">
        <v>1278</v>
      </c>
      <c r="N908" s="64" t="s">
        <v>240</v>
      </c>
      <c r="O908" s="101">
        <v>0.04</v>
      </c>
      <c r="P908" s="64" t="s">
        <v>240</v>
      </c>
      <c r="Q908" s="64" t="s">
        <v>240</v>
      </c>
      <c r="R908" s="64" t="s">
        <v>338</v>
      </c>
      <c r="S908" s="64">
        <f>ROUND(S907/1541*1453,0)</f>
        <v>679</v>
      </c>
      <c r="T908" s="64">
        <f t="shared" si="266"/>
        <v>339</v>
      </c>
      <c r="U908" s="64">
        <f t="shared" si="267"/>
        <v>340</v>
      </c>
      <c r="V908" s="64">
        <v>12</v>
      </c>
      <c r="W908" s="64">
        <v>32</v>
      </c>
      <c r="X908" s="102" t="s">
        <v>240</v>
      </c>
      <c r="Y908" s="105">
        <f>+V908/1.11</f>
        <v>10.810810810810811</v>
      </c>
      <c r="Z908" s="64" t="s">
        <v>240</v>
      </c>
      <c r="AA908" s="64" t="s">
        <v>240</v>
      </c>
      <c r="AB908" s="102" t="s">
        <v>240</v>
      </c>
      <c r="AC908" s="102" t="s">
        <v>240</v>
      </c>
      <c r="AD908" s="102" t="s">
        <v>240</v>
      </c>
      <c r="AE908" s="64" t="s">
        <v>240</v>
      </c>
      <c r="AF908" s="102" t="s">
        <v>240</v>
      </c>
      <c r="AG908" s="102" t="s">
        <v>240</v>
      </c>
      <c r="AH908" s="102" t="s">
        <v>240</v>
      </c>
      <c r="AI908" s="102">
        <f t="shared" si="260"/>
        <v>32</v>
      </c>
      <c r="AJ908" s="102" t="s">
        <v>240</v>
      </c>
      <c r="AK908" s="49"/>
      <c r="AL908" s="49" t="s">
        <v>1280</v>
      </c>
      <c r="AM908" s="64"/>
      <c r="AN908" s="64"/>
      <c r="AO908" s="64"/>
      <c r="AP908" s="67">
        <f t="shared" si="261"/>
        <v>2.8782389581583179E-2</v>
      </c>
      <c r="AQ908" s="67">
        <f t="shared" si="262"/>
        <v>416.92160291230198</v>
      </c>
      <c r="AS908" s="67">
        <f t="shared" si="263"/>
        <v>5.9109384740457958E-3</v>
      </c>
      <c r="AU908" s="67">
        <f t="shared" si="264"/>
        <v>677</v>
      </c>
      <c r="AV908" s="67">
        <f t="shared" si="265"/>
        <v>1</v>
      </c>
      <c r="AW908" s="67" t="s">
        <v>1350</v>
      </c>
    </row>
    <row r="909" spans="1:49" ht="30" customHeight="1" x14ac:dyDescent="0.25">
      <c r="A909" s="51" t="s">
        <v>127</v>
      </c>
      <c r="B909" s="51" t="s">
        <v>1082</v>
      </c>
      <c r="C909" s="64" t="s">
        <v>71</v>
      </c>
      <c r="D909" s="64">
        <v>9</v>
      </c>
      <c r="E909" s="64" t="s">
        <v>605</v>
      </c>
      <c r="F909" s="64" t="s">
        <v>240</v>
      </c>
      <c r="G909" s="49" t="s">
        <v>1282</v>
      </c>
      <c r="H909" s="64">
        <v>0</v>
      </c>
      <c r="I909" s="64">
        <v>18</v>
      </c>
      <c r="J909" s="64">
        <v>2</v>
      </c>
      <c r="K909" s="49" t="s">
        <v>611</v>
      </c>
      <c r="L909" s="64" t="s">
        <v>1277</v>
      </c>
      <c r="M909" s="49" t="s">
        <v>1278</v>
      </c>
      <c r="N909" s="64" t="s">
        <v>240</v>
      </c>
      <c r="O909" s="101">
        <v>0.04</v>
      </c>
      <c r="P909" s="64" t="s">
        <v>240</v>
      </c>
      <c r="Q909" s="64" t="s">
        <v>240</v>
      </c>
      <c r="R909" s="64" t="s">
        <v>338</v>
      </c>
      <c r="S909" s="64">
        <f>ROUND(S907/1541*1118,0)</f>
        <v>522</v>
      </c>
      <c r="T909" s="64">
        <f t="shared" si="266"/>
        <v>261</v>
      </c>
      <c r="U909" s="64">
        <f t="shared" si="267"/>
        <v>261</v>
      </c>
      <c r="V909" s="64">
        <v>36</v>
      </c>
      <c r="W909" s="64">
        <v>32</v>
      </c>
      <c r="X909" s="102" t="s">
        <v>240</v>
      </c>
      <c r="Y909" s="105">
        <f>+V909/1.34</f>
        <v>26.865671641791042</v>
      </c>
      <c r="Z909" s="64" t="s">
        <v>240</v>
      </c>
      <c r="AA909" s="64" t="s">
        <v>240</v>
      </c>
      <c r="AB909" s="102" t="s">
        <v>240</v>
      </c>
      <c r="AC909" s="102" t="s">
        <v>240</v>
      </c>
      <c r="AD909" s="102" t="s">
        <v>240</v>
      </c>
      <c r="AE909" s="64" t="s">
        <v>240</v>
      </c>
      <c r="AF909" s="102" t="s">
        <v>240</v>
      </c>
      <c r="AG909" s="102" t="s">
        <v>240</v>
      </c>
      <c r="AH909" s="102" t="s">
        <v>240</v>
      </c>
      <c r="AI909" s="102">
        <f t="shared" si="260"/>
        <v>32</v>
      </c>
      <c r="AJ909" s="102" t="s">
        <v>240</v>
      </c>
      <c r="AK909" s="49"/>
      <c r="AL909" s="49" t="s">
        <v>1280</v>
      </c>
      <c r="AM909" s="64"/>
      <c r="AN909" s="64"/>
      <c r="AO909" s="64"/>
      <c r="AP909" s="67">
        <f t="shared" si="261"/>
        <v>9.8479824644791908E-2</v>
      </c>
      <c r="AQ909" s="67">
        <f t="shared" si="262"/>
        <v>365.55710908146762</v>
      </c>
      <c r="AS909" s="67">
        <f t="shared" si="263"/>
        <v>7.7298665660734608E-3</v>
      </c>
      <c r="AU909" s="67">
        <f t="shared" si="264"/>
        <v>520</v>
      </c>
      <c r="AV909" s="67">
        <f t="shared" si="265"/>
        <v>1</v>
      </c>
      <c r="AW909" s="67" t="s">
        <v>1350</v>
      </c>
    </row>
    <row r="910" spans="1:49" ht="30" customHeight="1" x14ac:dyDescent="0.25">
      <c r="A910" s="51" t="s">
        <v>127</v>
      </c>
      <c r="B910" s="51" t="s">
        <v>1082</v>
      </c>
      <c r="C910" s="64" t="s">
        <v>71</v>
      </c>
      <c r="D910" s="64">
        <v>10</v>
      </c>
      <c r="E910" s="64" t="s">
        <v>605</v>
      </c>
      <c r="F910" s="64" t="s">
        <v>240</v>
      </c>
      <c r="G910" s="49" t="s">
        <v>1283</v>
      </c>
      <c r="H910" s="64">
        <v>0</v>
      </c>
      <c r="I910" s="64">
        <v>6</v>
      </c>
      <c r="J910" s="64">
        <v>2</v>
      </c>
      <c r="K910" s="49" t="s">
        <v>611</v>
      </c>
      <c r="L910" s="64" t="s">
        <v>1277</v>
      </c>
      <c r="M910" s="49" t="s">
        <v>1278</v>
      </c>
      <c r="N910" s="64" t="s">
        <v>240</v>
      </c>
      <c r="O910" s="101">
        <v>0.04</v>
      </c>
      <c r="P910" s="64" t="s">
        <v>240</v>
      </c>
      <c r="Q910" s="64" t="s">
        <v>240</v>
      </c>
      <c r="R910" s="64" t="s">
        <v>338</v>
      </c>
      <c r="S910" s="64">
        <v>732</v>
      </c>
      <c r="T910" s="64">
        <f t="shared" si="266"/>
        <v>366</v>
      </c>
      <c r="U910" s="64">
        <f t="shared" si="267"/>
        <v>366</v>
      </c>
      <c r="V910" s="64">
        <v>42</v>
      </c>
      <c r="W910" s="64">
        <v>24</v>
      </c>
      <c r="X910" s="102" t="s">
        <v>240</v>
      </c>
      <c r="Y910" s="105">
        <f>+V910/1.33</f>
        <v>31.578947368421051</v>
      </c>
      <c r="Z910" s="64" t="s">
        <v>240</v>
      </c>
      <c r="AA910" s="64" t="s">
        <v>240</v>
      </c>
      <c r="AB910" s="102" t="s">
        <v>240</v>
      </c>
      <c r="AC910" s="102" t="s">
        <v>240</v>
      </c>
      <c r="AD910" s="102" t="s">
        <v>240</v>
      </c>
      <c r="AE910" s="64" t="s">
        <v>240</v>
      </c>
      <c r="AF910" s="102" t="s">
        <v>240</v>
      </c>
      <c r="AG910" s="102" t="s">
        <v>240</v>
      </c>
      <c r="AH910" s="102" t="s">
        <v>240</v>
      </c>
      <c r="AI910" s="102">
        <f t="shared" si="260"/>
        <v>24</v>
      </c>
      <c r="AJ910" s="102" t="s">
        <v>240</v>
      </c>
      <c r="AK910" s="49"/>
      <c r="AL910" s="49" t="s">
        <v>1279</v>
      </c>
      <c r="AM910" s="64"/>
      <c r="AN910" s="64"/>
      <c r="AO910" s="64"/>
      <c r="AP910" s="67">
        <f t="shared" si="261"/>
        <v>0.12936372241705024</v>
      </c>
      <c r="AQ910" s="67">
        <f t="shared" si="262"/>
        <v>324.6659822032484</v>
      </c>
      <c r="AS910" s="67">
        <f t="shared" si="263"/>
        <v>5.5254683840749415E-3</v>
      </c>
      <c r="AU910" s="67">
        <f t="shared" si="264"/>
        <v>730</v>
      </c>
      <c r="AV910" s="67">
        <f t="shared" si="265"/>
        <v>1</v>
      </c>
      <c r="AW910" s="67" t="s">
        <v>1350</v>
      </c>
    </row>
    <row r="911" spans="1:49" ht="30" customHeight="1" x14ac:dyDescent="0.25">
      <c r="A911" s="51" t="s">
        <v>127</v>
      </c>
      <c r="B911" s="51" t="s">
        <v>1082</v>
      </c>
      <c r="C911" s="64" t="s">
        <v>71</v>
      </c>
      <c r="D911" s="64">
        <v>11</v>
      </c>
      <c r="E911" s="64" t="s">
        <v>605</v>
      </c>
      <c r="F911" s="64" t="s">
        <v>240</v>
      </c>
      <c r="G911" s="49" t="s">
        <v>1283</v>
      </c>
      <c r="H911" s="64">
        <v>0</v>
      </c>
      <c r="I911" s="64">
        <v>12</v>
      </c>
      <c r="J911" s="64">
        <v>2</v>
      </c>
      <c r="K911" s="49" t="s">
        <v>611</v>
      </c>
      <c r="L911" s="64" t="s">
        <v>1277</v>
      </c>
      <c r="M911" s="49" t="s">
        <v>1278</v>
      </c>
      <c r="N911" s="64" t="s">
        <v>240</v>
      </c>
      <c r="O911" s="101">
        <v>0.04</v>
      </c>
      <c r="P911" s="64" t="s">
        <v>240</v>
      </c>
      <c r="Q911" s="64" t="s">
        <v>240</v>
      </c>
      <c r="R911" s="64" t="s">
        <v>338</v>
      </c>
      <c r="S911" s="64">
        <f>ROUND(S910/1541*1453,0)</f>
        <v>690</v>
      </c>
      <c r="T911" s="64">
        <f t="shared" si="266"/>
        <v>345</v>
      </c>
      <c r="U911" s="64">
        <f t="shared" si="267"/>
        <v>345</v>
      </c>
      <c r="V911" s="64">
        <v>-6</v>
      </c>
      <c r="W911" s="64">
        <v>26</v>
      </c>
      <c r="X911" s="102" t="s">
        <v>240</v>
      </c>
      <c r="Y911" s="105">
        <f>+V911/0.95</f>
        <v>-6.3157894736842106</v>
      </c>
      <c r="Z911" s="64" t="s">
        <v>240</v>
      </c>
      <c r="AA911" s="64" t="s">
        <v>240</v>
      </c>
      <c r="AB911" s="102" t="s">
        <v>240</v>
      </c>
      <c r="AC911" s="102" t="s">
        <v>240</v>
      </c>
      <c r="AD911" s="102" t="s">
        <v>240</v>
      </c>
      <c r="AE911" s="64" t="s">
        <v>240</v>
      </c>
      <c r="AF911" s="102" t="s">
        <v>240</v>
      </c>
      <c r="AG911" s="102" t="s">
        <v>240</v>
      </c>
      <c r="AH911" s="102" t="s">
        <v>240</v>
      </c>
      <c r="AI911" s="102">
        <f t="shared" si="260"/>
        <v>26</v>
      </c>
      <c r="AJ911" s="102" t="s">
        <v>240</v>
      </c>
      <c r="AK911" s="49"/>
      <c r="AL911" s="49" t="s">
        <v>1280</v>
      </c>
      <c r="AM911" s="64"/>
      <c r="AN911" s="64"/>
      <c r="AO911" s="64"/>
      <c r="AP911" s="67">
        <f t="shared" si="261"/>
        <v>-1.7570468945235715E-2</v>
      </c>
      <c r="AQ911" s="67">
        <f t="shared" si="262"/>
        <v>341.48206395065614</v>
      </c>
      <c r="AS911" s="67">
        <f t="shared" si="263"/>
        <v>5.8149026820107285E-3</v>
      </c>
      <c r="AU911" s="67">
        <f t="shared" si="264"/>
        <v>688</v>
      </c>
      <c r="AV911" s="67">
        <f t="shared" si="265"/>
        <v>1</v>
      </c>
      <c r="AW911" s="67" t="s">
        <v>1350</v>
      </c>
    </row>
    <row r="912" spans="1:49" ht="30" customHeight="1" x14ac:dyDescent="0.25">
      <c r="A912" s="51" t="s">
        <v>127</v>
      </c>
      <c r="B912" s="51" t="s">
        <v>1082</v>
      </c>
      <c r="C912" s="64" t="s">
        <v>71</v>
      </c>
      <c r="D912" s="64">
        <v>12</v>
      </c>
      <c r="E912" s="64" t="s">
        <v>605</v>
      </c>
      <c r="F912" s="64" t="s">
        <v>240</v>
      </c>
      <c r="G912" s="49" t="s">
        <v>1283</v>
      </c>
      <c r="H912" s="64">
        <v>0</v>
      </c>
      <c r="I912" s="64">
        <v>18</v>
      </c>
      <c r="J912" s="64">
        <v>2</v>
      </c>
      <c r="K912" s="49" t="s">
        <v>611</v>
      </c>
      <c r="L912" s="64" t="s">
        <v>1277</v>
      </c>
      <c r="M912" s="49" t="s">
        <v>1278</v>
      </c>
      <c r="N912" s="64" t="s">
        <v>240</v>
      </c>
      <c r="O912" s="101">
        <v>0.04</v>
      </c>
      <c r="P912" s="64" t="s">
        <v>240</v>
      </c>
      <c r="Q912" s="64" t="s">
        <v>240</v>
      </c>
      <c r="R912" s="64" t="s">
        <v>338</v>
      </c>
      <c r="S912" s="64">
        <f>ROUND(S910/1541*1118,0)</f>
        <v>531</v>
      </c>
      <c r="T912" s="64">
        <f t="shared" si="266"/>
        <v>265</v>
      </c>
      <c r="U912" s="64">
        <f t="shared" si="267"/>
        <v>266</v>
      </c>
      <c r="V912" s="64">
        <v>25</v>
      </c>
      <c r="W912" s="64">
        <v>44</v>
      </c>
      <c r="X912" s="102" t="s">
        <v>240</v>
      </c>
      <c r="Y912" s="105">
        <f>+V912/1.2</f>
        <v>20.833333333333336</v>
      </c>
      <c r="Z912" s="64" t="s">
        <v>240</v>
      </c>
      <c r="AA912" s="64" t="s">
        <v>240</v>
      </c>
      <c r="AB912" s="102" t="s">
        <v>240</v>
      </c>
      <c r="AC912" s="102" t="s">
        <v>240</v>
      </c>
      <c r="AD912" s="102" t="s">
        <v>240</v>
      </c>
      <c r="AE912" s="64" t="s">
        <v>240</v>
      </c>
      <c r="AF912" s="102" t="s">
        <v>240</v>
      </c>
      <c r="AG912" s="102" t="s">
        <v>240</v>
      </c>
      <c r="AH912" s="102" t="s">
        <v>240</v>
      </c>
      <c r="AI912" s="102">
        <f t="shared" si="260"/>
        <v>44</v>
      </c>
      <c r="AJ912" s="102" t="s">
        <v>240</v>
      </c>
      <c r="AK912" s="49"/>
      <c r="AL912" s="49" t="s">
        <v>1280</v>
      </c>
      <c r="AM912" s="64"/>
      <c r="AN912" s="64"/>
      <c r="AO912" s="64"/>
      <c r="AP912" s="67">
        <f t="shared" si="261"/>
        <v>4.9314068880594059E-2</v>
      </c>
      <c r="AQ912" s="67">
        <f t="shared" si="262"/>
        <v>506.95472037672266</v>
      </c>
      <c r="AS912" s="67">
        <f t="shared" si="263"/>
        <v>7.5708007104074706E-3</v>
      </c>
      <c r="AU912" s="67">
        <f t="shared" si="264"/>
        <v>529</v>
      </c>
      <c r="AV912" s="67">
        <f t="shared" si="265"/>
        <v>1</v>
      </c>
      <c r="AW912" s="67" t="s">
        <v>1350</v>
      </c>
    </row>
    <row r="913" spans="1:49" ht="30" customHeight="1" x14ac:dyDescent="0.25">
      <c r="A913" s="51" t="s">
        <v>127</v>
      </c>
      <c r="B913" s="51" t="s">
        <v>1082</v>
      </c>
      <c r="C913" s="64" t="s">
        <v>71</v>
      </c>
      <c r="D913" s="64">
        <v>13</v>
      </c>
      <c r="E913" s="64" t="s">
        <v>605</v>
      </c>
      <c r="F913" s="64" t="s">
        <v>240</v>
      </c>
      <c r="G913" s="49" t="s">
        <v>1284</v>
      </c>
      <c r="H913" s="64">
        <v>0</v>
      </c>
      <c r="I913" s="64">
        <v>6</v>
      </c>
      <c r="J913" s="64">
        <v>2</v>
      </c>
      <c r="K913" s="49" t="s">
        <v>611</v>
      </c>
      <c r="L913" s="64" t="s">
        <v>1277</v>
      </c>
      <c r="M913" s="49" t="s">
        <v>1278</v>
      </c>
      <c r="N913" s="64" t="s">
        <v>240</v>
      </c>
      <c r="O913" s="101">
        <v>0.04</v>
      </c>
      <c r="P913" s="64" t="s">
        <v>240</v>
      </c>
      <c r="Q913" s="64" t="s">
        <v>240</v>
      </c>
      <c r="R913" s="64" t="s">
        <v>338</v>
      </c>
      <c r="S913" s="64">
        <v>764</v>
      </c>
      <c r="T913" s="64">
        <f t="shared" si="266"/>
        <v>382</v>
      </c>
      <c r="U913" s="64">
        <f t="shared" si="267"/>
        <v>382</v>
      </c>
      <c r="V913" s="64">
        <v>72</v>
      </c>
      <c r="W913" s="64">
        <v>27</v>
      </c>
      <c r="X913" s="102" t="s">
        <v>240</v>
      </c>
      <c r="Y913" s="105">
        <f>+V913/1.67</f>
        <v>43.113772455089823</v>
      </c>
      <c r="Z913" s="64" t="s">
        <v>240</v>
      </c>
      <c r="AA913" s="64" t="s">
        <v>240</v>
      </c>
      <c r="AB913" s="102" t="s">
        <v>240</v>
      </c>
      <c r="AC913" s="102" t="s">
        <v>240</v>
      </c>
      <c r="AD913" s="102" t="s">
        <v>240</v>
      </c>
      <c r="AE913" s="64" t="s">
        <v>240</v>
      </c>
      <c r="AF913" s="102" t="s">
        <v>240</v>
      </c>
      <c r="AG913" s="102" t="s">
        <v>240</v>
      </c>
      <c r="AH913" s="102" t="s">
        <v>240</v>
      </c>
      <c r="AI913" s="102">
        <f t="shared" si="260"/>
        <v>27</v>
      </c>
      <c r="AJ913" s="102" t="s">
        <v>240</v>
      </c>
      <c r="AK913" s="49"/>
      <c r="AL913" s="49" t="s">
        <v>1279</v>
      </c>
      <c r="AM913" s="64"/>
      <c r="AN913" s="64"/>
      <c r="AO913" s="64"/>
      <c r="AP913" s="67">
        <f t="shared" si="261"/>
        <v>0.1929532280779791</v>
      </c>
      <c r="AQ913" s="67">
        <f t="shared" si="262"/>
        <v>373.14742394930187</v>
      </c>
      <c r="AS913" s="67">
        <f t="shared" si="263"/>
        <v>5.3473561740301889E-3</v>
      </c>
      <c r="AU913" s="67">
        <f t="shared" si="264"/>
        <v>762</v>
      </c>
      <c r="AV913" s="67">
        <f t="shared" si="265"/>
        <v>1</v>
      </c>
      <c r="AW913" s="67" t="s">
        <v>1350</v>
      </c>
    </row>
    <row r="914" spans="1:49" ht="30" customHeight="1" x14ac:dyDescent="0.25">
      <c r="A914" s="51" t="s">
        <v>127</v>
      </c>
      <c r="B914" s="51" t="s">
        <v>1082</v>
      </c>
      <c r="C914" s="64" t="s">
        <v>71</v>
      </c>
      <c r="D914" s="64">
        <v>14</v>
      </c>
      <c r="E914" s="64" t="s">
        <v>605</v>
      </c>
      <c r="F914" s="64" t="s">
        <v>240</v>
      </c>
      <c r="G914" s="49" t="s">
        <v>1284</v>
      </c>
      <c r="H914" s="64">
        <v>0</v>
      </c>
      <c r="I914" s="64">
        <v>12</v>
      </c>
      <c r="J914" s="64">
        <v>2</v>
      </c>
      <c r="K914" s="49" t="s">
        <v>611</v>
      </c>
      <c r="L914" s="64" t="s">
        <v>1277</v>
      </c>
      <c r="M914" s="49" t="s">
        <v>1278</v>
      </c>
      <c r="N914" s="64" t="s">
        <v>240</v>
      </c>
      <c r="O914" s="101">
        <v>0.04</v>
      </c>
      <c r="P914" s="64" t="s">
        <v>240</v>
      </c>
      <c r="Q914" s="64" t="s">
        <v>240</v>
      </c>
      <c r="R914" s="64" t="s">
        <v>338</v>
      </c>
      <c r="S914" s="64">
        <f>ROUND(S913/1541*1453,0)</f>
        <v>720</v>
      </c>
      <c r="T914" s="64">
        <f t="shared" si="266"/>
        <v>360</v>
      </c>
      <c r="U914" s="64">
        <f t="shared" si="267"/>
        <v>360</v>
      </c>
      <c r="V914" s="64">
        <v>94</v>
      </c>
      <c r="W914" s="64">
        <v>32</v>
      </c>
      <c r="X914" s="102" t="s">
        <v>240</v>
      </c>
      <c r="Y914" s="105">
        <f>+V914/1.89</f>
        <v>49.735449735449741</v>
      </c>
      <c r="Z914" s="64" t="s">
        <v>240</v>
      </c>
      <c r="AA914" s="64" t="s">
        <v>240</v>
      </c>
      <c r="AB914" s="102" t="s">
        <v>240</v>
      </c>
      <c r="AC914" s="102" t="s">
        <v>240</v>
      </c>
      <c r="AD914" s="102" t="s">
        <v>240</v>
      </c>
      <c r="AE914" s="64" t="s">
        <v>240</v>
      </c>
      <c r="AF914" s="102" t="s">
        <v>240</v>
      </c>
      <c r="AG914" s="102" t="s">
        <v>240</v>
      </c>
      <c r="AH914" s="102" t="s">
        <v>240</v>
      </c>
      <c r="AI914" s="102">
        <f t="shared" si="260"/>
        <v>32</v>
      </c>
      <c r="AJ914" s="102" t="s">
        <v>240</v>
      </c>
      <c r="AK914" s="49"/>
      <c r="AL914" s="49" t="s">
        <v>1280</v>
      </c>
      <c r="AM914" s="64"/>
      <c r="AN914" s="64"/>
      <c r="AO914" s="64"/>
      <c r="AP914" s="67">
        <f t="shared" si="261"/>
        <v>0.21894832279685439</v>
      </c>
      <c r="AQ914" s="67">
        <f t="shared" si="262"/>
        <v>429.32505167995964</v>
      </c>
      <c r="AS914" s="67">
        <f t="shared" si="263"/>
        <v>5.7049799231843577E-3</v>
      </c>
      <c r="AU914" s="67">
        <f t="shared" si="264"/>
        <v>718</v>
      </c>
      <c r="AV914" s="67">
        <f t="shared" si="265"/>
        <v>1</v>
      </c>
      <c r="AW914" s="67" t="s">
        <v>1350</v>
      </c>
    </row>
    <row r="915" spans="1:49" ht="30" customHeight="1" x14ac:dyDescent="0.25">
      <c r="A915" s="51" t="s">
        <v>127</v>
      </c>
      <c r="B915" s="51" t="s">
        <v>1082</v>
      </c>
      <c r="C915" s="51" t="s">
        <v>365</v>
      </c>
      <c r="D915" s="64">
        <v>15</v>
      </c>
      <c r="E915" s="64" t="s">
        <v>605</v>
      </c>
      <c r="F915" s="64" t="s">
        <v>240</v>
      </c>
      <c r="G915" s="73" t="s">
        <v>578</v>
      </c>
      <c r="H915" s="64">
        <v>0</v>
      </c>
      <c r="I915" s="64">
        <v>6</v>
      </c>
      <c r="J915" s="64">
        <v>2</v>
      </c>
      <c r="K915" s="64" t="s">
        <v>611</v>
      </c>
      <c r="L915" s="64" t="s">
        <v>1277</v>
      </c>
      <c r="M915" s="49" t="s">
        <v>1278</v>
      </c>
      <c r="N915" s="64" t="s">
        <v>240</v>
      </c>
      <c r="O915" s="101">
        <v>0.04</v>
      </c>
      <c r="P915" s="64" t="s">
        <v>240</v>
      </c>
      <c r="Q915" s="64" t="s">
        <v>240</v>
      </c>
      <c r="R915" s="64" t="s">
        <v>338</v>
      </c>
      <c r="S915" s="64">
        <f>+T915+U915</f>
        <v>2977</v>
      </c>
      <c r="T915" s="64">
        <v>1436</v>
      </c>
      <c r="U915" s="64">
        <v>1541</v>
      </c>
      <c r="V915" s="64">
        <v>67</v>
      </c>
      <c r="W915" s="64">
        <v>16</v>
      </c>
      <c r="X915" s="64" t="s">
        <v>240</v>
      </c>
      <c r="Y915" s="64" t="s">
        <v>240</v>
      </c>
      <c r="Z915" s="64" t="s">
        <v>240</v>
      </c>
      <c r="AA915" s="64" t="s">
        <v>240</v>
      </c>
      <c r="AB915" s="64" t="s">
        <v>240</v>
      </c>
      <c r="AC915" s="64" t="s">
        <v>240</v>
      </c>
      <c r="AD915" s="64" t="s">
        <v>240</v>
      </c>
      <c r="AE915" s="64" t="s">
        <v>240</v>
      </c>
      <c r="AF915" s="64" t="s">
        <v>240</v>
      </c>
      <c r="AG915" s="64" t="s">
        <v>240</v>
      </c>
      <c r="AH915" s="64" t="s">
        <v>240</v>
      </c>
      <c r="AI915" s="102">
        <f t="shared" si="260"/>
        <v>16</v>
      </c>
      <c r="AJ915" s="64" t="s">
        <v>240</v>
      </c>
      <c r="AK915" s="64" t="s">
        <v>240</v>
      </c>
      <c r="AL915" s="49"/>
      <c r="AM915" s="64"/>
      <c r="AN915" s="64"/>
      <c r="AO915" s="64"/>
      <c r="AP915" s="67">
        <f t="shared" si="261"/>
        <v>0.15359097526112672</v>
      </c>
      <c r="AQ915" s="67">
        <f t="shared" si="262"/>
        <v>436.22354689844485</v>
      </c>
      <c r="AS915" s="67">
        <f t="shared" si="263"/>
        <v>1.3620827323659506E-3</v>
      </c>
      <c r="AU915" s="67">
        <f t="shared" si="264"/>
        <v>2975</v>
      </c>
      <c r="AV915" s="67">
        <f t="shared" si="265"/>
        <v>1</v>
      </c>
      <c r="AW915" s="67" t="s">
        <v>1350</v>
      </c>
    </row>
    <row r="916" spans="1:49" ht="30" customHeight="1" x14ac:dyDescent="0.25">
      <c r="A916" s="51" t="s">
        <v>127</v>
      </c>
      <c r="B916" s="51" t="s">
        <v>1082</v>
      </c>
      <c r="C916" s="51" t="s">
        <v>365</v>
      </c>
      <c r="D916" s="64">
        <v>16</v>
      </c>
      <c r="E916" s="64" t="s">
        <v>605</v>
      </c>
      <c r="F916" s="64" t="s">
        <v>240</v>
      </c>
      <c r="G916" s="73" t="s">
        <v>578</v>
      </c>
      <c r="H916" s="64">
        <v>0</v>
      </c>
      <c r="I916" s="64">
        <v>12</v>
      </c>
      <c r="J916" s="64">
        <v>2</v>
      </c>
      <c r="K916" s="64" t="s">
        <v>611</v>
      </c>
      <c r="L916" s="64" t="s">
        <v>1277</v>
      </c>
      <c r="M916" s="49" t="s">
        <v>1278</v>
      </c>
      <c r="N916" s="64" t="s">
        <v>240</v>
      </c>
      <c r="O916" s="101">
        <v>0.04</v>
      </c>
      <c r="P916" s="64" t="s">
        <v>240</v>
      </c>
      <c r="Q916" s="64" t="s">
        <v>240</v>
      </c>
      <c r="R916" s="64" t="s">
        <v>338</v>
      </c>
      <c r="S916" s="64">
        <f>+T916+U916</f>
        <v>2860</v>
      </c>
      <c r="T916" s="64">
        <v>1407</v>
      </c>
      <c r="U916" s="64">
        <v>1453</v>
      </c>
      <c r="V916" s="64">
        <v>49</v>
      </c>
      <c r="W916" s="64">
        <v>13</v>
      </c>
      <c r="X916" s="64" t="s">
        <v>240</v>
      </c>
      <c r="Y916" s="64" t="s">
        <v>240</v>
      </c>
      <c r="Z916" s="64" t="s">
        <v>240</v>
      </c>
      <c r="AA916" s="64" t="s">
        <v>240</v>
      </c>
      <c r="AB916" s="64" t="s">
        <v>240</v>
      </c>
      <c r="AC916" s="64" t="s">
        <v>240</v>
      </c>
      <c r="AD916" s="64" t="s">
        <v>240</v>
      </c>
      <c r="AE916" s="64" t="s">
        <v>240</v>
      </c>
      <c r="AF916" s="64" t="s">
        <v>240</v>
      </c>
      <c r="AG916" s="64" t="s">
        <v>240</v>
      </c>
      <c r="AH916" s="64" t="s">
        <v>240</v>
      </c>
      <c r="AI916" s="102">
        <f t="shared" si="260"/>
        <v>13</v>
      </c>
      <c r="AJ916" s="64" t="s">
        <v>240</v>
      </c>
      <c r="AK916" s="64" t="s">
        <v>240</v>
      </c>
      <c r="AL916" s="49"/>
      <c r="AM916" s="64"/>
      <c r="AN916" s="64"/>
      <c r="AO916" s="64"/>
      <c r="AP916" s="67">
        <f t="shared" si="261"/>
        <v>0.14097947482934675</v>
      </c>
      <c r="AQ916" s="67">
        <f t="shared" si="262"/>
        <v>347.56832552620631</v>
      </c>
      <c r="AS916" s="67">
        <f t="shared" si="263"/>
        <v>1.4138611818030381E-3</v>
      </c>
      <c r="AU916" s="67">
        <f t="shared" si="264"/>
        <v>2858</v>
      </c>
      <c r="AV916" s="67">
        <f t="shared" si="265"/>
        <v>1</v>
      </c>
      <c r="AW916" s="67" t="s">
        <v>1350</v>
      </c>
    </row>
    <row r="917" spans="1:49" ht="30" customHeight="1" x14ac:dyDescent="0.25">
      <c r="A917" s="51" t="s">
        <v>127</v>
      </c>
      <c r="B917" s="51" t="s">
        <v>1082</v>
      </c>
      <c r="C917" s="51" t="s">
        <v>365</v>
      </c>
      <c r="D917" s="64">
        <v>17</v>
      </c>
      <c r="E917" s="64" t="s">
        <v>605</v>
      </c>
      <c r="F917" s="64" t="s">
        <v>240</v>
      </c>
      <c r="G917" s="73" t="s">
        <v>578</v>
      </c>
      <c r="H917" s="64">
        <v>0</v>
      </c>
      <c r="I917" s="64">
        <v>18</v>
      </c>
      <c r="J917" s="64">
        <v>2</v>
      </c>
      <c r="K917" s="64" t="s">
        <v>611</v>
      </c>
      <c r="L917" s="64" t="s">
        <v>1277</v>
      </c>
      <c r="M917" s="49" t="s">
        <v>1278</v>
      </c>
      <c r="N917" s="64" t="s">
        <v>240</v>
      </c>
      <c r="O917" s="101">
        <v>0.04</v>
      </c>
      <c r="P917" s="64" t="s">
        <v>240</v>
      </c>
      <c r="Q917" s="64" t="s">
        <v>240</v>
      </c>
      <c r="R917" s="64" t="s">
        <v>338</v>
      </c>
      <c r="S917" s="64">
        <f>+T917+U917</f>
        <v>2149</v>
      </c>
      <c r="T917" s="64">
        <v>1031</v>
      </c>
      <c r="U917" s="64">
        <v>1118</v>
      </c>
      <c r="V917" s="64">
        <v>44</v>
      </c>
      <c r="W917" s="64">
        <v>22</v>
      </c>
      <c r="X917" s="64" t="s">
        <v>240</v>
      </c>
      <c r="Y917" s="64" t="s">
        <v>240</v>
      </c>
      <c r="Z917" s="64" t="s">
        <v>240</v>
      </c>
      <c r="AA917" s="64" t="s">
        <v>240</v>
      </c>
      <c r="AB917" s="64" t="s">
        <v>240</v>
      </c>
      <c r="AC917" s="64" t="s">
        <v>240</v>
      </c>
      <c r="AD917" s="64" t="s">
        <v>240</v>
      </c>
      <c r="AE917" s="64" t="s">
        <v>240</v>
      </c>
      <c r="AF917" s="64" t="s">
        <v>240</v>
      </c>
      <c r="AG917" s="64" t="s">
        <v>240</v>
      </c>
      <c r="AH917" s="64" t="s">
        <v>240</v>
      </c>
      <c r="AI917" s="102">
        <f t="shared" si="260"/>
        <v>22</v>
      </c>
      <c r="AJ917" s="64" t="s">
        <v>240</v>
      </c>
      <c r="AK917" s="64" t="s">
        <v>240</v>
      </c>
      <c r="AL917" s="49"/>
      <c r="AM917" s="64"/>
      <c r="AN917" s="64"/>
      <c r="AO917" s="64"/>
      <c r="AP917" s="67">
        <f t="shared" si="261"/>
        <v>8.635708396140164E-2</v>
      </c>
      <c r="AQ917" s="67">
        <f t="shared" si="262"/>
        <v>509.51234087137937</v>
      </c>
      <c r="AS917" s="67">
        <f t="shared" si="263"/>
        <v>1.8730782660760156E-3</v>
      </c>
      <c r="AU917" s="67">
        <f t="shared" si="264"/>
        <v>2147</v>
      </c>
      <c r="AV917" s="67">
        <f t="shared" si="265"/>
        <v>1</v>
      </c>
      <c r="AW917" s="67" t="s">
        <v>1350</v>
      </c>
    </row>
    <row r="918" spans="1:49" ht="30" customHeight="1" x14ac:dyDescent="0.25">
      <c r="A918" s="51" t="s">
        <v>96</v>
      </c>
      <c r="B918" s="51" t="s">
        <v>1082</v>
      </c>
      <c r="C918" s="51" t="s">
        <v>96</v>
      </c>
      <c r="D918" s="64">
        <v>1</v>
      </c>
      <c r="E918" s="64" t="s">
        <v>605</v>
      </c>
      <c r="F918" s="64" t="s">
        <v>240</v>
      </c>
      <c r="G918" s="49" t="s">
        <v>1285</v>
      </c>
      <c r="H918" s="64">
        <v>0</v>
      </c>
      <c r="I918" s="64">
        <v>12</v>
      </c>
      <c r="J918" s="64">
        <v>1</v>
      </c>
      <c r="K918" s="49" t="s">
        <v>1286</v>
      </c>
      <c r="L918" s="64" t="s">
        <v>968</v>
      </c>
      <c r="M918" s="49" t="s">
        <v>1287</v>
      </c>
      <c r="N918" s="64" t="s">
        <v>240</v>
      </c>
      <c r="O918" s="64" t="s">
        <v>240</v>
      </c>
      <c r="P918" s="64" t="s">
        <v>240</v>
      </c>
      <c r="Q918" s="64" t="s">
        <v>240</v>
      </c>
      <c r="R918" s="64" t="s">
        <v>712</v>
      </c>
      <c r="S918" s="64">
        <f>SUM(T918:U918)</f>
        <v>6310</v>
      </c>
      <c r="T918" s="64">
        <v>534</v>
      </c>
      <c r="U918" s="64">
        <v>5776</v>
      </c>
      <c r="V918" s="64">
        <v>3.1800000000000002E-2</v>
      </c>
      <c r="W918" s="64" t="s">
        <v>240</v>
      </c>
      <c r="X918" s="102" t="s">
        <v>240</v>
      </c>
      <c r="Y918" s="64" t="s">
        <v>240</v>
      </c>
      <c r="Z918" s="102" t="s">
        <v>240</v>
      </c>
      <c r="AA918" s="102" t="s">
        <v>240</v>
      </c>
      <c r="AB918" s="102" t="s">
        <v>240</v>
      </c>
      <c r="AC918" s="102" t="s">
        <v>240</v>
      </c>
      <c r="AD918" s="102" t="s">
        <v>240</v>
      </c>
      <c r="AE918" s="102" t="s">
        <v>240</v>
      </c>
      <c r="AF918" s="64">
        <v>0.94</v>
      </c>
      <c r="AG918" s="102" t="s">
        <v>240</v>
      </c>
      <c r="AH918" s="102" t="s">
        <v>240</v>
      </c>
      <c r="AI918" s="102">
        <f>+ABS(V918/AF918)</f>
        <v>3.3829787234042556E-2</v>
      </c>
      <c r="AJ918" s="102" t="s">
        <v>240</v>
      </c>
      <c r="AK918" s="49"/>
      <c r="AL918" s="49"/>
      <c r="AM918" s="64"/>
      <c r="AN918" s="64"/>
      <c r="AO918" s="64"/>
    </row>
    <row r="919" spans="1:49" ht="30" customHeight="1" x14ac:dyDescent="0.25">
      <c r="A919" s="51" t="s">
        <v>96</v>
      </c>
      <c r="B919" s="51" t="s">
        <v>1082</v>
      </c>
      <c r="C919" s="51" t="s">
        <v>96</v>
      </c>
      <c r="D919" s="64">
        <v>2</v>
      </c>
      <c r="E919" s="64" t="s">
        <v>605</v>
      </c>
      <c r="F919" s="64" t="s">
        <v>240</v>
      </c>
      <c r="G919" s="49" t="s">
        <v>1288</v>
      </c>
      <c r="H919" s="64">
        <v>0</v>
      </c>
      <c r="I919" s="64">
        <v>12</v>
      </c>
      <c r="J919" s="64">
        <v>1</v>
      </c>
      <c r="K919" s="49" t="s">
        <v>1286</v>
      </c>
      <c r="L919" s="64" t="s">
        <v>968</v>
      </c>
      <c r="M919" s="49" t="s">
        <v>1287</v>
      </c>
      <c r="N919" s="64" t="s">
        <v>240</v>
      </c>
      <c r="O919" s="64" t="s">
        <v>240</v>
      </c>
      <c r="P919" s="64" t="s">
        <v>240</v>
      </c>
      <c r="Q919" s="64" t="s">
        <v>240</v>
      </c>
      <c r="R919" s="64" t="s">
        <v>712</v>
      </c>
      <c r="S919" s="64">
        <f>SUM(T919:U919)</f>
        <v>7116</v>
      </c>
      <c r="T919" s="64">
        <v>565</v>
      </c>
      <c r="U919" s="64">
        <v>6551</v>
      </c>
      <c r="V919" s="64">
        <v>-1.41E-2</v>
      </c>
      <c r="W919" s="64" t="s">
        <v>240</v>
      </c>
      <c r="X919" s="102" t="s">
        <v>240</v>
      </c>
      <c r="Y919" s="64" t="s">
        <v>240</v>
      </c>
      <c r="Z919" s="102" t="s">
        <v>240</v>
      </c>
      <c r="AA919" s="102" t="s">
        <v>240</v>
      </c>
      <c r="AB919" s="102" t="s">
        <v>240</v>
      </c>
      <c r="AC919" s="102" t="s">
        <v>240</v>
      </c>
      <c r="AD919" s="102" t="s">
        <v>240</v>
      </c>
      <c r="AE919" s="102" t="s">
        <v>240</v>
      </c>
      <c r="AF919" s="64">
        <v>0.39</v>
      </c>
      <c r="AG919" s="102" t="s">
        <v>240</v>
      </c>
      <c r="AH919" s="102" t="s">
        <v>240</v>
      </c>
      <c r="AI919" s="102">
        <f>+ABS(V919/AF919)</f>
        <v>3.6153846153846154E-2</v>
      </c>
      <c r="AJ919" s="102" t="s">
        <v>240</v>
      </c>
      <c r="AK919" s="49"/>
      <c r="AL919" s="49"/>
      <c r="AM919" s="64"/>
      <c r="AN919" s="64"/>
      <c r="AO919" s="64"/>
    </row>
    <row r="920" spans="1:49" ht="30" customHeight="1" x14ac:dyDescent="0.25">
      <c r="A920" s="106" t="s">
        <v>151</v>
      </c>
      <c r="B920" s="51" t="s">
        <v>1082</v>
      </c>
      <c r="C920" s="106" t="s">
        <v>1118</v>
      </c>
      <c r="D920" s="64">
        <v>1</v>
      </c>
      <c r="E920" s="64" t="s">
        <v>583</v>
      </c>
      <c r="F920" s="64" t="s">
        <v>822</v>
      </c>
      <c r="G920" s="49" t="s">
        <v>1289</v>
      </c>
      <c r="H920" s="64">
        <v>0</v>
      </c>
      <c r="I920" s="64">
        <v>33</v>
      </c>
      <c r="J920" s="64">
        <v>2</v>
      </c>
      <c r="K920" s="49" t="s">
        <v>1290</v>
      </c>
      <c r="L920" s="64" t="s">
        <v>1291</v>
      </c>
      <c r="M920" s="49" t="s">
        <v>570</v>
      </c>
      <c r="N920" s="64" t="s">
        <v>240</v>
      </c>
      <c r="O920" s="64" t="s">
        <v>240</v>
      </c>
      <c r="P920" s="64" t="s">
        <v>240</v>
      </c>
      <c r="Q920" s="64" t="s">
        <v>240</v>
      </c>
      <c r="R920" s="64" t="s">
        <v>922</v>
      </c>
      <c r="S920" s="64">
        <v>19438</v>
      </c>
      <c r="T920" s="64">
        <f>ROUND(S920*744/(744+325),0)</f>
        <v>13528</v>
      </c>
      <c r="U920" s="64">
        <f>ROUND(+S920*325/(744+325),0)</f>
        <v>5910</v>
      </c>
      <c r="V920" s="64">
        <v>280</v>
      </c>
      <c r="W920" s="64">
        <v>92</v>
      </c>
      <c r="X920" s="102" t="s">
        <v>240</v>
      </c>
      <c r="Y920" s="102" t="s">
        <v>240</v>
      </c>
      <c r="Z920" s="102" t="s">
        <v>240</v>
      </c>
      <c r="AA920" s="102" t="s">
        <v>240</v>
      </c>
      <c r="AB920" s="102" t="s">
        <v>240</v>
      </c>
      <c r="AC920" s="102" t="s">
        <v>240</v>
      </c>
      <c r="AD920" s="102" t="s">
        <v>240</v>
      </c>
      <c r="AE920" s="102" t="s">
        <v>240</v>
      </c>
      <c r="AF920" s="102" t="s">
        <v>240</v>
      </c>
      <c r="AG920" s="102" t="s">
        <v>240</v>
      </c>
      <c r="AH920" s="107" t="s">
        <v>240</v>
      </c>
      <c r="AI920" s="102">
        <f t="shared" ref="AI920:AI927" si="268">+W920</f>
        <v>92</v>
      </c>
      <c r="AJ920" s="107" t="s">
        <v>240</v>
      </c>
      <c r="AK920" s="49"/>
      <c r="AL920" s="49"/>
      <c r="AM920" s="64"/>
      <c r="AN920" s="64"/>
      <c r="AO920" s="64"/>
      <c r="AP920" s="67">
        <f t="shared" ref="AP920:AP927" si="269">+V920/AQ920</f>
        <v>4.7455379976663582E-2</v>
      </c>
      <c r="AQ920" s="67">
        <f t="shared" ref="AQ920:AQ927" si="270">+AI920*SQRT(T920*U920/S920)</f>
        <v>5900.2793811300508</v>
      </c>
      <c r="AS920" s="67">
        <f t="shared" ref="AS920:AS927" si="271">+AP920^2/(AU920-2)*(AU920/(V920/AI920)^2+AU920*AV920^2-AU920+2)</f>
        <v>2.4338227543487743E-4</v>
      </c>
      <c r="AU920" s="67">
        <f t="shared" ref="AU920:AU927" si="272">+S920-2</f>
        <v>19436</v>
      </c>
      <c r="AV920" s="67">
        <f t="shared" ref="AV920:AV927" si="273">IFERROR(1/(SQRT(AU920/2)*_xlfn.GAMMA(AU920/2-0.5)/_xlfn.GAMMA(AU920/2)),1)</f>
        <v>1</v>
      </c>
      <c r="AW920" s="67" t="s">
        <v>1350</v>
      </c>
    </row>
    <row r="921" spans="1:49" ht="30" customHeight="1" x14ac:dyDescent="0.25">
      <c r="A921" s="106" t="s">
        <v>151</v>
      </c>
      <c r="B921" s="51" t="s">
        <v>1082</v>
      </c>
      <c r="C921" s="106" t="s">
        <v>1118</v>
      </c>
      <c r="D921" s="64">
        <v>2</v>
      </c>
      <c r="E921" s="64" t="s">
        <v>583</v>
      </c>
      <c r="F921" s="64" t="s">
        <v>822</v>
      </c>
      <c r="G921" s="49" t="s">
        <v>1292</v>
      </c>
      <c r="H921" s="64">
        <v>0</v>
      </c>
      <c r="I921" s="64">
        <v>33</v>
      </c>
      <c r="J921" s="64">
        <v>2</v>
      </c>
      <c r="K921" s="49" t="s">
        <v>1290</v>
      </c>
      <c r="L921" s="64" t="s">
        <v>1291</v>
      </c>
      <c r="M921" s="49" t="s">
        <v>570</v>
      </c>
      <c r="N921" s="64" t="s">
        <v>240</v>
      </c>
      <c r="O921" s="64" t="s">
        <v>240</v>
      </c>
      <c r="P921" s="64" t="s">
        <v>240</v>
      </c>
      <c r="Q921" s="64" t="s">
        <v>240</v>
      </c>
      <c r="R921" s="64" t="s">
        <v>922</v>
      </c>
      <c r="S921" s="64">
        <v>19438</v>
      </c>
      <c r="T921" s="64">
        <f>ROUND(S921*744/(744+325),0)</f>
        <v>13528</v>
      </c>
      <c r="U921" s="64">
        <f>ROUND(+S921*325/(744+325),0)</f>
        <v>5910</v>
      </c>
      <c r="V921" s="64">
        <v>230</v>
      </c>
      <c r="W921" s="64">
        <v>90</v>
      </c>
      <c r="X921" s="102" t="s">
        <v>240</v>
      </c>
      <c r="Y921" s="102" t="s">
        <v>240</v>
      </c>
      <c r="Z921" s="102" t="s">
        <v>240</v>
      </c>
      <c r="AA921" s="102" t="s">
        <v>240</v>
      </c>
      <c r="AB921" s="102" t="s">
        <v>240</v>
      </c>
      <c r="AC921" s="102" t="s">
        <v>240</v>
      </c>
      <c r="AD921" s="102" t="s">
        <v>240</v>
      </c>
      <c r="AE921" s="102" t="s">
        <v>240</v>
      </c>
      <c r="AF921" s="102" t="s">
        <v>240</v>
      </c>
      <c r="AG921" s="102" t="s">
        <v>240</v>
      </c>
      <c r="AH921" s="107" t="s">
        <v>240</v>
      </c>
      <c r="AI921" s="102">
        <f t="shared" si="268"/>
        <v>90</v>
      </c>
      <c r="AJ921" s="107" t="s">
        <v>240</v>
      </c>
      <c r="AK921" s="49"/>
      <c r="AL921" s="49"/>
      <c r="AM921" s="64"/>
      <c r="AN921" s="64"/>
      <c r="AO921" s="64"/>
      <c r="AP921" s="67">
        <f t="shared" si="269"/>
        <v>3.9847453980404818E-2</v>
      </c>
      <c r="AQ921" s="67">
        <f t="shared" si="270"/>
        <v>5772.0124380620064</v>
      </c>
      <c r="AS921" s="67">
        <f t="shared" si="271"/>
        <v>2.4331392167342781E-4</v>
      </c>
      <c r="AU921" s="67">
        <f t="shared" si="272"/>
        <v>19436</v>
      </c>
      <c r="AV921" s="67">
        <f t="shared" si="273"/>
        <v>1</v>
      </c>
      <c r="AW921" s="67" t="s">
        <v>1350</v>
      </c>
    </row>
    <row r="922" spans="1:49" ht="30" customHeight="1" x14ac:dyDescent="0.25">
      <c r="A922" s="106" t="s">
        <v>151</v>
      </c>
      <c r="B922" s="51" t="s">
        <v>1082</v>
      </c>
      <c r="C922" s="106" t="s">
        <v>1118</v>
      </c>
      <c r="D922" s="64">
        <v>3</v>
      </c>
      <c r="E922" s="64" t="s">
        <v>577</v>
      </c>
      <c r="F922" s="64" t="s">
        <v>822</v>
      </c>
      <c r="G922" s="49" t="s">
        <v>1289</v>
      </c>
      <c r="H922" s="64">
        <v>0</v>
      </c>
      <c r="I922" s="64">
        <v>33</v>
      </c>
      <c r="J922" s="64">
        <v>2</v>
      </c>
      <c r="K922" s="49" t="s">
        <v>1290</v>
      </c>
      <c r="L922" s="64" t="s">
        <v>1291</v>
      </c>
      <c r="M922" s="49" t="s">
        <v>570</v>
      </c>
      <c r="N922" s="64" t="s">
        <v>240</v>
      </c>
      <c r="O922" s="64" t="s">
        <v>240</v>
      </c>
      <c r="P922" s="64" t="s">
        <v>240</v>
      </c>
      <c r="Q922" s="64" t="s">
        <v>240</v>
      </c>
      <c r="R922" s="64" t="s">
        <v>922</v>
      </c>
      <c r="S922" s="64">
        <v>42943</v>
      </c>
      <c r="T922" s="64">
        <f>ROUND(S922*1697/(1697+816),0)</f>
        <v>28999</v>
      </c>
      <c r="U922" s="64">
        <f>ROUND(S922*816/(1697+816),0)</f>
        <v>13944</v>
      </c>
      <c r="V922" s="64">
        <v>111</v>
      </c>
      <c r="W922" s="64">
        <v>43</v>
      </c>
      <c r="X922" s="102" t="s">
        <v>240</v>
      </c>
      <c r="Y922" s="102" t="s">
        <v>240</v>
      </c>
      <c r="Z922" s="102" t="s">
        <v>240</v>
      </c>
      <c r="AA922" s="102" t="s">
        <v>240</v>
      </c>
      <c r="AB922" s="102" t="s">
        <v>240</v>
      </c>
      <c r="AC922" s="102" t="s">
        <v>240</v>
      </c>
      <c r="AD922" s="102" t="s">
        <v>240</v>
      </c>
      <c r="AE922" s="102" t="s">
        <v>240</v>
      </c>
      <c r="AF922" s="102" t="s">
        <v>240</v>
      </c>
      <c r="AG922" s="102" t="s">
        <v>240</v>
      </c>
      <c r="AH922" s="107" t="s">
        <v>240</v>
      </c>
      <c r="AI922" s="102">
        <f t="shared" si="268"/>
        <v>43</v>
      </c>
      <c r="AJ922" s="107" t="s">
        <v>240</v>
      </c>
      <c r="AK922" s="49"/>
      <c r="AL922" s="49"/>
      <c r="AM922" s="64"/>
      <c r="AN922" s="64"/>
      <c r="AO922" s="64"/>
      <c r="AP922" s="67">
        <f t="shared" si="269"/>
        <v>2.6602075130065631E-2</v>
      </c>
      <c r="AQ922" s="67">
        <f t="shared" si="270"/>
        <v>4172.6068157197233</v>
      </c>
      <c r="AS922" s="67">
        <f t="shared" si="271"/>
        <v>1.062372890687496E-4</v>
      </c>
      <c r="AU922" s="67">
        <f t="shared" si="272"/>
        <v>42941</v>
      </c>
      <c r="AV922" s="67">
        <f t="shared" si="273"/>
        <v>1</v>
      </c>
      <c r="AW922" s="67" t="s">
        <v>1350</v>
      </c>
    </row>
    <row r="923" spans="1:49" ht="30" customHeight="1" x14ac:dyDescent="0.25">
      <c r="A923" s="106" t="s">
        <v>151</v>
      </c>
      <c r="B923" s="51" t="s">
        <v>1082</v>
      </c>
      <c r="C923" s="106" t="s">
        <v>1118</v>
      </c>
      <c r="D923" s="64">
        <v>4</v>
      </c>
      <c r="E923" s="64" t="s">
        <v>577</v>
      </c>
      <c r="F923" s="64" t="s">
        <v>822</v>
      </c>
      <c r="G923" s="49" t="s">
        <v>1292</v>
      </c>
      <c r="H923" s="64">
        <v>0</v>
      </c>
      <c r="I923" s="64">
        <v>33</v>
      </c>
      <c r="J923" s="64">
        <v>2</v>
      </c>
      <c r="K923" s="49" t="s">
        <v>1290</v>
      </c>
      <c r="L923" s="64" t="s">
        <v>1291</v>
      </c>
      <c r="M923" s="49" t="s">
        <v>570</v>
      </c>
      <c r="N923" s="64" t="s">
        <v>240</v>
      </c>
      <c r="O923" s="64" t="s">
        <v>240</v>
      </c>
      <c r="P923" s="64" t="s">
        <v>240</v>
      </c>
      <c r="Q923" s="64" t="s">
        <v>240</v>
      </c>
      <c r="R923" s="64" t="s">
        <v>922</v>
      </c>
      <c r="S923" s="64">
        <v>42943</v>
      </c>
      <c r="T923" s="64">
        <f>ROUND(S923*1697/(1697+816),0)</f>
        <v>28999</v>
      </c>
      <c r="U923" s="64">
        <f>ROUND(S923*816/(1697+816),0)</f>
        <v>13944</v>
      </c>
      <c r="V923" s="64">
        <v>215</v>
      </c>
      <c r="W923" s="64">
        <v>39</v>
      </c>
      <c r="X923" s="102" t="s">
        <v>240</v>
      </c>
      <c r="Y923" s="102" t="s">
        <v>240</v>
      </c>
      <c r="Z923" s="102" t="s">
        <v>240</v>
      </c>
      <c r="AA923" s="102" t="s">
        <v>240</v>
      </c>
      <c r="AB923" s="102" t="s">
        <v>240</v>
      </c>
      <c r="AC923" s="102" t="s">
        <v>240</v>
      </c>
      <c r="AD923" s="102" t="s">
        <v>240</v>
      </c>
      <c r="AE923" s="102" t="s">
        <v>240</v>
      </c>
      <c r="AF923" s="102" t="s">
        <v>240</v>
      </c>
      <c r="AG923" s="102" t="s">
        <v>240</v>
      </c>
      <c r="AH923" s="107" t="s">
        <v>240</v>
      </c>
      <c r="AI923" s="102">
        <f t="shared" si="268"/>
        <v>39</v>
      </c>
      <c r="AJ923" s="107" t="s">
        <v>240</v>
      </c>
      <c r="AK923" s="49"/>
      <c r="AL923" s="49"/>
      <c r="AM923" s="64"/>
      <c r="AN923" s="64"/>
      <c r="AO923" s="64"/>
      <c r="AP923" s="67">
        <f t="shared" si="269"/>
        <v>5.6811315448707961E-2</v>
      </c>
      <c r="AQ923" s="67">
        <f t="shared" si="270"/>
        <v>3784.4573444899816</v>
      </c>
      <c r="AS923" s="67">
        <f t="shared" si="271"/>
        <v>1.0635465813471681E-4</v>
      </c>
      <c r="AU923" s="67">
        <f t="shared" si="272"/>
        <v>42941</v>
      </c>
      <c r="AV923" s="67">
        <f t="shared" si="273"/>
        <v>1</v>
      </c>
      <c r="AW923" s="67" t="s">
        <v>1350</v>
      </c>
    </row>
    <row r="924" spans="1:49" ht="30" customHeight="1" x14ac:dyDescent="0.25">
      <c r="A924" s="106" t="s">
        <v>151</v>
      </c>
      <c r="B924" s="51" t="s">
        <v>1082</v>
      </c>
      <c r="C924" s="106" t="s">
        <v>1118</v>
      </c>
      <c r="D924" s="64">
        <v>5</v>
      </c>
      <c r="E924" s="64" t="s">
        <v>583</v>
      </c>
      <c r="F924" s="102" t="s">
        <v>640</v>
      </c>
      <c r="G924" s="49" t="s">
        <v>1289</v>
      </c>
      <c r="H924" s="64">
        <v>0</v>
      </c>
      <c r="I924" s="64">
        <v>33</v>
      </c>
      <c r="J924" s="64">
        <v>2</v>
      </c>
      <c r="K924" s="49" t="s">
        <v>1290</v>
      </c>
      <c r="L924" s="64" t="s">
        <v>1291</v>
      </c>
      <c r="M924" s="49" t="s">
        <v>570</v>
      </c>
      <c r="N924" s="64" t="s">
        <v>240</v>
      </c>
      <c r="O924" s="64" t="s">
        <v>240</v>
      </c>
      <c r="P924" s="64" t="s">
        <v>240</v>
      </c>
      <c r="Q924" s="64" t="s">
        <v>240</v>
      </c>
      <c r="R924" s="64" t="s">
        <v>922</v>
      </c>
      <c r="S924" s="64">
        <v>11328</v>
      </c>
      <c r="T924" s="64">
        <f>ROUND(S924*377/(377+174),0)</f>
        <v>7751</v>
      </c>
      <c r="U924" s="64">
        <f>ROUND(S924*174/(377+174),0)</f>
        <v>3577</v>
      </c>
      <c r="V924" s="64">
        <v>169</v>
      </c>
      <c r="W924" s="64">
        <v>107</v>
      </c>
      <c r="X924" s="102" t="s">
        <v>240</v>
      </c>
      <c r="Y924" s="102" t="s">
        <v>240</v>
      </c>
      <c r="Z924" s="102" t="s">
        <v>240</v>
      </c>
      <c r="AA924" s="102" t="s">
        <v>240</v>
      </c>
      <c r="AB924" s="102" t="s">
        <v>240</v>
      </c>
      <c r="AC924" s="102" t="s">
        <v>240</v>
      </c>
      <c r="AD924" s="102" t="s">
        <v>240</v>
      </c>
      <c r="AE924" s="102" t="s">
        <v>240</v>
      </c>
      <c r="AF924" s="102" t="s">
        <v>240</v>
      </c>
      <c r="AG924" s="102" t="s">
        <v>240</v>
      </c>
      <c r="AH924" s="107" t="s">
        <v>240</v>
      </c>
      <c r="AI924" s="102">
        <f t="shared" si="268"/>
        <v>107</v>
      </c>
      <c r="AJ924" s="107" t="s">
        <v>240</v>
      </c>
      <c r="AK924" s="49"/>
      <c r="AL924" s="49"/>
      <c r="AM924" s="64"/>
      <c r="AN924" s="64"/>
      <c r="AO924" s="64"/>
      <c r="AP924" s="67">
        <f t="shared" si="269"/>
        <v>3.1925757356857154E-2</v>
      </c>
      <c r="AQ924" s="67">
        <f t="shared" si="270"/>
        <v>5293.5314301541994</v>
      </c>
      <c r="AS924" s="67">
        <f t="shared" si="271"/>
        <v>4.0883166952488173E-4</v>
      </c>
      <c r="AU924" s="67">
        <f t="shared" si="272"/>
        <v>11326</v>
      </c>
      <c r="AV924" s="67">
        <f t="shared" si="273"/>
        <v>1</v>
      </c>
      <c r="AW924" s="67" t="s">
        <v>1350</v>
      </c>
    </row>
    <row r="925" spans="1:49" ht="30" customHeight="1" x14ac:dyDescent="0.25">
      <c r="A925" s="106" t="s">
        <v>151</v>
      </c>
      <c r="B925" s="51" t="s">
        <v>1082</v>
      </c>
      <c r="C925" s="106" t="s">
        <v>1118</v>
      </c>
      <c r="D925" s="64">
        <v>6</v>
      </c>
      <c r="E925" s="64" t="s">
        <v>583</v>
      </c>
      <c r="F925" s="102" t="s">
        <v>640</v>
      </c>
      <c r="G925" s="49" t="s">
        <v>1292</v>
      </c>
      <c r="H925" s="64">
        <v>0</v>
      </c>
      <c r="I925" s="64">
        <v>33</v>
      </c>
      <c r="J925" s="64">
        <v>2</v>
      </c>
      <c r="K925" s="49" t="s">
        <v>1290</v>
      </c>
      <c r="L925" s="64" t="s">
        <v>1291</v>
      </c>
      <c r="M925" s="49" t="s">
        <v>570</v>
      </c>
      <c r="N925" s="64" t="s">
        <v>240</v>
      </c>
      <c r="O925" s="64" t="s">
        <v>240</v>
      </c>
      <c r="P925" s="64" t="s">
        <v>240</v>
      </c>
      <c r="Q925" s="64" t="s">
        <v>240</v>
      </c>
      <c r="R925" s="64" t="s">
        <v>922</v>
      </c>
      <c r="S925" s="64">
        <v>11328</v>
      </c>
      <c r="T925" s="64">
        <f>ROUND(S925*377/(377+174),0)</f>
        <v>7751</v>
      </c>
      <c r="U925" s="64">
        <f>ROUND(S925*174/(377+174),0)</f>
        <v>3577</v>
      </c>
      <c r="V925" s="64">
        <v>70</v>
      </c>
      <c r="W925" s="64">
        <v>90</v>
      </c>
      <c r="X925" s="102" t="s">
        <v>240</v>
      </c>
      <c r="Y925" s="102" t="s">
        <v>240</v>
      </c>
      <c r="Z925" s="102" t="s">
        <v>240</v>
      </c>
      <c r="AA925" s="102" t="s">
        <v>240</v>
      </c>
      <c r="AB925" s="102" t="s">
        <v>240</v>
      </c>
      <c r="AC925" s="102" t="s">
        <v>240</v>
      </c>
      <c r="AD925" s="102" t="s">
        <v>240</v>
      </c>
      <c r="AE925" s="102" t="s">
        <v>240</v>
      </c>
      <c r="AF925" s="102" t="s">
        <v>240</v>
      </c>
      <c r="AG925" s="102" t="s">
        <v>240</v>
      </c>
      <c r="AH925" s="107" t="s">
        <v>240</v>
      </c>
      <c r="AI925" s="102">
        <f t="shared" si="268"/>
        <v>90</v>
      </c>
      <c r="AJ925" s="107" t="s">
        <v>240</v>
      </c>
      <c r="AK925" s="49"/>
      <c r="AL925" s="49"/>
      <c r="AM925" s="64"/>
      <c r="AN925" s="64"/>
      <c r="AO925" s="64"/>
      <c r="AP925" s="67">
        <f t="shared" si="269"/>
        <v>1.5721493925237348E-2</v>
      </c>
      <c r="AQ925" s="67">
        <f t="shared" si="270"/>
        <v>4452.5030720923178</v>
      </c>
      <c r="AS925" s="67">
        <f t="shared" si="271"/>
        <v>4.0869530629429753E-4</v>
      </c>
      <c r="AU925" s="67">
        <f t="shared" si="272"/>
        <v>11326</v>
      </c>
      <c r="AV925" s="67">
        <f t="shared" si="273"/>
        <v>1</v>
      </c>
      <c r="AW925" s="67" t="s">
        <v>1350</v>
      </c>
    </row>
    <row r="926" spans="1:49" ht="30" customHeight="1" x14ac:dyDescent="0.25">
      <c r="A926" s="106" t="s">
        <v>151</v>
      </c>
      <c r="B926" s="51" t="s">
        <v>1082</v>
      </c>
      <c r="C926" s="106" t="s">
        <v>1118</v>
      </c>
      <c r="D926" s="64">
        <v>7</v>
      </c>
      <c r="E926" s="64" t="s">
        <v>577</v>
      </c>
      <c r="F926" s="102" t="s">
        <v>640</v>
      </c>
      <c r="G926" s="49" t="s">
        <v>1289</v>
      </c>
      <c r="H926" s="64">
        <v>0</v>
      </c>
      <c r="I926" s="64">
        <v>33</v>
      </c>
      <c r="J926" s="64">
        <v>2</v>
      </c>
      <c r="K926" s="49" t="s">
        <v>1290</v>
      </c>
      <c r="L926" s="64" t="s">
        <v>1291</v>
      </c>
      <c r="M926" s="49" t="s">
        <v>570</v>
      </c>
      <c r="N926" s="64" t="s">
        <v>240</v>
      </c>
      <c r="O926" s="64" t="s">
        <v>240</v>
      </c>
      <c r="P926" s="64" t="s">
        <v>240</v>
      </c>
      <c r="Q926" s="64" t="s">
        <v>240</v>
      </c>
      <c r="R926" s="64" t="s">
        <v>922</v>
      </c>
      <c r="S926" s="64">
        <v>22052</v>
      </c>
      <c r="T926" s="64">
        <f>ROUND(S926*734/(734+352),0)</f>
        <v>14904</v>
      </c>
      <c r="U926" s="64">
        <f>ROUND(S926*352/(734+352),0)</f>
        <v>7148</v>
      </c>
      <c r="V926" s="64">
        <v>77</v>
      </c>
      <c r="W926" s="64">
        <v>57</v>
      </c>
      <c r="X926" s="102" t="s">
        <v>240</v>
      </c>
      <c r="Y926" s="102" t="s">
        <v>240</v>
      </c>
      <c r="Z926" s="102" t="s">
        <v>240</v>
      </c>
      <c r="AA926" s="102" t="s">
        <v>240</v>
      </c>
      <c r="AB926" s="102" t="s">
        <v>240</v>
      </c>
      <c r="AC926" s="102" t="s">
        <v>240</v>
      </c>
      <c r="AD926" s="102" t="s">
        <v>240</v>
      </c>
      <c r="AE926" s="102" t="s">
        <v>240</v>
      </c>
      <c r="AF926" s="102" t="s">
        <v>240</v>
      </c>
      <c r="AG926" s="102" t="s">
        <v>240</v>
      </c>
      <c r="AH926" s="107" t="s">
        <v>240</v>
      </c>
      <c r="AI926" s="102">
        <f t="shared" si="268"/>
        <v>57</v>
      </c>
      <c r="AJ926" s="107" t="s">
        <v>240</v>
      </c>
      <c r="AK926" s="49"/>
      <c r="AL926" s="49"/>
      <c r="AM926" s="64"/>
      <c r="AN926" s="64"/>
      <c r="AO926" s="64"/>
      <c r="AP926" s="67">
        <f t="shared" si="269"/>
        <v>1.943552017057756E-2</v>
      </c>
      <c r="AQ926" s="67">
        <f t="shared" si="270"/>
        <v>3961.8183266618385</v>
      </c>
      <c r="AS926" s="67">
        <f t="shared" si="271"/>
        <v>2.070483960936062E-4</v>
      </c>
      <c r="AU926" s="67">
        <f t="shared" si="272"/>
        <v>22050</v>
      </c>
      <c r="AV926" s="67">
        <f t="shared" si="273"/>
        <v>1</v>
      </c>
      <c r="AW926" s="67" t="s">
        <v>1350</v>
      </c>
    </row>
    <row r="927" spans="1:49" ht="30" customHeight="1" x14ac:dyDescent="0.25">
      <c r="A927" s="106" t="s">
        <v>151</v>
      </c>
      <c r="B927" s="51" t="s">
        <v>1082</v>
      </c>
      <c r="C927" s="106" t="s">
        <v>1118</v>
      </c>
      <c r="D927" s="64">
        <v>8</v>
      </c>
      <c r="E927" s="64" t="s">
        <v>577</v>
      </c>
      <c r="F927" s="102" t="s">
        <v>640</v>
      </c>
      <c r="G927" s="49" t="s">
        <v>1292</v>
      </c>
      <c r="H927" s="64">
        <v>0</v>
      </c>
      <c r="I927" s="64">
        <v>33</v>
      </c>
      <c r="J927" s="64">
        <v>2</v>
      </c>
      <c r="K927" s="49" t="s">
        <v>1290</v>
      </c>
      <c r="L927" s="64" t="s">
        <v>1291</v>
      </c>
      <c r="M927" s="49" t="s">
        <v>570</v>
      </c>
      <c r="N927" s="64" t="s">
        <v>240</v>
      </c>
      <c r="O927" s="64" t="s">
        <v>240</v>
      </c>
      <c r="P927" s="64" t="s">
        <v>240</v>
      </c>
      <c r="Q927" s="64" t="s">
        <v>240</v>
      </c>
      <c r="R927" s="64" t="s">
        <v>922</v>
      </c>
      <c r="S927" s="64">
        <v>22052</v>
      </c>
      <c r="T927" s="64">
        <f>ROUND(S927*734/(734+352),0)</f>
        <v>14904</v>
      </c>
      <c r="U927" s="64">
        <f>ROUND(S927*352/(734+352),0)</f>
        <v>7148</v>
      </c>
      <c r="V927" s="64">
        <v>169</v>
      </c>
      <c r="W927" s="64">
        <v>42</v>
      </c>
      <c r="X927" s="102" t="s">
        <v>240</v>
      </c>
      <c r="Y927" s="102" t="s">
        <v>240</v>
      </c>
      <c r="Z927" s="102" t="s">
        <v>240</v>
      </c>
      <c r="AA927" s="102" t="s">
        <v>240</v>
      </c>
      <c r="AB927" s="102" t="s">
        <v>240</v>
      </c>
      <c r="AC927" s="102" t="s">
        <v>240</v>
      </c>
      <c r="AD927" s="102" t="s">
        <v>240</v>
      </c>
      <c r="AE927" s="102" t="s">
        <v>240</v>
      </c>
      <c r="AF927" s="102" t="s">
        <v>240</v>
      </c>
      <c r="AG927" s="102" t="s">
        <v>240</v>
      </c>
      <c r="AH927" s="107" t="s">
        <v>240</v>
      </c>
      <c r="AI927" s="102">
        <f t="shared" si="268"/>
        <v>42</v>
      </c>
      <c r="AJ927" s="107" t="s">
        <v>240</v>
      </c>
      <c r="AK927" s="49"/>
      <c r="AL927" s="49"/>
      <c r="AM927" s="64"/>
      <c r="AN927" s="64"/>
      <c r="AO927" s="64"/>
      <c r="AP927" s="67">
        <f t="shared" si="269"/>
        <v>5.7891888003455051E-2</v>
      </c>
      <c r="AQ927" s="67">
        <f t="shared" si="270"/>
        <v>2919.2345564876705</v>
      </c>
      <c r="AS927" s="67">
        <f t="shared" si="271"/>
        <v>2.0731814675147134E-4</v>
      </c>
      <c r="AU927" s="67">
        <f t="shared" si="272"/>
        <v>22050</v>
      </c>
      <c r="AV927" s="67">
        <f t="shared" si="273"/>
        <v>1</v>
      </c>
      <c r="AW927" s="67" t="s">
        <v>1350</v>
      </c>
    </row>
    <row r="928" spans="1:49" ht="30" customHeight="1" x14ac:dyDescent="0.25">
      <c r="A928" s="51" t="s">
        <v>181</v>
      </c>
      <c r="B928" s="51" t="s">
        <v>1082</v>
      </c>
      <c r="C928" s="51" t="s">
        <v>179</v>
      </c>
      <c r="D928" s="64">
        <v>1</v>
      </c>
      <c r="E928" s="64" t="s">
        <v>605</v>
      </c>
      <c r="F928" s="64" t="s">
        <v>240</v>
      </c>
      <c r="G928" s="49" t="s">
        <v>1253</v>
      </c>
      <c r="H928" s="64">
        <v>1</v>
      </c>
      <c r="I928" s="64">
        <v>24</v>
      </c>
      <c r="J928" s="64">
        <v>1</v>
      </c>
      <c r="K928" s="49" t="s">
        <v>1293</v>
      </c>
      <c r="L928" s="64" t="s">
        <v>240</v>
      </c>
      <c r="M928" s="49" t="s">
        <v>570</v>
      </c>
      <c r="N928" s="64" t="s">
        <v>240</v>
      </c>
      <c r="O928" s="101">
        <v>0.21</v>
      </c>
      <c r="P928" s="64" t="s">
        <v>240</v>
      </c>
      <c r="Q928" s="102" t="s">
        <v>240</v>
      </c>
      <c r="R928" s="64" t="s">
        <v>238</v>
      </c>
      <c r="S928" s="64">
        <v>1801</v>
      </c>
      <c r="T928" s="64">
        <v>1249</v>
      </c>
      <c r="U928" s="64">
        <f>+S928-T928</f>
        <v>552</v>
      </c>
      <c r="V928" s="64">
        <v>0.44</v>
      </c>
      <c r="W928" s="64"/>
      <c r="X928" s="102" t="s">
        <v>240</v>
      </c>
      <c r="Y928" s="102" t="s">
        <v>240</v>
      </c>
      <c r="Z928" s="102" t="s">
        <v>240</v>
      </c>
      <c r="AA928" s="102" t="s">
        <v>240</v>
      </c>
      <c r="AB928" s="102" t="s">
        <v>240</v>
      </c>
      <c r="AC928" s="102" t="s">
        <v>240</v>
      </c>
      <c r="AD928" s="102" t="s">
        <v>240</v>
      </c>
      <c r="AE928" s="102" t="s">
        <v>240</v>
      </c>
      <c r="AF928" s="102">
        <f>_xlfn.T.INV.2T(AH928,S928-2)</f>
        <v>2.5785649690756181</v>
      </c>
      <c r="AG928" s="102" t="s">
        <v>240</v>
      </c>
      <c r="AH928" s="107">
        <v>0.01</v>
      </c>
      <c r="AI928" s="102">
        <f>ABS(V928/AF928)</f>
        <v>0.17063754657216734</v>
      </c>
      <c r="AJ928" s="107" t="s">
        <v>240</v>
      </c>
      <c r="AK928" s="49" t="s">
        <v>1294</v>
      </c>
      <c r="AL928" s="49"/>
      <c r="AM928" s="64"/>
      <c r="AN928" s="64"/>
      <c r="AO928" s="64"/>
    </row>
    <row r="929" spans="1:49" ht="30" customHeight="1" x14ac:dyDescent="0.25">
      <c r="A929" s="51" t="s">
        <v>181</v>
      </c>
      <c r="B929" s="51" t="s">
        <v>1082</v>
      </c>
      <c r="C929" s="51" t="s">
        <v>179</v>
      </c>
      <c r="D929" s="64">
        <v>2</v>
      </c>
      <c r="E929" s="64" t="s">
        <v>605</v>
      </c>
      <c r="F929" s="64" t="s">
        <v>240</v>
      </c>
      <c r="G929" s="49" t="s">
        <v>1253</v>
      </c>
      <c r="H929" s="64">
        <v>1</v>
      </c>
      <c r="I929" s="64">
        <v>24</v>
      </c>
      <c r="J929" s="64">
        <v>2</v>
      </c>
      <c r="K929" s="49" t="s">
        <v>1295</v>
      </c>
      <c r="L929" s="64" t="s">
        <v>638</v>
      </c>
      <c r="M929" s="49" t="s">
        <v>570</v>
      </c>
      <c r="N929" s="64" t="s">
        <v>240</v>
      </c>
      <c r="O929" s="101">
        <v>0.21</v>
      </c>
      <c r="P929" s="64" t="s">
        <v>240</v>
      </c>
      <c r="Q929" s="102" t="s">
        <v>240</v>
      </c>
      <c r="R929" s="64" t="s">
        <v>238</v>
      </c>
      <c r="S929" s="64">
        <v>1801</v>
      </c>
      <c r="T929" s="64">
        <v>1249</v>
      </c>
      <c r="U929" s="64">
        <f>+S929-T929</f>
        <v>552</v>
      </c>
      <c r="V929" s="64">
        <v>7.0000000000000007E-2</v>
      </c>
      <c r="W929" s="64"/>
      <c r="X929" s="102" t="s">
        <v>240</v>
      </c>
      <c r="Y929" s="102" t="s">
        <v>240</v>
      </c>
      <c r="Z929" s="102" t="s">
        <v>240</v>
      </c>
      <c r="AA929" s="102" t="s">
        <v>240</v>
      </c>
      <c r="AB929" s="102" t="s">
        <v>240</v>
      </c>
      <c r="AC929" s="102" t="s">
        <v>240</v>
      </c>
      <c r="AD929" s="102" t="s">
        <v>240</v>
      </c>
      <c r="AE929" s="102" t="s">
        <v>240</v>
      </c>
      <c r="AF929" s="67">
        <f>_xlfn.T.INV.2T(AH929,S929-2)</f>
        <v>2.5785649690756181</v>
      </c>
      <c r="AG929" s="102" t="s">
        <v>240</v>
      </c>
      <c r="AH929" s="107">
        <v>0.01</v>
      </c>
      <c r="AI929" s="67">
        <f>+ABS(V929/AF929)</f>
        <v>2.7146882409208442E-2</v>
      </c>
      <c r="AJ929" s="107" t="s">
        <v>240</v>
      </c>
      <c r="AK929" s="49" t="s">
        <v>1294</v>
      </c>
      <c r="AL929" s="49"/>
      <c r="AM929" s="64"/>
      <c r="AN929" s="64"/>
      <c r="AO929" s="64"/>
      <c r="AP929" s="67">
        <f t="shared" ref="AP929:AP948" si="274">+V929/AQ929</f>
        <v>0.13179052154226975</v>
      </c>
      <c r="AQ929" s="67">
        <f t="shared" ref="AQ929:AQ948" si="275">+AI929*SQRT(T929*U929/S929)</f>
        <v>0.5311459366032526</v>
      </c>
      <c r="AS929" s="67">
        <f t="shared" ref="AS929:AS948" si="276">+AP929^2/(AU929-2)*(AU929/(V929/AI929)^2+AU929*AV929^2-AU929+2)</f>
        <v>2.6344728636487035E-3</v>
      </c>
      <c r="AU929" s="67">
        <f t="shared" ref="AU929:AU948" si="277">+S929-2</f>
        <v>1799</v>
      </c>
      <c r="AV929" s="67">
        <f t="shared" ref="AV929:AV948" si="278">IFERROR(1/(SQRT(AU929/2)*_xlfn.GAMMA(AU929/2-0.5)/_xlfn.GAMMA(AU929/2)),1)</f>
        <v>1</v>
      </c>
      <c r="AW929" s="67" t="s">
        <v>1350</v>
      </c>
    </row>
    <row r="930" spans="1:49" ht="30" customHeight="1" x14ac:dyDescent="0.25">
      <c r="A930" s="51" t="s">
        <v>181</v>
      </c>
      <c r="B930" s="51" t="s">
        <v>1082</v>
      </c>
      <c r="C930" s="51" t="s">
        <v>179</v>
      </c>
      <c r="D930" s="64">
        <v>3</v>
      </c>
      <c r="E930" s="64" t="s">
        <v>605</v>
      </c>
      <c r="F930" s="64" t="s">
        <v>240</v>
      </c>
      <c r="G930" s="49" t="s">
        <v>1253</v>
      </c>
      <c r="H930" s="64">
        <v>1</v>
      </c>
      <c r="I930" s="64">
        <v>24</v>
      </c>
      <c r="J930" s="64">
        <v>2</v>
      </c>
      <c r="K930" s="49" t="s">
        <v>1296</v>
      </c>
      <c r="L930" s="64" t="s">
        <v>638</v>
      </c>
      <c r="M930" s="49" t="s">
        <v>570</v>
      </c>
      <c r="N930" s="64" t="s">
        <v>240</v>
      </c>
      <c r="O930" s="101">
        <v>0.21</v>
      </c>
      <c r="P930" s="64" t="s">
        <v>240</v>
      </c>
      <c r="Q930" s="102" t="s">
        <v>240</v>
      </c>
      <c r="R930" s="64" t="s">
        <v>238</v>
      </c>
      <c r="S930" s="64">
        <v>1801</v>
      </c>
      <c r="T930" s="64">
        <v>1249</v>
      </c>
      <c r="U930" s="64">
        <f>+S930-T930</f>
        <v>552</v>
      </c>
      <c r="V930" s="64">
        <v>0.03</v>
      </c>
      <c r="W930" s="64"/>
      <c r="X930" s="102" t="s">
        <v>240</v>
      </c>
      <c r="Y930" s="102" t="s">
        <v>240</v>
      </c>
      <c r="Z930" s="102" t="s">
        <v>240</v>
      </c>
      <c r="AA930" s="102" t="s">
        <v>240</v>
      </c>
      <c r="AB930" s="102" t="s">
        <v>240</v>
      </c>
      <c r="AC930" s="102" t="s">
        <v>240</v>
      </c>
      <c r="AD930" s="102" t="s">
        <v>240</v>
      </c>
      <c r="AE930" s="102" t="s">
        <v>240</v>
      </c>
      <c r="AF930" s="67">
        <f>_xlfn.T.INV.2T(AH930,S930-2)</f>
        <v>0.67462614770034801</v>
      </c>
      <c r="AG930" s="102" t="s">
        <v>240</v>
      </c>
      <c r="AH930" s="107">
        <v>0.5</v>
      </c>
      <c r="AI930" s="67">
        <f>+ABS(V930/AF930)</f>
        <v>4.4469073874861494E-2</v>
      </c>
      <c r="AJ930" s="107" t="s">
        <v>240</v>
      </c>
      <c r="AK930" s="49" t="s">
        <v>1297</v>
      </c>
      <c r="AL930" s="49"/>
      <c r="AM930" s="64"/>
      <c r="AN930" s="64"/>
      <c r="AO930" s="64"/>
      <c r="AP930" s="67">
        <f t="shared" si="274"/>
        <v>3.4480159669335E-2</v>
      </c>
      <c r="AQ930" s="67">
        <f t="shared" si="275"/>
        <v>0.8700655764851507</v>
      </c>
      <c r="AS930" s="67">
        <f t="shared" si="276"/>
        <v>2.6164652285262115E-3</v>
      </c>
      <c r="AU930" s="67">
        <f t="shared" si="277"/>
        <v>1799</v>
      </c>
      <c r="AV930" s="67">
        <f t="shared" si="278"/>
        <v>1</v>
      </c>
      <c r="AW930" s="67" t="s">
        <v>1350</v>
      </c>
    </row>
    <row r="931" spans="1:49" ht="30" customHeight="1" x14ac:dyDescent="0.25">
      <c r="A931" s="106" t="s">
        <v>138</v>
      </c>
      <c r="B931" s="51" t="s">
        <v>1082</v>
      </c>
      <c r="C931" s="106" t="s">
        <v>138</v>
      </c>
      <c r="D931" s="64">
        <v>1</v>
      </c>
      <c r="E931" s="64" t="s">
        <v>577</v>
      </c>
      <c r="F931" s="64" t="s">
        <v>240</v>
      </c>
      <c r="G931" s="49" t="s">
        <v>1298</v>
      </c>
      <c r="H931" s="64">
        <v>0</v>
      </c>
      <c r="I931" s="64" t="s">
        <v>1377</v>
      </c>
      <c r="J931" s="64">
        <v>2</v>
      </c>
      <c r="K931" s="64" t="s">
        <v>1299</v>
      </c>
      <c r="L931" s="49" t="s">
        <v>1300</v>
      </c>
      <c r="M931" s="49" t="s">
        <v>587</v>
      </c>
      <c r="N931" s="64" t="s">
        <v>240</v>
      </c>
      <c r="O931" s="64" t="s">
        <v>240</v>
      </c>
      <c r="P931" s="64" t="s">
        <v>240</v>
      </c>
      <c r="Q931" s="64" t="s">
        <v>240</v>
      </c>
      <c r="R931" s="64" t="s">
        <v>580</v>
      </c>
      <c r="S931" s="64">
        <v>60483</v>
      </c>
      <c r="T931" s="64">
        <f t="shared" ref="T931:U946" si="279">+S931/2</f>
        <v>30241.5</v>
      </c>
      <c r="U931" s="64">
        <f t="shared" si="279"/>
        <v>15120.75</v>
      </c>
      <c r="V931" s="64">
        <v>-337</v>
      </c>
      <c r="W931" s="64">
        <v>6</v>
      </c>
      <c r="X931" s="102" t="s">
        <v>240</v>
      </c>
      <c r="Y931" s="102" t="s">
        <v>240</v>
      </c>
      <c r="Z931" s="102" t="s">
        <v>240</v>
      </c>
      <c r="AA931" s="102" t="s">
        <v>240</v>
      </c>
      <c r="AB931" s="102" t="s">
        <v>240</v>
      </c>
      <c r="AC931" s="102" t="s">
        <v>240</v>
      </c>
      <c r="AD931" s="102" t="s">
        <v>240</v>
      </c>
      <c r="AE931" s="102" t="s">
        <v>240</v>
      </c>
      <c r="AF931" s="102" t="s">
        <v>240</v>
      </c>
      <c r="AG931" s="102" t="s">
        <v>240</v>
      </c>
      <c r="AH931" s="107" t="s">
        <v>240</v>
      </c>
      <c r="AI931" s="107">
        <f t="shared" ref="AI931:AI946" si="280">+W931</f>
        <v>6</v>
      </c>
      <c r="AJ931" s="107" t="s">
        <v>240</v>
      </c>
      <c r="AK931" s="49"/>
      <c r="AL931" s="49" t="s">
        <v>1301</v>
      </c>
      <c r="AM931" s="64"/>
      <c r="AN931" s="64"/>
      <c r="AO931" s="64"/>
      <c r="AP931" s="67">
        <f t="shared" si="274"/>
        <v>-0.6459620168107949</v>
      </c>
      <c r="AQ931" s="67">
        <f t="shared" si="275"/>
        <v>521.70250143161093</v>
      </c>
      <c r="AS931" s="67">
        <f t="shared" si="276"/>
        <v>1.4607168301696634E-4</v>
      </c>
      <c r="AU931" s="67">
        <f t="shared" si="277"/>
        <v>60481</v>
      </c>
      <c r="AV931" s="67">
        <f t="shared" si="278"/>
        <v>1</v>
      </c>
      <c r="AW931" s="67" t="s">
        <v>1350</v>
      </c>
    </row>
    <row r="932" spans="1:49" ht="30" customHeight="1" x14ac:dyDescent="0.25">
      <c r="A932" s="106" t="s">
        <v>138</v>
      </c>
      <c r="B932" s="51" t="s">
        <v>1082</v>
      </c>
      <c r="C932" s="106" t="s">
        <v>138</v>
      </c>
      <c r="D932" s="64">
        <f t="shared" ref="D932:D946" si="281">+D931+1</f>
        <v>2</v>
      </c>
      <c r="E932" s="64" t="s">
        <v>577</v>
      </c>
      <c r="F932" s="64" t="s">
        <v>240</v>
      </c>
      <c r="G932" s="49" t="s">
        <v>1298</v>
      </c>
      <c r="H932" s="64">
        <v>0</v>
      </c>
      <c r="I932" s="64">
        <f>2*3-4</f>
        <v>2</v>
      </c>
      <c r="J932" s="64">
        <v>2</v>
      </c>
      <c r="K932" s="64" t="s">
        <v>1299</v>
      </c>
      <c r="L932" s="49" t="s">
        <v>1300</v>
      </c>
      <c r="M932" s="49" t="s">
        <v>587</v>
      </c>
      <c r="N932" s="64" t="s">
        <v>240</v>
      </c>
      <c r="O932" s="64" t="s">
        <v>240</v>
      </c>
      <c r="P932" s="64" t="s">
        <v>240</v>
      </c>
      <c r="Q932" s="64" t="s">
        <v>240</v>
      </c>
      <c r="R932" s="64" t="s">
        <v>580</v>
      </c>
      <c r="S932" s="64">
        <v>60483</v>
      </c>
      <c r="T932" s="64">
        <f t="shared" si="279"/>
        <v>30241.5</v>
      </c>
      <c r="U932" s="64">
        <f t="shared" si="279"/>
        <v>15120.75</v>
      </c>
      <c r="V932" s="64">
        <v>-316</v>
      </c>
      <c r="W932" s="64">
        <v>11</v>
      </c>
      <c r="X932" s="102" t="s">
        <v>240</v>
      </c>
      <c r="Y932" s="102" t="s">
        <v>240</v>
      </c>
      <c r="Z932" s="102" t="s">
        <v>240</v>
      </c>
      <c r="AA932" s="102" t="s">
        <v>240</v>
      </c>
      <c r="AB932" s="102" t="s">
        <v>240</v>
      </c>
      <c r="AC932" s="102" t="s">
        <v>240</v>
      </c>
      <c r="AD932" s="102" t="s">
        <v>240</v>
      </c>
      <c r="AE932" s="102" t="s">
        <v>240</v>
      </c>
      <c r="AF932" s="102" t="s">
        <v>240</v>
      </c>
      <c r="AG932" s="102" t="s">
        <v>240</v>
      </c>
      <c r="AH932" s="107" t="s">
        <v>240</v>
      </c>
      <c r="AI932" s="107">
        <f t="shared" si="280"/>
        <v>11</v>
      </c>
      <c r="AJ932" s="107" t="s">
        <v>240</v>
      </c>
      <c r="AK932" s="49"/>
      <c r="AL932" s="49" t="s">
        <v>1301</v>
      </c>
      <c r="AM932" s="64"/>
      <c r="AN932" s="64"/>
      <c r="AO932" s="64"/>
      <c r="AP932" s="67">
        <f t="shared" si="274"/>
        <v>-0.3303868313658665</v>
      </c>
      <c r="AQ932" s="67">
        <f t="shared" si="275"/>
        <v>956.45458595795333</v>
      </c>
      <c r="AS932" s="67">
        <f t="shared" si="276"/>
        <v>1.3588264322388617E-4</v>
      </c>
      <c r="AU932" s="67">
        <f t="shared" si="277"/>
        <v>60481</v>
      </c>
      <c r="AV932" s="67">
        <f t="shared" si="278"/>
        <v>1</v>
      </c>
      <c r="AW932" s="67" t="s">
        <v>1350</v>
      </c>
    </row>
    <row r="933" spans="1:49" ht="30" customHeight="1" x14ac:dyDescent="0.25">
      <c r="A933" s="106" t="s">
        <v>138</v>
      </c>
      <c r="B933" s="51" t="s">
        <v>1082</v>
      </c>
      <c r="C933" s="106" t="s">
        <v>138</v>
      </c>
      <c r="D933" s="64">
        <f t="shared" si="281"/>
        <v>3</v>
      </c>
      <c r="E933" s="64" t="s">
        <v>577</v>
      </c>
      <c r="F933" s="64" t="s">
        <v>240</v>
      </c>
      <c r="G933" s="49" t="s">
        <v>1298</v>
      </c>
      <c r="H933" s="64">
        <v>0</v>
      </c>
      <c r="I933" s="64">
        <f>12-4</f>
        <v>8</v>
      </c>
      <c r="J933" s="64">
        <v>2</v>
      </c>
      <c r="K933" s="64" t="s">
        <v>1299</v>
      </c>
      <c r="L933" s="49" t="s">
        <v>1300</v>
      </c>
      <c r="M933" s="49" t="s">
        <v>587</v>
      </c>
      <c r="N933" s="64" t="s">
        <v>240</v>
      </c>
      <c r="O933" s="64" t="s">
        <v>240</v>
      </c>
      <c r="P933" s="64" t="s">
        <v>240</v>
      </c>
      <c r="Q933" s="64" t="s">
        <v>240</v>
      </c>
      <c r="R933" s="64" t="s">
        <v>580</v>
      </c>
      <c r="S933" s="64">
        <v>60483</v>
      </c>
      <c r="T933" s="64">
        <f t="shared" si="279"/>
        <v>30241.5</v>
      </c>
      <c r="U933" s="64">
        <f t="shared" si="279"/>
        <v>15120.75</v>
      </c>
      <c r="V933" s="64">
        <v>-161</v>
      </c>
      <c r="W933" s="64">
        <v>12</v>
      </c>
      <c r="X933" s="102" t="s">
        <v>240</v>
      </c>
      <c r="Y933" s="102" t="s">
        <v>240</v>
      </c>
      <c r="Z933" s="102" t="s">
        <v>240</v>
      </c>
      <c r="AA933" s="102" t="s">
        <v>240</v>
      </c>
      <c r="AB933" s="102" t="s">
        <v>240</v>
      </c>
      <c r="AC933" s="102" t="s">
        <v>240</v>
      </c>
      <c r="AD933" s="102" t="s">
        <v>240</v>
      </c>
      <c r="AE933" s="102" t="s">
        <v>240</v>
      </c>
      <c r="AF933" s="102" t="s">
        <v>240</v>
      </c>
      <c r="AG933" s="102" t="s">
        <v>240</v>
      </c>
      <c r="AH933" s="107" t="s">
        <v>240</v>
      </c>
      <c r="AI933" s="107">
        <f t="shared" si="280"/>
        <v>12</v>
      </c>
      <c r="AJ933" s="107" t="s">
        <v>240</v>
      </c>
      <c r="AK933" s="49"/>
      <c r="AL933" s="49" t="s">
        <v>1301</v>
      </c>
      <c r="AM933" s="64"/>
      <c r="AN933" s="64"/>
      <c r="AO933" s="64"/>
      <c r="AP933" s="67">
        <f t="shared" si="274"/>
        <v>-0.15430249956459641</v>
      </c>
      <c r="AQ933" s="67">
        <f t="shared" si="275"/>
        <v>1043.4050028632219</v>
      </c>
      <c r="AS933" s="67">
        <f t="shared" si="276"/>
        <v>1.3306030168490129E-4</v>
      </c>
      <c r="AU933" s="67">
        <f t="shared" si="277"/>
        <v>60481</v>
      </c>
      <c r="AV933" s="67">
        <f t="shared" si="278"/>
        <v>1</v>
      </c>
      <c r="AW933" s="67" t="s">
        <v>1350</v>
      </c>
    </row>
    <row r="934" spans="1:49" ht="30" customHeight="1" x14ac:dyDescent="0.25">
      <c r="A934" s="106" t="s">
        <v>138</v>
      </c>
      <c r="B934" s="51" t="s">
        <v>1082</v>
      </c>
      <c r="C934" s="106" t="s">
        <v>138</v>
      </c>
      <c r="D934" s="64">
        <f t="shared" si="281"/>
        <v>4</v>
      </c>
      <c r="E934" s="64" t="s">
        <v>577</v>
      </c>
      <c r="F934" s="64" t="s">
        <v>240</v>
      </c>
      <c r="G934" s="49" t="s">
        <v>1298</v>
      </c>
      <c r="H934" s="64">
        <v>0</v>
      </c>
      <c r="I934" s="64">
        <f>18-4</f>
        <v>14</v>
      </c>
      <c r="J934" s="64">
        <v>2</v>
      </c>
      <c r="K934" s="64" t="s">
        <v>1299</v>
      </c>
      <c r="L934" s="49" t="s">
        <v>1300</v>
      </c>
      <c r="M934" s="49" t="s">
        <v>587</v>
      </c>
      <c r="N934" s="64" t="s">
        <v>240</v>
      </c>
      <c r="O934" s="64" t="s">
        <v>240</v>
      </c>
      <c r="P934" s="64" t="s">
        <v>240</v>
      </c>
      <c r="Q934" s="64" t="s">
        <v>240</v>
      </c>
      <c r="R934" s="64" t="s">
        <v>580</v>
      </c>
      <c r="S934" s="64">
        <v>60483</v>
      </c>
      <c r="T934" s="64">
        <f t="shared" si="279"/>
        <v>30241.5</v>
      </c>
      <c r="U934" s="64">
        <f t="shared" si="279"/>
        <v>15120.75</v>
      </c>
      <c r="V934" s="64">
        <v>-65</v>
      </c>
      <c r="W934" s="64">
        <v>14</v>
      </c>
      <c r="X934" s="102" t="s">
        <v>240</v>
      </c>
      <c r="Y934" s="102" t="s">
        <v>240</v>
      </c>
      <c r="Z934" s="102" t="s">
        <v>240</v>
      </c>
      <c r="AA934" s="102" t="s">
        <v>240</v>
      </c>
      <c r="AB934" s="102" t="s">
        <v>240</v>
      </c>
      <c r="AC934" s="102" t="s">
        <v>240</v>
      </c>
      <c r="AD934" s="102" t="s">
        <v>240</v>
      </c>
      <c r="AE934" s="102" t="s">
        <v>240</v>
      </c>
      <c r="AF934" s="102" t="s">
        <v>240</v>
      </c>
      <c r="AG934" s="102" t="s">
        <v>240</v>
      </c>
      <c r="AH934" s="107" t="s">
        <v>240</v>
      </c>
      <c r="AI934" s="107">
        <f t="shared" si="280"/>
        <v>14</v>
      </c>
      <c r="AJ934" s="107" t="s">
        <v>240</v>
      </c>
      <c r="AK934" s="49"/>
      <c r="AL934" s="49" t="s">
        <v>1301</v>
      </c>
      <c r="AM934" s="64"/>
      <c r="AN934" s="64"/>
      <c r="AO934" s="64"/>
      <c r="AP934" s="67">
        <f t="shared" si="274"/>
        <v>-5.3396605883045789E-2</v>
      </c>
      <c r="AQ934" s="67">
        <f t="shared" si="275"/>
        <v>1217.3058366737587</v>
      </c>
      <c r="AS934" s="67">
        <f t="shared" si="276"/>
        <v>1.3236723255835903E-4</v>
      </c>
      <c r="AU934" s="67">
        <f t="shared" si="277"/>
        <v>60481</v>
      </c>
      <c r="AV934" s="67">
        <f t="shared" si="278"/>
        <v>1</v>
      </c>
      <c r="AW934" s="67" t="s">
        <v>1350</v>
      </c>
    </row>
    <row r="935" spans="1:49" ht="30" customHeight="1" x14ac:dyDescent="0.25">
      <c r="A935" s="106" t="s">
        <v>138</v>
      </c>
      <c r="B935" s="51" t="s">
        <v>1082</v>
      </c>
      <c r="C935" s="106" t="s">
        <v>138</v>
      </c>
      <c r="D935" s="64">
        <f t="shared" si="281"/>
        <v>5</v>
      </c>
      <c r="E935" s="64" t="s">
        <v>577</v>
      </c>
      <c r="F935" s="64" t="s">
        <v>240</v>
      </c>
      <c r="G935" s="49" t="s">
        <v>1298</v>
      </c>
      <c r="H935" s="64">
        <v>0</v>
      </c>
      <c r="I935" s="64">
        <f>24-4</f>
        <v>20</v>
      </c>
      <c r="J935" s="64">
        <v>2</v>
      </c>
      <c r="K935" s="64" t="s">
        <v>1299</v>
      </c>
      <c r="L935" s="49" t="s">
        <v>1300</v>
      </c>
      <c r="M935" s="49" t="s">
        <v>587</v>
      </c>
      <c r="N935" s="64" t="s">
        <v>240</v>
      </c>
      <c r="O935" s="64" t="s">
        <v>240</v>
      </c>
      <c r="P935" s="64" t="s">
        <v>240</v>
      </c>
      <c r="Q935" s="64" t="s">
        <v>240</v>
      </c>
      <c r="R935" s="64" t="s">
        <v>580</v>
      </c>
      <c r="S935" s="64">
        <v>60483</v>
      </c>
      <c r="T935" s="64">
        <f t="shared" si="279"/>
        <v>30241.5</v>
      </c>
      <c r="U935" s="64">
        <f t="shared" si="279"/>
        <v>15120.75</v>
      </c>
      <c r="V935" s="64">
        <v>-16</v>
      </c>
      <c r="W935" s="64">
        <v>17</v>
      </c>
      <c r="X935" s="102" t="s">
        <v>240</v>
      </c>
      <c r="Y935" s="102" t="s">
        <v>240</v>
      </c>
      <c r="Z935" s="102" t="s">
        <v>240</v>
      </c>
      <c r="AA935" s="102" t="s">
        <v>240</v>
      </c>
      <c r="AB935" s="102" t="s">
        <v>240</v>
      </c>
      <c r="AC935" s="102" t="s">
        <v>240</v>
      </c>
      <c r="AD935" s="102" t="s">
        <v>240</v>
      </c>
      <c r="AE935" s="102" t="s">
        <v>240</v>
      </c>
      <c r="AF935" s="102" t="s">
        <v>240</v>
      </c>
      <c r="AG935" s="102" t="s">
        <v>240</v>
      </c>
      <c r="AH935" s="107" t="s">
        <v>240</v>
      </c>
      <c r="AI935" s="107">
        <f t="shared" si="280"/>
        <v>17</v>
      </c>
      <c r="AJ935" s="107" t="s">
        <v>240</v>
      </c>
      <c r="AK935" s="49"/>
      <c r="AL935" s="49" t="s">
        <v>1301</v>
      </c>
      <c r="AM935" s="64"/>
      <c r="AN935" s="64"/>
      <c r="AO935" s="64"/>
      <c r="AP935" s="67">
        <f t="shared" si="274"/>
        <v>-1.0824289337377608E-2</v>
      </c>
      <c r="AQ935" s="67">
        <f t="shared" si="275"/>
        <v>1478.1570873895641</v>
      </c>
      <c r="AS935" s="67">
        <f t="shared" si="276"/>
        <v>1.3227681994306537E-4</v>
      </c>
      <c r="AU935" s="67">
        <f t="shared" si="277"/>
        <v>60481</v>
      </c>
      <c r="AV935" s="67">
        <f t="shared" si="278"/>
        <v>1</v>
      </c>
      <c r="AW935" s="67" t="s">
        <v>1350</v>
      </c>
    </row>
    <row r="936" spans="1:49" ht="30" customHeight="1" x14ac:dyDescent="0.25">
      <c r="A936" s="106" t="s">
        <v>138</v>
      </c>
      <c r="B936" s="51" t="s">
        <v>1082</v>
      </c>
      <c r="C936" s="106" t="s">
        <v>138</v>
      </c>
      <c r="D936" s="64">
        <f t="shared" si="281"/>
        <v>6</v>
      </c>
      <c r="E936" s="64" t="s">
        <v>577</v>
      </c>
      <c r="F936" s="64" t="s">
        <v>240</v>
      </c>
      <c r="G936" s="49" t="s">
        <v>1298</v>
      </c>
      <c r="H936" s="64">
        <v>0</v>
      </c>
      <c r="I936" s="64">
        <f>30-4</f>
        <v>26</v>
      </c>
      <c r="J936" s="64">
        <v>2</v>
      </c>
      <c r="K936" s="64" t="s">
        <v>1299</v>
      </c>
      <c r="L936" s="49" t="s">
        <v>1300</v>
      </c>
      <c r="M936" s="49" t="s">
        <v>587</v>
      </c>
      <c r="N936" s="64" t="s">
        <v>240</v>
      </c>
      <c r="O936" s="64" t="s">
        <v>240</v>
      </c>
      <c r="P936" s="64" t="s">
        <v>240</v>
      </c>
      <c r="Q936" s="64" t="s">
        <v>240</v>
      </c>
      <c r="R936" s="64" t="s">
        <v>580</v>
      </c>
      <c r="S936" s="64">
        <v>60483</v>
      </c>
      <c r="T936" s="64">
        <f t="shared" si="279"/>
        <v>30241.5</v>
      </c>
      <c r="U936" s="64">
        <f t="shared" si="279"/>
        <v>15120.75</v>
      </c>
      <c r="V936" s="64">
        <v>97</v>
      </c>
      <c r="W936" s="64">
        <v>22</v>
      </c>
      <c r="X936" s="102" t="s">
        <v>240</v>
      </c>
      <c r="Y936" s="102" t="s">
        <v>240</v>
      </c>
      <c r="Z936" s="102" t="s">
        <v>240</v>
      </c>
      <c r="AA936" s="102" t="s">
        <v>240</v>
      </c>
      <c r="AB936" s="102" t="s">
        <v>240</v>
      </c>
      <c r="AC936" s="102" t="s">
        <v>240</v>
      </c>
      <c r="AD936" s="102" t="s">
        <v>240</v>
      </c>
      <c r="AE936" s="102" t="s">
        <v>240</v>
      </c>
      <c r="AF936" s="102" t="s">
        <v>240</v>
      </c>
      <c r="AG936" s="102" t="s">
        <v>240</v>
      </c>
      <c r="AH936" s="107" t="s">
        <v>240</v>
      </c>
      <c r="AI936" s="107">
        <f t="shared" si="280"/>
        <v>22</v>
      </c>
      <c r="AJ936" s="107" t="s">
        <v>240</v>
      </c>
      <c r="AK936" s="49"/>
      <c r="AL936" s="49" t="s">
        <v>1301</v>
      </c>
      <c r="AM936" s="64"/>
      <c r="AN936" s="64"/>
      <c r="AO936" s="64"/>
      <c r="AP936" s="67">
        <f t="shared" si="274"/>
        <v>5.0708105446976348E-2</v>
      </c>
      <c r="AQ936" s="67">
        <f t="shared" si="275"/>
        <v>1912.9091719159067</v>
      </c>
      <c r="AS936" s="67">
        <f t="shared" si="276"/>
        <v>1.3235797693039532E-4</v>
      </c>
      <c r="AU936" s="67">
        <f t="shared" si="277"/>
        <v>60481</v>
      </c>
      <c r="AV936" s="67">
        <f t="shared" si="278"/>
        <v>1</v>
      </c>
      <c r="AW936" s="67" t="s">
        <v>1350</v>
      </c>
    </row>
    <row r="937" spans="1:49" ht="30" customHeight="1" x14ac:dyDescent="0.25">
      <c r="A937" s="106" t="s">
        <v>138</v>
      </c>
      <c r="B937" s="51" t="s">
        <v>1082</v>
      </c>
      <c r="C937" s="106" t="s">
        <v>138</v>
      </c>
      <c r="D937" s="64">
        <f t="shared" si="281"/>
        <v>7</v>
      </c>
      <c r="E937" s="64" t="s">
        <v>577</v>
      </c>
      <c r="F937" s="64" t="s">
        <v>240</v>
      </c>
      <c r="G937" s="49" t="s">
        <v>1298</v>
      </c>
      <c r="H937" s="64">
        <v>0</v>
      </c>
      <c r="I937" s="64">
        <f>36-4</f>
        <v>32</v>
      </c>
      <c r="J937" s="64">
        <v>2</v>
      </c>
      <c r="K937" s="64" t="s">
        <v>1299</v>
      </c>
      <c r="L937" s="49" t="s">
        <v>1300</v>
      </c>
      <c r="M937" s="49" t="s">
        <v>587</v>
      </c>
      <c r="N937" s="64" t="s">
        <v>240</v>
      </c>
      <c r="O937" s="64" t="s">
        <v>240</v>
      </c>
      <c r="P937" s="64" t="s">
        <v>240</v>
      </c>
      <c r="Q937" s="64" t="s">
        <v>240</v>
      </c>
      <c r="R937" s="64" t="s">
        <v>580</v>
      </c>
      <c r="S937" s="64">
        <v>60483</v>
      </c>
      <c r="T937" s="64">
        <f t="shared" si="279"/>
        <v>30241.5</v>
      </c>
      <c r="U937" s="64">
        <f t="shared" si="279"/>
        <v>15120.75</v>
      </c>
      <c r="V937" s="64">
        <v>127</v>
      </c>
      <c r="W937" s="64">
        <v>34</v>
      </c>
      <c r="X937" s="102" t="s">
        <v>240</v>
      </c>
      <c r="Y937" s="102" t="s">
        <v>240</v>
      </c>
      <c r="Z937" s="102" t="s">
        <v>240</v>
      </c>
      <c r="AA937" s="102" t="s">
        <v>240</v>
      </c>
      <c r="AB937" s="102" t="s">
        <v>240</v>
      </c>
      <c r="AC937" s="102" t="s">
        <v>240</v>
      </c>
      <c r="AD937" s="102" t="s">
        <v>240</v>
      </c>
      <c r="AE937" s="102" t="s">
        <v>240</v>
      </c>
      <c r="AF937" s="102" t="s">
        <v>240</v>
      </c>
      <c r="AG937" s="102" t="s">
        <v>240</v>
      </c>
      <c r="AH937" s="107" t="s">
        <v>240</v>
      </c>
      <c r="AI937" s="107">
        <f t="shared" si="280"/>
        <v>34</v>
      </c>
      <c r="AJ937" s="107" t="s">
        <v>240</v>
      </c>
      <c r="AK937" s="49"/>
      <c r="AL937" s="49" t="s">
        <v>1301</v>
      </c>
      <c r="AM937" s="64"/>
      <c r="AN937" s="64"/>
      <c r="AO937" s="64"/>
      <c r="AP937" s="67">
        <f t="shared" si="274"/>
        <v>4.2958898307717382E-2</v>
      </c>
      <c r="AQ937" s="67">
        <f t="shared" si="275"/>
        <v>2956.3141747791283</v>
      </c>
      <c r="AS937" s="67">
        <f t="shared" si="276"/>
        <v>1.3233397372220052E-4</v>
      </c>
      <c r="AU937" s="67">
        <f t="shared" si="277"/>
        <v>60481</v>
      </c>
      <c r="AV937" s="67">
        <f t="shared" si="278"/>
        <v>1</v>
      </c>
      <c r="AW937" s="67" t="s">
        <v>1350</v>
      </c>
    </row>
    <row r="938" spans="1:49" ht="30" customHeight="1" x14ac:dyDescent="0.25">
      <c r="A938" s="106" t="s">
        <v>138</v>
      </c>
      <c r="B938" s="51" t="s">
        <v>1082</v>
      </c>
      <c r="C938" s="106" t="s">
        <v>138</v>
      </c>
      <c r="D938" s="64">
        <f t="shared" si="281"/>
        <v>8</v>
      </c>
      <c r="E938" s="64" t="s">
        <v>577</v>
      </c>
      <c r="F938" s="64" t="s">
        <v>240</v>
      </c>
      <c r="G938" s="49" t="s">
        <v>1298</v>
      </c>
      <c r="H938" s="64">
        <v>0</v>
      </c>
      <c r="I938" s="64">
        <f>42-4</f>
        <v>38</v>
      </c>
      <c r="J938" s="64">
        <v>2</v>
      </c>
      <c r="K938" s="64" t="s">
        <v>1299</v>
      </c>
      <c r="L938" s="49" t="s">
        <v>1300</v>
      </c>
      <c r="M938" s="49" t="s">
        <v>587</v>
      </c>
      <c r="N938" s="64" t="s">
        <v>240</v>
      </c>
      <c r="O938" s="64" t="s">
        <v>240</v>
      </c>
      <c r="P938" s="64" t="s">
        <v>240</v>
      </c>
      <c r="Q938" s="64" t="s">
        <v>240</v>
      </c>
      <c r="R938" s="64" t="s">
        <v>580</v>
      </c>
      <c r="S938" s="64">
        <v>60483</v>
      </c>
      <c r="T938" s="64">
        <f t="shared" si="279"/>
        <v>30241.5</v>
      </c>
      <c r="U938" s="64">
        <f t="shared" si="279"/>
        <v>15120.75</v>
      </c>
      <c r="V938" s="64">
        <v>363</v>
      </c>
      <c r="W938" s="64">
        <v>57</v>
      </c>
      <c r="X938" s="102" t="s">
        <v>240</v>
      </c>
      <c r="Y938" s="102" t="s">
        <v>240</v>
      </c>
      <c r="Z938" s="102" t="s">
        <v>240</v>
      </c>
      <c r="AA938" s="102" t="s">
        <v>240</v>
      </c>
      <c r="AB938" s="102" t="s">
        <v>240</v>
      </c>
      <c r="AC938" s="102" t="s">
        <v>240</v>
      </c>
      <c r="AD938" s="102" t="s">
        <v>240</v>
      </c>
      <c r="AE938" s="102" t="s">
        <v>240</v>
      </c>
      <c r="AF938" s="102" t="s">
        <v>240</v>
      </c>
      <c r="AG938" s="102" t="s">
        <v>240</v>
      </c>
      <c r="AH938" s="107" t="s">
        <v>240</v>
      </c>
      <c r="AI938" s="107">
        <f t="shared" si="280"/>
        <v>57</v>
      </c>
      <c r="AJ938" s="107" t="s">
        <v>240</v>
      </c>
      <c r="AK938" s="49"/>
      <c r="AL938" s="49" t="s">
        <v>1301</v>
      </c>
      <c r="AM938" s="64"/>
      <c r="AN938" s="64"/>
      <c r="AO938" s="64"/>
      <c r="AP938" s="67">
        <f t="shared" si="274"/>
        <v>7.3241984101926769E-2</v>
      </c>
      <c r="AQ938" s="67">
        <f t="shared" si="275"/>
        <v>4956.1737636003036</v>
      </c>
      <c r="AS938" s="67">
        <f t="shared" si="276"/>
        <v>1.3245034209110086E-4</v>
      </c>
      <c r="AU938" s="67">
        <f t="shared" si="277"/>
        <v>60481</v>
      </c>
      <c r="AV938" s="67">
        <f t="shared" si="278"/>
        <v>1</v>
      </c>
      <c r="AW938" s="67" t="s">
        <v>1350</v>
      </c>
    </row>
    <row r="939" spans="1:49" ht="30" customHeight="1" x14ac:dyDescent="0.25">
      <c r="A939" s="106" t="s">
        <v>138</v>
      </c>
      <c r="B939" s="51" t="s">
        <v>1082</v>
      </c>
      <c r="C939" s="106" t="s">
        <v>138</v>
      </c>
      <c r="D939" s="64">
        <f t="shared" si="281"/>
        <v>9</v>
      </c>
      <c r="E939" s="64" t="s">
        <v>577</v>
      </c>
      <c r="F939" s="64" t="s">
        <v>240</v>
      </c>
      <c r="G939" s="49" t="s">
        <v>1302</v>
      </c>
      <c r="H939" s="64">
        <v>0</v>
      </c>
      <c r="I939" s="64" t="s">
        <v>1377</v>
      </c>
      <c r="J939" s="64">
        <v>2</v>
      </c>
      <c r="K939" s="64" t="s">
        <v>1299</v>
      </c>
      <c r="L939" s="49" t="s">
        <v>1300</v>
      </c>
      <c r="M939" s="49" t="s">
        <v>587</v>
      </c>
      <c r="N939" s="64" t="s">
        <v>240</v>
      </c>
      <c r="O939" s="64" t="s">
        <v>240</v>
      </c>
      <c r="P939" s="64" t="s">
        <v>240</v>
      </c>
      <c r="Q939" s="64" t="s">
        <v>240</v>
      </c>
      <c r="R939" s="64" t="s">
        <v>580</v>
      </c>
      <c r="S939" s="64">
        <v>73837</v>
      </c>
      <c r="T939" s="64">
        <f t="shared" si="279"/>
        <v>36918.5</v>
      </c>
      <c r="U939" s="64">
        <f t="shared" si="279"/>
        <v>18459.25</v>
      </c>
      <c r="V939" s="64">
        <v>-283</v>
      </c>
      <c r="W939" s="64">
        <v>7</v>
      </c>
      <c r="X939" s="102" t="s">
        <v>240</v>
      </c>
      <c r="Y939" s="102" t="s">
        <v>240</v>
      </c>
      <c r="Z939" s="102" t="s">
        <v>240</v>
      </c>
      <c r="AA939" s="102" t="s">
        <v>240</v>
      </c>
      <c r="AB939" s="102" t="s">
        <v>240</v>
      </c>
      <c r="AC939" s="102" t="s">
        <v>240</v>
      </c>
      <c r="AD939" s="102" t="s">
        <v>240</v>
      </c>
      <c r="AE939" s="102" t="s">
        <v>240</v>
      </c>
      <c r="AF939" s="102" t="s">
        <v>240</v>
      </c>
      <c r="AG939" s="102" t="s">
        <v>240</v>
      </c>
      <c r="AH939" s="107" t="s">
        <v>240</v>
      </c>
      <c r="AI939" s="107">
        <f t="shared" si="280"/>
        <v>7</v>
      </c>
      <c r="AJ939" s="107" t="s">
        <v>240</v>
      </c>
      <c r="AK939" s="49"/>
      <c r="AL939" s="49" t="s">
        <v>1301</v>
      </c>
      <c r="AM939" s="64"/>
      <c r="AN939" s="64"/>
      <c r="AO939" s="64"/>
      <c r="AP939" s="67">
        <f t="shared" si="274"/>
        <v>-0.42081999563019395</v>
      </c>
      <c r="AQ939" s="67">
        <f t="shared" si="275"/>
        <v>672.49656132949849</v>
      </c>
      <c r="AS939" s="67">
        <f t="shared" si="276"/>
        <v>1.1314672631366793E-4</v>
      </c>
      <c r="AU939" s="67">
        <f t="shared" si="277"/>
        <v>73835</v>
      </c>
      <c r="AV939" s="67">
        <f t="shared" si="278"/>
        <v>1</v>
      </c>
      <c r="AW939" s="67" t="s">
        <v>1350</v>
      </c>
    </row>
    <row r="940" spans="1:49" ht="30" customHeight="1" x14ac:dyDescent="0.25">
      <c r="A940" s="106" t="s">
        <v>138</v>
      </c>
      <c r="B940" s="51" t="s">
        <v>1082</v>
      </c>
      <c r="C940" s="106" t="s">
        <v>138</v>
      </c>
      <c r="D940" s="64">
        <f t="shared" si="281"/>
        <v>10</v>
      </c>
      <c r="E940" s="64" t="s">
        <v>577</v>
      </c>
      <c r="F940" s="64" t="s">
        <v>240</v>
      </c>
      <c r="G940" s="49" t="s">
        <v>1302</v>
      </c>
      <c r="H940" s="64">
        <v>0</v>
      </c>
      <c r="I940" s="64">
        <f>2*3-4</f>
        <v>2</v>
      </c>
      <c r="J940" s="64">
        <v>2</v>
      </c>
      <c r="K940" s="64" t="s">
        <v>1299</v>
      </c>
      <c r="L940" s="49" t="s">
        <v>1300</v>
      </c>
      <c r="M940" s="49" t="s">
        <v>587</v>
      </c>
      <c r="N940" s="64" t="s">
        <v>240</v>
      </c>
      <c r="O940" s="64" t="s">
        <v>240</v>
      </c>
      <c r="P940" s="64" t="s">
        <v>240</v>
      </c>
      <c r="Q940" s="64" t="s">
        <v>240</v>
      </c>
      <c r="R940" s="64" t="s">
        <v>580</v>
      </c>
      <c r="S940" s="64">
        <v>73837</v>
      </c>
      <c r="T940" s="64">
        <f t="shared" si="279"/>
        <v>36918.5</v>
      </c>
      <c r="U940" s="64">
        <f t="shared" si="279"/>
        <v>18459.25</v>
      </c>
      <c r="V940" s="64">
        <v>-184</v>
      </c>
      <c r="W940" s="64">
        <v>14</v>
      </c>
      <c r="X940" s="102" t="s">
        <v>240</v>
      </c>
      <c r="Y940" s="102" t="s">
        <v>240</v>
      </c>
      <c r="Z940" s="102" t="s">
        <v>240</v>
      </c>
      <c r="AA940" s="102" t="s">
        <v>240</v>
      </c>
      <c r="AB940" s="102" t="s">
        <v>240</v>
      </c>
      <c r="AC940" s="102" t="s">
        <v>240</v>
      </c>
      <c r="AD940" s="102" t="s">
        <v>240</v>
      </c>
      <c r="AE940" s="102" t="s">
        <v>240</v>
      </c>
      <c r="AF940" s="102" t="s">
        <v>240</v>
      </c>
      <c r="AG940" s="102" t="s">
        <v>240</v>
      </c>
      <c r="AH940" s="107" t="s">
        <v>240</v>
      </c>
      <c r="AI940" s="107">
        <f t="shared" si="280"/>
        <v>14</v>
      </c>
      <c r="AJ940" s="107" t="s">
        <v>240</v>
      </c>
      <c r="AK940" s="49"/>
      <c r="AL940" s="49" t="s">
        <v>1301</v>
      </c>
      <c r="AM940" s="64"/>
      <c r="AN940" s="64"/>
      <c r="AO940" s="64"/>
      <c r="AP940" s="67">
        <f t="shared" si="274"/>
        <v>-0.13680367349108777</v>
      </c>
      <c r="AQ940" s="67">
        <f t="shared" si="275"/>
        <v>1344.993122658997</v>
      </c>
      <c r="AS940" s="67">
        <f t="shared" si="276"/>
        <v>1.0885666025535701E-4</v>
      </c>
      <c r="AU940" s="67">
        <f t="shared" si="277"/>
        <v>73835</v>
      </c>
      <c r="AV940" s="67">
        <f t="shared" si="278"/>
        <v>1</v>
      </c>
      <c r="AW940" s="67" t="s">
        <v>1350</v>
      </c>
    </row>
    <row r="941" spans="1:49" ht="30" customHeight="1" x14ac:dyDescent="0.25">
      <c r="A941" s="106" t="s">
        <v>138</v>
      </c>
      <c r="B941" s="51" t="s">
        <v>1082</v>
      </c>
      <c r="C941" s="106" t="s">
        <v>138</v>
      </c>
      <c r="D941" s="64">
        <f t="shared" si="281"/>
        <v>11</v>
      </c>
      <c r="E941" s="64" t="s">
        <v>577</v>
      </c>
      <c r="F941" s="64" t="s">
        <v>240</v>
      </c>
      <c r="G941" s="49" t="s">
        <v>1302</v>
      </c>
      <c r="H941" s="64">
        <v>0</v>
      </c>
      <c r="I941" s="64">
        <f>12-4</f>
        <v>8</v>
      </c>
      <c r="J941" s="64">
        <v>2</v>
      </c>
      <c r="K941" s="64" t="s">
        <v>1299</v>
      </c>
      <c r="L941" s="49" t="s">
        <v>1300</v>
      </c>
      <c r="M941" s="49" t="s">
        <v>587</v>
      </c>
      <c r="N941" s="64" t="s">
        <v>240</v>
      </c>
      <c r="O941" s="64" t="s">
        <v>240</v>
      </c>
      <c r="P941" s="64" t="s">
        <v>240</v>
      </c>
      <c r="Q941" s="64" t="s">
        <v>240</v>
      </c>
      <c r="R941" s="64" t="s">
        <v>580</v>
      </c>
      <c r="S941" s="64">
        <v>73837</v>
      </c>
      <c r="T941" s="64">
        <f t="shared" si="279"/>
        <v>36918.5</v>
      </c>
      <c r="U941" s="64">
        <f t="shared" si="279"/>
        <v>18459.25</v>
      </c>
      <c r="V941" s="64">
        <v>-80</v>
      </c>
      <c r="W941" s="64">
        <v>15</v>
      </c>
      <c r="X941" s="102" t="s">
        <v>240</v>
      </c>
      <c r="Y941" s="102" t="s">
        <v>240</v>
      </c>
      <c r="Z941" s="102" t="s">
        <v>240</v>
      </c>
      <c r="AA941" s="102" t="s">
        <v>240</v>
      </c>
      <c r="AB941" s="102" t="s">
        <v>240</v>
      </c>
      <c r="AC941" s="102" t="s">
        <v>240</v>
      </c>
      <c r="AD941" s="102" t="s">
        <v>240</v>
      </c>
      <c r="AE941" s="102" t="s">
        <v>240</v>
      </c>
      <c r="AF941" s="102" t="s">
        <v>240</v>
      </c>
      <c r="AG941" s="102" t="s">
        <v>240</v>
      </c>
      <c r="AH941" s="107" t="s">
        <v>240</v>
      </c>
      <c r="AI941" s="107">
        <f t="shared" si="280"/>
        <v>15</v>
      </c>
      <c r="AJ941" s="107" t="s">
        <v>240</v>
      </c>
      <c r="AK941" s="49"/>
      <c r="AL941" s="49" t="s">
        <v>1301</v>
      </c>
      <c r="AM941" s="64"/>
      <c r="AN941" s="64"/>
      <c r="AO941" s="64"/>
      <c r="AP941" s="67">
        <f t="shared" si="274"/>
        <v>-5.5514534170296483E-2</v>
      </c>
      <c r="AQ941" s="67">
        <f t="shared" si="275"/>
        <v>1441.0640599917826</v>
      </c>
      <c r="AS941" s="67">
        <f t="shared" si="276"/>
        <v>1.0843318073870294E-4</v>
      </c>
      <c r="AU941" s="67">
        <f t="shared" si="277"/>
        <v>73835</v>
      </c>
      <c r="AV941" s="67">
        <f t="shared" si="278"/>
        <v>1</v>
      </c>
      <c r="AW941" s="67" t="s">
        <v>1350</v>
      </c>
    </row>
    <row r="942" spans="1:49" ht="30" customHeight="1" x14ac:dyDescent="0.25">
      <c r="A942" s="106" t="s">
        <v>138</v>
      </c>
      <c r="B942" s="51" t="s">
        <v>1082</v>
      </c>
      <c r="C942" s="106" t="s">
        <v>138</v>
      </c>
      <c r="D942" s="64">
        <f t="shared" si="281"/>
        <v>12</v>
      </c>
      <c r="E942" s="64" t="s">
        <v>577</v>
      </c>
      <c r="F942" s="64" t="s">
        <v>240</v>
      </c>
      <c r="G942" s="49" t="s">
        <v>1302</v>
      </c>
      <c r="H942" s="64">
        <v>0</v>
      </c>
      <c r="I942" s="64">
        <f>18-4</f>
        <v>14</v>
      </c>
      <c r="J942" s="64">
        <v>2</v>
      </c>
      <c r="K942" s="64" t="s">
        <v>1299</v>
      </c>
      <c r="L942" s="49" t="s">
        <v>1300</v>
      </c>
      <c r="M942" s="49" t="s">
        <v>587</v>
      </c>
      <c r="N942" s="64" t="s">
        <v>240</v>
      </c>
      <c r="O942" s="64" t="s">
        <v>240</v>
      </c>
      <c r="P942" s="64" t="s">
        <v>240</v>
      </c>
      <c r="Q942" s="64" t="s">
        <v>240</v>
      </c>
      <c r="R942" s="64" t="s">
        <v>580</v>
      </c>
      <c r="S942" s="64">
        <v>73837</v>
      </c>
      <c r="T942" s="64">
        <f t="shared" si="279"/>
        <v>36918.5</v>
      </c>
      <c r="U942" s="64">
        <f t="shared" si="279"/>
        <v>18459.25</v>
      </c>
      <c r="V942" s="64">
        <v>-21</v>
      </c>
      <c r="W942" s="64">
        <v>18</v>
      </c>
      <c r="X942" s="102" t="s">
        <v>240</v>
      </c>
      <c r="Y942" s="102" t="s">
        <v>240</v>
      </c>
      <c r="Z942" s="102" t="s">
        <v>240</v>
      </c>
      <c r="AA942" s="102" t="s">
        <v>240</v>
      </c>
      <c r="AB942" s="102" t="s">
        <v>240</v>
      </c>
      <c r="AC942" s="102" t="s">
        <v>240</v>
      </c>
      <c r="AD942" s="102" t="s">
        <v>240</v>
      </c>
      <c r="AE942" s="102" t="s">
        <v>240</v>
      </c>
      <c r="AF942" s="102" t="s">
        <v>240</v>
      </c>
      <c r="AG942" s="102" t="s">
        <v>240</v>
      </c>
      <c r="AH942" s="107" t="s">
        <v>240</v>
      </c>
      <c r="AI942" s="107">
        <f t="shared" si="280"/>
        <v>18</v>
      </c>
      <c r="AJ942" s="107" t="s">
        <v>240</v>
      </c>
      <c r="AK942" s="49"/>
      <c r="AL942" s="49" t="s">
        <v>1301</v>
      </c>
      <c r="AM942" s="64"/>
      <c r="AN942" s="64"/>
      <c r="AO942" s="64"/>
      <c r="AP942" s="67">
        <f t="shared" si="274"/>
        <v>-1.2143804349752357E-2</v>
      </c>
      <c r="AQ942" s="67">
        <f t="shared" si="275"/>
        <v>1729.2768719901392</v>
      </c>
      <c r="AS942" s="67">
        <f t="shared" si="276"/>
        <v>1.0835369347636606E-4</v>
      </c>
      <c r="AU942" s="67">
        <f t="shared" si="277"/>
        <v>73835</v>
      </c>
      <c r="AV942" s="67">
        <f t="shared" si="278"/>
        <v>1</v>
      </c>
      <c r="AW942" s="67" t="s">
        <v>1350</v>
      </c>
    </row>
    <row r="943" spans="1:49" ht="30" customHeight="1" x14ac:dyDescent="0.25">
      <c r="A943" s="106" t="s">
        <v>138</v>
      </c>
      <c r="B943" s="51" t="s">
        <v>1082</v>
      </c>
      <c r="C943" s="106" t="s">
        <v>138</v>
      </c>
      <c r="D943" s="64">
        <f t="shared" si="281"/>
        <v>13</v>
      </c>
      <c r="E943" s="64" t="s">
        <v>577</v>
      </c>
      <c r="F943" s="64" t="s">
        <v>240</v>
      </c>
      <c r="G943" s="49" t="s">
        <v>1302</v>
      </c>
      <c r="H943" s="64">
        <v>0</v>
      </c>
      <c r="I943" s="64">
        <f>24-4</f>
        <v>20</v>
      </c>
      <c r="J943" s="64">
        <v>2</v>
      </c>
      <c r="K943" s="64" t="s">
        <v>1299</v>
      </c>
      <c r="L943" s="49" t="s">
        <v>1300</v>
      </c>
      <c r="M943" s="49" t="s">
        <v>587</v>
      </c>
      <c r="N943" s="64" t="s">
        <v>240</v>
      </c>
      <c r="O943" s="64" t="s">
        <v>240</v>
      </c>
      <c r="P943" s="64" t="s">
        <v>240</v>
      </c>
      <c r="Q943" s="64" t="s">
        <v>240</v>
      </c>
      <c r="R943" s="64" t="s">
        <v>580</v>
      </c>
      <c r="S943" s="64">
        <v>73837</v>
      </c>
      <c r="T943" s="64">
        <f t="shared" si="279"/>
        <v>36918.5</v>
      </c>
      <c r="U943" s="64">
        <f t="shared" si="279"/>
        <v>18459.25</v>
      </c>
      <c r="V943" s="64">
        <v>39</v>
      </c>
      <c r="W943" s="64">
        <v>22</v>
      </c>
      <c r="X943" s="102" t="s">
        <v>240</v>
      </c>
      <c r="Y943" s="102" t="s">
        <v>240</v>
      </c>
      <c r="Z943" s="102" t="s">
        <v>240</v>
      </c>
      <c r="AA943" s="102" t="s">
        <v>240</v>
      </c>
      <c r="AB943" s="102" t="s">
        <v>240</v>
      </c>
      <c r="AC943" s="102" t="s">
        <v>240</v>
      </c>
      <c r="AD943" s="102" t="s">
        <v>240</v>
      </c>
      <c r="AE943" s="102" t="s">
        <v>240</v>
      </c>
      <c r="AF943" s="102" t="s">
        <v>240</v>
      </c>
      <c r="AG943" s="102" t="s">
        <v>240</v>
      </c>
      <c r="AH943" s="107" t="s">
        <v>240</v>
      </c>
      <c r="AI943" s="107">
        <f t="shared" si="280"/>
        <v>22</v>
      </c>
      <c r="AJ943" s="107" t="s">
        <v>240</v>
      </c>
      <c r="AK943" s="49"/>
      <c r="AL943" s="49" t="s">
        <v>1301</v>
      </c>
      <c r="AM943" s="64"/>
      <c r="AN943" s="64"/>
      <c r="AO943" s="64"/>
      <c r="AP943" s="67">
        <f t="shared" si="274"/>
        <v>1.8452274141831506E-2</v>
      </c>
      <c r="AQ943" s="67">
        <f t="shared" si="275"/>
        <v>2113.5606213212809</v>
      </c>
      <c r="AS943" s="67">
        <f t="shared" si="276"/>
        <v>1.0835892188200911E-4</v>
      </c>
      <c r="AU943" s="67">
        <f t="shared" si="277"/>
        <v>73835</v>
      </c>
      <c r="AV943" s="67">
        <f t="shared" si="278"/>
        <v>1</v>
      </c>
      <c r="AW943" s="67" t="s">
        <v>1350</v>
      </c>
    </row>
    <row r="944" spans="1:49" ht="30" customHeight="1" x14ac:dyDescent="0.25">
      <c r="A944" s="106" t="s">
        <v>138</v>
      </c>
      <c r="B944" s="51" t="s">
        <v>1082</v>
      </c>
      <c r="C944" s="106" t="s">
        <v>138</v>
      </c>
      <c r="D944" s="64">
        <f t="shared" si="281"/>
        <v>14</v>
      </c>
      <c r="E944" s="64" t="s">
        <v>577</v>
      </c>
      <c r="F944" s="64" t="s">
        <v>240</v>
      </c>
      <c r="G944" s="49" t="s">
        <v>1302</v>
      </c>
      <c r="H944" s="64">
        <v>0</v>
      </c>
      <c r="I944" s="64">
        <f>30-4</f>
        <v>26</v>
      </c>
      <c r="J944" s="64">
        <v>2</v>
      </c>
      <c r="K944" s="64" t="s">
        <v>1299</v>
      </c>
      <c r="L944" s="49" t="s">
        <v>1300</v>
      </c>
      <c r="M944" s="49" t="s">
        <v>587</v>
      </c>
      <c r="N944" s="64" t="s">
        <v>240</v>
      </c>
      <c r="O944" s="64" t="s">
        <v>240</v>
      </c>
      <c r="P944" s="64" t="s">
        <v>240</v>
      </c>
      <c r="Q944" s="64" t="s">
        <v>240</v>
      </c>
      <c r="R944" s="64" t="s">
        <v>580</v>
      </c>
      <c r="S944" s="64">
        <v>73837</v>
      </c>
      <c r="T944" s="64">
        <f t="shared" si="279"/>
        <v>36918.5</v>
      </c>
      <c r="U944" s="64">
        <f t="shared" si="279"/>
        <v>18459.25</v>
      </c>
      <c r="V944" s="64">
        <v>97</v>
      </c>
      <c r="W944" s="64">
        <v>31</v>
      </c>
      <c r="X944" s="102" t="s">
        <v>240</v>
      </c>
      <c r="Y944" s="102" t="s">
        <v>240</v>
      </c>
      <c r="Z944" s="102" t="s">
        <v>240</v>
      </c>
      <c r="AA944" s="102" t="s">
        <v>240</v>
      </c>
      <c r="AB944" s="102" t="s">
        <v>240</v>
      </c>
      <c r="AC944" s="102" t="s">
        <v>240</v>
      </c>
      <c r="AD944" s="102" t="s">
        <v>240</v>
      </c>
      <c r="AE944" s="102" t="s">
        <v>240</v>
      </c>
      <c r="AF944" s="102" t="s">
        <v>240</v>
      </c>
      <c r="AG944" s="102" t="s">
        <v>240</v>
      </c>
      <c r="AH944" s="107" t="s">
        <v>240</v>
      </c>
      <c r="AI944" s="107">
        <f t="shared" si="280"/>
        <v>31</v>
      </c>
      <c r="AJ944" s="107" t="s">
        <v>240</v>
      </c>
      <c r="AK944" s="49"/>
      <c r="AL944" s="49" t="s">
        <v>1301</v>
      </c>
      <c r="AM944" s="64"/>
      <c r="AN944" s="64"/>
      <c r="AO944" s="64"/>
      <c r="AP944" s="67">
        <f t="shared" si="274"/>
        <v>3.257001903942798E-2</v>
      </c>
      <c r="AQ944" s="67">
        <f t="shared" si="275"/>
        <v>2978.1990573163507</v>
      </c>
      <c r="AS944" s="67">
        <f t="shared" si="276"/>
        <v>1.0837843401667043E-4</v>
      </c>
      <c r="AU944" s="67">
        <f t="shared" si="277"/>
        <v>73835</v>
      </c>
      <c r="AV944" s="67">
        <f t="shared" si="278"/>
        <v>1</v>
      </c>
      <c r="AW944" s="67" t="s">
        <v>1350</v>
      </c>
    </row>
    <row r="945" spans="1:49" ht="30" customHeight="1" x14ac:dyDescent="0.25">
      <c r="A945" s="106" t="s">
        <v>138</v>
      </c>
      <c r="B945" s="51" t="s">
        <v>1082</v>
      </c>
      <c r="C945" s="106" t="s">
        <v>138</v>
      </c>
      <c r="D945" s="64">
        <f t="shared" si="281"/>
        <v>15</v>
      </c>
      <c r="E945" s="64" t="s">
        <v>577</v>
      </c>
      <c r="F945" s="64" t="s">
        <v>240</v>
      </c>
      <c r="G945" s="49" t="s">
        <v>1302</v>
      </c>
      <c r="H945" s="64">
        <v>0</v>
      </c>
      <c r="I945" s="64">
        <f>36-4</f>
        <v>32</v>
      </c>
      <c r="J945" s="64">
        <v>2</v>
      </c>
      <c r="K945" s="64" t="s">
        <v>1299</v>
      </c>
      <c r="L945" s="49" t="s">
        <v>1300</v>
      </c>
      <c r="M945" s="49" t="s">
        <v>587</v>
      </c>
      <c r="N945" s="64" t="s">
        <v>240</v>
      </c>
      <c r="O945" s="64" t="s">
        <v>240</v>
      </c>
      <c r="P945" s="64" t="s">
        <v>240</v>
      </c>
      <c r="Q945" s="64" t="s">
        <v>240</v>
      </c>
      <c r="R945" s="64" t="s">
        <v>580</v>
      </c>
      <c r="S945" s="64">
        <v>73837</v>
      </c>
      <c r="T945" s="64">
        <f t="shared" si="279"/>
        <v>36918.5</v>
      </c>
      <c r="U945" s="64">
        <f t="shared" si="279"/>
        <v>18459.25</v>
      </c>
      <c r="V945" s="64">
        <v>116</v>
      </c>
      <c r="W945" s="64">
        <v>45</v>
      </c>
      <c r="X945" s="102" t="s">
        <v>240</v>
      </c>
      <c r="Y945" s="102" t="s">
        <v>240</v>
      </c>
      <c r="Z945" s="102" t="s">
        <v>240</v>
      </c>
      <c r="AA945" s="102" t="s">
        <v>240</v>
      </c>
      <c r="AB945" s="102" t="s">
        <v>240</v>
      </c>
      <c r="AC945" s="102" t="s">
        <v>240</v>
      </c>
      <c r="AD945" s="102" t="s">
        <v>240</v>
      </c>
      <c r="AE945" s="102" t="s">
        <v>240</v>
      </c>
      <c r="AF945" s="102" t="s">
        <v>240</v>
      </c>
      <c r="AG945" s="102" t="s">
        <v>240</v>
      </c>
      <c r="AH945" s="107" t="s">
        <v>240</v>
      </c>
      <c r="AI945" s="107">
        <f t="shared" si="280"/>
        <v>45</v>
      </c>
      <c r="AJ945" s="107" t="s">
        <v>240</v>
      </c>
      <c r="AK945" s="49"/>
      <c r="AL945" s="49" t="s">
        <v>1301</v>
      </c>
      <c r="AM945" s="64"/>
      <c r="AN945" s="64"/>
      <c r="AO945" s="64"/>
      <c r="AP945" s="67">
        <f t="shared" si="274"/>
        <v>2.6832024848976632E-2</v>
      </c>
      <c r="AQ945" s="67">
        <f t="shared" si="275"/>
        <v>4323.1921799753482</v>
      </c>
      <c r="AS945" s="67">
        <f t="shared" si="276"/>
        <v>1.0836920105626688E-4</v>
      </c>
      <c r="AU945" s="67">
        <f t="shared" si="277"/>
        <v>73835</v>
      </c>
      <c r="AV945" s="67">
        <f t="shared" si="278"/>
        <v>1</v>
      </c>
      <c r="AW945" s="67" t="s">
        <v>1350</v>
      </c>
    </row>
    <row r="946" spans="1:49" ht="30" customHeight="1" x14ac:dyDescent="0.25">
      <c r="A946" s="106" t="s">
        <v>138</v>
      </c>
      <c r="B946" s="51" t="s">
        <v>1082</v>
      </c>
      <c r="C946" s="106" t="s">
        <v>138</v>
      </c>
      <c r="D946" s="64">
        <f t="shared" si="281"/>
        <v>16</v>
      </c>
      <c r="E946" s="64" t="s">
        <v>577</v>
      </c>
      <c r="F946" s="64" t="s">
        <v>240</v>
      </c>
      <c r="G946" s="49" t="s">
        <v>1302</v>
      </c>
      <c r="H946" s="64">
        <v>0</v>
      </c>
      <c r="I946" s="64">
        <f>36-4</f>
        <v>32</v>
      </c>
      <c r="J946" s="64">
        <v>2</v>
      </c>
      <c r="K946" s="64" t="s">
        <v>1299</v>
      </c>
      <c r="L946" s="49" t="s">
        <v>1300</v>
      </c>
      <c r="M946" s="49" t="s">
        <v>587</v>
      </c>
      <c r="N946" s="64" t="s">
        <v>240</v>
      </c>
      <c r="O946" s="64" t="s">
        <v>240</v>
      </c>
      <c r="P946" s="64" t="s">
        <v>240</v>
      </c>
      <c r="Q946" s="64" t="s">
        <v>240</v>
      </c>
      <c r="R946" s="64" t="s">
        <v>580</v>
      </c>
      <c r="S946" s="64">
        <v>73837</v>
      </c>
      <c r="T946" s="64">
        <f t="shared" si="279"/>
        <v>36918.5</v>
      </c>
      <c r="U946" s="64">
        <f t="shared" si="279"/>
        <v>18459.25</v>
      </c>
      <c r="V946" s="64">
        <v>235</v>
      </c>
      <c r="W946" s="64">
        <v>68</v>
      </c>
      <c r="X946" s="102" t="s">
        <v>240</v>
      </c>
      <c r="Y946" s="102" t="s">
        <v>240</v>
      </c>
      <c r="Z946" s="102" t="s">
        <v>240</v>
      </c>
      <c r="AA946" s="102" t="s">
        <v>240</v>
      </c>
      <c r="AB946" s="102" t="s">
        <v>240</v>
      </c>
      <c r="AC946" s="102" t="s">
        <v>240</v>
      </c>
      <c r="AD946" s="102" t="s">
        <v>240</v>
      </c>
      <c r="AE946" s="102" t="s">
        <v>240</v>
      </c>
      <c r="AF946" s="102" t="s">
        <v>240</v>
      </c>
      <c r="AG946" s="102" t="s">
        <v>240</v>
      </c>
      <c r="AH946" s="107" t="s">
        <v>240</v>
      </c>
      <c r="AI946" s="107">
        <f t="shared" si="280"/>
        <v>68</v>
      </c>
      <c r="AJ946" s="107" t="s">
        <v>240</v>
      </c>
      <c r="AK946" s="49"/>
      <c r="AL946" s="49" t="s">
        <v>1301</v>
      </c>
      <c r="AM946" s="64"/>
      <c r="AN946" s="64"/>
      <c r="AO946" s="64"/>
      <c r="AP946" s="67">
        <f t="shared" si="274"/>
        <v>3.5972193557039546E-2</v>
      </c>
      <c r="AQ946" s="67">
        <f t="shared" si="275"/>
        <v>6532.823738629414</v>
      </c>
      <c r="AS946" s="67">
        <f t="shared" si="276"/>
        <v>1.0838475077392198E-4</v>
      </c>
      <c r="AU946" s="67">
        <f t="shared" si="277"/>
        <v>73835</v>
      </c>
      <c r="AV946" s="67">
        <f t="shared" si="278"/>
        <v>1</v>
      </c>
      <c r="AW946" s="67" t="s">
        <v>1350</v>
      </c>
    </row>
    <row r="947" spans="1:49" ht="30" customHeight="1" x14ac:dyDescent="0.25">
      <c r="A947" s="51" t="s">
        <v>113</v>
      </c>
      <c r="B947" s="51" t="s">
        <v>1082</v>
      </c>
      <c r="C947" s="51" t="s">
        <v>1132</v>
      </c>
      <c r="D947" s="64">
        <v>1</v>
      </c>
      <c r="E947" s="64" t="s">
        <v>583</v>
      </c>
      <c r="F947" s="64" t="s">
        <v>240</v>
      </c>
      <c r="G947" s="49" t="s">
        <v>1253</v>
      </c>
      <c r="H947" s="64">
        <v>1</v>
      </c>
      <c r="I947" s="64">
        <v>12</v>
      </c>
      <c r="J947" s="64">
        <v>2</v>
      </c>
      <c r="K947" s="49" t="s">
        <v>1303</v>
      </c>
      <c r="L947" s="64" t="s">
        <v>638</v>
      </c>
      <c r="M947" s="49" t="s">
        <v>570</v>
      </c>
      <c r="N947" s="64" t="s">
        <v>240</v>
      </c>
      <c r="O947" s="101">
        <v>0.03</v>
      </c>
      <c r="P947" s="64" t="s">
        <v>240</v>
      </c>
      <c r="Q947" s="64" t="s">
        <v>240</v>
      </c>
      <c r="R947" s="64" t="s">
        <v>1304</v>
      </c>
      <c r="S947" s="64">
        <f t="shared" ref="S947:S975" si="282">+T947+U947</f>
        <v>566</v>
      </c>
      <c r="T947" s="64">
        <v>368</v>
      </c>
      <c r="U947" s="64">
        <v>198</v>
      </c>
      <c r="V947" s="64">
        <f t="shared" ref="V947:V965" si="283">+AB947-AC947</f>
        <v>-31</v>
      </c>
      <c r="W947" s="64"/>
      <c r="X947" s="64"/>
      <c r="Y947" s="64"/>
      <c r="Z947" s="64"/>
      <c r="AA947" s="64"/>
      <c r="AB947" s="64">
        <v>339</v>
      </c>
      <c r="AC947" s="64">
        <v>370</v>
      </c>
      <c r="AD947" s="64"/>
      <c r="AF947" s="67">
        <f t="shared" ref="AF947:AF958" si="284">_xlfn.T.INV.2T(AH947,S947-2)</f>
        <v>0.67492499106344872</v>
      </c>
      <c r="AG947" s="64"/>
      <c r="AH947" s="108">
        <v>0.5</v>
      </c>
      <c r="AI947" s="67">
        <f>+ABS(V947/AF947)</f>
        <v>45.931029981797984</v>
      </c>
      <c r="AJ947" s="108"/>
      <c r="AK947" s="49" t="s">
        <v>1305</v>
      </c>
      <c r="AL947" s="49"/>
      <c r="AM947" s="64"/>
      <c r="AN947" s="64"/>
      <c r="AO947" s="64"/>
      <c r="AP947" s="67">
        <f t="shared" si="274"/>
        <v>-5.9484966396259886E-2</v>
      </c>
      <c r="AQ947" s="67">
        <f t="shared" si="275"/>
        <v>521.14007753645001</v>
      </c>
      <c r="AS947" s="67">
        <f t="shared" si="276"/>
        <v>7.808132502831586E-3</v>
      </c>
      <c r="AU947" s="67">
        <f t="shared" si="277"/>
        <v>564</v>
      </c>
      <c r="AV947" s="67">
        <f t="shared" si="278"/>
        <v>1</v>
      </c>
      <c r="AW947" s="67" t="s">
        <v>1350</v>
      </c>
    </row>
    <row r="948" spans="1:49" ht="30" customHeight="1" x14ac:dyDescent="0.25">
      <c r="A948" s="51" t="s">
        <v>113</v>
      </c>
      <c r="B948" s="51" t="s">
        <v>1082</v>
      </c>
      <c r="C948" s="51" t="s">
        <v>1132</v>
      </c>
      <c r="D948" s="64">
        <f>1+D947</f>
        <v>2</v>
      </c>
      <c r="E948" s="64" t="s">
        <v>577</v>
      </c>
      <c r="F948" s="64" t="s">
        <v>240</v>
      </c>
      <c r="G948" s="49" t="s">
        <v>1253</v>
      </c>
      <c r="H948" s="64">
        <v>1</v>
      </c>
      <c r="I948" s="64">
        <v>12</v>
      </c>
      <c r="J948" s="64">
        <v>2</v>
      </c>
      <c r="K948" s="49" t="s">
        <v>1303</v>
      </c>
      <c r="L948" s="64" t="s">
        <v>638</v>
      </c>
      <c r="M948" s="49" t="s">
        <v>570</v>
      </c>
      <c r="N948" s="64" t="s">
        <v>240</v>
      </c>
      <c r="O948" s="101">
        <v>0.03</v>
      </c>
      <c r="P948" s="64" t="s">
        <v>240</v>
      </c>
      <c r="Q948" s="64" t="s">
        <v>240</v>
      </c>
      <c r="R948" s="64" t="s">
        <v>1304</v>
      </c>
      <c r="S948" s="64">
        <f t="shared" si="282"/>
        <v>139</v>
      </c>
      <c r="T948" s="64">
        <v>89</v>
      </c>
      <c r="U948" s="64">
        <v>50</v>
      </c>
      <c r="V948" s="64">
        <f t="shared" si="283"/>
        <v>50</v>
      </c>
      <c r="W948" s="64"/>
      <c r="X948" s="64"/>
      <c r="Y948" s="64"/>
      <c r="Z948" s="64"/>
      <c r="AA948" s="64"/>
      <c r="AB948" s="64">
        <v>217</v>
      </c>
      <c r="AC948" s="64">
        <v>167</v>
      </c>
      <c r="AD948" s="64"/>
      <c r="AF948" s="67">
        <f t="shared" si="284"/>
        <v>0.6762847491500551</v>
      </c>
      <c r="AG948" s="64"/>
      <c r="AH948" s="108">
        <v>0.5</v>
      </c>
      <c r="AI948" s="67">
        <f>+ABS(V948/AF948)</f>
        <v>73.933354349390953</v>
      </c>
      <c r="AJ948" s="108"/>
      <c r="AK948" s="49" t="s">
        <v>1305</v>
      </c>
      <c r="AL948" s="49"/>
      <c r="AM948" s="64"/>
      <c r="AN948" s="64"/>
      <c r="AO948" s="64"/>
      <c r="AP948" s="67">
        <f t="shared" si="274"/>
        <v>0.11952451453565656</v>
      </c>
      <c r="AQ948" s="67">
        <f t="shared" si="275"/>
        <v>418.32422573934821</v>
      </c>
      <c r="AS948" s="67">
        <f t="shared" si="276"/>
        <v>3.1751719082579809E-2</v>
      </c>
      <c r="AU948" s="67">
        <f t="shared" si="277"/>
        <v>137</v>
      </c>
      <c r="AV948" s="67">
        <f t="shared" si="278"/>
        <v>0.99451386532728392</v>
      </c>
      <c r="AW948" s="67" t="s">
        <v>1350</v>
      </c>
    </row>
    <row r="949" spans="1:49" ht="30" customHeight="1" x14ac:dyDescent="0.25">
      <c r="A949" s="51" t="s">
        <v>113</v>
      </c>
      <c r="B949" s="51" t="s">
        <v>1082</v>
      </c>
      <c r="C949" s="51" t="s">
        <v>1132</v>
      </c>
      <c r="D949" s="64">
        <f>1+D948</f>
        <v>3</v>
      </c>
      <c r="E949" s="64" t="s">
        <v>583</v>
      </c>
      <c r="F949" s="64" t="s">
        <v>240</v>
      </c>
      <c r="G949" s="49" t="s">
        <v>1253</v>
      </c>
      <c r="H949" s="64">
        <v>1</v>
      </c>
      <c r="I949" s="64">
        <v>12</v>
      </c>
      <c r="J949" s="64">
        <v>1</v>
      </c>
      <c r="K949" s="49" t="s">
        <v>1306</v>
      </c>
      <c r="L949" s="64" t="s">
        <v>240</v>
      </c>
      <c r="M949" s="49" t="s">
        <v>570</v>
      </c>
      <c r="N949" s="64" t="s">
        <v>240</v>
      </c>
      <c r="O949" s="101">
        <v>0.03</v>
      </c>
      <c r="P949" s="64" t="s">
        <v>240</v>
      </c>
      <c r="Q949" s="64" t="s">
        <v>240</v>
      </c>
      <c r="R949" s="64" t="s">
        <v>1307</v>
      </c>
      <c r="S949" s="64">
        <f t="shared" si="282"/>
        <v>566</v>
      </c>
      <c r="T949" s="64">
        <v>368</v>
      </c>
      <c r="U949" s="64">
        <v>198</v>
      </c>
      <c r="V949" s="64">
        <f t="shared" si="283"/>
        <v>-1.0000000000000009E-2</v>
      </c>
      <c r="W949" s="64"/>
      <c r="X949" s="64"/>
      <c r="Y949" s="64"/>
      <c r="Z949" s="64"/>
      <c r="AA949" s="64"/>
      <c r="AB949" s="64">
        <v>0.74</v>
      </c>
      <c r="AC949" s="64">
        <v>0.75</v>
      </c>
      <c r="AD949" s="64"/>
      <c r="AE949" s="64"/>
      <c r="AF949" s="102">
        <f t="shared" si="284"/>
        <v>0.67492499106344872</v>
      </c>
      <c r="AG949" s="64"/>
      <c r="AH949" s="108">
        <v>0.5</v>
      </c>
      <c r="AI949" s="102">
        <f>ABS(V949/AF949)</f>
        <v>1.4816461284450976E-2</v>
      </c>
      <c r="AJ949" s="108"/>
      <c r="AK949" s="49" t="s">
        <v>1305</v>
      </c>
      <c r="AL949" s="49"/>
      <c r="AM949" s="64"/>
      <c r="AN949" s="64"/>
      <c r="AO949" s="64"/>
    </row>
    <row r="950" spans="1:49" ht="30" customHeight="1" x14ac:dyDescent="0.25">
      <c r="A950" s="51" t="s">
        <v>113</v>
      </c>
      <c r="B950" s="51" t="s">
        <v>1082</v>
      </c>
      <c r="C950" s="51" t="s">
        <v>1132</v>
      </c>
      <c r="D950" s="64">
        <f>1+D949</f>
        <v>4</v>
      </c>
      <c r="E950" s="64" t="s">
        <v>577</v>
      </c>
      <c r="F950" s="64" t="s">
        <v>240</v>
      </c>
      <c r="G950" s="49" t="s">
        <v>1253</v>
      </c>
      <c r="H950" s="64">
        <v>1</v>
      </c>
      <c r="I950" s="64">
        <v>12</v>
      </c>
      <c r="J950" s="64">
        <v>1</v>
      </c>
      <c r="K950" s="49" t="s">
        <v>1306</v>
      </c>
      <c r="L950" s="64" t="s">
        <v>240</v>
      </c>
      <c r="M950" s="49" t="s">
        <v>570</v>
      </c>
      <c r="N950" s="64" t="s">
        <v>240</v>
      </c>
      <c r="O950" s="101">
        <v>0.03</v>
      </c>
      <c r="P950" s="64" t="s">
        <v>240</v>
      </c>
      <c r="Q950" s="64" t="s">
        <v>240</v>
      </c>
      <c r="R950" s="64" t="s">
        <v>1308</v>
      </c>
      <c r="S950" s="64">
        <f t="shared" si="282"/>
        <v>139</v>
      </c>
      <c r="T950" s="64">
        <v>89</v>
      </c>
      <c r="U950" s="64">
        <v>50</v>
      </c>
      <c r="V950" s="64">
        <f t="shared" si="283"/>
        <v>7.999999999999996E-2</v>
      </c>
      <c r="W950" s="64"/>
      <c r="X950" s="64"/>
      <c r="Y950" s="64"/>
      <c r="Z950" s="64"/>
      <c r="AA950" s="64"/>
      <c r="AB950" s="64">
        <v>0.73</v>
      </c>
      <c r="AC950" s="64">
        <v>0.65</v>
      </c>
      <c r="AD950" s="64"/>
      <c r="AE950" s="64"/>
      <c r="AF950" s="102">
        <f t="shared" si="284"/>
        <v>0.6762847491500551</v>
      </c>
      <c r="AG950" s="64"/>
      <c r="AH950" s="108">
        <v>0.5</v>
      </c>
      <c r="AI950" s="102">
        <f>ABS(V950/AF950)</f>
        <v>0.11829336695902548</v>
      </c>
      <c r="AJ950" s="108"/>
      <c r="AK950" s="49" t="s">
        <v>1305</v>
      </c>
      <c r="AL950" s="49"/>
      <c r="AM950" s="64"/>
      <c r="AN950" s="64"/>
      <c r="AO950" s="64"/>
    </row>
    <row r="951" spans="1:49" ht="30" customHeight="1" x14ac:dyDescent="0.25">
      <c r="A951" s="51" t="s">
        <v>113</v>
      </c>
      <c r="B951" s="51" t="s">
        <v>1082</v>
      </c>
      <c r="C951" s="51" t="s">
        <v>1140</v>
      </c>
      <c r="D951" s="64">
        <v>1</v>
      </c>
      <c r="E951" s="64" t="s">
        <v>583</v>
      </c>
      <c r="F951" s="64" t="s">
        <v>240</v>
      </c>
      <c r="G951" s="49" t="s">
        <v>1253</v>
      </c>
      <c r="H951" s="64">
        <v>1</v>
      </c>
      <c r="I951" s="64">
        <v>12</v>
      </c>
      <c r="J951" s="64">
        <v>2</v>
      </c>
      <c r="K951" s="49" t="s">
        <v>1303</v>
      </c>
      <c r="L951" s="64" t="s">
        <v>638</v>
      </c>
      <c r="M951" s="49" t="s">
        <v>570</v>
      </c>
      <c r="N951" s="64" t="s">
        <v>240</v>
      </c>
      <c r="O951" s="101">
        <v>0.03</v>
      </c>
      <c r="P951" s="64" t="s">
        <v>240</v>
      </c>
      <c r="Q951" s="64" t="s">
        <v>240</v>
      </c>
      <c r="R951" s="64" t="s">
        <v>1304</v>
      </c>
      <c r="S951" s="64">
        <f t="shared" si="282"/>
        <v>227</v>
      </c>
      <c r="T951" s="64">
        <v>125</v>
      </c>
      <c r="U951" s="64">
        <v>102</v>
      </c>
      <c r="V951" s="64">
        <f t="shared" si="283"/>
        <v>-10</v>
      </c>
      <c r="W951" s="64"/>
      <c r="X951" s="64"/>
      <c r="Y951" s="64"/>
      <c r="Z951" s="64"/>
      <c r="AA951" s="64"/>
      <c r="AB951" s="64">
        <v>134</v>
      </c>
      <c r="AC951" s="64">
        <v>144</v>
      </c>
      <c r="AD951" s="64"/>
      <c r="AF951" s="67">
        <f t="shared" si="284"/>
        <v>0.67558169734689411</v>
      </c>
      <c r="AG951" s="64"/>
      <c r="AH951" s="108">
        <v>0.5</v>
      </c>
      <c r="AI951" s="67">
        <f>+ABS(V951/AF951)</f>
        <v>14.802058787666139</v>
      </c>
      <c r="AJ951" s="108"/>
      <c r="AK951" s="49" t="s">
        <v>1305</v>
      </c>
      <c r="AL951" s="49"/>
      <c r="AM951" s="64"/>
      <c r="AN951" s="64"/>
      <c r="AO951" s="64"/>
      <c r="AP951" s="67">
        <f>+V951/AQ951</f>
        <v>-9.0143768813329431E-2</v>
      </c>
      <c r="AQ951" s="67">
        <f>+AI951*SQRT(T951*U951/S951)</f>
        <v>110.93390182862328</v>
      </c>
      <c r="AS951" s="67">
        <f>+AP951^2/(AU951-2)*(AU951/(V951/AI951)^2+AU951*AV951^2-AU951+2)</f>
        <v>1.7981837879391078E-2</v>
      </c>
      <c r="AU951" s="67">
        <f>+S951-2</f>
        <v>225</v>
      </c>
      <c r="AV951" s="67">
        <f>IFERROR(1/(SQRT(AU951/2)*_xlfn.GAMMA(AU951/2-0.5)/_xlfn.GAMMA(AU951/2)),1)</f>
        <v>0.99666233951751582</v>
      </c>
      <c r="AW951" s="67" t="s">
        <v>1350</v>
      </c>
    </row>
    <row r="952" spans="1:49" ht="30" customHeight="1" x14ac:dyDescent="0.25">
      <c r="A952" s="51" t="s">
        <v>113</v>
      </c>
      <c r="B952" s="51" t="s">
        <v>1082</v>
      </c>
      <c r="C952" s="51" t="s">
        <v>1140</v>
      </c>
      <c r="D952" s="64">
        <f>+D951+1</f>
        <v>2</v>
      </c>
      <c r="E952" s="64" t="s">
        <v>577</v>
      </c>
      <c r="F952" s="64" t="s">
        <v>240</v>
      </c>
      <c r="G952" s="49" t="s">
        <v>1253</v>
      </c>
      <c r="H952" s="64">
        <v>1</v>
      </c>
      <c r="I952" s="64">
        <v>12</v>
      </c>
      <c r="J952" s="64">
        <v>2</v>
      </c>
      <c r="K952" s="49" t="s">
        <v>1303</v>
      </c>
      <c r="L952" s="64" t="s">
        <v>638</v>
      </c>
      <c r="M952" s="49" t="s">
        <v>570</v>
      </c>
      <c r="N952" s="64" t="s">
        <v>240</v>
      </c>
      <c r="O952" s="101">
        <v>0.03</v>
      </c>
      <c r="P952" s="64" t="s">
        <v>240</v>
      </c>
      <c r="Q952" s="64" t="s">
        <v>240</v>
      </c>
      <c r="R952" s="64" t="s">
        <v>1304</v>
      </c>
      <c r="S952" s="64">
        <f t="shared" si="282"/>
        <v>303</v>
      </c>
      <c r="T952" s="64">
        <v>169</v>
      </c>
      <c r="U952" s="64">
        <v>134</v>
      </c>
      <c r="V952" s="64">
        <f t="shared" si="283"/>
        <v>16</v>
      </c>
      <c r="W952" s="64"/>
      <c r="X952" s="64"/>
      <c r="Y952" s="64"/>
      <c r="Z952" s="64"/>
      <c r="AA952" s="64"/>
      <c r="AB952" s="64">
        <v>121</v>
      </c>
      <c r="AC952" s="64">
        <v>105</v>
      </c>
      <c r="AD952" s="64"/>
      <c r="AF952" s="67">
        <f t="shared" si="284"/>
        <v>0.67530569356318848</v>
      </c>
      <c r="AG952" s="64"/>
      <c r="AH952" s="108">
        <v>0.5</v>
      </c>
      <c r="AI952" s="67">
        <f>+ABS(V952/AF952)</f>
        <v>23.692973645131687</v>
      </c>
      <c r="AJ952" s="108"/>
      <c r="AK952" s="49" t="s">
        <v>1305</v>
      </c>
      <c r="AL952" s="49"/>
      <c r="AM952" s="64"/>
      <c r="AN952" s="64"/>
      <c r="AO952" s="64"/>
      <c r="AP952" s="67">
        <f>+V952/AQ952</f>
        <v>7.8113477800350231E-2</v>
      </c>
      <c r="AQ952" s="67">
        <f>+AI952*SQRT(T952*U952/S952)</f>
        <v>204.83020921042979</v>
      </c>
      <c r="AS952" s="67">
        <f>+AP952^2/(AU952-2)*(AU952/(V952/AI952)^2+AU952*AV952^2-AU952+2)</f>
        <v>1.3479555684918657E-2</v>
      </c>
      <c r="AU952" s="67">
        <f>+S952-2</f>
        <v>301</v>
      </c>
      <c r="AV952" s="67">
        <f>IFERROR(1/(SQRT(AU952/2)*_xlfn.GAMMA(AU952/2-0.5)/_xlfn.GAMMA(AU952/2)),1)</f>
        <v>0.99750588864056478</v>
      </c>
      <c r="AW952" s="67" t="s">
        <v>1350</v>
      </c>
    </row>
    <row r="953" spans="1:49" ht="30" customHeight="1" x14ac:dyDescent="0.25">
      <c r="A953" s="51" t="s">
        <v>113</v>
      </c>
      <c r="B953" s="51" t="s">
        <v>1082</v>
      </c>
      <c r="C953" s="51" t="s">
        <v>1140</v>
      </c>
      <c r="D953" s="64">
        <f>+D952+1</f>
        <v>3</v>
      </c>
      <c r="E953" s="64" t="s">
        <v>583</v>
      </c>
      <c r="F953" s="64" t="s">
        <v>240</v>
      </c>
      <c r="G953" s="49" t="s">
        <v>1253</v>
      </c>
      <c r="H953" s="64">
        <v>1</v>
      </c>
      <c r="I953" s="64">
        <v>12</v>
      </c>
      <c r="J953" s="64">
        <v>1</v>
      </c>
      <c r="K953" s="49" t="s">
        <v>1306</v>
      </c>
      <c r="L953" s="64" t="s">
        <v>240</v>
      </c>
      <c r="M953" s="49" t="s">
        <v>570</v>
      </c>
      <c r="N953" s="64" t="s">
        <v>240</v>
      </c>
      <c r="O953" s="101">
        <v>0.03</v>
      </c>
      <c r="P953" s="64" t="s">
        <v>240</v>
      </c>
      <c r="Q953" s="64" t="s">
        <v>240</v>
      </c>
      <c r="R953" s="64" t="s">
        <v>1307</v>
      </c>
      <c r="S953" s="64">
        <f t="shared" si="282"/>
        <v>227</v>
      </c>
      <c r="T953" s="64">
        <v>125</v>
      </c>
      <c r="U953" s="64">
        <v>102</v>
      </c>
      <c r="V953" s="64">
        <f t="shared" si="283"/>
        <v>-1.0000000000000009E-2</v>
      </c>
      <c r="W953" s="64"/>
      <c r="X953" s="64"/>
      <c r="Y953" s="64"/>
      <c r="Z953" s="64"/>
      <c r="AA953" s="64"/>
      <c r="AB953" s="64">
        <v>0.66</v>
      </c>
      <c r="AC953" s="64">
        <v>0.67</v>
      </c>
      <c r="AD953" s="64"/>
      <c r="AE953" s="64"/>
      <c r="AF953" s="102">
        <f t="shared" si="284"/>
        <v>0.67558169734689411</v>
      </c>
      <c r="AG953" s="64"/>
      <c r="AH953" s="108">
        <v>0.5</v>
      </c>
      <c r="AI953" s="102">
        <f>ABS(V953/AF953)</f>
        <v>1.4802058787666153E-2</v>
      </c>
      <c r="AJ953" s="108"/>
      <c r="AK953" s="49" t="s">
        <v>1305</v>
      </c>
      <c r="AL953" s="49"/>
      <c r="AM953" s="64"/>
      <c r="AN953" s="64"/>
      <c r="AO953" s="64"/>
    </row>
    <row r="954" spans="1:49" ht="30" customHeight="1" x14ac:dyDescent="0.25">
      <c r="A954" s="51" t="s">
        <v>113</v>
      </c>
      <c r="B954" s="51" t="s">
        <v>1082</v>
      </c>
      <c r="C954" s="51" t="s">
        <v>1140</v>
      </c>
      <c r="D954" s="64">
        <f>+D953+1</f>
        <v>4</v>
      </c>
      <c r="E954" s="64" t="s">
        <v>577</v>
      </c>
      <c r="F954" s="64" t="s">
        <v>240</v>
      </c>
      <c r="G954" s="49" t="s">
        <v>1253</v>
      </c>
      <c r="H954" s="64">
        <v>1</v>
      </c>
      <c r="I954" s="64">
        <v>12</v>
      </c>
      <c r="J954" s="64">
        <v>1</v>
      </c>
      <c r="K954" s="49" t="s">
        <v>1306</v>
      </c>
      <c r="L954" s="64" t="s">
        <v>240</v>
      </c>
      <c r="M954" s="49" t="s">
        <v>570</v>
      </c>
      <c r="N954" s="64" t="s">
        <v>240</v>
      </c>
      <c r="O954" s="101">
        <v>0.03</v>
      </c>
      <c r="P954" s="64" t="s">
        <v>240</v>
      </c>
      <c r="Q954" s="64" t="s">
        <v>240</v>
      </c>
      <c r="R954" s="64" t="s">
        <v>1308</v>
      </c>
      <c r="S954" s="64">
        <f t="shared" si="282"/>
        <v>303</v>
      </c>
      <c r="T954" s="64">
        <v>169</v>
      </c>
      <c r="U954" s="64">
        <v>134</v>
      </c>
      <c r="V954" s="64">
        <f t="shared" si="283"/>
        <v>9.9999999999998979E-3</v>
      </c>
      <c r="W954" s="64"/>
      <c r="X954" s="64"/>
      <c r="Y954" s="64"/>
      <c r="Z954" s="64"/>
      <c r="AA954" s="64"/>
      <c r="AB954" s="64">
        <v>0.69</v>
      </c>
      <c r="AC954" s="64">
        <v>0.68</v>
      </c>
      <c r="AD954" s="64"/>
      <c r="AE954" s="64"/>
      <c r="AF954" s="102">
        <f t="shared" si="284"/>
        <v>0.67530569356318848</v>
      </c>
      <c r="AG954" s="64"/>
      <c r="AH954" s="108">
        <v>0.5</v>
      </c>
      <c r="AI954" s="102">
        <f>ABS(V954/AF954)</f>
        <v>1.4808108528207154E-2</v>
      </c>
      <c r="AJ954" s="108"/>
      <c r="AK954" s="49" t="s">
        <v>1305</v>
      </c>
      <c r="AL954" s="49"/>
      <c r="AM954" s="64"/>
      <c r="AN954" s="64"/>
      <c r="AO954" s="64"/>
    </row>
    <row r="955" spans="1:49" ht="30" customHeight="1" x14ac:dyDescent="0.25">
      <c r="A955" s="51" t="s">
        <v>113</v>
      </c>
      <c r="B955" s="51" t="s">
        <v>1082</v>
      </c>
      <c r="C955" s="51" t="s">
        <v>1147</v>
      </c>
      <c r="D955" s="64">
        <v>1</v>
      </c>
      <c r="E955" s="64" t="s">
        <v>583</v>
      </c>
      <c r="F955" s="64" t="s">
        <v>240</v>
      </c>
      <c r="G955" s="49" t="s">
        <v>1253</v>
      </c>
      <c r="H955" s="64">
        <v>1</v>
      </c>
      <c r="I955" s="64">
        <v>12</v>
      </c>
      <c r="J955" s="64">
        <v>2</v>
      </c>
      <c r="K955" s="49" t="s">
        <v>1303</v>
      </c>
      <c r="L955" s="64" t="s">
        <v>638</v>
      </c>
      <c r="M955" s="49" t="s">
        <v>570</v>
      </c>
      <c r="N955" s="64" t="s">
        <v>240</v>
      </c>
      <c r="O955" s="101">
        <v>0.03</v>
      </c>
      <c r="P955" s="64" t="s">
        <v>240</v>
      </c>
      <c r="Q955" s="64" t="s">
        <v>240</v>
      </c>
      <c r="R955" s="64" t="s">
        <v>1304</v>
      </c>
      <c r="S955" s="64">
        <f t="shared" si="282"/>
        <v>307</v>
      </c>
      <c r="T955" s="64">
        <v>156</v>
      </c>
      <c r="U955" s="64">
        <v>151</v>
      </c>
      <c r="V955" s="64">
        <f t="shared" si="283"/>
        <v>-20</v>
      </c>
      <c r="W955" s="64"/>
      <c r="X955" s="64"/>
      <c r="Y955" s="64"/>
      <c r="Z955" s="64"/>
      <c r="AA955" s="64"/>
      <c r="AB955" s="64">
        <v>137</v>
      </c>
      <c r="AC955" s="64">
        <v>157</v>
      </c>
      <c r="AD955" s="64"/>
      <c r="AF955" s="67">
        <f t="shared" si="284"/>
        <v>0.67529498131612309</v>
      </c>
      <c r="AG955" s="64"/>
      <c r="AH955" s="108">
        <v>0.5</v>
      </c>
      <c r="AI955" s="67">
        <f>+ABS(V955/AF955)</f>
        <v>29.616686860341822</v>
      </c>
      <c r="AJ955" s="108"/>
      <c r="AK955" s="49" t="s">
        <v>1305</v>
      </c>
      <c r="AL955" s="49"/>
      <c r="AM955" s="64"/>
      <c r="AN955" s="64"/>
      <c r="AO955" s="64"/>
      <c r="AP955" s="67">
        <f>+V955/AQ955</f>
        <v>-7.7092465844737362E-2</v>
      </c>
      <c r="AQ955" s="67">
        <f>+AI955*SQRT(T955*U955/S955)</f>
        <v>259.42872342778071</v>
      </c>
      <c r="AS955" s="67">
        <f>+AP955^2/(AU955-2)*(AU955/(V955/AI955)^2+AU955*AV955^2-AU955+2)</f>
        <v>1.3128613289514788E-2</v>
      </c>
      <c r="AU955" s="67">
        <f>+S955-2</f>
        <v>305</v>
      </c>
      <c r="AV955" s="67">
        <f>IFERROR(1/(SQRT(AU955/2)*_xlfn.GAMMA(AU955/2-0.5)/_xlfn.GAMMA(AU955/2)),1)</f>
        <v>0.99753862961331874</v>
      </c>
      <c r="AW955" s="67" t="s">
        <v>1350</v>
      </c>
    </row>
    <row r="956" spans="1:49" ht="30" customHeight="1" x14ac:dyDescent="0.25">
      <c r="A956" s="51" t="s">
        <v>113</v>
      </c>
      <c r="B956" s="51" t="s">
        <v>1082</v>
      </c>
      <c r="C956" s="51" t="s">
        <v>1147</v>
      </c>
      <c r="D956" s="64">
        <f>+D955+1</f>
        <v>2</v>
      </c>
      <c r="E956" s="64" t="s">
        <v>577</v>
      </c>
      <c r="F956" s="64" t="s">
        <v>240</v>
      </c>
      <c r="G956" s="49" t="s">
        <v>1253</v>
      </c>
      <c r="H956" s="64">
        <v>1</v>
      </c>
      <c r="I956" s="64">
        <v>12</v>
      </c>
      <c r="J956" s="64">
        <v>2</v>
      </c>
      <c r="K956" s="49" t="s">
        <v>1303</v>
      </c>
      <c r="L956" s="64" t="s">
        <v>638</v>
      </c>
      <c r="M956" s="49" t="s">
        <v>570</v>
      </c>
      <c r="N956" s="64" t="s">
        <v>240</v>
      </c>
      <c r="O956" s="101">
        <v>0.03</v>
      </c>
      <c r="P956" s="64" t="s">
        <v>240</v>
      </c>
      <c r="Q956" s="64" t="s">
        <v>240</v>
      </c>
      <c r="R956" s="64" t="s">
        <v>1304</v>
      </c>
      <c r="S956" s="64">
        <f t="shared" si="282"/>
        <v>329</v>
      </c>
      <c r="T956" s="64">
        <v>180</v>
      </c>
      <c r="U956" s="64">
        <v>149</v>
      </c>
      <c r="V956" s="64">
        <f t="shared" si="283"/>
        <v>16</v>
      </c>
      <c r="W956" s="64"/>
      <c r="X956" s="64"/>
      <c r="Y956" s="64"/>
      <c r="Z956" s="64"/>
      <c r="AA956" s="64"/>
      <c r="AB956" s="64">
        <v>100</v>
      </c>
      <c r="AC956" s="64">
        <v>84</v>
      </c>
      <c r="AD956" s="64"/>
      <c r="AF956" s="67">
        <f t="shared" si="284"/>
        <v>0.675240753146786</v>
      </c>
      <c r="AG956" s="64"/>
      <c r="AH956" s="108">
        <v>0.5</v>
      </c>
      <c r="AI956" s="67">
        <f>+ABS(V956/AF956)</f>
        <v>23.695252286589799</v>
      </c>
      <c r="AJ956" s="108"/>
      <c r="AK956" s="49" t="s">
        <v>1305</v>
      </c>
      <c r="AL956" s="49"/>
      <c r="AM956" s="64"/>
      <c r="AN956" s="64"/>
      <c r="AO956" s="64"/>
      <c r="AP956" s="67">
        <f>+V956/AQ956</f>
        <v>7.4787188649643704E-2</v>
      </c>
      <c r="AQ956" s="67">
        <f>+AI956*SQRT(T956*U956/S956)</f>
        <v>213.94038589891861</v>
      </c>
      <c r="AS956" s="67">
        <f>+AP956^2/(AU956-2)*(AU956/(V956/AI956)^2+AU956*AV956^2-AU956+2)</f>
        <v>1.235106538101065E-2</v>
      </c>
      <c r="AU956" s="67">
        <f>+S956-2</f>
        <v>327</v>
      </c>
      <c r="AV956" s="67">
        <f>IFERROR(1/(SQRT(AU956/2)*_xlfn.GAMMA(AU956/2-0.5)/_xlfn.GAMMA(AU956/2)),1)</f>
        <v>0.99770437426000447</v>
      </c>
      <c r="AW956" s="67" t="s">
        <v>1350</v>
      </c>
    </row>
    <row r="957" spans="1:49" ht="30" customHeight="1" x14ac:dyDescent="0.25">
      <c r="A957" s="51" t="s">
        <v>113</v>
      </c>
      <c r="B957" s="51" t="s">
        <v>1082</v>
      </c>
      <c r="C957" s="51" t="s">
        <v>1147</v>
      </c>
      <c r="D957" s="64">
        <f>+D956+1</f>
        <v>3</v>
      </c>
      <c r="E957" s="64" t="s">
        <v>583</v>
      </c>
      <c r="F957" s="64" t="s">
        <v>240</v>
      </c>
      <c r="G957" s="49" t="s">
        <v>1253</v>
      </c>
      <c r="H957" s="64">
        <v>1</v>
      </c>
      <c r="I957" s="64">
        <v>12</v>
      </c>
      <c r="J957" s="64">
        <v>1</v>
      </c>
      <c r="K957" s="49" t="s">
        <v>1306</v>
      </c>
      <c r="L957" s="64" t="s">
        <v>240</v>
      </c>
      <c r="M957" s="49" t="s">
        <v>570</v>
      </c>
      <c r="N957" s="64" t="s">
        <v>240</v>
      </c>
      <c r="O957" s="101">
        <v>0.03</v>
      </c>
      <c r="P957" s="64" t="s">
        <v>240</v>
      </c>
      <c r="Q957" s="64" t="s">
        <v>240</v>
      </c>
      <c r="R957" s="64" t="s">
        <v>1307</v>
      </c>
      <c r="S957" s="64">
        <f t="shared" si="282"/>
        <v>307</v>
      </c>
      <c r="T957" s="64">
        <v>156</v>
      </c>
      <c r="U957" s="64">
        <v>151</v>
      </c>
      <c r="V957" s="64">
        <f t="shared" si="283"/>
        <v>-3.0000000000000027E-2</v>
      </c>
      <c r="W957" s="64"/>
      <c r="X957" s="64"/>
      <c r="Y957" s="64"/>
      <c r="Z957" s="64"/>
      <c r="AA957" s="64"/>
      <c r="AB957" s="64">
        <v>0.71</v>
      </c>
      <c r="AC957" s="64">
        <v>0.74</v>
      </c>
      <c r="AD957" s="64"/>
      <c r="AE957" s="64"/>
      <c r="AF957" s="102">
        <f t="shared" si="284"/>
        <v>0.67529498131612309</v>
      </c>
      <c r="AG957" s="64"/>
      <c r="AH957" s="108">
        <v>0.5</v>
      </c>
      <c r="AI957" s="102">
        <f>ABS(V957/AF957)</f>
        <v>4.4425030290512778E-2</v>
      </c>
      <c r="AJ957" s="108"/>
      <c r="AK957" s="49" t="s">
        <v>1305</v>
      </c>
      <c r="AL957" s="49"/>
      <c r="AM957" s="64"/>
      <c r="AN957" s="64"/>
      <c r="AO957" s="64"/>
    </row>
    <row r="958" spans="1:49" ht="30" customHeight="1" x14ac:dyDescent="0.25">
      <c r="A958" s="51" t="s">
        <v>113</v>
      </c>
      <c r="B958" s="51" t="s">
        <v>1082</v>
      </c>
      <c r="C958" s="51" t="s">
        <v>1147</v>
      </c>
      <c r="D958" s="64">
        <f>+D957+1</f>
        <v>4</v>
      </c>
      <c r="E958" s="64" t="s">
        <v>577</v>
      </c>
      <c r="F958" s="64" t="s">
        <v>240</v>
      </c>
      <c r="G958" s="49" t="s">
        <v>1253</v>
      </c>
      <c r="H958" s="64">
        <v>1</v>
      </c>
      <c r="I958" s="64">
        <v>12</v>
      </c>
      <c r="J958" s="64">
        <v>1</v>
      </c>
      <c r="K958" s="49" t="s">
        <v>1306</v>
      </c>
      <c r="L958" s="64" t="s">
        <v>240</v>
      </c>
      <c r="M958" s="49" t="s">
        <v>570</v>
      </c>
      <c r="N958" s="64" t="s">
        <v>240</v>
      </c>
      <c r="O958" s="101">
        <v>0.03</v>
      </c>
      <c r="P958" s="64" t="s">
        <v>240</v>
      </c>
      <c r="Q958" s="64" t="s">
        <v>240</v>
      </c>
      <c r="R958" s="64" t="s">
        <v>1308</v>
      </c>
      <c r="S958" s="64">
        <f t="shared" si="282"/>
        <v>329</v>
      </c>
      <c r="T958" s="64">
        <v>180</v>
      </c>
      <c r="U958" s="64">
        <v>149</v>
      </c>
      <c r="V958" s="64">
        <f t="shared" si="283"/>
        <v>0.10000000000000009</v>
      </c>
      <c r="W958" s="64"/>
      <c r="X958" s="64"/>
      <c r="Y958" s="64"/>
      <c r="Z958" s="64"/>
      <c r="AA958" s="64"/>
      <c r="AB958" s="64">
        <v>0.68</v>
      </c>
      <c r="AC958" s="64">
        <v>0.57999999999999996</v>
      </c>
      <c r="AD958" s="64"/>
      <c r="AE958" s="64"/>
      <c r="AF958" s="102">
        <f t="shared" si="284"/>
        <v>1.9672451058622706</v>
      </c>
      <c r="AG958" s="64"/>
      <c r="AH958" s="108">
        <v>0.05</v>
      </c>
      <c r="AI958" s="102">
        <f>ABS(V958/AF958)</f>
        <v>5.0832506687654821E-2</v>
      </c>
      <c r="AJ958" s="108"/>
      <c r="AK958" s="49" t="s">
        <v>1309</v>
      </c>
      <c r="AL958" s="49"/>
      <c r="AM958" s="64"/>
      <c r="AN958" s="64"/>
      <c r="AO958" s="64"/>
    </row>
    <row r="959" spans="1:49" ht="30" customHeight="1" x14ac:dyDescent="0.25">
      <c r="A959" s="12" t="s">
        <v>179</v>
      </c>
      <c r="B959" s="51" t="s">
        <v>1082</v>
      </c>
      <c r="C959" s="12" t="s">
        <v>179</v>
      </c>
      <c r="D959" s="64">
        <v>1</v>
      </c>
      <c r="E959" s="64" t="s">
        <v>605</v>
      </c>
      <c r="F959" s="64" t="s">
        <v>240</v>
      </c>
      <c r="G959" s="73" t="s">
        <v>1310</v>
      </c>
      <c r="H959" s="64">
        <v>0</v>
      </c>
      <c r="I959" s="64">
        <v>2</v>
      </c>
      <c r="J959" s="64">
        <v>1</v>
      </c>
      <c r="K959" s="49" t="s">
        <v>1311</v>
      </c>
      <c r="L959" s="64" t="s">
        <v>240</v>
      </c>
      <c r="M959" s="49" t="s">
        <v>570</v>
      </c>
      <c r="N959" s="64" t="s">
        <v>240</v>
      </c>
      <c r="O959" s="101">
        <v>0.2</v>
      </c>
      <c r="P959" s="64" t="s">
        <v>240</v>
      </c>
      <c r="Q959" s="64" t="s">
        <v>240</v>
      </c>
      <c r="R959" s="64" t="s">
        <v>1312</v>
      </c>
      <c r="S959" s="64">
        <f t="shared" si="282"/>
        <v>840</v>
      </c>
      <c r="T959" s="64">
        <f>ROUND(933*(763/(763+486)),0)</f>
        <v>570</v>
      </c>
      <c r="U959" s="64">
        <f>ROUND(442*763/(763+486),0)</f>
        <v>270</v>
      </c>
      <c r="V959" s="64">
        <f t="shared" si="283"/>
        <v>5.0000000000000044E-2</v>
      </c>
      <c r="W959" s="64"/>
      <c r="X959" s="64"/>
      <c r="Y959" s="64"/>
      <c r="Z959" s="64"/>
      <c r="AA959" s="64"/>
      <c r="AB959" s="64">
        <v>0.4</v>
      </c>
      <c r="AC959" s="64">
        <v>0.35</v>
      </c>
      <c r="AD959" s="64">
        <v>0.49</v>
      </c>
      <c r="AE959" s="64" t="s">
        <v>1313</v>
      </c>
      <c r="AF959" s="64"/>
      <c r="AG959" s="64"/>
      <c r="AH959" s="101"/>
      <c r="AI959" s="102">
        <f t="shared" ref="AI959:AI965" si="285">+W959</f>
        <v>0</v>
      </c>
      <c r="AJ959" s="64"/>
      <c r="AK959" s="64">
        <v>0.48</v>
      </c>
      <c r="AL959" s="64" t="s">
        <v>1314</v>
      </c>
      <c r="AM959" s="64"/>
      <c r="AN959" s="64"/>
      <c r="AO959" s="64"/>
    </row>
    <row r="960" spans="1:49" ht="30" customHeight="1" x14ac:dyDescent="0.25">
      <c r="A960" s="12" t="s">
        <v>179</v>
      </c>
      <c r="B960" s="51" t="s">
        <v>1082</v>
      </c>
      <c r="C960" s="12" t="s">
        <v>179</v>
      </c>
      <c r="D960" s="64">
        <v>2</v>
      </c>
      <c r="E960" s="64" t="s">
        <v>605</v>
      </c>
      <c r="F960" s="64" t="s">
        <v>240</v>
      </c>
      <c r="G960" s="73" t="s">
        <v>1315</v>
      </c>
      <c r="H960" s="64">
        <v>0</v>
      </c>
      <c r="I960" s="64">
        <v>2</v>
      </c>
      <c r="J960" s="64">
        <v>1</v>
      </c>
      <c r="K960" s="49" t="s">
        <v>1311</v>
      </c>
      <c r="L960" s="64" t="s">
        <v>240</v>
      </c>
      <c r="M960" s="49" t="s">
        <v>570</v>
      </c>
      <c r="N960" s="64" t="s">
        <v>240</v>
      </c>
      <c r="O960" s="101">
        <v>0.2</v>
      </c>
      <c r="P960" s="64" t="s">
        <v>240</v>
      </c>
      <c r="Q960" s="64" t="s">
        <v>240</v>
      </c>
      <c r="R960" s="64" t="s">
        <v>1312</v>
      </c>
      <c r="S960" s="64">
        <f t="shared" si="282"/>
        <v>535</v>
      </c>
      <c r="T960" s="64">
        <f>ROUND(933*486/(763+486),0)</f>
        <v>363</v>
      </c>
      <c r="U960" s="64">
        <f>ROUND(442*486/(763+486),0)</f>
        <v>172</v>
      </c>
      <c r="V960" s="64">
        <f t="shared" si="283"/>
        <v>9.0000000000000024E-2</v>
      </c>
      <c r="W960" s="64"/>
      <c r="X960" s="64"/>
      <c r="Y960" s="64"/>
      <c r="Z960" s="64"/>
      <c r="AA960" s="64"/>
      <c r="AB960" s="64">
        <v>0.44</v>
      </c>
      <c r="AC960" s="64">
        <v>0.35</v>
      </c>
      <c r="AD960" s="64">
        <v>0.5</v>
      </c>
      <c r="AE960" s="64" t="s">
        <v>1313</v>
      </c>
      <c r="AF960" s="64"/>
      <c r="AG960" s="64"/>
      <c r="AH960" s="101"/>
      <c r="AI960" s="102">
        <f t="shared" si="285"/>
        <v>0</v>
      </c>
      <c r="AJ960" s="64"/>
      <c r="AK960" s="64">
        <v>0.48</v>
      </c>
      <c r="AL960" s="64" t="s">
        <v>1314</v>
      </c>
      <c r="AM960" s="64"/>
      <c r="AN960" s="64"/>
      <c r="AO960" s="64"/>
    </row>
    <row r="961" spans="1:49" ht="30" customHeight="1" x14ac:dyDescent="0.25">
      <c r="A961" s="12" t="s">
        <v>179</v>
      </c>
      <c r="B961" s="51" t="s">
        <v>1082</v>
      </c>
      <c r="C961" s="12" t="s">
        <v>179</v>
      </c>
      <c r="D961" s="64">
        <v>3</v>
      </c>
      <c r="E961" s="64" t="s">
        <v>605</v>
      </c>
      <c r="F961" s="64" t="s">
        <v>240</v>
      </c>
      <c r="G961" s="73" t="s">
        <v>1310</v>
      </c>
      <c r="H961" s="64">
        <v>0</v>
      </c>
      <c r="I961" s="64">
        <v>6</v>
      </c>
      <c r="J961" s="64">
        <v>1</v>
      </c>
      <c r="K961" s="49" t="s">
        <v>1311</v>
      </c>
      <c r="L961" s="64" t="s">
        <v>240</v>
      </c>
      <c r="M961" s="49" t="s">
        <v>570</v>
      </c>
      <c r="N961" s="64" t="s">
        <v>240</v>
      </c>
      <c r="O961" s="101">
        <v>0.87</v>
      </c>
      <c r="P961" s="64" t="s">
        <v>240</v>
      </c>
      <c r="Q961" s="64" t="s">
        <v>240</v>
      </c>
      <c r="R961" s="64" t="s">
        <v>1312</v>
      </c>
      <c r="S961" s="64">
        <f t="shared" si="282"/>
        <v>926</v>
      </c>
      <c r="T961" s="64">
        <f>+ROUND(1050*763/(763+486),0)</f>
        <v>641</v>
      </c>
      <c r="U961" s="64">
        <f>+ROUND(467*763/(763+486),0)</f>
        <v>285</v>
      </c>
      <c r="V961" s="64">
        <f t="shared" si="283"/>
        <v>-4.0000000000000036E-2</v>
      </c>
      <c r="W961" s="64"/>
      <c r="X961" s="64"/>
      <c r="Y961" s="64"/>
      <c r="Z961" s="64"/>
      <c r="AA961" s="64"/>
      <c r="AB961" s="64">
        <v>0.63</v>
      </c>
      <c r="AC961" s="64">
        <v>0.67</v>
      </c>
      <c r="AD961" s="64">
        <v>0.48</v>
      </c>
      <c r="AE961" s="64" t="s">
        <v>1313</v>
      </c>
      <c r="AF961" s="64"/>
      <c r="AG961" s="64"/>
      <c r="AH961" s="101"/>
      <c r="AI961" s="102">
        <f t="shared" si="285"/>
        <v>0</v>
      </c>
      <c r="AJ961" s="64"/>
      <c r="AK961" s="64">
        <v>0.47</v>
      </c>
      <c r="AL961" s="64" t="s">
        <v>1314</v>
      </c>
      <c r="AM961" s="64"/>
      <c r="AN961" s="64"/>
      <c r="AO961" s="64"/>
    </row>
    <row r="962" spans="1:49" ht="30" customHeight="1" x14ac:dyDescent="0.25">
      <c r="A962" s="12" t="s">
        <v>179</v>
      </c>
      <c r="B962" s="51" t="s">
        <v>1082</v>
      </c>
      <c r="C962" s="12" t="s">
        <v>179</v>
      </c>
      <c r="D962" s="64">
        <v>4</v>
      </c>
      <c r="E962" s="64" t="s">
        <v>605</v>
      </c>
      <c r="F962" s="64" t="s">
        <v>240</v>
      </c>
      <c r="G962" s="73" t="s">
        <v>1315</v>
      </c>
      <c r="H962" s="64">
        <v>0</v>
      </c>
      <c r="I962" s="64">
        <v>6</v>
      </c>
      <c r="J962" s="64">
        <v>1</v>
      </c>
      <c r="K962" s="49" t="s">
        <v>1311</v>
      </c>
      <c r="L962" s="64" t="s">
        <v>240</v>
      </c>
      <c r="M962" s="49" t="s">
        <v>570</v>
      </c>
      <c r="N962" s="64" t="s">
        <v>240</v>
      </c>
      <c r="O962" s="101">
        <v>0.87</v>
      </c>
      <c r="P962" s="64" t="s">
        <v>240</v>
      </c>
      <c r="Q962" s="64" t="s">
        <v>240</v>
      </c>
      <c r="R962" s="64" t="s">
        <v>1312</v>
      </c>
      <c r="S962" s="64">
        <f t="shared" si="282"/>
        <v>591</v>
      </c>
      <c r="T962" s="64">
        <f>+ROUND(1050*486/(763+486),0)</f>
        <v>409</v>
      </c>
      <c r="U962" s="64">
        <f>+ROUND(467*486/(763+486),0)</f>
        <v>182</v>
      </c>
      <c r="V962" s="64">
        <f t="shared" si="283"/>
        <v>7.999999999999996E-2</v>
      </c>
      <c r="W962" s="64"/>
      <c r="X962" s="64"/>
      <c r="Y962" s="64"/>
      <c r="Z962" s="64"/>
      <c r="AA962" s="64"/>
      <c r="AB962" s="64">
        <v>0.62</v>
      </c>
      <c r="AC962" s="64">
        <v>0.54</v>
      </c>
      <c r="AD962" s="64">
        <v>0.49</v>
      </c>
      <c r="AE962" s="64" t="s">
        <v>1313</v>
      </c>
      <c r="AF962" s="64"/>
      <c r="AG962" s="64"/>
      <c r="AH962" s="101"/>
      <c r="AI962" s="102">
        <f t="shared" si="285"/>
        <v>0</v>
      </c>
      <c r="AJ962" s="64"/>
      <c r="AK962" s="64">
        <v>0.5</v>
      </c>
      <c r="AL962" s="64" t="s">
        <v>1314</v>
      </c>
      <c r="AM962" s="64"/>
      <c r="AN962" s="64"/>
      <c r="AO962" s="64"/>
    </row>
    <row r="963" spans="1:49" ht="30" customHeight="1" x14ac:dyDescent="0.25">
      <c r="A963" s="51" t="s">
        <v>182</v>
      </c>
      <c r="B963" s="51" t="s">
        <v>1082</v>
      </c>
      <c r="C963" s="51" t="s">
        <v>1177</v>
      </c>
      <c r="D963" s="64">
        <v>1</v>
      </c>
      <c r="E963" s="64" t="s">
        <v>577</v>
      </c>
      <c r="F963" s="64" t="s">
        <v>240</v>
      </c>
      <c r="G963" s="49" t="s">
        <v>1253</v>
      </c>
      <c r="H963" s="64">
        <v>1</v>
      </c>
      <c r="I963" s="64">
        <f>+(17+20)/2*3-9</f>
        <v>46.5</v>
      </c>
      <c r="J963" s="64">
        <v>2</v>
      </c>
      <c r="K963" s="49" t="s">
        <v>1316</v>
      </c>
      <c r="L963" s="64" t="s">
        <v>638</v>
      </c>
      <c r="M963" s="49" t="s">
        <v>570</v>
      </c>
      <c r="N963" s="64" t="s">
        <v>240</v>
      </c>
      <c r="O963" s="101">
        <v>0.23</v>
      </c>
      <c r="P963" s="64"/>
      <c r="Q963" s="64"/>
      <c r="R963" s="64" t="s">
        <v>1317</v>
      </c>
      <c r="S963" s="64">
        <f t="shared" si="282"/>
        <v>738</v>
      </c>
      <c r="T963" s="64">
        <v>423</v>
      </c>
      <c r="U963" s="64">
        <v>315</v>
      </c>
      <c r="V963" s="64">
        <f t="shared" si="283"/>
        <v>95</v>
      </c>
      <c r="W963" s="64">
        <v>51</v>
      </c>
      <c r="X963" s="64"/>
      <c r="Y963" s="64"/>
      <c r="Z963" s="64"/>
      <c r="AA963" s="64"/>
      <c r="AB963" s="64">
        <v>667</v>
      </c>
      <c r="AC963" s="64">
        <v>572</v>
      </c>
      <c r="AD963" s="64"/>
      <c r="AE963" s="64"/>
      <c r="AF963" s="64"/>
      <c r="AG963" s="64"/>
      <c r="AH963" s="108"/>
      <c r="AI963" s="108">
        <f t="shared" si="285"/>
        <v>51</v>
      </c>
      <c r="AJ963" s="108"/>
      <c r="AK963" s="49"/>
      <c r="AL963" s="49" t="s">
        <v>1351</v>
      </c>
      <c r="AM963" s="64"/>
      <c r="AN963" s="64"/>
      <c r="AO963" s="64"/>
      <c r="AP963" s="67">
        <f>+V963/AQ963</f>
        <v>0.13862965726164128</v>
      </c>
      <c r="AQ963" s="67">
        <f>+AI963*SQRT(T963*U963/S963)</f>
        <v>685.27905122568905</v>
      </c>
      <c r="AS963" s="67">
        <f>+AP963^2/(AU963-2)*(AU963/(V963/AI963)^2+AU963*AV963^2-AU963+2)</f>
        <v>5.6061267287861281E-3</v>
      </c>
      <c r="AU963" s="67">
        <f>+S963-2</f>
        <v>736</v>
      </c>
      <c r="AV963" s="67">
        <f>IFERROR(1/(SQRT(AU963/2)*_xlfn.GAMMA(AU963/2-0.5)/_xlfn.GAMMA(AU963/2)),1)</f>
        <v>1</v>
      </c>
      <c r="AW963" s="67" t="s">
        <v>1350</v>
      </c>
    </row>
    <row r="964" spans="1:49" ht="30" customHeight="1" x14ac:dyDescent="0.25">
      <c r="A964" s="51" t="s">
        <v>182</v>
      </c>
      <c r="B964" s="51" t="s">
        <v>1082</v>
      </c>
      <c r="C964" s="51" t="s">
        <v>1177</v>
      </c>
      <c r="D964" s="64">
        <f>+D963+1</f>
        <v>2</v>
      </c>
      <c r="E964" s="64" t="s">
        <v>577</v>
      </c>
      <c r="F964" s="64" t="s">
        <v>240</v>
      </c>
      <c r="G964" s="49" t="s">
        <v>1253</v>
      </c>
      <c r="H964" s="64">
        <v>1</v>
      </c>
      <c r="I964" s="64">
        <f>+(17+20)/2*3-9</f>
        <v>46.5</v>
      </c>
      <c r="J964" s="64">
        <v>1</v>
      </c>
      <c r="K964" s="49" t="s">
        <v>1318</v>
      </c>
      <c r="L964" s="64" t="s">
        <v>638</v>
      </c>
      <c r="M964" s="49" t="s">
        <v>570</v>
      </c>
      <c r="N964" s="64" t="s">
        <v>240</v>
      </c>
      <c r="O964" s="101">
        <v>0.23</v>
      </c>
      <c r="P964" s="64"/>
      <c r="Q964" s="64"/>
      <c r="R964" s="64" t="s">
        <v>1317</v>
      </c>
      <c r="S964" s="64">
        <f t="shared" si="282"/>
        <v>738</v>
      </c>
      <c r="T964" s="64">
        <v>423</v>
      </c>
      <c r="U964" s="64">
        <v>315</v>
      </c>
      <c r="V964" s="64">
        <f t="shared" si="283"/>
        <v>-4.0000000000000036E-3</v>
      </c>
      <c r="W964" s="64">
        <v>3.5999999999999997E-2</v>
      </c>
      <c r="X964" s="64"/>
      <c r="Y964" s="64"/>
      <c r="Z964" s="64"/>
      <c r="AA964" s="64"/>
      <c r="AB964" s="64">
        <v>0.63500000000000001</v>
      </c>
      <c r="AC964" s="64">
        <v>0.63900000000000001</v>
      </c>
      <c r="AD964" s="64"/>
      <c r="AE964" s="64"/>
      <c r="AF964" s="64"/>
      <c r="AG964" s="64"/>
      <c r="AH964" s="108"/>
      <c r="AI964" s="102">
        <f t="shared" si="285"/>
        <v>3.5999999999999997E-2</v>
      </c>
      <c r="AJ964" s="108"/>
      <c r="AK964" s="49"/>
      <c r="AL964" s="49"/>
      <c r="AM964" s="64"/>
      <c r="AN964" s="64"/>
      <c r="AO964" s="64"/>
    </row>
    <row r="965" spans="1:49" ht="30" customHeight="1" x14ac:dyDescent="0.25">
      <c r="A965" s="51" t="s">
        <v>182</v>
      </c>
      <c r="B965" s="51" t="s">
        <v>1082</v>
      </c>
      <c r="C965" s="51" t="s">
        <v>1177</v>
      </c>
      <c r="D965" s="64">
        <f>+D964+1</f>
        <v>3</v>
      </c>
      <c r="E965" s="64" t="s">
        <v>577</v>
      </c>
      <c r="F965" s="64" t="s">
        <v>240</v>
      </c>
      <c r="G965" s="49" t="s">
        <v>1253</v>
      </c>
      <c r="H965" s="64">
        <v>1</v>
      </c>
      <c r="I965" s="64">
        <f>+(17+20)/2*3-9</f>
        <v>46.5</v>
      </c>
      <c r="J965" s="64">
        <v>2</v>
      </c>
      <c r="K965" s="49" t="s">
        <v>1319</v>
      </c>
      <c r="L965" s="64" t="s">
        <v>638</v>
      </c>
      <c r="M965" s="49" t="s">
        <v>570</v>
      </c>
      <c r="N965" s="64" t="s">
        <v>240</v>
      </c>
      <c r="O965" s="101">
        <v>0.23</v>
      </c>
      <c r="P965" s="64"/>
      <c r="Q965" s="64"/>
      <c r="R965" s="64" t="s">
        <v>1317</v>
      </c>
      <c r="S965" s="64">
        <f t="shared" si="282"/>
        <v>738</v>
      </c>
      <c r="T965" s="64">
        <v>423</v>
      </c>
      <c r="U965" s="64">
        <v>315</v>
      </c>
      <c r="V965" s="64">
        <f t="shared" si="283"/>
        <v>0.32000000000000028</v>
      </c>
      <c r="W965" s="64">
        <v>0.24</v>
      </c>
      <c r="X965" s="64"/>
      <c r="Y965" s="64"/>
      <c r="Z965" s="64"/>
      <c r="AA965" s="64"/>
      <c r="AB965" s="64">
        <v>7.61</v>
      </c>
      <c r="AC965" s="64">
        <v>7.29</v>
      </c>
      <c r="AD965" s="64"/>
      <c r="AE965" s="64"/>
      <c r="AF965" s="64"/>
      <c r="AG965" s="64"/>
      <c r="AH965" s="108"/>
      <c r="AI965" s="108">
        <f t="shared" si="285"/>
        <v>0.24</v>
      </c>
      <c r="AJ965" s="108"/>
      <c r="AK965" s="49"/>
      <c r="AL965" s="49"/>
      <c r="AM965" s="64"/>
      <c r="AN965" s="64"/>
      <c r="AO965" s="64"/>
      <c r="AP965" s="67">
        <f>+V965/AQ965</f>
        <v>9.9229649408332815E-2</v>
      </c>
      <c r="AQ965" s="67">
        <f>+AI965*SQRT(T965*U965/S965)</f>
        <v>3.2248425940032424</v>
      </c>
      <c r="AS965" s="67">
        <f>+AP965^2/(AU965-2)*(AU965/(V965/AI965)^2+AU965*AV965^2-AU965+2)</f>
        <v>5.5805908744243314E-3</v>
      </c>
      <c r="AU965" s="67">
        <f>+S965-2</f>
        <v>736</v>
      </c>
      <c r="AV965" s="67">
        <f>IFERROR(1/(SQRT(AU965/2)*_xlfn.GAMMA(AU965/2-0.5)/_xlfn.GAMMA(AU965/2)),1)</f>
        <v>1</v>
      </c>
      <c r="AW965" s="67" t="s">
        <v>1350</v>
      </c>
    </row>
    <row r="966" spans="1:49" ht="30" customHeight="1" x14ac:dyDescent="0.25">
      <c r="A966" s="51" t="s">
        <v>100</v>
      </c>
      <c r="B966" s="51" t="s">
        <v>1082</v>
      </c>
      <c r="C966" s="51" t="s">
        <v>100</v>
      </c>
      <c r="D966" s="64">
        <v>1</v>
      </c>
      <c r="E966" s="64" t="s">
        <v>577</v>
      </c>
      <c r="F966" s="64" t="s">
        <v>240</v>
      </c>
      <c r="G966" s="68" t="s">
        <v>578</v>
      </c>
      <c r="H966" s="64">
        <v>0</v>
      </c>
      <c r="I966" s="64">
        <f>6-10</f>
        <v>-4</v>
      </c>
      <c r="J966" s="64">
        <v>1</v>
      </c>
      <c r="K966" s="49" t="s">
        <v>1320</v>
      </c>
      <c r="L966" s="64" t="s">
        <v>240</v>
      </c>
      <c r="M966" s="49" t="s">
        <v>1321</v>
      </c>
      <c r="N966" s="64" t="s">
        <v>240</v>
      </c>
      <c r="O966" s="64">
        <v>0</v>
      </c>
      <c r="P966" s="64">
        <v>0</v>
      </c>
      <c r="Q966" s="64">
        <v>0</v>
      </c>
      <c r="R966" s="64" t="s">
        <v>238</v>
      </c>
      <c r="S966" s="64">
        <f t="shared" si="282"/>
        <v>444</v>
      </c>
      <c r="T966" s="64">
        <v>297</v>
      </c>
      <c r="U966" s="64">
        <v>147</v>
      </c>
      <c r="V966" s="64">
        <v>-0.113</v>
      </c>
      <c r="W966" s="64"/>
      <c r="X966" s="64"/>
      <c r="Y966" s="64"/>
      <c r="Z966" s="64"/>
      <c r="AA966" s="64"/>
      <c r="AB966" s="64"/>
      <c r="AC966" s="64"/>
      <c r="AD966" s="64"/>
      <c r="AE966" s="64"/>
      <c r="AF966" s="102">
        <f t="shared" ref="AF966:AF1009" si="286">_xlfn.T.INV.2T(AH966,S966-2)</f>
        <v>2.5225730353463804</v>
      </c>
      <c r="AG966" s="64"/>
      <c r="AH966" s="108">
        <v>1.2E-2</v>
      </c>
      <c r="AI966" s="102">
        <f>ABS(V966/AF966)</f>
        <v>4.4795531553156284E-2</v>
      </c>
      <c r="AJ966" s="64"/>
      <c r="AK966" s="64" t="s">
        <v>1322</v>
      </c>
      <c r="AL966" s="64"/>
      <c r="AM966" s="64"/>
      <c r="AN966" s="64"/>
      <c r="AO966" s="64"/>
    </row>
    <row r="967" spans="1:49" ht="30" customHeight="1" x14ac:dyDescent="0.25">
      <c r="A967" s="51" t="s">
        <v>100</v>
      </c>
      <c r="B967" s="51" t="s">
        <v>1082</v>
      </c>
      <c r="C967" s="51" t="s">
        <v>100</v>
      </c>
      <c r="D967" s="64">
        <f t="shared" ref="D967:D975" si="287">+D966+1</f>
        <v>2</v>
      </c>
      <c r="E967" s="64" t="s">
        <v>577</v>
      </c>
      <c r="F967" s="64" t="s">
        <v>240</v>
      </c>
      <c r="G967" s="68" t="s">
        <v>578</v>
      </c>
      <c r="H967" s="64">
        <v>0</v>
      </c>
      <c r="I967" s="64">
        <f>12-10</f>
        <v>2</v>
      </c>
      <c r="J967" s="64">
        <v>1</v>
      </c>
      <c r="K967" s="49" t="s">
        <v>1320</v>
      </c>
      <c r="L967" s="64" t="s">
        <v>240</v>
      </c>
      <c r="M967" s="49" t="s">
        <v>1321</v>
      </c>
      <c r="N967" s="64" t="s">
        <v>240</v>
      </c>
      <c r="O967" s="64">
        <v>0</v>
      </c>
      <c r="P967" s="64">
        <v>0</v>
      </c>
      <c r="Q967" s="64">
        <v>0</v>
      </c>
      <c r="R967" s="64" t="s">
        <v>238</v>
      </c>
      <c r="S967" s="64">
        <f t="shared" si="282"/>
        <v>444</v>
      </c>
      <c r="T967" s="64">
        <v>297</v>
      </c>
      <c r="U967" s="64">
        <v>147</v>
      </c>
      <c r="V967" s="64">
        <v>8.3000000000000004E-2</v>
      </c>
      <c r="W967" s="64"/>
      <c r="X967" s="64"/>
      <c r="Y967" s="64"/>
      <c r="Z967" s="64"/>
      <c r="AA967" s="64"/>
      <c r="AB967" s="64"/>
      <c r="AC967" s="64"/>
      <c r="AD967" s="64"/>
      <c r="AE967" s="64"/>
      <c r="AF967" s="102">
        <f t="shared" si="286"/>
        <v>1.6059457031341293</v>
      </c>
      <c r="AG967" s="64"/>
      <c r="AH967" s="108">
        <v>0.109</v>
      </c>
      <c r="AI967" s="102">
        <f>ABS(V967/AF967)</f>
        <v>5.1682942852936418E-2</v>
      </c>
      <c r="AJ967" s="64"/>
      <c r="AK967" s="64" t="s">
        <v>1323</v>
      </c>
      <c r="AL967" s="64"/>
      <c r="AM967" s="64"/>
      <c r="AN967" s="64"/>
      <c r="AO967" s="64"/>
    </row>
    <row r="968" spans="1:49" ht="30" customHeight="1" x14ac:dyDescent="0.25">
      <c r="A968" s="51" t="s">
        <v>100</v>
      </c>
      <c r="B968" s="51" t="s">
        <v>1082</v>
      </c>
      <c r="C968" s="51" t="s">
        <v>100</v>
      </c>
      <c r="D968" s="64">
        <f t="shared" si="287"/>
        <v>3</v>
      </c>
      <c r="E968" s="64" t="s">
        <v>577</v>
      </c>
      <c r="F968" s="64" t="s">
        <v>240</v>
      </c>
      <c r="G968" s="68" t="s">
        <v>578</v>
      </c>
      <c r="H968" s="64">
        <v>0</v>
      </c>
      <c r="I968" s="64">
        <f>18-10</f>
        <v>8</v>
      </c>
      <c r="J968" s="64">
        <v>1</v>
      </c>
      <c r="K968" s="49" t="s">
        <v>1320</v>
      </c>
      <c r="L968" s="64" t="s">
        <v>240</v>
      </c>
      <c r="M968" s="49" t="s">
        <v>1321</v>
      </c>
      <c r="N968" s="64" t="s">
        <v>240</v>
      </c>
      <c r="O968" s="64">
        <v>0</v>
      </c>
      <c r="P968" s="64">
        <v>0</v>
      </c>
      <c r="Q968" s="64">
        <v>0</v>
      </c>
      <c r="R968" s="64" t="s">
        <v>238</v>
      </c>
      <c r="S968" s="64">
        <f t="shared" si="282"/>
        <v>444</v>
      </c>
      <c r="T968" s="64">
        <v>297</v>
      </c>
      <c r="U968" s="64">
        <v>147</v>
      </c>
      <c r="V968" s="64">
        <v>7.1999999999999995E-2</v>
      </c>
      <c r="W968" s="64"/>
      <c r="X968" s="64"/>
      <c r="Y968" s="64"/>
      <c r="Z968" s="64"/>
      <c r="AA968" s="64"/>
      <c r="AB968" s="64"/>
      <c r="AC968" s="64"/>
      <c r="AD968" s="64"/>
      <c r="AE968" s="64"/>
      <c r="AF968" s="102">
        <f t="shared" si="286"/>
        <v>1.404070835266934</v>
      </c>
      <c r="AG968" s="64"/>
      <c r="AH968" s="108">
        <v>0.161</v>
      </c>
      <c r="AI968" s="102">
        <f>ABS(V968/AF968)</f>
        <v>5.1279464106461385E-2</v>
      </c>
      <c r="AJ968" s="64"/>
      <c r="AK968" s="64" t="s">
        <v>1323</v>
      </c>
      <c r="AL968" s="64"/>
      <c r="AM968" s="64"/>
      <c r="AN968" s="64"/>
      <c r="AO968" s="64"/>
    </row>
    <row r="969" spans="1:49" ht="30" customHeight="1" x14ac:dyDescent="0.25">
      <c r="A969" s="51" t="s">
        <v>100</v>
      </c>
      <c r="B969" s="51" t="s">
        <v>1082</v>
      </c>
      <c r="C969" s="51" t="s">
        <v>100</v>
      </c>
      <c r="D969" s="64">
        <f t="shared" si="287"/>
        <v>4</v>
      </c>
      <c r="E969" s="64" t="s">
        <v>577</v>
      </c>
      <c r="F969" s="64" t="s">
        <v>240</v>
      </c>
      <c r="G969" s="68" t="s">
        <v>578</v>
      </c>
      <c r="H969" s="64">
        <v>0</v>
      </c>
      <c r="I969" s="64">
        <f>24-10</f>
        <v>14</v>
      </c>
      <c r="J969" s="64">
        <v>1</v>
      </c>
      <c r="K969" s="49" t="s">
        <v>1320</v>
      </c>
      <c r="L969" s="64" t="s">
        <v>240</v>
      </c>
      <c r="M969" s="49" t="s">
        <v>1321</v>
      </c>
      <c r="N969" s="64" t="s">
        <v>240</v>
      </c>
      <c r="O969" s="64">
        <v>0</v>
      </c>
      <c r="P969" s="64">
        <v>0</v>
      </c>
      <c r="Q969" s="64">
        <v>0</v>
      </c>
      <c r="R969" s="64" t="s">
        <v>238</v>
      </c>
      <c r="S969" s="64">
        <f t="shared" si="282"/>
        <v>444</v>
      </c>
      <c r="T969" s="64">
        <v>297</v>
      </c>
      <c r="U969" s="64">
        <v>147</v>
      </c>
      <c r="V969" s="64">
        <v>6.9000000000000006E-2</v>
      </c>
      <c r="W969" s="64"/>
      <c r="X969" s="64"/>
      <c r="Y969" s="64"/>
      <c r="Z969" s="64"/>
      <c r="AA969" s="64"/>
      <c r="AB969" s="64"/>
      <c r="AC969" s="64"/>
      <c r="AD969" s="64"/>
      <c r="AE969" s="64"/>
      <c r="AF969" s="102">
        <f t="shared" si="286"/>
        <v>1.3459766083985558</v>
      </c>
      <c r="AG969" s="64"/>
      <c r="AH969" s="108">
        <v>0.17899999999999999</v>
      </c>
      <c r="AI969" s="102">
        <f>ABS(V969/AF969)</f>
        <v>5.1263892380786817E-2</v>
      </c>
      <c r="AJ969" s="64"/>
      <c r="AK969" s="64" t="s">
        <v>1323</v>
      </c>
      <c r="AL969" s="64"/>
      <c r="AM969" s="64"/>
      <c r="AN969" s="64"/>
      <c r="AO969" s="64"/>
    </row>
    <row r="970" spans="1:49" ht="30" customHeight="1" x14ac:dyDescent="0.25">
      <c r="A970" s="51" t="s">
        <v>100</v>
      </c>
      <c r="B970" s="51" t="s">
        <v>1082</v>
      </c>
      <c r="C970" s="51" t="s">
        <v>100</v>
      </c>
      <c r="D970" s="64">
        <f t="shared" si="287"/>
        <v>5</v>
      </c>
      <c r="E970" s="64" t="s">
        <v>577</v>
      </c>
      <c r="F970" s="64" t="s">
        <v>240</v>
      </c>
      <c r="G970" s="68" t="s">
        <v>578</v>
      </c>
      <c r="H970" s="64">
        <v>0</v>
      </c>
      <c r="I970" s="64">
        <f>30-10</f>
        <v>20</v>
      </c>
      <c r="J970" s="64">
        <v>1</v>
      </c>
      <c r="K970" s="49" t="s">
        <v>1320</v>
      </c>
      <c r="L970" s="64" t="s">
        <v>240</v>
      </c>
      <c r="M970" s="49" t="s">
        <v>1321</v>
      </c>
      <c r="N970" s="64" t="s">
        <v>240</v>
      </c>
      <c r="O970" s="64">
        <v>0</v>
      </c>
      <c r="P970" s="64">
        <v>0</v>
      </c>
      <c r="Q970" s="64">
        <v>0</v>
      </c>
      <c r="R970" s="64" t="s">
        <v>238</v>
      </c>
      <c r="S970" s="64">
        <f t="shared" si="282"/>
        <v>444</v>
      </c>
      <c r="T970" s="64">
        <v>297</v>
      </c>
      <c r="U970" s="64">
        <v>147</v>
      </c>
      <c r="V970" s="64">
        <v>0.111</v>
      </c>
      <c r="W970" s="64"/>
      <c r="X970" s="64"/>
      <c r="Y970" s="64"/>
      <c r="Z970" s="64"/>
      <c r="AA970" s="64"/>
      <c r="AB970" s="64"/>
      <c r="AC970" s="64"/>
      <c r="AD970" s="64"/>
      <c r="AE970" s="64"/>
      <c r="AF970" s="102">
        <f t="shared" si="286"/>
        <v>2.1639910877001984</v>
      </c>
      <c r="AG970" s="64"/>
      <c r="AH970" s="108">
        <v>3.1E-2</v>
      </c>
      <c r="AI970" s="102">
        <f>ABS(V970/AF970)</f>
        <v>5.1294111436459879E-2</v>
      </c>
      <c r="AJ970" s="64"/>
      <c r="AK970" s="64" t="s">
        <v>1324</v>
      </c>
      <c r="AL970" s="64"/>
      <c r="AM970" s="64"/>
      <c r="AN970" s="64"/>
      <c r="AO970" s="64"/>
    </row>
    <row r="971" spans="1:49" ht="30" customHeight="1" x14ac:dyDescent="0.25">
      <c r="A971" s="51" t="s">
        <v>100</v>
      </c>
      <c r="B971" s="51" t="s">
        <v>1082</v>
      </c>
      <c r="C971" s="51" t="s">
        <v>100</v>
      </c>
      <c r="D971" s="64">
        <f t="shared" si="287"/>
        <v>6</v>
      </c>
      <c r="E971" s="64" t="s">
        <v>577</v>
      </c>
      <c r="F971" s="64" t="s">
        <v>240</v>
      </c>
      <c r="G971" s="68" t="s">
        <v>578</v>
      </c>
      <c r="H971" s="64">
        <v>0</v>
      </c>
      <c r="I971" s="64">
        <f>6-10</f>
        <v>-4</v>
      </c>
      <c r="J971" s="64">
        <v>2</v>
      </c>
      <c r="K971" s="49" t="s">
        <v>1325</v>
      </c>
      <c r="L971" s="64" t="s">
        <v>1326</v>
      </c>
      <c r="M971" s="49" t="s">
        <v>1321</v>
      </c>
      <c r="N971" s="64" t="s">
        <v>240</v>
      </c>
      <c r="O971" s="64">
        <v>0</v>
      </c>
      <c r="P971" s="64">
        <v>0</v>
      </c>
      <c r="Q971" s="64">
        <v>0</v>
      </c>
      <c r="R971" s="64" t="s">
        <v>238</v>
      </c>
      <c r="S971" s="64">
        <f t="shared" si="282"/>
        <v>444</v>
      </c>
      <c r="T971" s="64">
        <v>297</v>
      </c>
      <c r="U971" s="64">
        <v>147</v>
      </c>
      <c r="V971" s="64">
        <v>-115.87</v>
      </c>
      <c r="W971" s="64"/>
      <c r="X971" s="64"/>
      <c r="Y971" s="64"/>
      <c r="Z971" s="64"/>
      <c r="AA971" s="64"/>
      <c r="AB971" s="64"/>
      <c r="AC971" s="64"/>
      <c r="AD971" s="64"/>
      <c r="AE971" s="64"/>
      <c r="AF971" s="67">
        <f t="shared" si="286"/>
        <v>2.298486513733649</v>
      </c>
      <c r="AG971" s="64"/>
      <c r="AH971" s="64">
        <v>2.1999999999999999E-2</v>
      </c>
      <c r="AI971" s="67">
        <f>+ABS(V971/AF971)</f>
        <v>50.411433483584553</v>
      </c>
      <c r="AJ971" s="64"/>
      <c r="AK971" s="64" t="s">
        <v>1324</v>
      </c>
      <c r="AL971" s="64"/>
      <c r="AM971" s="64"/>
      <c r="AN971" s="64"/>
      <c r="AO971" s="64"/>
      <c r="AP971" s="67">
        <f t="shared" ref="AP971:AP979" si="288">+V971/AQ971</f>
        <v>-0.23179099134412973</v>
      </c>
      <c r="AQ971" s="67">
        <f t="shared" ref="AQ971:AQ979" si="289">+AI971*SQRT(T971*U971/S971)</f>
        <v>499.89000576805415</v>
      </c>
      <c r="AS971" s="67">
        <f t="shared" ref="AS971:AS979" si="290">+AP971^2/(AU971-2)*(AU971/(V971/AI971)^2+AU971*AV971^2-AU971+2)</f>
        <v>1.0460164401455708E-2</v>
      </c>
      <c r="AU971" s="67">
        <f t="shared" ref="AU971:AU979" si="291">+S971-2</f>
        <v>442</v>
      </c>
      <c r="AV971" s="67">
        <f t="shared" ref="AV971:AV979" si="292">IFERROR(1/(SQRT(AU971/2)*_xlfn.GAMMA(AU971/2-0.5)/_xlfn.GAMMA(AU971/2)),1)</f>
        <v>1</v>
      </c>
      <c r="AW971" s="67" t="s">
        <v>1350</v>
      </c>
    </row>
    <row r="972" spans="1:49" ht="30" customHeight="1" x14ac:dyDescent="0.25">
      <c r="A972" s="51" t="s">
        <v>100</v>
      </c>
      <c r="B972" s="51" t="s">
        <v>1082</v>
      </c>
      <c r="C972" s="51" t="s">
        <v>100</v>
      </c>
      <c r="D972" s="64">
        <f t="shared" si="287"/>
        <v>7</v>
      </c>
      <c r="E972" s="64" t="s">
        <v>577</v>
      </c>
      <c r="F972" s="64" t="s">
        <v>240</v>
      </c>
      <c r="G972" s="68" t="s">
        <v>578</v>
      </c>
      <c r="H972" s="64">
        <v>0</v>
      </c>
      <c r="I972" s="64">
        <f>12-10</f>
        <v>2</v>
      </c>
      <c r="J972" s="64">
        <v>2</v>
      </c>
      <c r="K972" s="49" t="s">
        <v>1325</v>
      </c>
      <c r="L972" s="64" t="s">
        <v>1326</v>
      </c>
      <c r="M972" s="49" t="s">
        <v>1321</v>
      </c>
      <c r="N972" s="64" t="s">
        <v>240</v>
      </c>
      <c r="O972" s="64">
        <v>0</v>
      </c>
      <c r="P972" s="64">
        <v>0</v>
      </c>
      <c r="Q972" s="64">
        <v>0</v>
      </c>
      <c r="R972" s="64" t="s">
        <v>238</v>
      </c>
      <c r="S972" s="64">
        <f t="shared" si="282"/>
        <v>444</v>
      </c>
      <c r="T972" s="64">
        <v>297</v>
      </c>
      <c r="U972" s="64">
        <v>147</v>
      </c>
      <c r="V972" s="64">
        <v>158.4</v>
      </c>
      <c r="W972" s="64"/>
      <c r="X972" s="64"/>
      <c r="Y972" s="64"/>
      <c r="Z972" s="64"/>
      <c r="AA972" s="64"/>
      <c r="AB972" s="64"/>
      <c r="AC972" s="64"/>
      <c r="AD972" s="64"/>
      <c r="AE972" s="64"/>
      <c r="AF972" s="67">
        <f t="shared" si="286"/>
        <v>1.7665129077105217</v>
      </c>
      <c r="AG972" s="64"/>
      <c r="AH972" s="64">
        <v>7.8E-2</v>
      </c>
      <c r="AI972" s="67">
        <f>+ABS(V972/AF972)</f>
        <v>89.668181482632562</v>
      </c>
      <c r="AJ972" s="64"/>
      <c r="AK972" s="64" t="s">
        <v>1322</v>
      </c>
      <c r="AL972" s="64"/>
      <c r="AM972" s="64"/>
      <c r="AN972" s="64"/>
      <c r="AO972" s="64"/>
      <c r="AP972" s="67">
        <f t="shared" si="288"/>
        <v>0.17814408553361294</v>
      </c>
      <c r="AQ972" s="67">
        <f t="shared" si="289"/>
        <v>889.16788635181751</v>
      </c>
      <c r="AS972" s="67">
        <f t="shared" si="290"/>
        <v>1.0360201908466225E-2</v>
      </c>
      <c r="AU972" s="67">
        <f t="shared" si="291"/>
        <v>442</v>
      </c>
      <c r="AV972" s="67">
        <f t="shared" si="292"/>
        <v>1</v>
      </c>
      <c r="AW972" s="67" t="s">
        <v>1350</v>
      </c>
    </row>
    <row r="973" spans="1:49" ht="30" customHeight="1" x14ac:dyDescent="0.25">
      <c r="A973" s="51" t="s">
        <v>100</v>
      </c>
      <c r="B973" s="51" t="s">
        <v>1082</v>
      </c>
      <c r="C973" s="51" t="s">
        <v>100</v>
      </c>
      <c r="D973" s="64">
        <f t="shared" si="287"/>
        <v>8</v>
      </c>
      <c r="E973" s="64" t="s">
        <v>577</v>
      </c>
      <c r="F973" s="64" t="s">
        <v>240</v>
      </c>
      <c r="G973" s="68" t="s">
        <v>578</v>
      </c>
      <c r="H973" s="64">
        <v>0</v>
      </c>
      <c r="I973" s="64">
        <f>18-10</f>
        <v>8</v>
      </c>
      <c r="J973" s="64">
        <v>2</v>
      </c>
      <c r="K973" s="49" t="s">
        <v>1325</v>
      </c>
      <c r="L973" s="64" t="s">
        <v>1326</v>
      </c>
      <c r="M973" s="49" t="s">
        <v>1321</v>
      </c>
      <c r="N973" s="64" t="s">
        <v>240</v>
      </c>
      <c r="O973" s="64">
        <v>0</v>
      </c>
      <c r="P973" s="64">
        <v>0</v>
      </c>
      <c r="Q973" s="64">
        <v>0</v>
      </c>
      <c r="R973" s="64" t="s">
        <v>238</v>
      </c>
      <c r="S973" s="64">
        <f t="shared" si="282"/>
        <v>444</v>
      </c>
      <c r="T973" s="64">
        <v>297</v>
      </c>
      <c r="U973" s="64">
        <v>147</v>
      </c>
      <c r="V973" s="64">
        <v>172.5</v>
      </c>
      <c r="W973" s="64"/>
      <c r="X973" s="64"/>
      <c r="Y973" s="64"/>
      <c r="Z973" s="64"/>
      <c r="AA973" s="64"/>
      <c r="AB973" s="64"/>
      <c r="AC973" s="64"/>
      <c r="AD973" s="64"/>
      <c r="AE973" s="64"/>
      <c r="AF973" s="67">
        <f t="shared" si="286"/>
        <v>1.6834195176729483</v>
      </c>
      <c r="AG973" s="64"/>
      <c r="AH973" s="64">
        <v>9.2999999999999999E-2</v>
      </c>
      <c r="AI973" s="67">
        <f>+ABS(V973/AF973)</f>
        <v>102.47000120234615</v>
      </c>
      <c r="AJ973" s="64"/>
      <c r="AK973" s="64" t="s">
        <v>1322</v>
      </c>
      <c r="AL973" s="64"/>
      <c r="AM973" s="64"/>
      <c r="AN973" s="64"/>
      <c r="AO973" s="64"/>
      <c r="AP973" s="67">
        <f t="shared" si="288"/>
        <v>0.16976452831808364</v>
      </c>
      <c r="AQ973" s="67">
        <f t="shared" si="289"/>
        <v>1016.11332890927</v>
      </c>
      <c r="AS973" s="67">
        <f t="shared" si="290"/>
        <v>1.0346950453304657E-2</v>
      </c>
      <c r="AU973" s="67">
        <f t="shared" si="291"/>
        <v>442</v>
      </c>
      <c r="AV973" s="67">
        <f t="shared" si="292"/>
        <v>1</v>
      </c>
      <c r="AW973" s="67" t="s">
        <v>1350</v>
      </c>
    </row>
    <row r="974" spans="1:49" ht="30" customHeight="1" x14ac:dyDescent="0.25">
      <c r="A974" s="51" t="s">
        <v>100</v>
      </c>
      <c r="B974" s="51" t="s">
        <v>1082</v>
      </c>
      <c r="C974" s="51" t="s">
        <v>100</v>
      </c>
      <c r="D974" s="64">
        <f t="shared" si="287"/>
        <v>9</v>
      </c>
      <c r="E974" s="64" t="s">
        <v>577</v>
      </c>
      <c r="F974" s="64" t="s">
        <v>240</v>
      </c>
      <c r="G974" s="68" t="s">
        <v>578</v>
      </c>
      <c r="H974" s="64">
        <v>0</v>
      </c>
      <c r="I974" s="64">
        <f>24-10</f>
        <v>14</v>
      </c>
      <c r="J974" s="64">
        <v>2</v>
      </c>
      <c r="K974" s="49" t="s">
        <v>1325</v>
      </c>
      <c r="L974" s="64" t="s">
        <v>1326</v>
      </c>
      <c r="M974" s="49" t="s">
        <v>1321</v>
      </c>
      <c r="N974" s="64" t="s">
        <v>240</v>
      </c>
      <c r="O974" s="64">
        <v>0</v>
      </c>
      <c r="P974" s="64">
        <v>0</v>
      </c>
      <c r="Q974" s="64">
        <v>0</v>
      </c>
      <c r="R974" s="64" t="s">
        <v>238</v>
      </c>
      <c r="S974" s="64">
        <f t="shared" si="282"/>
        <v>444</v>
      </c>
      <c r="T974" s="64">
        <v>297</v>
      </c>
      <c r="U974" s="64">
        <v>147</v>
      </c>
      <c r="V974" s="64">
        <v>219.42</v>
      </c>
      <c r="W974" s="64"/>
      <c r="X974" s="64"/>
      <c r="Y974" s="64"/>
      <c r="Z974" s="64"/>
      <c r="AA974" s="64"/>
      <c r="AB974" s="64"/>
      <c r="AC974" s="64"/>
      <c r="AD974" s="64"/>
      <c r="AE974" s="64"/>
      <c r="AF974" s="67">
        <f t="shared" si="286"/>
        <v>1.982874862224218</v>
      </c>
      <c r="AG974" s="64"/>
      <c r="AH974" s="64">
        <v>4.8000000000000001E-2</v>
      </c>
      <c r="AI974" s="67">
        <f>+ABS(V974/AF974)</f>
        <v>110.65751257438079</v>
      </c>
      <c r="AJ974" s="64"/>
      <c r="AK974" s="64" t="s">
        <v>1324</v>
      </c>
      <c r="AL974" s="64"/>
      <c r="AM974" s="64"/>
      <c r="AN974" s="64"/>
      <c r="AO974" s="64"/>
      <c r="AP974" s="67">
        <f t="shared" si="288"/>
        <v>0.1999631180257456</v>
      </c>
      <c r="AQ974" s="67">
        <f t="shared" si="289"/>
        <v>1097.3023533857342</v>
      </c>
      <c r="AS974" s="67">
        <f t="shared" si="290"/>
        <v>1.0397701605556997E-2</v>
      </c>
      <c r="AU974" s="67">
        <f t="shared" si="291"/>
        <v>442</v>
      </c>
      <c r="AV974" s="67">
        <f t="shared" si="292"/>
        <v>1</v>
      </c>
      <c r="AW974" s="67" t="s">
        <v>1350</v>
      </c>
    </row>
    <row r="975" spans="1:49" ht="30" customHeight="1" x14ac:dyDescent="0.25">
      <c r="A975" s="51" t="s">
        <v>100</v>
      </c>
      <c r="B975" s="51" t="s">
        <v>1082</v>
      </c>
      <c r="C975" s="51" t="s">
        <v>100</v>
      </c>
      <c r="D975" s="64">
        <f t="shared" si="287"/>
        <v>10</v>
      </c>
      <c r="E975" s="64" t="s">
        <v>577</v>
      </c>
      <c r="F975" s="64" t="s">
        <v>240</v>
      </c>
      <c r="G975" s="68" t="s">
        <v>578</v>
      </c>
      <c r="H975" s="64">
        <v>0</v>
      </c>
      <c r="I975" s="64">
        <f>30-10</f>
        <v>20</v>
      </c>
      <c r="J975" s="64">
        <v>2</v>
      </c>
      <c r="K975" s="49" t="s">
        <v>1325</v>
      </c>
      <c r="L975" s="64" t="s">
        <v>1326</v>
      </c>
      <c r="M975" s="49" t="s">
        <v>1321</v>
      </c>
      <c r="N975" s="64" t="s">
        <v>240</v>
      </c>
      <c r="O975" s="64">
        <v>0</v>
      </c>
      <c r="P975" s="64">
        <v>0</v>
      </c>
      <c r="Q975" s="64">
        <v>0</v>
      </c>
      <c r="R975" s="64" t="s">
        <v>238</v>
      </c>
      <c r="S975" s="64">
        <f t="shared" si="282"/>
        <v>444</v>
      </c>
      <c r="T975" s="64">
        <v>297</v>
      </c>
      <c r="U975" s="64">
        <v>147</v>
      </c>
      <c r="V975" s="64">
        <v>274.10000000000002</v>
      </c>
      <c r="W975" s="64"/>
      <c r="X975" s="64"/>
      <c r="Y975" s="64"/>
      <c r="Z975" s="64"/>
      <c r="AA975" s="64"/>
      <c r="AB975" s="64"/>
      <c r="AC975" s="64"/>
      <c r="AD975" s="64"/>
      <c r="AE975" s="64"/>
      <c r="AF975" s="67">
        <f t="shared" si="286"/>
        <v>2.3162719939321086</v>
      </c>
      <c r="AG975" s="64"/>
      <c r="AH975" s="64">
        <v>2.1000000000000001E-2</v>
      </c>
      <c r="AI975" s="67">
        <f>+ABS(V975/AF975)</f>
        <v>118.33670687987176</v>
      </c>
      <c r="AJ975" s="64"/>
      <c r="AK975" s="64" t="s">
        <v>1324</v>
      </c>
      <c r="AL975" s="64"/>
      <c r="AM975" s="64"/>
      <c r="AN975" s="64"/>
      <c r="AO975" s="64"/>
      <c r="AP975" s="67">
        <f t="shared" si="288"/>
        <v>0.23358456901452282</v>
      </c>
      <c r="AQ975" s="67">
        <f t="shared" si="289"/>
        <v>1173.4508026639303</v>
      </c>
      <c r="AS975" s="67">
        <f t="shared" si="290"/>
        <v>1.0463958434243919E-2</v>
      </c>
      <c r="AU975" s="67">
        <f t="shared" si="291"/>
        <v>442</v>
      </c>
      <c r="AV975" s="67">
        <f t="shared" si="292"/>
        <v>1</v>
      </c>
      <c r="AW975" s="67" t="s">
        <v>1350</v>
      </c>
    </row>
    <row r="976" spans="1:49" ht="30" customHeight="1" x14ac:dyDescent="0.25">
      <c r="A976" s="51" t="s">
        <v>152</v>
      </c>
      <c r="B976" s="51" t="s">
        <v>1082</v>
      </c>
      <c r="C976" s="64" t="s">
        <v>1118</v>
      </c>
      <c r="D976" s="64">
        <v>1</v>
      </c>
      <c r="E976" s="64" t="s">
        <v>583</v>
      </c>
      <c r="F976" s="102" t="s">
        <v>640</v>
      </c>
      <c r="G976" s="49" t="s">
        <v>1253</v>
      </c>
      <c r="H976" s="64">
        <v>0</v>
      </c>
      <c r="I976" s="64">
        <v>14</v>
      </c>
      <c r="J976" s="64">
        <v>2</v>
      </c>
      <c r="K976" s="49" t="s">
        <v>1327</v>
      </c>
      <c r="L976" s="64" t="s">
        <v>1291</v>
      </c>
      <c r="M976" s="49" t="s">
        <v>570</v>
      </c>
      <c r="N976" s="64" t="s">
        <v>240</v>
      </c>
      <c r="O976" s="101">
        <v>0.4</v>
      </c>
      <c r="P976" s="64" t="s">
        <v>240</v>
      </c>
      <c r="Q976" s="64" t="s">
        <v>240</v>
      </c>
      <c r="R976" s="64" t="s">
        <v>1328</v>
      </c>
      <c r="S976" s="64">
        <v>2558</v>
      </c>
      <c r="T976" s="64">
        <f>+S976/2</f>
        <v>1279</v>
      </c>
      <c r="U976" s="64">
        <f>+S976-T976</f>
        <v>1279</v>
      </c>
      <c r="V976" s="64">
        <v>-660.89</v>
      </c>
      <c r="W976" s="64">
        <v>553.77</v>
      </c>
      <c r="X976" s="64"/>
      <c r="Y976" s="64"/>
      <c r="Z976" s="64"/>
      <c r="AA976" s="64"/>
      <c r="AB976" s="64"/>
      <c r="AC976" s="64"/>
      <c r="AD976" s="64"/>
      <c r="AE976" s="64"/>
      <c r="AF976" s="67">
        <f t="shared" si="286"/>
        <v>1.1903993868827789</v>
      </c>
      <c r="AG976" s="64"/>
      <c r="AH976" s="108">
        <v>0.23400000000000001</v>
      </c>
      <c r="AI976" s="67">
        <f>+W976</f>
        <v>553.77</v>
      </c>
      <c r="AJ976" s="108"/>
      <c r="AK976" s="49"/>
      <c r="AL976" s="49" t="s">
        <v>1358</v>
      </c>
      <c r="AM976" s="64"/>
      <c r="AN976" s="64"/>
      <c r="AO976" s="64"/>
      <c r="AP976" s="67">
        <f t="shared" si="288"/>
        <v>-4.7193206014666887E-2</v>
      </c>
      <c r="AQ976" s="67">
        <f t="shared" si="289"/>
        <v>14003.92250940964</v>
      </c>
      <c r="AS976" s="67">
        <f t="shared" si="290"/>
        <v>1.5666902717591216E-3</v>
      </c>
      <c r="AU976" s="67">
        <f t="shared" si="291"/>
        <v>2556</v>
      </c>
      <c r="AV976" s="67">
        <f t="shared" si="292"/>
        <v>1</v>
      </c>
      <c r="AW976" s="67" t="s">
        <v>1350</v>
      </c>
    </row>
    <row r="977" spans="1:49" ht="30" customHeight="1" x14ac:dyDescent="0.25">
      <c r="A977" s="51" t="s">
        <v>152</v>
      </c>
      <c r="B977" s="51" t="s">
        <v>1082</v>
      </c>
      <c r="C977" s="64" t="s">
        <v>1118</v>
      </c>
      <c r="D977" s="64">
        <v>2</v>
      </c>
      <c r="E977" s="64" t="s">
        <v>577</v>
      </c>
      <c r="F977" s="102" t="s">
        <v>640</v>
      </c>
      <c r="G977" s="49" t="s">
        <v>1253</v>
      </c>
      <c r="H977" s="64">
        <v>0</v>
      </c>
      <c r="I977" s="64">
        <v>14</v>
      </c>
      <c r="J977" s="64">
        <v>2</v>
      </c>
      <c r="K977" s="49" t="s">
        <v>1327</v>
      </c>
      <c r="L977" s="64" t="s">
        <v>1291</v>
      </c>
      <c r="M977" s="49" t="s">
        <v>570</v>
      </c>
      <c r="N977" s="64" t="s">
        <v>240</v>
      </c>
      <c r="O977" s="101">
        <v>0.4</v>
      </c>
      <c r="P977" s="64" t="s">
        <v>240</v>
      </c>
      <c r="Q977" s="64" t="s">
        <v>240</v>
      </c>
      <c r="R977" s="64" t="s">
        <v>1328</v>
      </c>
      <c r="S977" s="64">
        <v>3132</v>
      </c>
      <c r="T977" s="64">
        <f>+S977/2</f>
        <v>1566</v>
      </c>
      <c r="U977" s="64">
        <f>+S977-T977</f>
        <v>1566</v>
      </c>
      <c r="V977" s="64">
        <v>-609.04999999999995</v>
      </c>
      <c r="W977" s="64">
        <v>341.41</v>
      </c>
      <c r="X977" s="64"/>
      <c r="Y977" s="64"/>
      <c r="Z977" s="64"/>
      <c r="AA977" s="64"/>
      <c r="AB977" s="64"/>
      <c r="AC977" s="64"/>
      <c r="AD977" s="64"/>
      <c r="AE977" s="64"/>
      <c r="AF977" s="67">
        <f t="shared" si="286"/>
        <v>1.7810575602187744</v>
      </c>
      <c r="AG977" s="64"/>
      <c r="AH977" s="108">
        <v>7.4999999999999997E-2</v>
      </c>
      <c r="AI977" s="67">
        <f>+W977</f>
        <v>341.41</v>
      </c>
      <c r="AJ977" s="108"/>
      <c r="AK977" s="49"/>
      <c r="AL977" s="49" t="s">
        <v>1359</v>
      </c>
      <c r="AM977" s="64"/>
      <c r="AN977" s="64"/>
      <c r="AO977" s="64"/>
      <c r="AP977" s="67">
        <f t="shared" si="288"/>
        <v>-6.3752295806894829E-2</v>
      </c>
      <c r="AQ977" s="67">
        <f t="shared" si="289"/>
        <v>9553.3814475451563</v>
      </c>
      <c r="AS977" s="67">
        <f t="shared" si="290"/>
        <v>1.2805544859414812E-3</v>
      </c>
      <c r="AU977" s="67">
        <f t="shared" si="291"/>
        <v>3130</v>
      </c>
      <c r="AV977" s="67">
        <f t="shared" si="292"/>
        <v>1</v>
      </c>
      <c r="AW977" s="67" t="s">
        <v>1350</v>
      </c>
    </row>
    <row r="978" spans="1:49" ht="30" customHeight="1" x14ac:dyDescent="0.25">
      <c r="A978" s="51" t="s">
        <v>152</v>
      </c>
      <c r="B978" s="51" t="s">
        <v>1082</v>
      </c>
      <c r="C978" s="64" t="s">
        <v>1118</v>
      </c>
      <c r="D978" s="64">
        <v>3</v>
      </c>
      <c r="E978" s="64" t="s">
        <v>583</v>
      </c>
      <c r="F978" s="102" t="s">
        <v>640</v>
      </c>
      <c r="G978" s="49" t="s">
        <v>1253</v>
      </c>
      <c r="H978" s="64">
        <v>0</v>
      </c>
      <c r="I978" s="64">
        <v>14</v>
      </c>
      <c r="J978" s="64">
        <v>2</v>
      </c>
      <c r="K978" s="49" t="s">
        <v>1327</v>
      </c>
      <c r="L978" s="64" t="s">
        <v>1291</v>
      </c>
      <c r="M978" s="49" t="s">
        <v>570</v>
      </c>
      <c r="N978" s="64" t="s">
        <v>240</v>
      </c>
      <c r="O978" s="101">
        <v>0.4</v>
      </c>
      <c r="P978" s="64" t="s">
        <v>240</v>
      </c>
      <c r="Q978" s="64" t="s">
        <v>240</v>
      </c>
      <c r="R978" s="64" t="s">
        <v>1329</v>
      </c>
      <c r="S978" s="64">
        <v>2558</v>
      </c>
      <c r="T978" s="64">
        <f>+S978/2</f>
        <v>1279</v>
      </c>
      <c r="U978" s="64">
        <f>+S978-T978</f>
        <v>1279</v>
      </c>
      <c r="V978" s="64">
        <v>-737.64</v>
      </c>
      <c r="W978" s="64">
        <v>374.44</v>
      </c>
      <c r="X978" s="64"/>
      <c r="Y978" s="64"/>
      <c r="Z978" s="64"/>
      <c r="AA978" s="64"/>
      <c r="AB978" s="64"/>
      <c r="AC978" s="64"/>
      <c r="AD978" s="64"/>
      <c r="AE978" s="64"/>
      <c r="AF978" s="67">
        <f t="shared" si="286"/>
        <v>1.960892535355965</v>
      </c>
      <c r="AG978" s="64"/>
      <c r="AH978" s="108">
        <v>0.05</v>
      </c>
      <c r="AI978" s="67">
        <f>+W978</f>
        <v>374.44</v>
      </c>
      <c r="AJ978" s="108"/>
      <c r="AK978" s="49"/>
      <c r="AL978" s="49" t="s">
        <v>1360</v>
      </c>
      <c r="AM978" s="64"/>
      <c r="AN978" s="64"/>
      <c r="AO978" s="64"/>
      <c r="AP978" s="67">
        <f t="shared" si="288"/>
        <v>-7.7900805474534374E-2</v>
      </c>
      <c r="AQ978" s="67">
        <f t="shared" si="289"/>
        <v>9468.9649934509744</v>
      </c>
      <c r="AS978" s="67">
        <f t="shared" si="290"/>
        <v>1.5696983663555486E-3</v>
      </c>
      <c r="AU978" s="67">
        <f t="shared" si="291"/>
        <v>2556</v>
      </c>
      <c r="AV978" s="67">
        <f t="shared" si="292"/>
        <v>1</v>
      </c>
      <c r="AW978" s="67" t="s">
        <v>1350</v>
      </c>
    </row>
    <row r="979" spans="1:49" ht="30" customHeight="1" x14ac:dyDescent="0.25">
      <c r="A979" s="51" t="s">
        <v>152</v>
      </c>
      <c r="B979" s="51" t="s">
        <v>1082</v>
      </c>
      <c r="C979" s="64" t="s">
        <v>1118</v>
      </c>
      <c r="D979" s="64">
        <v>4</v>
      </c>
      <c r="E979" s="64" t="s">
        <v>577</v>
      </c>
      <c r="F979" s="102" t="s">
        <v>640</v>
      </c>
      <c r="G979" s="49" t="s">
        <v>1253</v>
      </c>
      <c r="H979" s="64">
        <v>0</v>
      </c>
      <c r="I979" s="64">
        <v>14</v>
      </c>
      <c r="J979" s="64">
        <v>2</v>
      </c>
      <c r="K979" s="49" t="s">
        <v>1327</v>
      </c>
      <c r="L979" s="64" t="s">
        <v>1291</v>
      </c>
      <c r="M979" s="49" t="s">
        <v>570</v>
      </c>
      <c r="N979" s="64" t="s">
        <v>240</v>
      </c>
      <c r="O979" s="101">
        <v>0.4</v>
      </c>
      <c r="P979" s="64" t="s">
        <v>240</v>
      </c>
      <c r="Q979" s="64" t="s">
        <v>240</v>
      </c>
      <c r="R979" s="64" t="s">
        <v>1329</v>
      </c>
      <c r="S979" s="64">
        <v>3132</v>
      </c>
      <c r="T979" s="64">
        <f>+S979/2</f>
        <v>1566</v>
      </c>
      <c r="U979" s="64">
        <f>+S979-T979</f>
        <v>1566</v>
      </c>
      <c r="V979" s="64">
        <v>-141.75</v>
      </c>
      <c r="W979" s="64">
        <v>232.38</v>
      </c>
      <c r="X979" s="64"/>
      <c r="Y979" s="64"/>
      <c r="Z979" s="64"/>
      <c r="AA979" s="64"/>
      <c r="AB979" s="64"/>
      <c r="AC979" s="64"/>
      <c r="AD979" s="64"/>
      <c r="AE979" s="64"/>
      <c r="AF979" s="67">
        <f t="shared" si="286"/>
        <v>0.61288032551177574</v>
      </c>
      <c r="AG979" s="64"/>
      <c r="AH979" s="108">
        <v>0.54</v>
      </c>
      <c r="AI979" s="67">
        <f>+W979</f>
        <v>232.38</v>
      </c>
      <c r="AJ979" s="108"/>
      <c r="AK979" s="49"/>
      <c r="AL979" s="49" t="s">
        <v>1360</v>
      </c>
      <c r="AM979" s="64"/>
      <c r="AN979" s="64"/>
      <c r="AO979" s="64"/>
      <c r="AP979" s="67">
        <f t="shared" si="288"/>
        <v>-2.1799344724625962E-2</v>
      </c>
      <c r="AQ979" s="67">
        <f t="shared" si="289"/>
        <v>6502.4890330703356</v>
      </c>
      <c r="AS979" s="67">
        <f t="shared" si="290"/>
        <v>1.2782596369707478E-3</v>
      </c>
      <c r="AU979" s="67">
        <f t="shared" si="291"/>
        <v>3130</v>
      </c>
      <c r="AV979" s="67">
        <f t="shared" si="292"/>
        <v>1</v>
      </c>
      <c r="AW979" s="67" t="s">
        <v>1350</v>
      </c>
    </row>
    <row r="980" spans="1:49" ht="30" customHeight="1" x14ac:dyDescent="0.25">
      <c r="A980" s="51" t="s">
        <v>145</v>
      </c>
      <c r="B980" s="51" t="s">
        <v>1082</v>
      </c>
      <c r="C980" s="64" t="s">
        <v>1195</v>
      </c>
      <c r="D980" s="64">
        <v>1</v>
      </c>
      <c r="E980" s="64" t="s">
        <v>605</v>
      </c>
      <c r="F980" s="102" t="s">
        <v>240</v>
      </c>
      <c r="G980" s="49" t="s">
        <v>578</v>
      </c>
      <c r="H980" s="64">
        <v>1</v>
      </c>
      <c r="I980" s="64">
        <v>0</v>
      </c>
      <c r="J980" s="64">
        <v>1</v>
      </c>
      <c r="K980" s="49" t="s">
        <v>1330</v>
      </c>
      <c r="L980" s="64" t="s">
        <v>240</v>
      </c>
      <c r="M980" s="49" t="s">
        <v>1331</v>
      </c>
      <c r="N980" s="64" t="s">
        <v>240</v>
      </c>
      <c r="O980" s="101">
        <f>1-0.837</f>
        <v>0.16300000000000003</v>
      </c>
      <c r="P980" s="64">
        <f>1-0.855</f>
        <v>0.14500000000000002</v>
      </c>
      <c r="Q980" s="64">
        <f>1-0.814</f>
        <v>0.18600000000000005</v>
      </c>
      <c r="R980" s="64" t="s">
        <v>1332</v>
      </c>
      <c r="S980" s="64">
        <f t="shared" ref="S980:S1009" si="293">+T980+U980</f>
        <v>789</v>
      </c>
      <c r="T980" s="64">
        <v>436</v>
      </c>
      <c r="U980" s="64">
        <v>353</v>
      </c>
      <c r="V980" s="64">
        <v>0.09</v>
      </c>
      <c r="W980" s="64"/>
      <c r="X980" s="64"/>
      <c r="Y980" s="64"/>
      <c r="Z980" s="64"/>
      <c r="AA980" s="64"/>
      <c r="AB980" s="64">
        <v>0.30499999999999999</v>
      </c>
      <c r="AC980" s="64">
        <v>0.215</v>
      </c>
      <c r="AD980" s="64"/>
      <c r="AE980" s="64"/>
      <c r="AF980" s="102">
        <f t="shared" si="286"/>
        <v>3.9106264466636929</v>
      </c>
      <c r="AG980" s="64"/>
      <c r="AH980" s="108">
        <v>1E-4</v>
      </c>
      <c r="AI980" s="102">
        <f>ABS(V980/AF980)</f>
        <v>2.3014215555357504E-2</v>
      </c>
      <c r="AJ980" s="108"/>
      <c r="AK980" s="49"/>
      <c r="AL980" s="49" t="s">
        <v>1351</v>
      </c>
      <c r="AM980" s="64"/>
      <c r="AN980" s="64"/>
      <c r="AO980" s="64"/>
    </row>
    <row r="981" spans="1:49" ht="30" customHeight="1" x14ac:dyDescent="0.25">
      <c r="A981" s="51" t="s">
        <v>145</v>
      </c>
      <c r="B981" s="51" t="s">
        <v>1082</v>
      </c>
      <c r="C981" s="64" t="s">
        <v>1195</v>
      </c>
      <c r="D981" s="64">
        <f t="shared" ref="D981:D1009" si="294">+D980+1</f>
        <v>2</v>
      </c>
      <c r="E981" s="64" t="s">
        <v>605</v>
      </c>
      <c r="F981" s="102" t="s">
        <v>240</v>
      </c>
      <c r="G981" s="49" t="s">
        <v>578</v>
      </c>
      <c r="H981" s="64">
        <v>1</v>
      </c>
      <c r="I981" s="64">
        <v>0</v>
      </c>
      <c r="J981" s="64">
        <v>2</v>
      </c>
      <c r="K981" s="49" t="s">
        <v>1333</v>
      </c>
      <c r="L981" s="64" t="s">
        <v>1334</v>
      </c>
      <c r="M981" s="49" t="s">
        <v>1331</v>
      </c>
      <c r="N981" s="64" t="s">
        <v>240</v>
      </c>
      <c r="O981" s="101">
        <f>1-0.837</f>
        <v>0.16300000000000003</v>
      </c>
      <c r="P981" s="64">
        <f>1-0.855</f>
        <v>0.14500000000000002</v>
      </c>
      <c r="Q981" s="64">
        <f>1-0.814</f>
        <v>0.18600000000000005</v>
      </c>
      <c r="R981" s="64" t="s">
        <v>1332</v>
      </c>
      <c r="S981" s="64">
        <f t="shared" si="293"/>
        <v>789</v>
      </c>
      <c r="T981" s="64">
        <v>436</v>
      </c>
      <c r="U981" s="64">
        <v>353</v>
      </c>
      <c r="V981" s="64">
        <v>14</v>
      </c>
      <c r="W981" s="64"/>
      <c r="X981" s="64"/>
      <c r="Y981" s="64"/>
      <c r="Z981" s="64"/>
      <c r="AA981" s="64"/>
      <c r="AB981" s="64">
        <v>544</v>
      </c>
      <c r="AC981" s="64">
        <v>529</v>
      </c>
      <c r="AD981" s="64"/>
      <c r="AE981" s="64"/>
      <c r="AF981" s="67">
        <f t="shared" si="286"/>
        <v>0.15101827424473196</v>
      </c>
      <c r="AG981" s="64"/>
      <c r="AH981" s="108">
        <v>0.88</v>
      </c>
      <c r="AI981" s="67">
        <f>+ABS(V981/AF981)</f>
        <v>92.704012610502787</v>
      </c>
      <c r="AJ981" s="108"/>
      <c r="AK981" s="49"/>
      <c r="AL981" s="49" t="s">
        <v>1351</v>
      </c>
      <c r="AM981" s="64"/>
      <c r="AN981" s="64"/>
      <c r="AO981" s="64"/>
      <c r="AP981" s="67">
        <f>+V981/AQ981</f>
        <v>1.0812781009762506E-2</v>
      </c>
      <c r="AQ981" s="67">
        <f>+AI981*SQRT(T981*U981/S981)</f>
        <v>1294.7640377956291</v>
      </c>
      <c r="AS981" s="67">
        <f>+AP981^2/(AU981-2)*(AU981/(V981/AI981)^2+AU981*AV981^2-AU981+2)</f>
        <v>5.1397980387259887E-3</v>
      </c>
      <c r="AU981" s="67">
        <f>+S981-2</f>
        <v>787</v>
      </c>
      <c r="AV981" s="67">
        <f>IFERROR(1/(SQRT(AU981/2)*_xlfn.GAMMA(AU981/2-0.5)/_xlfn.GAMMA(AU981/2)),1)</f>
        <v>1</v>
      </c>
      <c r="AW981" s="67" t="s">
        <v>1350</v>
      </c>
    </row>
    <row r="982" spans="1:49" ht="30" customHeight="1" x14ac:dyDescent="0.25">
      <c r="A982" s="51" t="s">
        <v>145</v>
      </c>
      <c r="B982" s="51" t="s">
        <v>1082</v>
      </c>
      <c r="C982" s="64" t="s">
        <v>1195</v>
      </c>
      <c r="D982" s="64">
        <f t="shared" si="294"/>
        <v>3</v>
      </c>
      <c r="E982" s="64" t="s">
        <v>605</v>
      </c>
      <c r="F982" s="102" t="s">
        <v>240</v>
      </c>
      <c r="G982" s="49" t="s">
        <v>578</v>
      </c>
      <c r="H982" s="64">
        <v>1</v>
      </c>
      <c r="I982" s="64">
        <v>24</v>
      </c>
      <c r="J982" s="64">
        <v>1</v>
      </c>
      <c r="K982" s="49" t="s">
        <v>1330</v>
      </c>
      <c r="L982" s="64" t="s">
        <v>240</v>
      </c>
      <c r="M982" s="49" t="s">
        <v>1331</v>
      </c>
      <c r="N982" s="64" t="s">
        <v>240</v>
      </c>
      <c r="O982" s="101">
        <f>1-0.837</f>
        <v>0.16300000000000003</v>
      </c>
      <c r="P982" s="64">
        <f>1-0.855</f>
        <v>0.14500000000000002</v>
      </c>
      <c r="Q982" s="64">
        <f>1-0.814</f>
        <v>0.18600000000000005</v>
      </c>
      <c r="R982" s="64" t="s">
        <v>1317</v>
      </c>
      <c r="S982" s="64">
        <f t="shared" si="293"/>
        <v>740</v>
      </c>
      <c r="T982" s="64">
        <v>420</v>
      </c>
      <c r="U982" s="64">
        <v>320</v>
      </c>
      <c r="V982" s="64">
        <v>-1E-3</v>
      </c>
      <c r="W982" s="64"/>
      <c r="X982" s="64"/>
      <c r="Y982" s="64"/>
      <c r="Z982" s="64"/>
      <c r="AA982" s="64"/>
      <c r="AB982" s="64">
        <v>0.32700000000000001</v>
      </c>
      <c r="AC982" s="64">
        <v>0.32800000000000001</v>
      </c>
      <c r="AD982" s="64"/>
      <c r="AE982" s="64"/>
      <c r="AF982" s="102">
        <f t="shared" si="286"/>
        <v>2.507740721397941E-2</v>
      </c>
      <c r="AG982" s="64"/>
      <c r="AH982" s="108">
        <v>0.98</v>
      </c>
      <c r="AI982" s="102">
        <f>ABS(V982/AF982)</f>
        <v>3.9876530754046603E-2</v>
      </c>
      <c r="AJ982" s="108"/>
      <c r="AK982" s="49"/>
      <c r="AL982" s="49" t="s">
        <v>1351</v>
      </c>
      <c r="AM982" s="64"/>
      <c r="AN982" s="64"/>
      <c r="AO982" s="64"/>
    </row>
    <row r="983" spans="1:49" ht="30" customHeight="1" x14ac:dyDescent="0.25">
      <c r="A983" s="51" t="s">
        <v>145</v>
      </c>
      <c r="B983" s="51" t="s">
        <v>1082</v>
      </c>
      <c r="C983" s="64" t="s">
        <v>1195</v>
      </c>
      <c r="D983" s="64">
        <f t="shared" si="294"/>
        <v>4</v>
      </c>
      <c r="E983" s="64" t="s">
        <v>605</v>
      </c>
      <c r="F983" s="102" t="s">
        <v>240</v>
      </c>
      <c r="G983" s="49" t="s">
        <v>578</v>
      </c>
      <c r="H983" s="64">
        <v>1</v>
      </c>
      <c r="I983" s="64">
        <v>24</v>
      </c>
      <c r="J983" s="64">
        <v>2</v>
      </c>
      <c r="K983" s="49" t="s">
        <v>1333</v>
      </c>
      <c r="L983" s="64" t="s">
        <v>1334</v>
      </c>
      <c r="M983" s="49" t="s">
        <v>1331</v>
      </c>
      <c r="N983" s="64" t="s">
        <v>240</v>
      </c>
      <c r="O983" s="101">
        <f>1-0.837</f>
        <v>0.16300000000000003</v>
      </c>
      <c r="P983" s="64">
        <f>1-0.855</f>
        <v>0.14500000000000002</v>
      </c>
      <c r="Q983" s="64">
        <f>1-0.814</f>
        <v>0.18600000000000005</v>
      </c>
      <c r="R983" s="64" t="s">
        <v>1317</v>
      </c>
      <c r="S983" s="64">
        <f t="shared" si="293"/>
        <v>740</v>
      </c>
      <c r="T983" s="64">
        <v>420</v>
      </c>
      <c r="U983" s="64">
        <v>320</v>
      </c>
      <c r="V983" s="64">
        <v>25</v>
      </c>
      <c r="W983" s="64"/>
      <c r="X983" s="64"/>
      <c r="Y983" s="64"/>
      <c r="Z983" s="64"/>
      <c r="AA983" s="64"/>
      <c r="AB983" s="64">
        <v>1002</v>
      </c>
      <c r="AC983" s="64">
        <v>976</v>
      </c>
      <c r="AD983" s="64"/>
      <c r="AE983" s="64"/>
      <c r="AF983" s="67">
        <f t="shared" si="286"/>
        <v>0.13835196388574136</v>
      </c>
      <c r="AG983" s="64"/>
      <c r="AH983" s="108">
        <v>0.89</v>
      </c>
      <c r="AI983" s="67">
        <f>+ABS(V983/AF983)</f>
        <v>180.69855532116893</v>
      </c>
      <c r="AJ983" s="108"/>
      <c r="AK983" s="49"/>
      <c r="AL983" s="49" t="s">
        <v>1351</v>
      </c>
      <c r="AM983" s="64"/>
      <c r="AN983" s="64"/>
      <c r="AO983" s="64"/>
      <c r="AP983" s="67">
        <f>+V983/AQ983</f>
        <v>1.0266006946098444E-2</v>
      </c>
      <c r="AQ983" s="67">
        <f>+AI983*SQRT(T983*U983/S983)</f>
        <v>2435.2214187329332</v>
      </c>
      <c r="AS983" s="67">
        <f>+AP983^2/(AU983-2)*(AU983/(V983/AI983)^2+AU983*AV983^2-AU983+2)</f>
        <v>5.5212005963859948E-3</v>
      </c>
      <c r="AU983" s="67">
        <f>+S983-2</f>
        <v>738</v>
      </c>
      <c r="AV983" s="67">
        <f>IFERROR(1/(SQRT(AU983/2)*_xlfn.GAMMA(AU983/2-0.5)/_xlfn.GAMMA(AU983/2)),1)</f>
        <v>1</v>
      </c>
      <c r="AW983" s="67" t="s">
        <v>1350</v>
      </c>
    </row>
    <row r="984" spans="1:49" ht="30" customHeight="1" x14ac:dyDescent="0.25">
      <c r="A984" s="51" t="s">
        <v>145</v>
      </c>
      <c r="B984" s="51" t="s">
        <v>1082</v>
      </c>
      <c r="C984" s="64" t="s">
        <v>1195</v>
      </c>
      <c r="D984" s="64">
        <f t="shared" si="294"/>
        <v>5</v>
      </c>
      <c r="E984" s="64" t="s">
        <v>605</v>
      </c>
      <c r="F984" s="102" t="s">
        <v>240</v>
      </c>
      <c r="G984" s="49" t="s">
        <v>578</v>
      </c>
      <c r="H984" s="64">
        <v>1</v>
      </c>
      <c r="I984" s="64">
        <v>24</v>
      </c>
      <c r="J984" s="64">
        <v>1</v>
      </c>
      <c r="K984" s="49" t="s">
        <v>1335</v>
      </c>
      <c r="L984" s="64" t="s">
        <v>240</v>
      </c>
      <c r="M984" s="49" t="s">
        <v>1331</v>
      </c>
      <c r="N984" s="64" t="s">
        <v>240</v>
      </c>
      <c r="O984" s="101">
        <f>1-0.837</f>
        <v>0.16300000000000003</v>
      </c>
      <c r="P984" s="64">
        <f>1-0.855</f>
        <v>0.14500000000000002</v>
      </c>
      <c r="Q984" s="64">
        <f>1-0.814</f>
        <v>0.18600000000000005</v>
      </c>
      <c r="R984" s="64" t="s">
        <v>1317</v>
      </c>
      <c r="S984" s="64">
        <f t="shared" si="293"/>
        <v>740</v>
      </c>
      <c r="T984" s="64">
        <v>420</v>
      </c>
      <c r="U984" s="64">
        <v>320</v>
      </c>
      <c r="V984" s="64">
        <v>-3.4000000000000002E-2</v>
      </c>
      <c r="W984" s="64"/>
      <c r="X984" s="64"/>
      <c r="Y984" s="64"/>
      <c r="Z984" s="64"/>
      <c r="AA984" s="64"/>
      <c r="AB984" s="64">
        <v>0.104</v>
      </c>
      <c r="AC984" s="64">
        <v>0.13800000000000001</v>
      </c>
      <c r="AD984" s="64"/>
      <c r="AE984" s="64"/>
      <c r="AF984" s="102">
        <f t="shared" si="286"/>
        <v>1.4064886651009039</v>
      </c>
      <c r="AG984" s="64"/>
      <c r="AH984" s="108">
        <v>0.16</v>
      </c>
      <c r="AI984" s="102">
        <f>ABS(V984/AF984)</f>
        <v>2.417367508437104E-2</v>
      </c>
      <c r="AJ984" s="108"/>
      <c r="AK984" s="49"/>
      <c r="AL984" s="49" t="s">
        <v>1351</v>
      </c>
      <c r="AM984" s="64"/>
      <c r="AN984" s="64"/>
      <c r="AO984" s="64"/>
    </row>
    <row r="985" spans="1:49" ht="30" customHeight="1" x14ac:dyDescent="0.25">
      <c r="A985" s="51" t="s">
        <v>145</v>
      </c>
      <c r="B985" s="51" t="s">
        <v>1082</v>
      </c>
      <c r="C985" s="64" t="s">
        <v>1208</v>
      </c>
      <c r="D985" s="64">
        <f t="shared" si="294"/>
        <v>6</v>
      </c>
      <c r="E985" s="64" t="s">
        <v>605</v>
      </c>
      <c r="F985" s="102" t="s">
        <v>240</v>
      </c>
      <c r="G985" s="49" t="s">
        <v>578</v>
      </c>
      <c r="H985" s="64">
        <v>1</v>
      </c>
      <c r="I985" s="64">
        <v>-6</v>
      </c>
      <c r="J985" s="64">
        <v>1</v>
      </c>
      <c r="K985" s="49" t="s">
        <v>1330</v>
      </c>
      <c r="L985" s="64" t="s">
        <v>240</v>
      </c>
      <c r="M985" s="49" t="s">
        <v>1331</v>
      </c>
      <c r="N985" s="64" t="s">
        <v>240</v>
      </c>
      <c r="O985" s="101">
        <f>1-0.863</f>
        <v>0.13700000000000001</v>
      </c>
      <c r="P985" s="64">
        <f>1-0.872</f>
        <v>0.128</v>
      </c>
      <c r="Q985" s="64">
        <f>1-0.853</f>
        <v>0.14700000000000002</v>
      </c>
      <c r="R985" s="64" t="s">
        <v>1336</v>
      </c>
      <c r="S985" s="64">
        <f t="shared" si="293"/>
        <v>750</v>
      </c>
      <c r="T985" s="64">
        <v>413</v>
      </c>
      <c r="U985" s="64">
        <v>337</v>
      </c>
      <c r="V985" s="64">
        <v>1.2999999999999999E-2</v>
      </c>
      <c r="W985" s="64"/>
      <c r="X985" s="64"/>
      <c r="Y985" s="64"/>
      <c r="Z985" s="64"/>
      <c r="AA985" s="64"/>
      <c r="AB985" s="64">
        <v>0.34399999999999997</v>
      </c>
      <c r="AC985" s="64">
        <v>0.33200000000000002</v>
      </c>
      <c r="AD985" s="64"/>
      <c r="AE985" s="64"/>
      <c r="AF985" s="102">
        <f t="shared" si="286"/>
        <v>0.42631635055706696</v>
      </c>
      <c r="AG985" s="64"/>
      <c r="AH985" s="108">
        <v>0.67</v>
      </c>
      <c r="AI985" s="102">
        <f>ABS(V985/AF985)</f>
        <v>3.0493787026964644E-2</v>
      </c>
      <c r="AJ985" s="108"/>
      <c r="AK985" s="49"/>
      <c r="AL985" s="49" t="s">
        <v>1351</v>
      </c>
      <c r="AM985" s="64"/>
      <c r="AN985" s="64"/>
      <c r="AO985" s="64"/>
    </row>
    <row r="986" spans="1:49" ht="30" customHeight="1" x14ac:dyDescent="0.25">
      <c r="A986" s="51" t="s">
        <v>145</v>
      </c>
      <c r="B986" s="51" t="s">
        <v>1082</v>
      </c>
      <c r="C986" s="64" t="s">
        <v>1208</v>
      </c>
      <c r="D986" s="64">
        <f t="shared" si="294"/>
        <v>7</v>
      </c>
      <c r="E986" s="64" t="s">
        <v>605</v>
      </c>
      <c r="F986" s="102" t="s">
        <v>240</v>
      </c>
      <c r="G986" s="49" t="s">
        <v>578</v>
      </c>
      <c r="H986" s="64">
        <v>1</v>
      </c>
      <c r="I986" s="64">
        <v>-6</v>
      </c>
      <c r="J986" s="64">
        <v>2</v>
      </c>
      <c r="K986" s="49" t="s">
        <v>1333</v>
      </c>
      <c r="L986" s="64" t="s">
        <v>240</v>
      </c>
      <c r="M986" s="49" t="s">
        <v>1331</v>
      </c>
      <c r="N986" s="64" t="s">
        <v>240</v>
      </c>
      <c r="O986" s="101">
        <f>1-0.863</f>
        <v>0.13700000000000001</v>
      </c>
      <c r="P986" s="64">
        <f>1-0.872</f>
        <v>0.128</v>
      </c>
      <c r="Q986" s="64">
        <f>1-0.853</f>
        <v>0.14700000000000002</v>
      </c>
      <c r="R986" s="64" t="s">
        <v>1336</v>
      </c>
      <c r="S986" s="64">
        <f t="shared" si="293"/>
        <v>750</v>
      </c>
      <c r="T986" s="64">
        <v>413</v>
      </c>
      <c r="U986" s="64">
        <v>337</v>
      </c>
      <c r="V986" s="64">
        <v>-274</v>
      </c>
      <c r="W986" s="64"/>
      <c r="X986" s="64"/>
      <c r="Y986" s="64"/>
      <c r="Z986" s="64"/>
      <c r="AA986" s="64"/>
      <c r="AB986" s="64">
        <v>1574</v>
      </c>
      <c r="AC986" s="64">
        <v>1848</v>
      </c>
      <c r="AD986" s="64"/>
      <c r="AE986" s="64"/>
      <c r="AF986" s="67">
        <f t="shared" si="286"/>
        <v>1.1272459002985296</v>
      </c>
      <c r="AG986" s="64"/>
      <c r="AH986" s="108">
        <v>0.26</v>
      </c>
      <c r="AI986" s="67">
        <f>+ABS(V986/AF986)</f>
        <v>243.07030074577014</v>
      </c>
      <c r="AJ986" s="108"/>
      <c r="AK986" s="49"/>
      <c r="AL986" s="49" t="s">
        <v>1351</v>
      </c>
      <c r="AM986" s="64"/>
      <c r="AN986" s="64"/>
      <c r="AO986" s="64"/>
      <c r="AP986" s="67">
        <f>+V986/AQ986</f>
        <v>-8.2748345657072911E-2</v>
      </c>
      <c r="AQ986" s="67">
        <f>+AI986*SQRT(T986*U986/S986)</f>
        <v>3311.2444463302677</v>
      </c>
      <c r="AS986" s="67">
        <f>+AP986^2/(AU986-2)*(AU986/(V986/AI986)^2+AU986*AV986^2-AU986+2)</f>
        <v>5.4214707261109199E-3</v>
      </c>
      <c r="AU986" s="67">
        <f>+S986-2</f>
        <v>748</v>
      </c>
      <c r="AV986" s="67">
        <f>IFERROR(1/(SQRT(AU986/2)*_xlfn.GAMMA(AU986/2-0.5)/_xlfn.GAMMA(AU986/2)),1)</f>
        <v>1</v>
      </c>
      <c r="AW986" s="67" t="s">
        <v>1350</v>
      </c>
    </row>
    <row r="987" spans="1:49" ht="30" customHeight="1" x14ac:dyDescent="0.25">
      <c r="A987" s="51" t="s">
        <v>145</v>
      </c>
      <c r="B987" s="51" t="s">
        <v>1082</v>
      </c>
      <c r="C987" s="64" t="s">
        <v>1208</v>
      </c>
      <c r="D987" s="64">
        <f t="shared" si="294"/>
        <v>8</v>
      </c>
      <c r="E987" s="64" t="s">
        <v>605</v>
      </c>
      <c r="F987" s="102" t="s">
        <v>240</v>
      </c>
      <c r="G987" s="49" t="s">
        <v>578</v>
      </c>
      <c r="H987" s="64">
        <v>1</v>
      </c>
      <c r="I987" s="64">
        <v>18</v>
      </c>
      <c r="J987" s="64">
        <v>1</v>
      </c>
      <c r="K987" s="49" t="s">
        <v>1337</v>
      </c>
      <c r="L987" s="64" t="s">
        <v>240</v>
      </c>
      <c r="M987" s="49" t="s">
        <v>1331</v>
      </c>
      <c r="N987" s="64" t="s">
        <v>240</v>
      </c>
      <c r="O987" s="101">
        <f>1-0.863</f>
        <v>0.13700000000000001</v>
      </c>
      <c r="P987" s="64">
        <f>1-0.872</f>
        <v>0.128</v>
      </c>
      <c r="Q987" s="64">
        <f>1-0.853</f>
        <v>0.14700000000000002</v>
      </c>
      <c r="R987" s="64" t="s">
        <v>1336</v>
      </c>
      <c r="S987" s="64">
        <f t="shared" si="293"/>
        <v>842</v>
      </c>
      <c r="T987" s="64">
        <v>462</v>
      </c>
      <c r="U987" s="64">
        <v>380</v>
      </c>
      <c r="V987" s="64">
        <v>2E-3</v>
      </c>
      <c r="W987" s="64"/>
      <c r="X987" s="64"/>
      <c r="Y987" s="64"/>
      <c r="Z987" s="64"/>
      <c r="AA987" s="64"/>
      <c r="AB987" s="64">
        <v>0.379</v>
      </c>
      <c r="AC987" s="64">
        <v>0.377</v>
      </c>
      <c r="AD987" s="64"/>
      <c r="AE987" s="64"/>
      <c r="AF987" s="102">
        <f t="shared" si="286"/>
        <v>5.0168549920488886E-2</v>
      </c>
      <c r="AG987" s="64"/>
      <c r="AH987" s="108">
        <v>0.96</v>
      </c>
      <c r="AI987" s="102">
        <f>ABS(V987/AF987)</f>
        <v>3.9865613081696789E-2</v>
      </c>
      <c r="AJ987" s="108"/>
      <c r="AK987" s="49"/>
      <c r="AL987" s="49" t="s">
        <v>1351</v>
      </c>
      <c r="AM987" s="64"/>
      <c r="AN987" s="64"/>
      <c r="AO987" s="64"/>
    </row>
    <row r="988" spans="1:49" ht="30" customHeight="1" x14ac:dyDescent="0.25">
      <c r="A988" s="51" t="s">
        <v>145</v>
      </c>
      <c r="B988" s="51" t="s">
        <v>1082</v>
      </c>
      <c r="C988" s="64" t="s">
        <v>1208</v>
      </c>
      <c r="D988" s="64">
        <f t="shared" si="294"/>
        <v>9</v>
      </c>
      <c r="E988" s="64" t="s">
        <v>605</v>
      </c>
      <c r="F988" s="102" t="s">
        <v>240</v>
      </c>
      <c r="G988" s="49" t="s">
        <v>578</v>
      </c>
      <c r="H988" s="64">
        <v>1</v>
      </c>
      <c r="I988" s="64">
        <v>18</v>
      </c>
      <c r="J988" s="64">
        <v>2</v>
      </c>
      <c r="K988" s="49" t="s">
        <v>1338</v>
      </c>
      <c r="L988" s="64" t="s">
        <v>1334</v>
      </c>
      <c r="M988" s="49" t="s">
        <v>1331</v>
      </c>
      <c r="N988" s="64" t="s">
        <v>240</v>
      </c>
      <c r="O988" s="101">
        <f>1-0.863</f>
        <v>0.13700000000000001</v>
      </c>
      <c r="P988" s="64">
        <f>1-0.872</f>
        <v>0.128</v>
      </c>
      <c r="Q988" s="64">
        <f>1-0.853</f>
        <v>0.14700000000000002</v>
      </c>
      <c r="R988" s="64" t="s">
        <v>1339</v>
      </c>
      <c r="S988" s="64">
        <f t="shared" si="293"/>
        <v>842</v>
      </c>
      <c r="T988" s="64">
        <v>462</v>
      </c>
      <c r="U988" s="64">
        <v>380</v>
      </c>
      <c r="V988" s="64">
        <v>-94</v>
      </c>
      <c r="W988" s="64"/>
      <c r="X988" s="64"/>
      <c r="Y988" s="64"/>
      <c r="Z988" s="64"/>
      <c r="AA988" s="64"/>
      <c r="AB988" s="64">
        <v>1988</v>
      </c>
      <c r="AC988" s="64">
        <v>2082</v>
      </c>
      <c r="AD988" s="64"/>
      <c r="AE988" s="64"/>
      <c r="AF988" s="67">
        <f t="shared" si="286"/>
        <v>0.30558020967195199</v>
      </c>
      <c r="AG988" s="64"/>
      <c r="AH988" s="108">
        <v>0.76</v>
      </c>
      <c r="AI988" s="67">
        <f>+ABS(V988/AF988)</f>
        <v>307.61154363010405</v>
      </c>
      <c r="AJ988" s="108"/>
      <c r="AK988" s="49"/>
      <c r="AL988" s="49" t="s">
        <v>1351</v>
      </c>
      <c r="AM988" s="64"/>
      <c r="AN988" s="64"/>
      <c r="AO988" s="64"/>
      <c r="AP988" s="67">
        <f>+V988/AQ988</f>
        <v>-2.1162573730900223E-2</v>
      </c>
      <c r="AQ988" s="67">
        <f>+AI988*SQRT(T988*U988/S988)</f>
        <v>4441.8037803571724</v>
      </c>
      <c r="AS988" s="67">
        <f>+AP988^2/(AU988-2)*(AU988/(V988/AI988)^2+AU988*AV988^2-AU988+2)</f>
        <v>4.8085964713903617E-3</v>
      </c>
      <c r="AU988" s="67">
        <f>+S988-2</f>
        <v>840</v>
      </c>
      <c r="AV988" s="67">
        <f>IFERROR(1/(SQRT(AU988/2)*_xlfn.GAMMA(AU988/2-0.5)/_xlfn.GAMMA(AU988/2)),1)</f>
        <v>1</v>
      </c>
      <c r="AW988" s="67" t="s">
        <v>1350</v>
      </c>
    </row>
    <row r="989" spans="1:49" ht="30" customHeight="1" x14ac:dyDescent="0.25">
      <c r="A989" s="51" t="s">
        <v>145</v>
      </c>
      <c r="B989" s="51" t="s">
        <v>1082</v>
      </c>
      <c r="C989" s="64" t="s">
        <v>1208</v>
      </c>
      <c r="D989" s="64">
        <f t="shared" si="294"/>
        <v>10</v>
      </c>
      <c r="E989" s="64" t="s">
        <v>605</v>
      </c>
      <c r="F989" s="102" t="s">
        <v>240</v>
      </c>
      <c r="G989" s="49" t="s">
        <v>578</v>
      </c>
      <c r="H989" s="64">
        <v>1</v>
      </c>
      <c r="I989" s="64">
        <v>18</v>
      </c>
      <c r="J989" s="64">
        <v>1</v>
      </c>
      <c r="K989" s="49" t="s">
        <v>1335</v>
      </c>
      <c r="L989" s="64" t="s">
        <v>240</v>
      </c>
      <c r="M989" s="49" t="s">
        <v>1331</v>
      </c>
      <c r="N989" s="64" t="s">
        <v>240</v>
      </c>
      <c r="O989" s="101">
        <f>1-0.863</f>
        <v>0.13700000000000001</v>
      </c>
      <c r="P989" s="64">
        <f>1-0.872</f>
        <v>0.128</v>
      </c>
      <c r="Q989" s="64">
        <f>1-0.853</f>
        <v>0.14700000000000002</v>
      </c>
      <c r="R989" s="64" t="s">
        <v>1339</v>
      </c>
      <c r="S989" s="64">
        <f t="shared" si="293"/>
        <v>842</v>
      </c>
      <c r="T989" s="64">
        <v>462</v>
      </c>
      <c r="U989" s="64">
        <v>380</v>
      </c>
      <c r="V989" s="64">
        <v>-2.1000000000000001E-2</v>
      </c>
      <c r="W989" s="64"/>
      <c r="X989" s="64"/>
      <c r="Y989" s="64"/>
      <c r="Z989" s="64"/>
      <c r="AA989" s="64"/>
      <c r="AB989" s="64">
        <v>0.247</v>
      </c>
      <c r="AC989" s="64">
        <v>0.26800000000000002</v>
      </c>
      <c r="AD989" s="64"/>
      <c r="AE989" s="64"/>
      <c r="AF989" s="102">
        <f t="shared" si="286"/>
        <v>0.70661776501962603</v>
      </c>
      <c r="AG989" s="64"/>
      <c r="AH989" s="108">
        <v>0.48</v>
      </c>
      <c r="AI989" s="102">
        <f>ABS(V989/AF989)</f>
        <v>2.9719037702677534E-2</v>
      </c>
      <c r="AJ989" s="108"/>
      <c r="AK989" s="49"/>
      <c r="AL989" s="49" t="s">
        <v>1351</v>
      </c>
      <c r="AM989" s="64"/>
      <c r="AN989" s="64"/>
      <c r="AO989" s="64"/>
    </row>
    <row r="990" spans="1:49" ht="30" customHeight="1" x14ac:dyDescent="0.25">
      <c r="A990" s="51" t="s">
        <v>145</v>
      </c>
      <c r="B990" s="51" t="s">
        <v>1082</v>
      </c>
      <c r="C990" s="64" t="s">
        <v>1217</v>
      </c>
      <c r="D990" s="64">
        <f t="shared" si="294"/>
        <v>11</v>
      </c>
      <c r="E990" s="64" t="s">
        <v>605</v>
      </c>
      <c r="F990" s="102" t="s">
        <v>240</v>
      </c>
      <c r="G990" s="49" t="s">
        <v>578</v>
      </c>
      <c r="H990" s="64">
        <v>1</v>
      </c>
      <c r="I990" s="64">
        <v>-6</v>
      </c>
      <c r="J990" s="64">
        <v>1</v>
      </c>
      <c r="K990" s="49" t="s">
        <v>1330</v>
      </c>
      <c r="L990" s="64" t="s">
        <v>240</v>
      </c>
      <c r="M990" s="49" t="s">
        <v>1331</v>
      </c>
      <c r="N990" s="64" t="s">
        <v>240</v>
      </c>
      <c r="O990" s="101">
        <f>1-0.868</f>
        <v>0.13200000000000001</v>
      </c>
      <c r="P990" s="64">
        <f>1-0.874</f>
        <v>0.126</v>
      </c>
      <c r="Q990" s="64">
        <f>1-0.861</f>
        <v>0.13900000000000001</v>
      </c>
      <c r="R990" s="64" t="s">
        <v>1340</v>
      </c>
      <c r="S990" s="64">
        <f t="shared" si="293"/>
        <v>746</v>
      </c>
      <c r="T990" s="64">
        <v>416</v>
      </c>
      <c r="U990" s="64">
        <v>330</v>
      </c>
      <c r="V990" s="64">
        <v>2.8999999999999998E-3</v>
      </c>
      <c r="W990" s="64"/>
      <c r="X990" s="64"/>
      <c r="Y990" s="64"/>
      <c r="Z990" s="64"/>
      <c r="AA990" s="64"/>
      <c r="AB990" s="64">
        <v>0.436</v>
      </c>
      <c r="AC990" s="64">
        <v>0.40699999999999997</v>
      </c>
      <c r="AD990" s="64"/>
      <c r="AE990" s="64"/>
      <c r="AF990" s="102">
        <f t="shared" si="286"/>
        <v>0.86011994150673621</v>
      </c>
      <c r="AG990" s="64"/>
      <c r="AH990" s="108">
        <v>0.39</v>
      </c>
      <c r="AI990" s="102">
        <f>ABS(V990/AF990)</f>
        <v>3.3716227935837108E-3</v>
      </c>
      <c r="AJ990" s="108"/>
      <c r="AK990" s="49"/>
      <c r="AL990" s="49" t="s">
        <v>1351</v>
      </c>
      <c r="AM990" s="64"/>
      <c r="AN990" s="64"/>
      <c r="AO990" s="64"/>
    </row>
    <row r="991" spans="1:49" ht="30" customHeight="1" x14ac:dyDescent="0.25">
      <c r="A991" s="51" t="s">
        <v>145</v>
      </c>
      <c r="B991" s="51" t="s">
        <v>1082</v>
      </c>
      <c r="C991" s="64" t="s">
        <v>1217</v>
      </c>
      <c r="D991" s="64">
        <f t="shared" si="294"/>
        <v>12</v>
      </c>
      <c r="E991" s="64" t="s">
        <v>605</v>
      </c>
      <c r="F991" s="102" t="s">
        <v>240</v>
      </c>
      <c r="G991" s="49" t="s">
        <v>578</v>
      </c>
      <c r="H991" s="64">
        <v>1</v>
      </c>
      <c r="I991" s="64">
        <v>-6</v>
      </c>
      <c r="J991" s="64">
        <v>2</v>
      </c>
      <c r="K991" s="49" t="s">
        <v>1333</v>
      </c>
      <c r="L991" s="64" t="s">
        <v>1334</v>
      </c>
      <c r="M991" s="49" t="s">
        <v>1331</v>
      </c>
      <c r="N991" s="64" t="s">
        <v>240</v>
      </c>
      <c r="O991" s="101">
        <f>1-0.868</f>
        <v>0.13200000000000001</v>
      </c>
      <c r="P991" s="64">
        <f>1-0.874</f>
        <v>0.126</v>
      </c>
      <c r="Q991" s="64">
        <f>1-0.861</f>
        <v>0.13900000000000001</v>
      </c>
      <c r="R991" s="64" t="s">
        <v>1340</v>
      </c>
      <c r="S991" s="64">
        <f t="shared" si="293"/>
        <v>746</v>
      </c>
      <c r="T991" s="64">
        <v>416</v>
      </c>
      <c r="U991" s="64">
        <v>330</v>
      </c>
      <c r="V991" s="64">
        <v>35</v>
      </c>
      <c r="W991" s="64"/>
      <c r="X991" s="64"/>
      <c r="Y991" s="64"/>
      <c r="Z991" s="64"/>
      <c r="AA991" s="64"/>
      <c r="AB991" s="64">
        <v>1842</v>
      </c>
      <c r="AC991" s="64">
        <v>1806</v>
      </c>
      <c r="AD991" s="64"/>
      <c r="AE991" s="64"/>
      <c r="AF991" s="102">
        <f t="shared" si="286"/>
        <v>0.13835157868769402</v>
      </c>
      <c r="AG991" s="64"/>
      <c r="AH991" s="108">
        <v>0.89</v>
      </c>
      <c r="AI991" s="102">
        <f>ABS(V991/AF991)</f>
        <v>252.97868179015691</v>
      </c>
      <c r="AJ991" s="108"/>
      <c r="AK991" s="49"/>
      <c r="AL991" s="49" t="s">
        <v>1351</v>
      </c>
      <c r="AM991" s="64"/>
      <c r="AN991" s="64"/>
      <c r="AO991" s="64"/>
      <c r="AP991" s="67">
        <f>+V991/AQ991</f>
        <v>1.0198819310668661E-2</v>
      </c>
      <c r="AQ991" s="67">
        <f>+AI991*SQRT(T991*U991/S991)</f>
        <v>3431.7697896057057</v>
      </c>
      <c r="AS991" s="67">
        <f>+AP991^2/(AU991-2)*(AU991/(V991/AI991)^2+AU991*AV991^2-AU991+2)</f>
        <v>5.4490768528809375E-3</v>
      </c>
      <c r="AU991" s="67">
        <f>+S991-2</f>
        <v>744</v>
      </c>
      <c r="AV991" s="67">
        <f>IFERROR(1/(SQRT(AU991/2)*_xlfn.GAMMA(AU991/2-0.5)/_xlfn.GAMMA(AU991/2)),1)</f>
        <v>1</v>
      </c>
      <c r="AW991" s="67" t="s">
        <v>1350</v>
      </c>
    </row>
    <row r="992" spans="1:49" ht="30" customHeight="1" x14ac:dyDescent="0.25">
      <c r="A992" s="51" t="s">
        <v>145</v>
      </c>
      <c r="B992" s="51" t="s">
        <v>1082</v>
      </c>
      <c r="C992" s="64" t="s">
        <v>1217</v>
      </c>
      <c r="D992" s="64">
        <f t="shared" si="294"/>
        <v>13</v>
      </c>
      <c r="E992" s="64" t="s">
        <v>605</v>
      </c>
      <c r="F992" s="102" t="s">
        <v>240</v>
      </c>
      <c r="G992" s="49" t="s">
        <v>578</v>
      </c>
      <c r="H992" s="64">
        <v>1</v>
      </c>
      <c r="I992" s="64">
        <v>18</v>
      </c>
      <c r="J992" s="64">
        <v>1</v>
      </c>
      <c r="K992" s="49" t="s">
        <v>1337</v>
      </c>
      <c r="L992" s="64" t="s">
        <v>240</v>
      </c>
      <c r="M992" s="49" t="s">
        <v>1331</v>
      </c>
      <c r="N992" s="64" t="s">
        <v>240</v>
      </c>
      <c r="O992" s="101">
        <f>1-0.868</f>
        <v>0.13200000000000001</v>
      </c>
      <c r="P992" s="64">
        <f>1-0.874</f>
        <v>0.126</v>
      </c>
      <c r="Q992" s="64">
        <f>1-0.861</f>
        <v>0.13900000000000001</v>
      </c>
      <c r="R992" s="64" t="s">
        <v>1341</v>
      </c>
      <c r="S992" s="64">
        <f t="shared" si="293"/>
        <v>718</v>
      </c>
      <c r="T992" s="64">
        <v>397</v>
      </c>
      <c r="U992" s="64">
        <v>321</v>
      </c>
      <c r="V992" s="64">
        <v>7.6999999999999999E-2</v>
      </c>
      <c r="W992" s="64"/>
      <c r="X992" s="64"/>
      <c r="Y992" s="64"/>
      <c r="Z992" s="64"/>
      <c r="AA992" s="64"/>
      <c r="AB992" s="64">
        <v>0.45</v>
      </c>
      <c r="AC992" s="64">
        <v>0.373</v>
      </c>
      <c r="AD992" s="64"/>
      <c r="AE992" s="64"/>
      <c r="AF992" s="102">
        <f t="shared" si="286"/>
        <v>2.1744247397408163</v>
      </c>
      <c r="AG992" s="64"/>
      <c r="AH992" s="108">
        <v>0.03</v>
      </c>
      <c r="AI992" s="102">
        <f>ABS(V992/AF992)</f>
        <v>3.5411664792398434E-2</v>
      </c>
      <c r="AJ992" s="108"/>
      <c r="AK992" s="49"/>
      <c r="AL992" s="49" t="s">
        <v>1351</v>
      </c>
      <c r="AM992" s="64"/>
      <c r="AN992" s="64"/>
      <c r="AO992" s="64"/>
    </row>
    <row r="993" spans="1:49" ht="30" customHeight="1" x14ac:dyDescent="0.25">
      <c r="A993" s="51" t="s">
        <v>145</v>
      </c>
      <c r="B993" s="51" t="s">
        <v>1082</v>
      </c>
      <c r="C993" s="64" t="s">
        <v>1217</v>
      </c>
      <c r="D993" s="64">
        <f t="shared" si="294"/>
        <v>14</v>
      </c>
      <c r="E993" s="64" t="s">
        <v>605</v>
      </c>
      <c r="F993" s="102" t="s">
        <v>240</v>
      </c>
      <c r="G993" s="49" t="s">
        <v>578</v>
      </c>
      <c r="H993" s="64">
        <v>1</v>
      </c>
      <c r="I993" s="64">
        <v>18</v>
      </c>
      <c r="J993" s="64">
        <v>2</v>
      </c>
      <c r="K993" s="49" t="s">
        <v>1338</v>
      </c>
      <c r="L993" s="64" t="s">
        <v>1334</v>
      </c>
      <c r="M993" s="49" t="s">
        <v>1331</v>
      </c>
      <c r="N993" s="64" t="s">
        <v>240</v>
      </c>
      <c r="O993" s="101">
        <f>1-0.868</f>
        <v>0.13200000000000001</v>
      </c>
      <c r="P993" s="64">
        <f>1-0.874</f>
        <v>0.126</v>
      </c>
      <c r="Q993" s="64">
        <f>1-0.861</f>
        <v>0.13900000000000001</v>
      </c>
      <c r="R993" s="64" t="s">
        <v>1341</v>
      </c>
      <c r="S993" s="64">
        <f t="shared" si="293"/>
        <v>718</v>
      </c>
      <c r="T993" s="64">
        <v>397</v>
      </c>
      <c r="U993" s="64">
        <v>321</v>
      </c>
      <c r="V993" s="64">
        <v>521</v>
      </c>
      <c r="W993" s="64"/>
      <c r="X993" s="64"/>
      <c r="Y993" s="64"/>
      <c r="Z993" s="64"/>
      <c r="AA993" s="64"/>
      <c r="AB993" s="64">
        <v>2462</v>
      </c>
      <c r="AC993" s="64">
        <v>1941</v>
      </c>
      <c r="AD993" s="64"/>
      <c r="AE993" s="64"/>
      <c r="AF993" s="67">
        <f t="shared" si="286"/>
        <v>1.6001789822478723</v>
      </c>
      <c r="AG993" s="64"/>
      <c r="AH993" s="108">
        <v>0.11</v>
      </c>
      <c r="AI993" s="67">
        <f>+ABS(V993/AF993)</f>
        <v>325.58857839022386</v>
      </c>
      <c r="AJ993" s="108"/>
      <c r="AK993" s="49"/>
      <c r="AL993" s="49" t="s">
        <v>1351</v>
      </c>
      <c r="AM993" s="64"/>
      <c r="AN993" s="64"/>
      <c r="AO993" s="64"/>
      <c r="AP993" s="67">
        <f>+V993/AQ993</f>
        <v>0.12011106405026731</v>
      </c>
      <c r="AQ993" s="67">
        <f>+AI993*SQRT(T993*U993/S993)</f>
        <v>4337.6520233136716</v>
      </c>
      <c r="AS993" s="67">
        <f>+AP993^2/(AU993-2)*(AU993/(V993/AI993)^2+AU993*AV993^2-AU993+2)</f>
        <v>5.690349270018027E-3</v>
      </c>
      <c r="AU993" s="67">
        <f>+S993-2</f>
        <v>716</v>
      </c>
      <c r="AV993" s="67">
        <f>IFERROR(1/(SQRT(AU993/2)*_xlfn.GAMMA(AU993/2-0.5)/_xlfn.GAMMA(AU993/2)),1)</f>
        <v>1</v>
      </c>
      <c r="AW993" s="67" t="s">
        <v>1350</v>
      </c>
    </row>
    <row r="994" spans="1:49" ht="30" customHeight="1" x14ac:dyDescent="0.25">
      <c r="A994" s="51" t="s">
        <v>145</v>
      </c>
      <c r="B994" s="51" t="s">
        <v>1082</v>
      </c>
      <c r="C994" s="64" t="s">
        <v>1217</v>
      </c>
      <c r="D994" s="64">
        <f t="shared" si="294"/>
        <v>15</v>
      </c>
      <c r="E994" s="64" t="s">
        <v>605</v>
      </c>
      <c r="F994" s="102" t="s">
        <v>240</v>
      </c>
      <c r="G994" s="49" t="s">
        <v>578</v>
      </c>
      <c r="H994" s="64">
        <v>1</v>
      </c>
      <c r="I994" s="64">
        <v>18</v>
      </c>
      <c r="J994" s="64">
        <v>1</v>
      </c>
      <c r="K994" s="49" t="s">
        <v>1335</v>
      </c>
      <c r="L994" s="64" t="s">
        <v>240</v>
      </c>
      <c r="M994" s="49" t="s">
        <v>1331</v>
      </c>
      <c r="N994" s="64" t="s">
        <v>240</v>
      </c>
      <c r="O994" s="101">
        <f>1-0.868</f>
        <v>0.13200000000000001</v>
      </c>
      <c r="P994" s="64">
        <f>1-0.874</f>
        <v>0.126</v>
      </c>
      <c r="Q994" s="64">
        <f>1-0.861</f>
        <v>0.13900000000000001</v>
      </c>
      <c r="R994" s="64" t="s">
        <v>1341</v>
      </c>
      <c r="S994" s="64">
        <f t="shared" si="293"/>
        <v>718</v>
      </c>
      <c r="T994" s="64">
        <v>397</v>
      </c>
      <c r="U994" s="64">
        <v>321</v>
      </c>
      <c r="V994" s="64">
        <v>5.2999999999999999E-2</v>
      </c>
      <c r="W994" s="64"/>
      <c r="X994" s="64"/>
      <c r="Y994" s="64"/>
      <c r="Z994" s="64"/>
      <c r="AA994" s="64"/>
      <c r="AB994" s="64">
        <v>0.311</v>
      </c>
      <c r="AC994" s="64">
        <v>0.25800000000000001</v>
      </c>
      <c r="AD994" s="64"/>
      <c r="AE994" s="64"/>
      <c r="AF994" s="102">
        <f t="shared" si="286"/>
        <v>1.6001789822478723</v>
      </c>
      <c r="AG994" s="64"/>
      <c r="AH994" s="108">
        <v>0.11</v>
      </c>
      <c r="AI994" s="102">
        <f>ABS(V994/AF994)</f>
        <v>3.3121294922613946E-2</v>
      </c>
      <c r="AJ994" s="108"/>
      <c r="AK994" s="49"/>
      <c r="AL994" s="49" t="s">
        <v>1351</v>
      </c>
      <c r="AM994" s="64"/>
      <c r="AN994" s="64"/>
      <c r="AO994" s="64"/>
    </row>
    <row r="995" spans="1:49" ht="30" customHeight="1" x14ac:dyDescent="0.25">
      <c r="A995" s="51" t="s">
        <v>145</v>
      </c>
      <c r="B995" s="51" t="s">
        <v>1082</v>
      </c>
      <c r="C995" s="64" t="s">
        <v>1224</v>
      </c>
      <c r="D995" s="64">
        <f t="shared" si="294"/>
        <v>16</v>
      </c>
      <c r="E995" s="64" t="s">
        <v>605</v>
      </c>
      <c r="F995" s="102" t="s">
        <v>240</v>
      </c>
      <c r="G995" s="49" t="s">
        <v>578</v>
      </c>
      <c r="H995" s="64">
        <v>1</v>
      </c>
      <c r="I995" s="64">
        <v>-6</v>
      </c>
      <c r="J995" s="64">
        <v>1</v>
      </c>
      <c r="K995" s="49" t="s">
        <v>1330</v>
      </c>
      <c r="L995" s="64" t="s">
        <v>240</v>
      </c>
      <c r="M995" s="49" t="s">
        <v>1331</v>
      </c>
      <c r="N995" s="64" t="s">
        <v>240</v>
      </c>
      <c r="O995" s="101">
        <f>1-0.815</f>
        <v>0.18500000000000005</v>
      </c>
      <c r="P995" s="64">
        <f>1-0.837</f>
        <v>0.16300000000000003</v>
      </c>
      <c r="Q995" s="64">
        <f>1-0.791</f>
        <v>0.20899999999999996</v>
      </c>
      <c r="R995" s="64" t="s">
        <v>1342</v>
      </c>
      <c r="S995" s="64">
        <f t="shared" si="293"/>
        <v>730</v>
      </c>
      <c r="T995" s="64">
        <v>398</v>
      </c>
      <c r="U995" s="64">
        <v>332</v>
      </c>
      <c r="V995" s="64">
        <v>9.4E-2</v>
      </c>
      <c r="W995" s="64"/>
      <c r="X995" s="64"/>
      <c r="Y995" s="64"/>
      <c r="Z995" s="64"/>
      <c r="AA995" s="64"/>
      <c r="AB995" s="64">
        <v>0.22800000000000001</v>
      </c>
      <c r="AC995" s="64">
        <v>0.13400000000000001</v>
      </c>
      <c r="AD995" s="64"/>
      <c r="AE995" s="64"/>
      <c r="AF995" s="102">
        <f t="shared" si="286"/>
        <v>3.9122581567112102</v>
      </c>
      <c r="AG995" s="64"/>
      <c r="AH995" s="108">
        <v>1E-4</v>
      </c>
      <c r="AI995" s="102">
        <f>ABS(V995/AF995)</f>
        <v>2.4027044288667265E-2</v>
      </c>
      <c r="AJ995" s="108"/>
      <c r="AK995" s="49"/>
      <c r="AL995" s="49" t="s">
        <v>1351</v>
      </c>
      <c r="AM995" s="64"/>
      <c r="AN995" s="64"/>
      <c r="AO995" s="64"/>
    </row>
    <row r="996" spans="1:49" ht="30" customHeight="1" x14ac:dyDescent="0.25">
      <c r="A996" s="51" t="s">
        <v>145</v>
      </c>
      <c r="B996" s="51" t="s">
        <v>1082</v>
      </c>
      <c r="C996" s="64" t="s">
        <v>1224</v>
      </c>
      <c r="D996" s="64">
        <f t="shared" si="294"/>
        <v>17</v>
      </c>
      <c r="E996" s="64" t="s">
        <v>605</v>
      </c>
      <c r="F996" s="102" t="s">
        <v>240</v>
      </c>
      <c r="G996" s="49" t="s">
        <v>578</v>
      </c>
      <c r="H996" s="64">
        <v>1</v>
      </c>
      <c r="I996" s="64">
        <v>-6</v>
      </c>
      <c r="J996" s="64">
        <v>2</v>
      </c>
      <c r="K996" s="49" t="s">
        <v>1333</v>
      </c>
      <c r="L996" s="64" t="s">
        <v>1334</v>
      </c>
      <c r="M996" s="49" t="s">
        <v>1331</v>
      </c>
      <c r="N996" s="64" t="s">
        <v>240</v>
      </c>
      <c r="O996" s="101">
        <f>1-0.815</f>
        <v>0.18500000000000005</v>
      </c>
      <c r="P996" s="64">
        <f>1-0.837</f>
        <v>0.16300000000000003</v>
      </c>
      <c r="Q996" s="64">
        <f>1-0.791</f>
        <v>0.20899999999999996</v>
      </c>
      <c r="R996" s="64" t="s">
        <v>1342</v>
      </c>
      <c r="S996" s="64">
        <f t="shared" si="293"/>
        <v>730</v>
      </c>
      <c r="T996" s="64">
        <v>398</v>
      </c>
      <c r="U996" s="64">
        <v>332</v>
      </c>
      <c r="V996" s="64">
        <v>306</v>
      </c>
      <c r="W996" s="64"/>
      <c r="X996" s="64"/>
      <c r="Y996" s="64"/>
      <c r="Z996" s="64"/>
      <c r="AA996" s="64"/>
      <c r="AB996" s="64">
        <v>895</v>
      </c>
      <c r="AC996" s="64">
        <v>588</v>
      </c>
      <c r="AD996" s="64"/>
      <c r="AE996" s="64"/>
      <c r="AF996" s="67">
        <f t="shared" si="286"/>
        <v>1.8145795637163702</v>
      </c>
      <c r="AG996" s="64"/>
      <c r="AH996" s="108">
        <v>7.0000000000000007E-2</v>
      </c>
      <c r="AI996" s="67">
        <f>+ABS(V996/AF996)</f>
        <v>168.63410462602877</v>
      </c>
      <c r="AJ996" s="108"/>
      <c r="AK996" s="49"/>
      <c r="AL996" s="49" t="s">
        <v>1351</v>
      </c>
      <c r="AM996" s="64"/>
      <c r="AN996" s="64"/>
      <c r="AO996" s="64"/>
      <c r="AP996" s="67">
        <f>+V996/AQ996</f>
        <v>0.13487357450315807</v>
      </c>
      <c r="AQ996" s="67">
        <f>+AI996*SQRT(T996*U996/S996)</f>
        <v>2268.7913561068631</v>
      </c>
      <c r="AS996" s="67">
        <f>+AP996^2/(AU996-2)*(AU996/(V996/AI996)^2+AU996*AV996^2-AU996+2)</f>
        <v>5.5899429410180244E-3</v>
      </c>
      <c r="AU996" s="67">
        <f>+S996-2</f>
        <v>728</v>
      </c>
      <c r="AV996" s="67">
        <f>IFERROR(1/(SQRT(AU996/2)*_xlfn.GAMMA(AU996/2-0.5)/_xlfn.GAMMA(AU996/2)),1)</f>
        <v>1</v>
      </c>
      <c r="AW996" s="67" t="s">
        <v>1350</v>
      </c>
    </row>
    <row r="997" spans="1:49" ht="30" customHeight="1" x14ac:dyDescent="0.25">
      <c r="A997" s="51" t="s">
        <v>145</v>
      </c>
      <c r="B997" s="51" t="s">
        <v>1082</v>
      </c>
      <c r="C997" s="64" t="s">
        <v>1224</v>
      </c>
      <c r="D997" s="64">
        <f t="shared" si="294"/>
        <v>18</v>
      </c>
      <c r="E997" s="64" t="s">
        <v>605</v>
      </c>
      <c r="F997" s="102" t="s">
        <v>240</v>
      </c>
      <c r="G997" s="49" t="s">
        <v>578</v>
      </c>
      <c r="H997" s="64">
        <v>1</v>
      </c>
      <c r="I997" s="64">
        <v>18</v>
      </c>
      <c r="J997" s="64">
        <v>1</v>
      </c>
      <c r="K997" s="49" t="s">
        <v>1337</v>
      </c>
      <c r="L997" s="64" t="s">
        <v>240</v>
      </c>
      <c r="M997" s="49" t="s">
        <v>1331</v>
      </c>
      <c r="N997" s="64" t="s">
        <v>240</v>
      </c>
      <c r="O997" s="101">
        <f>1-0.815</f>
        <v>0.18500000000000005</v>
      </c>
      <c r="P997" s="64">
        <f>1-0.837</f>
        <v>0.16300000000000003</v>
      </c>
      <c r="Q997" s="64">
        <f>1-0.791</f>
        <v>0.20899999999999996</v>
      </c>
      <c r="R997" s="64" t="s">
        <v>1343</v>
      </c>
      <c r="S997" s="64">
        <f t="shared" si="293"/>
        <v>685</v>
      </c>
      <c r="T997" s="64">
        <v>375</v>
      </c>
      <c r="U997" s="64">
        <v>310</v>
      </c>
      <c r="V997" s="64">
        <v>7.8E-2</v>
      </c>
      <c r="W997" s="64"/>
      <c r="X997" s="64"/>
      <c r="Y997" s="64"/>
      <c r="Z997" s="64"/>
      <c r="AA997" s="64"/>
      <c r="AB997" s="64">
        <v>0.32700000000000001</v>
      </c>
      <c r="AC997" s="64">
        <v>0.249</v>
      </c>
      <c r="AD997" s="64"/>
      <c r="AE997" s="64"/>
      <c r="AF997" s="102">
        <f t="shared" si="286"/>
        <v>2.3318200015805588</v>
      </c>
      <c r="AG997" s="64"/>
      <c r="AH997" s="108">
        <v>0.02</v>
      </c>
      <c r="AI997" s="102">
        <f>ABS(V997/AF997)</f>
        <v>3.3450266292908495E-2</v>
      </c>
      <c r="AJ997" s="108"/>
      <c r="AK997" s="49"/>
      <c r="AL997" s="49" t="s">
        <v>1351</v>
      </c>
      <c r="AM997" s="64"/>
      <c r="AN997" s="64"/>
      <c r="AO997" s="64"/>
    </row>
    <row r="998" spans="1:49" ht="30" customHeight="1" x14ac:dyDescent="0.25">
      <c r="A998" s="51" t="s">
        <v>145</v>
      </c>
      <c r="B998" s="51" t="s">
        <v>1082</v>
      </c>
      <c r="C998" s="64" t="s">
        <v>1224</v>
      </c>
      <c r="D998" s="64">
        <f t="shared" si="294"/>
        <v>19</v>
      </c>
      <c r="E998" s="64" t="s">
        <v>605</v>
      </c>
      <c r="F998" s="102" t="s">
        <v>240</v>
      </c>
      <c r="G998" s="49" t="s">
        <v>578</v>
      </c>
      <c r="H998" s="64">
        <v>1</v>
      </c>
      <c r="I998" s="64">
        <v>18</v>
      </c>
      <c r="J998" s="64">
        <v>2</v>
      </c>
      <c r="K998" s="49" t="s">
        <v>1338</v>
      </c>
      <c r="L998" s="64" t="s">
        <v>1334</v>
      </c>
      <c r="M998" s="49" t="s">
        <v>1331</v>
      </c>
      <c r="N998" s="64" t="s">
        <v>240</v>
      </c>
      <c r="O998" s="101">
        <f>1-0.815</f>
        <v>0.18500000000000005</v>
      </c>
      <c r="P998" s="64">
        <f>1-0.837</f>
        <v>0.16300000000000003</v>
      </c>
      <c r="Q998" s="64">
        <f>1-0.791</f>
        <v>0.20899999999999996</v>
      </c>
      <c r="R998" s="64" t="s">
        <v>1343</v>
      </c>
      <c r="S998" s="64">
        <f t="shared" si="293"/>
        <v>685</v>
      </c>
      <c r="T998" s="64">
        <v>375</v>
      </c>
      <c r="U998" s="64">
        <v>310</v>
      </c>
      <c r="V998" s="64">
        <v>615</v>
      </c>
      <c r="W998" s="64"/>
      <c r="X998" s="64"/>
      <c r="Y998" s="64"/>
      <c r="Z998" s="64"/>
      <c r="AA998" s="64"/>
      <c r="AB998" s="64">
        <v>1834</v>
      </c>
      <c r="AC998" s="64">
        <v>1219</v>
      </c>
      <c r="AD998" s="64"/>
      <c r="AE998" s="64"/>
      <c r="AF998" s="67">
        <f t="shared" si="286"/>
        <v>2.0576787163771915</v>
      </c>
      <c r="AG998" s="64"/>
      <c r="AH998" s="108">
        <v>0.04</v>
      </c>
      <c r="AI998" s="67">
        <f>+ABS(V998/AF998)</f>
        <v>298.88047881585067</v>
      </c>
      <c r="AJ998" s="108"/>
      <c r="AK998" s="49"/>
      <c r="AL998" s="49" t="s">
        <v>1351</v>
      </c>
      <c r="AM998" s="64"/>
      <c r="AN998" s="64"/>
      <c r="AO998" s="64"/>
      <c r="AP998" s="67">
        <f>+V998/AQ998</f>
        <v>0.15795245138310754</v>
      </c>
      <c r="AQ998" s="67">
        <f>+AI998*SQRT(T998*U998/S998)</f>
        <v>3893.5767986806445</v>
      </c>
      <c r="AS998" s="67">
        <f>+AP998^2/(AU998-2)*(AU998/(V998/AI998)^2+AU998*AV998^2-AU998+2)</f>
        <v>5.9830500639953188E-3</v>
      </c>
      <c r="AU998" s="67">
        <f>+S998-2</f>
        <v>683</v>
      </c>
      <c r="AV998" s="67">
        <f>IFERROR(1/(SQRT(AU998/2)*_xlfn.GAMMA(AU998/2-0.5)/_xlfn.GAMMA(AU998/2)),1)</f>
        <v>1</v>
      </c>
      <c r="AW998" s="67" t="s">
        <v>1350</v>
      </c>
    </row>
    <row r="999" spans="1:49" ht="30" customHeight="1" x14ac:dyDescent="0.25">
      <c r="A999" s="51" t="s">
        <v>145</v>
      </c>
      <c r="B999" s="51" t="s">
        <v>1082</v>
      </c>
      <c r="C999" s="64" t="s">
        <v>1224</v>
      </c>
      <c r="D999" s="64">
        <f t="shared" si="294"/>
        <v>20</v>
      </c>
      <c r="E999" s="64" t="s">
        <v>605</v>
      </c>
      <c r="F999" s="102" t="s">
        <v>240</v>
      </c>
      <c r="G999" s="49" t="s">
        <v>578</v>
      </c>
      <c r="H999" s="64">
        <v>1</v>
      </c>
      <c r="I999" s="64">
        <v>18</v>
      </c>
      <c r="J999" s="64">
        <v>1</v>
      </c>
      <c r="K999" s="49" t="s">
        <v>1344</v>
      </c>
      <c r="L999" s="64" t="s">
        <v>240</v>
      </c>
      <c r="M999" s="49" t="s">
        <v>1331</v>
      </c>
      <c r="N999" s="64" t="s">
        <v>240</v>
      </c>
      <c r="O999" s="101">
        <f>1-0.815</f>
        <v>0.18500000000000005</v>
      </c>
      <c r="P999" s="64">
        <f>1-0.837</f>
        <v>0.16300000000000003</v>
      </c>
      <c r="Q999" s="64">
        <f>1-0.791</f>
        <v>0.20899999999999996</v>
      </c>
      <c r="R999" s="64" t="s">
        <v>1343</v>
      </c>
      <c r="S999" s="64">
        <f t="shared" si="293"/>
        <v>685</v>
      </c>
      <c r="T999" s="64">
        <v>375</v>
      </c>
      <c r="U999" s="64">
        <v>310</v>
      </c>
      <c r="V999" s="64">
        <v>1.6E-2</v>
      </c>
      <c r="W999" s="64"/>
      <c r="X999" s="64"/>
      <c r="Y999" s="64"/>
      <c r="Z999" s="64"/>
      <c r="AA999" s="64"/>
      <c r="AB999" s="64">
        <v>0.17399999999999999</v>
      </c>
      <c r="AC999" s="64">
        <v>0.158</v>
      </c>
      <c r="AD999" s="64"/>
      <c r="AE999" s="64"/>
      <c r="AF999" s="102">
        <f t="shared" si="286"/>
        <v>0.53909062363849991</v>
      </c>
      <c r="AG999" s="64"/>
      <c r="AH999" s="108">
        <v>0.59</v>
      </c>
      <c r="AI999" s="102">
        <f>ABS(V999/AF999)</f>
        <v>2.9679610993807941E-2</v>
      </c>
      <c r="AJ999" s="108"/>
      <c r="AK999" s="49"/>
      <c r="AL999" s="49" t="s">
        <v>1351</v>
      </c>
      <c r="AM999" s="64"/>
      <c r="AN999" s="64"/>
      <c r="AO999" s="64"/>
    </row>
    <row r="1000" spans="1:49" ht="30" customHeight="1" x14ac:dyDescent="0.25">
      <c r="A1000" s="51" t="s">
        <v>145</v>
      </c>
      <c r="B1000" s="51" t="s">
        <v>1082</v>
      </c>
      <c r="C1000" s="64" t="s">
        <v>1232</v>
      </c>
      <c r="D1000" s="64">
        <f t="shared" si="294"/>
        <v>21</v>
      </c>
      <c r="E1000" s="64" t="s">
        <v>605</v>
      </c>
      <c r="F1000" s="102" t="s">
        <v>240</v>
      </c>
      <c r="G1000" s="49" t="s">
        <v>578</v>
      </c>
      <c r="H1000" s="64">
        <v>1</v>
      </c>
      <c r="I1000" s="64">
        <v>-6</v>
      </c>
      <c r="J1000" s="64">
        <v>1</v>
      </c>
      <c r="K1000" s="49" t="s">
        <v>1330</v>
      </c>
      <c r="L1000" s="64" t="s">
        <v>240</v>
      </c>
      <c r="M1000" s="49" t="s">
        <v>1331</v>
      </c>
      <c r="N1000" s="64" t="s">
        <v>240</v>
      </c>
      <c r="O1000" s="101">
        <f>1-0.746</f>
        <v>0.254</v>
      </c>
      <c r="P1000" s="64">
        <f>1-0.769</f>
        <v>0.23099999999999998</v>
      </c>
      <c r="Q1000" s="64">
        <f>1-0.72</f>
        <v>0.28000000000000003</v>
      </c>
      <c r="R1000" s="64" t="s">
        <v>1345</v>
      </c>
      <c r="S1000" s="64">
        <f t="shared" si="293"/>
        <v>639</v>
      </c>
      <c r="T1000" s="64">
        <v>344</v>
      </c>
      <c r="U1000" s="64">
        <v>295</v>
      </c>
      <c r="V1000" s="64">
        <v>-4.2000000000000003E-2</v>
      </c>
      <c r="W1000" s="64"/>
      <c r="X1000" s="64"/>
      <c r="Y1000" s="64"/>
      <c r="Z1000" s="64"/>
      <c r="AA1000" s="64"/>
      <c r="AB1000" s="64">
        <v>0.53400000000000003</v>
      </c>
      <c r="AC1000" s="64">
        <v>0.57499999999999996</v>
      </c>
      <c r="AD1000" s="64"/>
      <c r="AE1000" s="64"/>
      <c r="AF1000" s="102">
        <f t="shared" si="286"/>
        <v>1.0590025828990592</v>
      </c>
      <c r="AG1000" s="64"/>
      <c r="AH1000" s="108">
        <v>0.28999999999999998</v>
      </c>
      <c r="AI1000" s="102">
        <f>ABS(V1000/AF1000)</f>
        <v>3.965995992665422E-2</v>
      </c>
      <c r="AJ1000" s="108"/>
      <c r="AK1000" s="49"/>
      <c r="AL1000" s="49" t="s">
        <v>1351</v>
      </c>
      <c r="AM1000" s="64"/>
      <c r="AN1000" s="64"/>
      <c r="AO1000" s="64"/>
    </row>
    <row r="1001" spans="1:49" ht="30" customHeight="1" x14ac:dyDescent="0.25">
      <c r="A1001" s="51" t="s">
        <v>145</v>
      </c>
      <c r="B1001" s="51" t="s">
        <v>1082</v>
      </c>
      <c r="C1001" s="64" t="s">
        <v>1232</v>
      </c>
      <c r="D1001" s="64">
        <f t="shared" si="294"/>
        <v>22</v>
      </c>
      <c r="E1001" s="64" t="s">
        <v>605</v>
      </c>
      <c r="F1001" s="102" t="s">
        <v>240</v>
      </c>
      <c r="G1001" s="49" t="s">
        <v>578</v>
      </c>
      <c r="H1001" s="64">
        <v>1</v>
      </c>
      <c r="I1001" s="64">
        <v>-6</v>
      </c>
      <c r="J1001" s="64">
        <v>2</v>
      </c>
      <c r="K1001" s="49" t="s">
        <v>1333</v>
      </c>
      <c r="L1001" s="64" t="s">
        <v>1334</v>
      </c>
      <c r="M1001" s="49" t="s">
        <v>1331</v>
      </c>
      <c r="N1001" s="64" t="s">
        <v>240</v>
      </c>
      <c r="O1001" s="101">
        <f>1-0.746</f>
        <v>0.254</v>
      </c>
      <c r="P1001" s="64">
        <f>1-0.769</f>
        <v>0.23099999999999998</v>
      </c>
      <c r="Q1001" s="64">
        <f>1-0.72</f>
        <v>0.28000000000000003</v>
      </c>
      <c r="R1001" s="64" t="s">
        <v>1345</v>
      </c>
      <c r="S1001" s="64">
        <f t="shared" si="293"/>
        <v>639</v>
      </c>
      <c r="T1001" s="64">
        <v>344</v>
      </c>
      <c r="U1001" s="64">
        <v>295</v>
      </c>
      <c r="V1001" s="64">
        <v>-346</v>
      </c>
      <c r="W1001" s="64"/>
      <c r="X1001" s="64"/>
      <c r="Y1001" s="64"/>
      <c r="Z1001" s="64"/>
      <c r="AA1001" s="64"/>
      <c r="AB1001" s="64">
        <v>2591</v>
      </c>
      <c r="AC1001" s="64">
        <v>2938</v>
      </c>
      <c r="AD1001" s="64"/>
      <c r="AE1001" s="64"/>
      <c r="AF1001" s="67">
        <f t="shared" si="286"/>
        <v>0.97485951848425434</v>
      </c>
      <c r="AG1001" s="64"/>
      <c r="AH1001" s="108">
        <v>0.33</v>
      </c>
      <c r="AI1001" s="67">
        <f>+ABS(V1001/AF1001)</f>
        <v>354.92293344786015</v>
      </c>
      <c r="AJ1001" s="108"/>
      <c r="AK1001" s="49"/>
      <c r="AL1001" s="49" t="s">
        <v>1351</v>
      </c>
      <c r="AM1001" s="64"/>
      <c r="AN1001" s="64"/>
      <c r="AO1001" s="64"/>
      <c r="AP1001" s="67">
        <f>+V1001/AQ1001</f>
        <v>-7.7357466207375783E-2</v>
      </c>
      <c r="AQ1001" s="67">
        <f>+AI1001*SQRT(T1001*U1001/S1001)</f>
        <v>4472.7421535816802</v>
      </c>
      <c r="AS1001" s="67">
        <f>+AP1001^2/(AU1001-2)*(AU1001/(V1001/AI1001)^2+AU1001*AV1001^2-AU1001+2)</f>
        <v>6.3354875198438857E-3</v>
      </c>
      <c r="AU1001" s="67">
        <f>+S1001-2</f>
        <v>637</v>
      </c>
      <c r="AV1001" s="67">
        <f>IFERROR(1/(SQRT(AU1001/2)*_xlfn.GAMMA(AU1001/2-0.5)/_xlfn.GAMMA(AU1001/2)),1)</f>
        <v>1</v>
      </c>
      <c r="AW1001" s="67" t="s">
        <v>1350</v>
      </c>
    </row>
    <row r="1002" spans="1:49" ht="30" customHeight="1" x14ac:dyDescent="0.25">
      <c r="A1002" s="51" t="s">
        <v>145</v>
      </c>
      <c r="B1002" s="51" t="s">
        <v>1082</v>
      </c>
      <c r="C1002" s="64" t="s">
        <v>1232</v>
      </c>
      <c r="D1002" s="64">
        <f t="shared" si="294"/>
        <v>23</v>
      </c>
      <c r="E1002" s="64" t="s">
        <v>605</v>
      </c>
      <c r="F1002" s="102" t="s">
        <v>240</v>
      </c>
      <c r="G1002" s="49" t="s">
        <v>578</v>
      </c>
      <c r="H1002" s="64">
        <v>1</v>
      </c>
      <c r="I1002" s="64">
        <v>18</v>
      </c>
      <c r="J1002" s="64">
        <v>1</v>
      </c>
      <c r="K1002" s="49" t="s">
        <v>1337</v>
      </c>
      <c r="L1002" s="64" t="s">
        <v>240</v>
      </c>
      <c r="M1002" s="49" t="s">
        <v>1331</v>
      </c>
      <c r="N1002" s="64" t="s">
        <v>240</v>
      </c>
      <c r="O1002" s="101">
        <f>1-0.746</f>
        <v>0.254</v>
      </c>
      <c r="P1002" s="64">
        <f>1-0.769</f>
        <v>0.23099999999999998</v>
      </c>
      <c r="Q1002" s="64">
        <f>1-0.72</f>
        <v>0.28000000000000003</v>
      </c>
      <c r="R1002" s="64" t="s">
        <v>1346</v>
      </c>
      <c r="S1002" s="64">
        <f t="shared" si="293"/>
        <v>595</v>
      </c>
      <c r="T1002" s="64">
        <v>320</v>
      </c>
      <c r="U1002" s="64">
        <v>275</v>
      </c>
      <c r="V1002" s="64">
        <v>3.5999999999999997E-2</v>
      </c>
      <c r="W1002" s="64"/>
      <c r="X1002" s="64"/>
      <c r="Y1002" s="64"/>
      <c r="Z1002" s="64"/>
      <c r="AA1002" s="64"/>
      <c r="AB1002" s="64">
        <v>0.69399999999999995</v>
      </c>
      <c r="AC1002" s="64">
        <v>0.65800000000000003</v>
      </c>
      <c r="AD1002" s="64"/>
      <c r="AE1002" s="64"/>
      <c r="AF1002" s="102">
        <f t="shared" si="286"/>
        <v>0.93532802575865193</v>
      </c>
      <c r="AG1002" s="64"/>
      <c r="AH1002" s="108">
        <v>0.35</v>
      </c>
      <c r="AI1002" s="102">
        <f>ABS(V1002/AF1002)</f>
        <v>3.8489170653044545E-2</v>
      </c>
      <c r="AJ1002" s="108"/>
      <c r="AK1002" s="49"/>
      <c r="AL1002" s="49" t="s">
        <v>1351</v>
      </c>
      <c r="AM1002" s="64"/>
      <c r="AN1002" s="64"/>
      <c r="AO1002" s="64"/>
    </row>
    <row r="1003" spans="1:49" ht="30" customHeight="1" x14ac:dyDescent="0.25">
      <c r="A1003" s="51" t="s">
        <v>145</v>
      </c>
      <c r="B1003" s="51" t="s">
        <v>1082</v>
      </c>
      <c r="C1003" s="64" t="s">
        <v>1232</v>
      </c>
      <c r="D1003" s="64">
        <f t="shared" si="294"/>
        <v>24</v>
      </c>
      <c r="E1003" s="64" t="s">
        <v>605</v>
      </c>
      <c r="F1003" s="102" t="s">
        <v>240</v>
      </c>
      <c r="G1003" s="49" t="s">
        <v>578</v>
      </c>
      <c r="H1003" s="64">
        <v>1</v>
      </c>
      <c r="I1003" s="64">
        <v>18</v>
      </c>
      <c r="J1003" s="64">
        <v>2</v>
      </c>
      <c r="K1003" s="49" t="s">
        <v>1338</v>
      </c>
      <c r="L1003" s="64" t="s">
        <v>1334</v>
      </c>
      <c r="M1003" s="49" t="s">
        <v>1331</v>
      </c>
      <c r="N1003" s="64" t="s">
        <v>240</v>
      </c>
      <c r="O1003" s="101">
        <f>1-0.746</f>
        <v>0.254</v>
      </c>
      <c r="P1003" s="64">
        <f>1-0.769</f>
        <v>0.23099999999999998</v>
      </c>
      <c r="Q1003" s="64">
        <f>1-0.72</f>
        <v>0.28000000000000003</v>
      </c>
      <c r="R1003" s="64" t="s">
        <v>1346</v>
      </c>
      <c r="S1003" s="64">
        <f t="shared" si="293"/>
        <v>595</v>
      </c>
      <c r="T1003" s="64">
        <v>320</v>
      </c>
      <c r="U1003" s="64">
        <v>275</v>
      </c>
      <c r="V1003" s="64">
        <v>1162</v>
      </c>
      <c r="W1003" s="64"/>
      <c r="X1003" s="64"/>
      <c r="Y1003" s="64"/>
      <c r="Z1003" s="64"/>
      <c r="AA1003" s="64"/>
      <c r="AB1003" s="64">
        <v>6823</v>
      </c>
      <c r="AC1003" s="64">
        <v>5660</v>
      </c>
      <c r="AD1003" s="64"/>
      <c r="AE1003" s="64"/>
      <c r="AF1003" s="67">
        <f t="shared" si="286"/>
        <v>1.8843981829180434</v>
      </c>
      <c r="AG1003" s="64"/>
      <c r="AH1003" s="108">
        <v>0.06</v>
      </c>
      <c r="AI1003" s="67">
        <f>+ABS(V1003/AF1003)</f>
        <v>616.6424965452951</v>
      </c>
      <c r="AJ1003" s="108"/>
      <c r="AK1003" s="49"/>
      <c r="AL1003" s="49" t="s">
        <v>1351</v>
      </c>
      <c r="AM1003" s="64"/>
      <c r="AN1003" s="64"/>
      <c r="AO1003" s="64"/>
      <c r="AP1003" s="67">
        <f>+V1003/AQ1003</f>
        <v>0.15494937312906618</v>
      </c>
      <c r="AQ1003" s="67">
        <f>+AI1003*SQRT(T1003*U1003/S1003)</f>
        <v>7499.2236272689133</v>
      </c>
      <c r="AS1003" s="67">
        <f>+AP1003^2/(AU1003-2)*(AU1003/(V1003/AI1003)^2+AU1003*AV1003^2-AU1003+2)</f>
        <v>6.8654945056342096E-3</v>
      </c>
      <c r="AU1003" s="67">
        <f>+S1003-2</f>
        <v>593</v>
      </c>
      <c r="AV1003" s="67">
        <f>IFERROR(1/(SQRT(AU1003/2)*_xlfn.GAMMA(AU1003/2-0.5)/_xlfn.GAMMA(AU1003/2)),1)</f>
        <v>1</v>
      </c>
      <c r="AW1003" s="67" t="s">
        <v>1350</v>
      </c>
    </row>
    <row r="1004" spans="1:49" ht="30" customHeight="1" x14ac:dyDescent="0.25">
      <c r="A1004" s="51" t="s">
        <v>145</v>
      </c>
      <c r="B1004" s="51" t="s">
        <v>1082</v>
      </c>
      <c r="C1004" s="64" t="s">
        <v>1232</v>
      </c>
      <c r="D1004" s="64">
        <f t="shared" si="294"/>
        <v>25</v>
      </c>
      <c r="E1004" s="64" t="s">
        <v>605</v>
      </c>
      <c r="F1004" s="102" t="s">
        <v>240</v>
      </c>
      <c r="G1004" s="49" t="s">
        <v>578</v>
      </c>
      <c r="H1004" s="64">
        <v>1</v>
      </c>
      <c r="I1004" s="64">
        <v>18</v>
      </c>
      <c r="J1004" s="64">
        <v>1</v>
      </c>
      <c r="K1004" s="49" t="s">
        <v>1344</v>
      </c>
      <c r="L1004" s="64" t="s">
        <v>240</v>
      </c>
      <c r="M1004" s="49" t="s">
        <v>1331</v>
      </c>
      <c r="N1004" s="64" t="s">
        <v>240</v>
      </c>
      <c r="O1004" s="101">
        <f>1-0.746</f>
        <v>0.254</v>
      </c>
      <c r="P1004" s="64">
        <f>1-0.769</f>
        <v>0.23099999999999998</v>
      </c>
      <c r="Q1004" s="64">
        <f>1-0.72</f>
        <v>0.28000000000000003</v>
      </c>
      <c r="R1004" s="64" t="s">
        <v>1346</v>
      </c>
      <c r="S1004" s="64">
        <f t="shared" si="293"/>
        <v>595</v>
      </c>
      <c r="T1004" s="64">
        <v>320</v>
      </c>
      <c r="U1004" s="64">
        <v>275</v>
      </c>
      <c r="V1004" s="64">
        <v>1.2999999999999999E-2</v>
      </c>
      <c r="W1004" s="64"/>
      <c r="X1004" s="64"/>
      <c r="Y1004" s="64"/>
      <c r="Z1004" s="64"/>
      <c r="AA1004" s="64"/>
      <c r="AB1004" s="64">
        <v>0.46500000000000002</v>
      </c>
      <c r="AC1004" s="64">
        <v>0.45300000000000001</v>
      </c>
      <c r="AD1004" s="64"/>
      <c r="AE1004" s="64"/>
      <c r="AF1004" s="102">
        <f t="shared" si="286"/>
        <v>0.31878738070956614</v>
      </c>
      <c r="AG1004" s="64"/>
      <c r="AH1004" s="108">
        <v>0.75</v>
      </c>
      <c r="AI1004" s="102">
        <f>ABS(V1004/AF1004)</f>
        <v>4.0779531395076632E-2</v>
      </c>
      <c r="AJ1004" s="108"/>
      <c r="AK1004" s="49"/>
      <c r="AL1004" s="49" t="s">
        <v>1351</v>
      </c>
      <c r="AM1004" s="64"/>
      <c r="AN1004" s="64"/>
      <c r="AO1004" s="64"/>
    </row>
    <row r="1005" spans="1:49" ht="30" customHeight="1" x14ac:dyDescent="0.25">
      <c r="A1005" s="51" t="s">
        <v>145</v>
      </c>
      <c r="B1005" s="51" t="s">
        <v>1082</v>
      </c>
      <c r="C1005" s="64" t="s">
        <v>1241</v>
      </c>
      <c r="D1005" s="64">
        <f t="shared" si="294"/>
        <v>26</v>
      </c>
      <c r="E1005" s="64" t="s">
        <v>605</v>
      </c>
      <c r="F1005" s="102" t="s">
        <v>240</v>
      </c>
      <c r="G1005" s="49" t="s">
        <v>578</v>
      </c>
      <c r="H1005" s="64">
        <v>1</v>
      </c>
      <c r="I1005" s="64">
        <v>-6</v>
      </c>
      <c r="J1005" s="64">
        <v>1</v>
      </c>
      <c r="K1005" s="49" t="s">
        <v>1330</v>
      </c>
      <c r="L1005" s="64" t="s">
        <v>240</v>
      </c>
      <c r="M1005" s="49" t="s">
        <v>1331</v>
      </c>
      <c r="N1005" s="64" t="s">
        <v>240</v>
      </c>
      <c r="O1005" s="101">
        <f>1-0.803</f>
        <v>0.19699999999999995</v>
      </c>
      <c r="P1005" s="64">
        <f>1-0.791</f>
        <v>0.20899999999999996</v>
      </c>
      <c r="Q1005" s="64">
        <f>1-0.803</f>
        <v>0.19699999999999995</v>
      </c>
      <c r="R1005" s="64" t="s">
        <v>1347</v>
      </c>
      <c r="S1005" s="64">
        <f t="shared" si="293"/>
        <v>733</v>
      </c>
      <c r="T1005" s="64">
        <v>389</v>
      </c>
      <c r="U1005" s="64">
        <v>344</v>
      </c>
      <c r="V1005" s="64">
        <v>0.191</v>
      </c>
      <c r="W1005" s="64"/>
      <c r="X1005" s="64"/>
      <c r="Y1005" s="64"/>
      <c r="Z1005" s="64"/>
      <c r="AA1005" s="64"/>
      <c r="AB1005" s="64">
        <v>0.42699999999999999</v>
      </c>
      <c r="AC1005" s="64">
        <v>0.23599999999999999</v>
      </c>
      <c r="AD1005" s="64"/>
      <c r="AE1005" s="64"/>
      <c r="AF1005" s="102">
        <f t="shared" si="286"/>
        <v>3.9121688011525255</v>
      </c>
      <c r="AG1005" s="64"/>
      <c r="AH1005" s="108">
        <v>1E-4</v>
      </c>
      <c r="AI1005" s="102">
        <f>ABS(V1005/AF1005)</f>
        <v>4.8822024229560688E-2</v>
      </c>
      <c r="AJ1005" s="108"/>
      <c r="AK1005" s="49"/>
      <c r="AL1005" s="49" t="s">
        <v>1351</v>
      </c>
      <c r="AM1005" s="64"/>
      <c r="AN1005" s="64"/>
      <c r="AO1005" s="64"/>
    </row>
    <row r="1006" spans="1:49" ht="30" customHeight="1" x14ac:dyDescent="0.25">
      <c r="A1006" s="51" t="s">
        <v>145</v>
      </c>
      <c r="B1006" s="51" t="s">
        <v>1082</v>
      </c>
      <c r="C1006" s="64" t="s">
        <v>1241</v>
      </c>
      <c r="D1006" s="64">
        <f t="shared" si="294"/>
        <v>27</v>
      </c>
      <c r="E1006" s="64" t="s">
        <v>605</v>
      </c>
      <c r="F1006" s="102" t="s">
        <v>240</v>
      </c>
      <c r="G1006" s="49" t="s">
        <v>578</v>
      </c>
      <c r="H1006" s="64">
        <v>1</v>
      </c>
      <c r="I1006" s="64">
        <v>-6</v>
      </c>
      <c r="J1006" s="64">
        <v>2</v>
      </c>
      <c r="K1006" s="49" t="s">
        <v>1333</v>
      </c>
      <c r="L1006" s="64" t="s">
        <v>1334</v>
      </c>
      <c r="M1006" s="49" t="s">
        <v>1331</v>
      </c>
      <c r="N1006" s="64" t="s">
        <v>240</v>
      </c>
      <c r="O1006" s="101">
        <f>1-0.803</f>
        <v>0.19699999999999995</v>
      </c>
      <c r="P1006" s="64">
        <f>1-0.791</f>
        <v>0.20899999999999996</v>
      </c>
      <c r="Q1006" s="64">
        <f>1-0.803</f>
        <v>0.19699999999999995</v>
      </c>
      <c r="R1006" s="64" t="s">
        <v>1347</v>
      </c>
      <c r="S1006" s="64">
        <f t="shared" si="293"/>
        <v>733</v>
      </c>
      <c r="T1006" s="64">
        <v>389</v>
      </c>
      <c r="U1006" s="64">
        <v>344</v>
      </c>
      <c r="V1006" s="64">
        <v>524</v>
      </c>
      <c r="W1006" s="64"/>
      <c r="X1006" s="64"/>
      <c r="Y1006" s="64"/>
      <c r="Z1006" s="64"/>
      <c r="AA1006" s="64"/>
      <c r="AB1006" s="64">
        <v>1559</v>
      </c>
      <c r="AC1006" s="64">
        <v>1035</v>
      </c>
      <c r="AD1006" s="64"/>
      <c r="AE1006" s="64"/>
      <c r="AF1006" s="67">
        <f t="shared" si="286"/>
        <v>2.5825716513109973</v>
      </c>
      <c r="AG1006" s="64"/>
      <c r="AH1006" s="108">
        <v>0.01</v>
      </c>
      <c r="AI1006" s="67">
        <f>+ABS(V1006/AF1006)</f>
        <v>202.89853322520619</v>
      </c>
      <c r="AJ1006" s="108"/>
      <c r="AK1006" s="49"/>
      <c r="AL1006" s="49" t="s">
        <v>1351</v>
      </c>
      <c r="AM1006" s="64"/>
      <c r="AN1006" s="64"/>
      <c r="AO1006" s="64"/>
      <c r="AP1006" s="67">
        <f>+V1006/AQ1006</f>
        <v>0.19113945566456381</v>
      </c>
      <c r="AQ1006" s="67">
        <f>+AI1006*SQRT(T1006*U1006/S1006)</f>
        <v>2741.4538676911525</v>
      </c>
      <c r="AS1006" s="67">
        <f>+AP1006^2/(AU1006-2)*(AU1006/(V1006/AI1006)^2+AU1006*AV1006^2-AU1006+2)</f>
        <v>5.5929299875384399E-3</v>
      </c>
      <c r="AU1006" s="67">
        <f>+S1006-2</f>
        <v>731</v>
      </c>
      <c r="AV1006" s="67">
        <f>IFERROR(1/(SQRT(AU1006/2)*_xlfn.GAMMA(AU1006/2-0.5)/_xlfn.GAMMA(AU1006/2)),1)</f>
        <v>1</v>
      </c>
      <c r="AW1006" s="67" t="s">
        <v>1350</v>
      </c>
    </row>
    <row r="1007" spans="1:49" ht="30" customHeight="1" x14ac:dyDescent="0.25">
      <c r="A1007" s="51" t="s">
        <v>145</v>
      </c>
      <c r="B1007" s="51" t="s">
        <v>1082</v>
      </c>
      <c r="C1007" s="64" t="s">
        <v>1241</v>
      </c>
      <c r="D1007" s="64">
        <f t="shared" si="294"/>
        <v>28</v>
      </c>
      <c r="E1007" s="64" t="s">
        <v>605</v>
      </c>
      <c r="F1007" s="102" t="s">
        <v>240</v>
      </c>
      <c r="G1007" s="49" t="s">
        <v>578</v>
      </c>
      <c r="H1007" s="64">
        <v>1</v>
      </c>
      <c r="I1007" s="64">
        <v>18</v>
      </c>
      <c r="J1007" s="64">
        <v>1</v>
      </c>
      <c r="K1007" s="49" t="s">
        <v>1337</v>
      </c>
      <c r="L1007" s="64" t="s">
        <v>240</v>
      </c>
      <c r="M1007" s="49" t="s">
        <v>1331</v>
      </c>
      <c r="N1007" s="64" t="s">
        <v>240</v>
      </c>
      <c r="O1007" s="101">
        <f>1-0.803</f>
        <v>0.19699999999999995</v>
      </c>
      <c r="P1007" s="64">
        <f>1-0.791</f>
        <v>0.20899999999999996</v>
      </c>
      <c r="Q1007" s="64">
        <f>1-0.803</f>
        <v>0.19699999999999995</v>
      </c>
      <c r="R1007" s="64" t="s">
        <v>1348</v>
      </c>
      <c r="S1007" s="64">
        <f t="shared" si="293"/>
        <v>676</v>
      </c>
      <c r="T1007" s="64">
        <v>365</v>
      </c>
      <c r="U1007" s="64">
        <v>311</v>
      </c>
      <c r="V1007" s="64">
        <v>5.7000000000000002E-2</v>
      </c>
      <c r="W1007" s="64"/>
      <c r="X1007" s="64"/>
      <c r="Y1007" s="64"/>
      <c r="Z1007" s="64"/>
      <c r="AA1007" s="64"/>
      <c r="AB1007" s="64">
        <v>0.35699999999999998</v>
      </c>
      <c r="AC1007" s="64">
        <v>0.30099999999999999</v>
      </c>
      <c r="AD1007" s="64"/>
      <c r="AE1007" s="64"/>
      <c r="AF1007" s="102">
        <f t="shared" si="286"/>
        <v>1.600302893837013</v>
      </c>
      <c r="AG1007" s="64"/>
      <c r="AH1007" s="108">
        <v>0.11</v>
      </c>
      <c r="AI1007" s="102">
        <f>ABS(V1007/AF1007)</f>
        <v>3.5618257155888962E-2</v>
      </c>
      <c r="AJ1007" s="108"/>
      <c r="AK1007" s="49"/>
      <c r="AL1007" s="49" t="s">
        <v>1351</v>
      </c>
      <c r="AM1007" s="64"/>
      <c r="AN1007" s="64"/>
      <c r="AO1007" s="64"/>
    </row>
    <row r="1008" spans="1:49" ht="30" customHeight="1" x14ac:dyDescent="0.25">
      <c r="A1008" s="51" t="s">
        <v>145</v>
      </c>
      <c r="B1008" s="51" t="s">
        <v>1082</v>
      </c>
      <c r="C1008" s="64" t="s">
        <v>1241</v>
      </c>
      <c r="D1008" s="64">
        <f t="shared" si="294"/>
        <v>29</v>
      </c>
      <c r="E1008" s="64" t="s">
        <v>605</v>
      </c>
      <c r="F1008" s="102" t="s">
        <v>240</v>
      </c>
      <c r="G1008" s="49" t="s">
        <v>578</v>
      </c>
      <c r="H1008" s="64">
        <v>1</v>
      </c>
      <c r="I1008" s="64">
        <v>18</v>
      </c>
      <c r="J1008" s="64">
        <v>2</v>
      </c>
      <c r="K1008" s="49" t="s">
        <v>1338</v>
      </c>
      <c r="L1008" s="64" t="s">
        <v>1334</v>
      </c>
      <c r="M1008" s="49" t="s">
        <v>1331</v>
      </c>
      <c r="N1008" s="64" t="s">
        <v>240</v>
      </c>
      <c r="O1008" s="101">
        <f>1-0.803</f>
        <v>0.19699999999999995</v>
      </c>
      <c r="P1008" s="64">
        <f>1-0.791</f>
        <v>0.20899999999999996</v>
      </c>
      <c r="Q1008" s="64">
        <f>1-0.803</f>
        <v>0.19699999999999995</v>
      </c>
      <c r="R1008" s="64" t="s">
        <v>1348</v>
      </c>
      <c r="S1008" s="64">
        <f t="shared" si="293"/>
        <v>676</v>
      </c>
      <c r="T1008" s="64">
        <v>365</v>
      </c>
      <c r="U1008" s="64">
        <v>311</v>
      </c>
      <c r="V1008" s="64">
        <v>241</v>
      </c>
      <c r="W1008" s="64"/>
      <c r="X1008" s="64"/>
      <c r="Y1008" s="64"/>
      <c r="Z1008" s="64"/>
      <c r="AA1008" s="64"/>
      <c r="AB1008" s="64">
        <v>1971</v>
      </c>
      <c r="AC1008" s="64">
        <v>1730</v>
      </c>
      <c r="AD1008" s="64"/>
      <c r="AE1008" s="64"/>
      <c r="AF1008" s="67">
        <f t="shared" si="286"/>
        <v>0.84215485378831945</v>
      </c>
      <c r="AG1008" s="64"/>
      <c r="AH1008" s="108">
        <v>0.4</v>
      </c>
      <c r="AI1008" s="67">
        <f>+ABS(V1008/AF1008)</f>
        <v>286.17064773288922</v>
      </c>
      <c r="AJ1008" s="108"/>
      <c r="AK1008" s="49"/>
      <c r="AL1008" s="49" t="s">
        <v>1351</v>
      </c>
      <c r="AM1008" s="64"/>
      <c r="AN1008" s="64"/>
      <c r="AO1008" s="64"/>
      <c r="AP1008" s="67">
        <f>+V1008/AQ1008</f>
        <v>6.4988823849541646E-2</v>
      </c>
      <c r="AQ1008" s="67">
        <f>+AI1008*SQRT(T1008*U1008/S1008)</f>
        <v>3708.3299208176045</v>
      </c>
      <c r="AS1008" s="67">
        <f>+AP1008^2/(AU1008-2)*(AU1008/(V1008/AI1008)^2+AU1008*AV1008^2-AU1008+2)</f>
        <v>5.9854538828329092E-3</v>
      </c>
      <c r="AU1008" s="67">
        <f>+S1008-2</f>
        <v>674</v>
      </c>
      <c r="AV1008" s="67">
        <f>IFERROR(1/(SQRT(AU1008/2)*_xlfn.GAMMA(AU1008/2-0.5)/_xlfn.GAMMA(AU1008/2)),1)</f>
        <v>1</v>
      </c>
      <c r="AW1008" s="67" t="s">
        <v>1350</v>
      </c>
    </row>
    <row r="1009" spans="1:49" ht="30" customHeight="1" x14ac:dyDescent="0.25">
      <c r="A1009" s="51" t="s">
        <v>145</v>
      </c>
      <c r="B1009" s="51" t="s">
        <v>1082</v>
      </c>
      <c r="C1009" s="64" t="s">
        <v>1241</v>
      </c>
      <c r="D1009" s="64">
        <f t="shared" si="294"/>
        <v>30</v>
      </c>
      <c r="E1009" s="64" t="s">
        <v>605</v>
      </c>
      <c r="F1009" s="102" t="s">
        <v>240</v>
      </c>
      <c r="G1009" s="49" t="s">
        <v>578</v>
      </c>
      <c r="H1009" s="64">
        <v>1</v>
      </c>
      <c r="I1009" s="64">
        <v>18</v>
      </c>
      <c r="J1009" s="64">
        <v>1</v>
      </c>
      <c r="K1009" s="49" t="s">
        <v>1344</v>
      </c>
      <c r="L1009" s="64" t="s">
        <v>240</v>
      </c>
      <c r="M1009" s="49" t="s">
        <v>1331</v>
      </c>
      <c r="N1009" s="64" t="s">
        <v>240</v>
      </c>
      <c r="O1009" s="101">
        <f>1-0.803</f>
        <v>0.19699999999999995</v>
      </c>
      <c r="P1009" s="64">
        <f>1-0.791</f>
        <v>0.20899999999999996</v>
      </c>
      <c r="Q1009" s="64">
        <f>1-0.803</f>
        <v>0.19699999999999995</v>
      </c>
      <c r="R1009" s="64" t="s">
        <v>1348</v>
      </c>
      <c r="S1009" s="64">
        <f t="shared" si="293"/>
        <v>676</v>
      </c>
      <c r="T1009" s="64">
        <v>365</v>
      </c>
      <c r="U1009" s="64">
        <v>311</v>
      </c>
      <c r="V1009" s="64">
        <v>3.5999999999999997E-2</v>
      </c>
      <c r="W1009" s="64"/>
      <c r="X1009" s="64"/>
      <c r="Y1009" s="64"/>
      <c r="Z1009" s="64"/>
      <c r="AA1009" s="64"/>
      <c r="AB1009" s="64">
        <v>0.23</v>
      </c>
      <c r="AC1009" s="64">
        <v>0.19400000000000001</v>
      </c>
      <c r="AD1009" s="64"/>
      <c r="AE1009" s="64"/>
      <c r="AF1009" s="102">
        <f t="shared" si="286"/>
        <v>1.2014466231733769</v>
      </c>
      <c r="AG1009" s="64"/>
      <c r="AH1009" s="108">
        <v>0.23</v>
      </c>
      <c r="AI1009" s="102">
        <f>ABS(V1009/AF1009)</f>
        <v>2.9963877966474546E-2</v>
      </c>
      <c r="AJ1009" s="108"/>
      <c r="AK1009" s="49"/>
      <c r="AL1009" s="49" t="s">
        <v>1351</v>
      </c>
      <c r="AM1009" s="64"/>
      <c r="AN1009" s="64"/>
      <c r="AO1009" s="64"/>
    </row>
    <row r="1010" spans="1:49" s="111" customFormat="1" x14ac:dyDescent="0.25">
      <c r="A1010" s="46" t="s">
        <v>1535</v>
      </c>
      <c r="B1010" s="109" t="s">
        <v>1082</v>
      </c>
      <c r="C1010" s="110" t="s">
        <v>294</v>
      </c>
      <c r="D1010" s="111">
        <v>1</v>
      </c>
      <c r="E1010" s="64" t="s">
        <v>605</v>
      </c>
      <c r="F1010" s="64" t="s">
        <v>240</v>
      </c>
      <c r="G1010" s="112" t="s">
        <v>578</v>
      </c>
      <c r="H1010" s="111">
        <v>1</v>
      </c>
      <c r="I1010" s="111">
        <f>48-8</f>
        <v>40</v>
      </c>
      <c r="J1010" s="111">
        <v>2</v>
      </c>
      <c r="K1010" s="111" t="s">
        <v>952</v>
      </c>
      <c r="L1010" s="111" t="s">
        <v>1555</v>
      </c>
      <c r="M1010" s="111" t="s">
        <v>1556</v>
      </c>
      <c r="N1010" s="111" t="s">
        <v>240</v>
      </c>
      <c r="O1010" s="111" t="s">
        <v>240</v>
      </c>
      <c r="P1010" s="111" t="s">
        <v>240</v>
      </c>
      <c r="Q1010" s="111" t="s">
        <v>240</v>
      </c>
      <c r="R1010" s="111" t="s">
        <v>376</v>
      </c>
      <c r="S1010" s="111">
        <v>9090</v>
      </c>
      <c r="T1010" s="111">
        <v>5491</v>
      </c>
      <c r="U1010" s="111">
        <v>3599</v>
      </c>
      <c r="V1010" s="111">
        <v>27.69</v>
      </c>
      <c r="W1010" s="111">
        <v>5.1210000000000004</v>
      </c>
      <c r="AB1010" s="111">
        <v>228.19</v>
      </c>
      <c r="AC1010" s="111">
        <v>200.5</v>
      </c>
      <c r="AI1010" s="67">
        <f>+W1010</f>
        <v>5.1210000000000004</v>
      </c>
      <c r="AP1010" s="67">
        <f>+V1010/AQ1010</f>
        <v>0.11596674739127907</v>
      </c>
      <c r="AQ1010" s="67">
        <f>+AI1010*SQRT(T1010*U1010/S1010)</f>
        <v>238.77534399212047</v>
      </c>
      <c r="AR1010" s="67"/>
      <c r="AS1010" s="67">
        <f>+AP1010^2/(AU1010-2)*(AU1010/(V1010/AI1010)^2+AU1010*AV1010^2-AU1010+2)</f>
        <v>4.6303261971714337E-4</v>
      </c>
      <c r="AT1010" s="67"/>
      <c r="AU1010" s="67">
        <f>+S1010-2</f>
        <v>9088</v>
      </c>
      <c r="AV1010" s="67">
        <f>IFERROR(1/(SQRT(AU1010/2)*_xlfn.GAMMA(AU1010/2-0.5)/_xlfn.GAMMA(AU1010/2)),1)</f>
        <v>1</v>
      </c>
      <c r="AW1010" s="67" t="s">
        <v>1350</v>
      </c>
    </row>
    <row r="1011" spans="1:49" s="111" customFormat="1" x14ac:dyDescent="0.25">
      <c r="A1011" s="46" t="s">
        <v>1535</v>
      </c>
      <c r="B1011" s="109" t="s">
        <v>1082</v>
      </c>
      <c r="C1011" s="110" t="s">
        <v>294</v>
      </c>
      <c r="D1011" s="111">
        <v>2</v>
      </c>
      <c r="E1011" s="64" t="s">
        <v>605</v>
      </c>
      <c r="F1011" s="64" t="s">
        <v>240</v>
      </c>
      <c r="G1011" s="112" t="s">
        <v>578</v>
      </c>
      <c r="H1011" s="111">
        <v>1</v>
      </c>
      <c r="I1011" s="111">
        <f>48-8</f>
        <v>40</v>
      </c>
      <c r="J1011" s="111">
        <v>1</v>
      </c>
      <c r="K1011" s="111" t="s">
        <v>647</v>
      </c>
      <c r="L1011" s="111" t="s">
        <v>240</v>
      </c>
      <c r="M1011" s="111" t="s">
        <v>1556</v>
      </c>
      <c r="N1011" s="111" t="s">
        <v>240</v>
      </c>
      <c r="O1011" s="111" t="s">
        <v>240</v>
      </c>
      <c r="P1011" s="111" t="s">
        <v>240</v>
      </c>
      <c r="Q1011" s="111" t="s">
        <v>240</v>
      </c>
      <c r="R1011" s="111" t="s">
        <v>376</v>
      </c>
      <c r="S1011" s="111">
        <v>9090</v>
      </c>
      <c r="T1011" s="111">
        <v>5491</v>
      </c>
      <c r="U1011" s="111">
        <v>3599</v>
      </c>
      <c r="V1011" s="111">
        <v>4.1000000000000002E-2</v>
      </c>
      <c r="W1011" s="111">
        <v>1.0999999999999999E-2</v>
      </c>
      <c r="AB1011" s="111">
        <v>0.60699999999999998</v>
      </c>
      <c r="AC1011" s="111">
        <v>0.56599999999999995</v>
      </c>
      <c r="AI1011" s="111">
        <f>+W1011</f>
        <v>1.0999999999999999E-2</v>
      </c>
    </row>
    <row r="1012" spans="1:49" s="111" customFormat="1" x14ac:dyDescent="0.25">
      <c r="A1012" s="46" t="s">
        <v>1535</v>
      </c>
      <c r="B1012" s="109" t="s">
        <v>1082</v>
      </c>
      <c r="C1012" s="110" t="s">
        <v>294</v>
      </c>
      <c r="D1012" s="111">
        <v>3</v>
      </c>
      <c r="E1012" s="64" t="s">
        <v>605</v>
      </c>
      <c r="F1012" s="64" t="s">
        <v>240</v>
      </c>
      <c r="G1012" s="112" t="s">
        <v>578</v>
      </c>
      <c r="H1012" s="111">
        <v>1</v>
      </c>
      <c r="I1012" s="111">
        <f>48-8</f>
        <v>40</v>
      </c>
      <c r="J1012" s="111">
        <v>7</v>
      </c>
      <c r="K1012" s="111" t="s">
        <v>1557</v>
      </c>
      <c r="L1012" s="111" t="s">
        <v>240</v>
      </c>
      <c r="M1012" s="111" t="s">
        <v>1556</v>
      </c>
      <c r="N1012" s="111" t="s">
        <v>240</v>
      </c>
      <c r="O1012" s="111" t="s">
        <v>240</v>
      </c>
      <c r="P1012" s="111" t="s">
        <v>240</v>
      </c>
      <c r="Q1012" s="111" t="s">
        <v>240</v>
      </c>
      <c r="R1012" s="111" t="s">
        <v>376</v>
      </c>
      <c r="S1012" s="111">
        <v>9090</v>
      </c>
      <c r="T1012" s="111">
        <v>5491</v>
      </c>
      <c r="U1012" s="111">
        <v>3599</v>
      </c>
      <c r="V1012" s="111">
        <v>3.7999999999999999E-2</v>
      </c>
      <c r="W1012" s="111">
        <v>1.0999999999999999E-2</v>
      </c>
      <c r="AB1012" s="111">
        <v>2.0289999999999999</v>
      </c>
      <c r="AC1012" s="111">
        <v>1.9910000000000001</v>
      </c>
      <c r="AI1012" s="67">
        <f>+W1012</f>
        <v>1.0999999999999999E-2</v>
      </c>
      <c r="AP1012" s="67">
        <f t="shared" ref="AP1012:AP1013" si="295">+V1012/AQ1012</f>
        <v>7.4089422203119371E-2</v>
      </c>
      <c r="AQ1012" s="67">
        <f t="shared" ref="AQ1012:AQ1013" si="296">+AI1012*SQRT(T1012*U1012/S1012)</f>
        <v>0.51289372855171345</v>
      </c>
      <c r="AR1012" s="67"/>
      <c r="AS1012" s="67">
        <f t="shared" ref="AS1012:AS1013" si="297">+AP1012^2/(AU1012-2)*(AU1012/(V1012/AI1012)^2+AU1012*AV1012^2-AU1012+2)</f>
        <v>4.612806839878645E-4</v>
      </c>
      <c r="AT1012" s="67"/>
      <c r="AU1012" s="67">
        <f t="shared" ref="AU1012:AU1013" si="298">+S1012-2</f>
        <v>9088</v>
      </c>
      <c r="AV1012" s="67">
        <f t="shared" ref="AV1012:AV1013" si="299">IFERROR(1/(SQRT(AU1012/2)*_xlfn.GAMMA(AU1012/2-0.5)/_xlfn.GAMMA(AU1012/2)),1)</f>
        <v>1</v>
      </c>
      <c r="AW1012" s="67" t="s">
        <v>1350</v>
      </c>
    </row>
    <row r="1013" spans="1:49" s="111" customFormat="1" ht="15" x14ac:dyDescent="0.25">
      <c r="A1013" s="46" t="s">
        <v>1535</v>
      </c>
      <c r="B1013" s="109" t="s">
        <v>1082</v>
      </c>
      <c r="C1013" s="110" t="s">
        <v>294</v>
      </c>
      <c r="D1013" s="111">
        <v>4</v>
      </c>
      <c r="E1013" s="64" t="s">
        <v>605</v>
      </c>
      <c r="F1013" s="64" t="s">
        <v>240</v>
      </c>
      <c r="G1013" s="64" t="s">
        <v>1558</v>
      </c>
      <c r="H1013" s="111">
        <v>1</v>
      </c>
      <c r="I1013" s="111">
        <v>40</v>
      </c>
      <c r="J1013" s="111">
        <v>2</v>
      </c>
      <c r="K1013" s="111" t="s">
        <v>952</v>
      </c>
      <c r="L1013" s="111" t="s">
        <v>1555</v>
      </c>
      <c r="M1013" s="111" t="s">
        <v>1556</v>
      </c>
      <c r="N1013" s="111" t="s">
        <v>240</v>
      </c>
      <c r="O1013" s="111" t="s">
        <v>240</v>
      </c>
      <c r="P1013" s="111" t="s">
        <v>240</v>
      </c>
      <c r="Q1013" s="111" t="s">
        <v>240</v>
      </c>
      <c r="R1013" s="111" t="s">
        <v>376</v>
      </c>
      <c r="S1013" s="111">
        <f>+T1013+U1013</f>
        <v>7529</v>
      </c>
      <c r="T1013" s="111">
        <v>4551</v>
      </c>
      <c r="U1013" s="111">
        <v>2978</v>
      </c>
      <c r="V1013" s="111">
        <v>35.57</v>
      </c>
      <c r="W1013" s="111">
        <v>5.5549999999999997</v>
      </c>
      <c r="AB1013" s="111">
        <v>230.22</v>
      </c>
      <c r="AC1013" s="111">
        <v>194.66</v>
      </c>
      <c r="AI1013" s="67">
        <f t="shared" ref="AI1013" si="300">+W1013</f>
        <v>5.5549999999999997</v>
      </c>
      <c r="AP1013" s="67">
        <f t="shared" si="295"/>
        <v>0.15092204664747702</v>
      </c>
      <c r="AQ1013" s="67">
        <f t="shared" si="296"/>
        <v>235.68458545413336</v>
      </c>
      <c r="AR1013" s="67"/>
      <c r="AS1013" s="67">
        <f t="shared" si="297"/>
        <v>5.6172922282912198E-4</v>
      </c>
      <c r="AT1013" s="67"/>
      <c r="AU1013" s="67">
        <f t="shared" si="298"/>
        <v>7527</v>
      </c>
      <c r="AV1013" s="67">
        <f t="shared" si="299"/>
        <v>1</v>
      </c>
      <c r="AW1013" s="67" t="s">
        <v>1350</v>
      </c>
    </row>
    <row r="1014" spans="1:49" s="111" customFormat="1" ht="15" x14ac:dyDescent="0.25">
      <c r="A1014" s="46" t="s">
        <v>1535</v>
      </c>
      <c r="B1014" s="109" t="s">
        <v>1082</v>
      </c>
      <c r="C1014" s="110" t="s">
        <v>294</v>
      </c>
      <c r="D1014" s="111">
        <v>5</v>
      </c>
      <c r="E1014" s="64" t="s">
        <v>605</v>
      </c>
      <c r="F1014" s="64" t="s">
        <v>240</v>
      </c>
      <c r="G1014" s="64" t="s">
        <v>1558</v>
      </c>
      <c r="H1014" s="111">
        <v>1</v>
      </c>
      <c r="I1014" s="111">
        <v>40</v>
      </c>
      <c r="J1014" s="111">
        <v>1</v>
      </c>
      <c r="K1014" s="111" t="s">
        <v>647</v>
      </c>
      <c r="L1014" s="111" t="s">
        <v>240</v>
      </c>
      <c r="M1014" s="111" t="s">
        <v>1556</v>
      </c>
      <c r="N1014" s="111" t="s">
        <v>240</v>
      </c>
      <c r="O1014" s="111" t="s">
        <v>240</v>
      </c>
      <c r="P1014" s="111" t="s">
        <v>240</v>
      </c>
      <c r="Q1014" s="111" t="s">
        <v>240</v>
      </c>
      <c r="R1014" s="111" t="s">
        <v>376</v>
      </c>
      <c r="S1014" s="111">
        <f>+T1014+U1014</f>
        <v>7529</v>
      </c>
      <c r="T1014" s="111">
        <v>4551</v>
      </c>
      <c r="U1014" s="111">
        <v>2978</v>
      </c>
      <c r="V1014" s="111">
        <v>0.05</v>
      </c>
      <c r="W1014" s="111">
        <v>1.2E-2</v>
      </c>
      <c r="AB1014" s="111">
        <v>0.60899999999999999</v>
      </c>
      <c r="AC1014" s="111">
        <v>0.55900000000000005</v>
      </c>
      <c r="AI1014" s="111">
        <f>+W1014</f>
        <v>1.2E-2</v>
      </c>
    </row>
    <row r="1015" spans="1:49" s="111" customFormat="1" ht="15" x14ac:dyDescent="0.25">
      <c r="A1015" s="46" t="s">
        <v>1535</v>
      </c>
      <c r="B1015" s="109" t="s">
        <v>1082</v>
      </c>
      <c r="C1015" s="110" t="s">
        <v>294</v>
      </c>
      <c r="D1015" s="111">
        <v>6</v>
      </c>
      <c r="E1015" s="64" t="s">
        <v>605</v>
      </c>
      <c r="F1015" s="64" t="s">
        <v>240</v>
      </c>
      <c r="G1015" s="64" t="s">
        <v>1558</v>
      </c>
      <c r="H1015" s="111">
        <v>1</v>
      </c>
      <c r="I1015" s="111">
        <v>40</v>
      </c>
      <c r="J1015" s="111">
        <v>7</v>
      </c>
      <c r="K1015" s="111" t="s">
        <v>1557</v>
      </c>
      <c r="L1015" s="111" t="s">
        <v>240</v>
      </c>
      <c r="M1015" s="111" t="s">
        <v>1556</v>
      </c>
      <c r="N1015" s="111" t="s">
        <v>240</v>
      </c>
      <c r="O1015" s="111" t="s">
        <v>240</v>
      </c>
      <c r="P1015" s="111" t="s">
        <v>240</v>
      </c>
      <c r="Q1015" s="111" t="s">
        <v>240</v>
      </c>
      <c r="R1015" s="111" t="s">
        <v>376</v>
      </c>
      <c r="S1015" s="111">
        <f>+T1015+U1015</f>
        <v>7529</v>
      </c>
      <c r="T1015" s="111">
        <v>4551</v>
      </c>
      <c r="U1015" s="111">
        <v>2978</v>
      </c>
      <c r="V1015" s="111">
        <v>0.05</v>
      </c>
      <c r="W1015" s="111">
        <v>1.2999999999999999E-2</v>
      </c>
      <c r="AB1015" s="111">
        <v>2.028</v>
      </c>
      <c r="AC1015" s="111">
        <v>1.9770000000000001</v>
      </c>
      <c r="AI1015" s="67">
        <f t="shared" ref="AI1015:AI1022" si="301">+W1015</f>
        <v>1.2999999999999999E-2</v>
      </c>
      <c r="AP1015" s="67">
        <f t="shared" ref="AP1015:AP1016" si="302">+V1015/AQ1015</f>
        <v>9.0652447949518281E-2</v>
      </c>
      <c r="AQ1015" s="67">
        <f t="shared" ref="AQ1015:AQ1016" si="303">+AI1015*SQRT(T1015*U1015/S1015)</f>
        <v>0.55155708567123918</v>
      </c>
      <c r="AR1015" s="67"/>
      <c r="AS1015" s="67">
        <f t="shared" ref="AS1015:AS1016" si="304">+AP1015^2/(AU1015-2)*(AU1015/(V1015/AI1015)^2+AU1015*AV1015^2-AU1015+2)</f>
        <v>5.5785956227230571E-4</v>
      </c>
      <c r="AT1015" s="67"/>
      <c r="AU1015" s="67">
        <f t="shared" ref="AU1015:AU1016" si="305">+S1015-2</f>
        <v>7527</v>
      </c>
      <c r="AV1015" s="67">
        <f t="shared" ref="AV1015:AV1016" si="306">IFERROR(1/(SQRT(AU1015/2)*_xlfn.GAMMA(AU1015/2-0.5)/_xlfn.GAMMA(AU1015/2)),1)</f>
        <v>1</v>
      </c>
      <c r="AW1015" s="67" t="s">
        <v>1350</v>
      </c>
    </row>
    <row r="1016" spans="1:49" s="111" customFormat="1" x14ac:dyDescent="0.25">
      <c r="A1016" s="46" t="s">
        <v>1539</v>
      </c>
      <c r="B1016" s="109" t="s">
        <v>1082</v>
      </c>
      <c r="C1016" s="110" t="s">
        <v>294</v>
      </c>
      <c r="D1016" s="111">
        <v>1</v>
      </c>
      <c r="E1016" s="64" t="s">
        <v>605</v>
      </c>
      <c r="F1016" s="64" t="s">
        <v>240</v>
      </c>
      <c r="G1016" s="112" t="s">
        <v>578</v>
      </c>
      <c r="H1016" s="111">
        <v>1</v>
      </c>
      <c r="I1016" s="111">
        <f>208/4-8</f>
        <v>44</v>
      </c>
      <c r="J1016" s="111">
        <v>2</v>
      </c>
      <c r="K1016" s="111" t="s">
        <v>667</v>
      </c>
      <c r="L1016" s="111" t="s">
        <v>1555</v>
      </c>
      <c r="M1016" s="111" t="s">
        <v>1556</v>
      </c>
      <c r="N1016" s="111" t="s">
        <v>240</v>
      </c>
      <c r="O1016" s="113">
        <v>0</v>
      </c>
      <c r="P1016" s="111" t="s">
        <v>240</v>
      </c>
      <c r="Q1016" s="111" t="s">
        <v>240</v>
      </c>
      <c r="R1016" s="111" t="s">
        <v>311</v>
      </c>
      <c r="S1016" s="111">
        <f>+T1016+U1016</f>
        <v>10520</v>
      </c>
      <c r="T1016" s="111">
        <v>6333</v>
      </c>
      <c r="U1016" s="111">
        <v>4187</v>
      </c>
      <c r="V1016" s="111">
        <v>22.19</v>
      </c>
      <c r="W1016" s="111">
        <v>4.62</v>
      </c>
      <c r="AI1016" s="67">
        <f t="shared" si="301"/>
        <v>4.62</v>
      </c>
      <c r="AP1016" s="67">
        <f t="shared" si="302"/>
        <v>9.5668061077765265E-2</v>
      </c>
      <c r="AQ1016" s="67">
        <f t="shared" si="303"/>
        <v>231.94783870410541</v>
      </c>
      <c r="AR1016" s="67"/>
      <c r="AS1016" s="67">
        <f t="shared" si="304"/>
        <v>3.9855364695299731E-4</v>
      </c>
      <c r="AT1016" s="67"/>
      <c r="AU1016" s="67">
        <f t="shared" si="305"/>
        <v>10518</v>
      </c>
      <c r="AV1016" s="67">
        <f t="shared" si="306"/>
        <v>1</v>
      </c>
      <c r="AW1016" s="67" t="s">
        <v>1350</v>
      </c>
    </row>
    <row r="1017" spans="1:49" s="111" customFormat="1" x14ac:dyDescent="0.25">
      <c r="A1017" s="46" t="s">
        <v>1539</v>
      </c>
      <c r="B1017" s="109" t="s">
        <v>1082</v>
      </c>
      <c r="C1017" s="110" t="s">
        <v>294</v>
      </c>
      <c r="D1017" s="111">
        <v>2</v>
      </c>
      <c r="E1017" s="64" t="s">
        <v>605</v>
      </c>
      <c r="F1017" s="64" t="s">
        <v>240</v>
      </c>
      <c r="G1017" s="112" t="s">
        <v>578</v>
      </c>
      <c r="H1017" s="111">
        <v>1</v>
      </c>
      <c r="I1017" s="111">
        <f>208/4-8</f>
        <v>44</v>
      </c>
      <c r="J1017" s="111">
        <v>1</v>
      </c>
      <c r="K1017" s="111" t="s">
        <v>579</v>
      </c>
      <c r="L1017" s="111" t="s">
        <v>240</v>
      </c>
      <c r="M1017" s="111" t="s">
        <v>1556</v>
      </c>
      <c r="N1017" s="111" t="s">
        <v>240</v>
      </c>
      <c r="O1017" s="113">
        <v>0</v>
      </c>
      <c r="P1017" s="111" t="s">
        <v>240</v>
      </c>
      <c r="Q1017" s="111" t="s">
        <v>240</v>
      </c>
      <c r="R1017" s="111" t="s">
        <v>311</v>
      </c>
      <c r="S1017" s="111">
        <f>+T1017+U1017</f>
        <v>10520</v>
      </c>
      <c r="T1017" s="111">
        <v>6333</v>
      </c>
      <c r="U1017" s="111">
        <v>4187</v>
      </c>
      <c r="V1017" s="111">
        <v>3.7999999999999999E-2</v>
      </c>
      <c r="W1017" s="111">
        <v>0.01</v>
      </c>
      <c r="AI1017" s="111">
        <f t="shared" si="301"/>
        <v>0.01</v>
      </c>
    </row>
    <row r="1018" spans="1:49" s="63" customFormat="1" ht="30" customHeight="1" x14ac:dyDescent="0.25">
      <c r="A1018" s="46" t="s">
        <v>1540</v>
      </c>
      <c r="B1018" s="51" t="s">
        <v>1560</v>
      </c>
      <c r="C1018" s="46" t="s">
        <v>1540</v>
      </c>
      <c r="D1018" s="63">
        <v>1</v>
      </c>
      <c r="E1018" s="64" t="s">
        <v>605</v>
      </c>
      <c r="F1018" s="64" t="s">
        <v>240</v>
      </c>
      <c r="G1018" s="65" t="s">
        <v>578</v>
      </c>
      <c r="H1018" s="63">
        <v>1</v>
      </c>
      <c r="I1018" s="63">
        <v>9</v>
      </c>
      <c r="J1018" s="63">
        <v>1</v>
      </c>
      <c r="K1018" s="63" t="s">
        <v>1714</v>
      </c>
      <c r="L1018" s="63" t="s">
        <v>240</v>
      </c>
      <c r="M1018" s="63" t="s">
        <v>1715</v>
      </c>
      <c r="N1018" s="63" t="s">
        <v>240</v>
      </c>
      <c r="O1018" s="63" t="s">
        <v>240</v>
      </c>
      <c r="P1018" s="63" t="s">
        <v>240</v>
      </c>
      <c r="Q1018" s="63" t="s">
        <v>240</v>
      </c>
      <c r="R1018" s="63" t="s">
        <v>1548</v>
      </c>
      <c r="S1018" s="63">
        <v>5076</v>
      </c>
      <c r="T1018" s="63">
        <f t="shared" ref="T1018:T1027" si="307">+S1018/2</f>
        <v>2538</v>
      </c>
      <c r="U1018" s="63">
        <f>+S1018-T1018</f>
        <v>2538</v>
      </c>
      <c r="V1018" s="63">
        <v>0.01</v>
      </c>
      <c r="W1018" s="63">
        <v>0.01</v>
      </c>
      <c r="AI1018" s="111">
        <f t="shared" si="301"/>
        <v>0.01</v>
      </c>
    </row>
    <row r="1019" spans="1:49" s="63" customFormat="1" ht="30" customHeight="1" x14ac:dyDescent="0.25">
      <c r="A1019" s="46" t="s">
        <v>1540</v>
      </c>
      <c r="B1019" s="51" t="s">
        <v>1560</v>
      </c>
      <c r="C1019" s="46" t="s">
        <v>1540</v>
      </c>
      <c r="D1019" s="63">
        <v>2</v>
      </c>
      <c r="E1019" s="64" t="s">
        <v>605</v>
      </c>
      <c r="F1019" s="64" t="s">
        <v>240</v>
      </c>
      <c r="G1019" s="65" t="s">
        <v>578</v>
      </c>
      <c r="H1019" s="63">
        <v>1</v>
      </c>
      <c r="I1019" s="63">
        <f>9+12</f>
        <v>21</v>
      </c>
      <c r="J1019" s="63">
        <v>1</v>
      </c>
      <c r="K1019" s="63" t="s">
        <v>1714</v>
      </c>
      <c r="L1019" s="63" t="s">
        <v>240</v>
      </c>
      <c r="M1019" s="63" t="s">
        <v>1715</v>
      </c>
      <c r="N1019" s="63" t="s">
        <v>240</v>
      </c>
      <c r="O1019" s="63" t="s">
        <v>240</v>
      </c>
      <c r="P1019" s="63" t="s">
        <v>240</v>
      </c>
      <c r="Q1019" s="63" t="s">
        <v>240</v>
      </c>
      <c r="R1019" s="63" t="s">
        <v>1548</v>
      </c>
      <c r="S1019" s="63">
        <v>5076</v>
      </c>
      <c r="T1019" s="63">
        <f t="shared" si="307"/>
        <v>2538</v>
      </c>
      <c r="U1019" s="63">
        <f>+S1019-T1019</f>
        <v>2538</v>
      </c>
      <c r="V1019" s="63">
        <v>0.01</v>
      </c>
      <c r="W1019" s="63">
        <v>0.01</v>
      </c>
      <c r="AI1019" s="111">
        <f t="shared" si="301"/>
        <v>0.01</v>
      </c>
    </row>
    <row r="1020" spans="1:49" s="63" customFormat="1" ht="30" customHeight="1" x14ac:dyDescent="0.25">
      <c r="A1020" s="46" t="s">
        <v>1540</v>
      </c>
      <c r="B1020" s="51" t="s">
        <v>1560</v>
      </c>
      <c r="C1020" s="46" t="s">
        <v>1540</v>
      </c>
      <c r="D1020" s="63">
        <v>3</v>
      </c>
      <c r="E1020" s="64" t="s">
        <v>605</v>
      </c>
      <c r="F1020" s="64" t="s">
        <v>240</v>
      </c>
      <c r="G1020" s="65" t="s">
        <v>1716</v>
      </c>
      <c r="H1020" s="63">
        <v>1</v>
      </c>
      <c r="I1020" s="63">
        <v>9</v>
      </c>
      <c r="J1020" s="63">
        <v>1</v>
      </c>
      <c r="K1020" s="63" t="s">
        <v>1714</v>
      </c>
      <c r="L1020" s="63" t="s">
        <v>240</v>
      </c>
      <c r="M1020" s="63" t="s">
        <v>1715</v>
      </c>
      <c r="N1020" s="63" t="s">
        <v>240</v>
      </c>
      <c r="O1020" s="63" t="s">
        <v>240</v>
      </c>
      <c r="P1020" s="63" t="s">
        <v>240</v>
      </c>
      <c r="Q1020" s="63" t="s">
        <v>240</v>
      </c>
      <c r="R1020" s="63" t="s">
        <v>1548</v>
      </c>
      <c r="S1020" s="63">
        <v>1334</v>
      </c>
      <c r="T1020" s="63">
        <f t="shared" si="307"/>
        <v>667</v>
      </c>
      <c r="U1020" s="63">
        <f>+S1020-T1020</f>
        <v>667</v>
      </c>
      <c r="V1020" s="63">
        <v>-0.04</v>
      </c>
      <c r="W1020" s="63">
        <v>0.02</v>
      </c>
      <c r="AI1020" s="111">
        <f t="shared" si="301"/>
        <v>0.02</v>
      </c>
    </row>
    <row r="1021" spans="1:49" s="63" customFormat="1" ht="30" customHeight="1" x14ac:dyDescent="0.25">
      <c r="A1021" s="46" t="s">
        <v>1540</v>
      </c>
      <c r="B1021" s="51" t="s">
        <v>1560</v>
      </c>
      <c r="C1021" s="46" t="s">
        <v>1540</v>
      </c>
      <c r="D1021" s="63">
        <v>4</v>
      </c>
      <c r="E1021" s="64" t="s">
        <v>605</v>
      </c>
      <c r="F1021" s="64" t="s">
        <v>240</v>
      </c>
      <c r="G1021" s="65" t="s">
        <v>1716</v>
      </c>
      <c r="H1021" s="63">
        <v>1</v>
      </c>
      <c r="I1021" s="63">
        <v>21</v>
      </c>
      <c r="J1021" s="63">
        <v>1</v>
      </c>
      <c r="K1021" s="63" t="s">
        <v>1714</v>
      </c>
      <c r="L1021" s="63" t="s">
        <v>240</v>
      </c>
      <c r="M1021" s="63" t="s">
        <v>1715</v>
      </c>
      <c r="N1021" s="63" t="s">
        <v>240</v>
      </c>
      <c r="O1021" s="63" t="s">
        <v>240</v>
      </c>
      <c r="P1021" s="63" t="s">
        <v>240</v>
      </c>
      <c r="Q1021" s="63" t="s">
        <v>240</v>
      </c>
      <c r="R1021" s="63" t="s">
        <v>1548</v>
      </c>
      <c r="S1021" s="63">
        <v>1334</v>
      </c>
      <c r="T1021" s="63">
        <f t="shared" si="307"/>
        <v>667</v>
      </c>
      <c r="U1021" s="63">
        <f t="shared" ref="U1021:U1022" si="308">+S1021-T1021</f>
        <v>667</v>
      </c>
      <c r="V1021" s="63">
        <v>-0.01</v>
      </c>
      <c r="W1021" s="63">
        <v>0.03</v>
      </c>
      <c r="AI1021" s="111">
        <f t="shared" si="301"/>
        <v>0.03</v>
      </c>
    </row>
    <row r="1022" spans="1:49" s="63" customFormat="1" ht="30" customHeight="1" x14ac:dyDescent="0.25">
      <c r="A1022" s="46" t="s">
        <v>1540</v>
      </c>
      <c r="B1022" s="51" t="s">
        <v>1560</v>
      </c>
      <c r="C1022" s="46" t="s">
        <v>1540</v>
      </c>
      <c r="D1022" s="63">
        <v>5</v>
      </c>
      <c r="E1022" s="64" t="s">
        <v>605</v>
      </c>
      <c r="F1022" s="64" t="s">
        <v>240</v>
      </c>
      <c r="G1022" s="65" t="s">
        <v>1717</v>
      </c>
      <c r="H1022" s="63">
        <v>1</v>
      </c>
      <c r="I1022" s="63">
        <v>9</v>
      </c>
      <c r="J1022" s="63">
        <v>1</v>
      </c>
      <c r="K1022" s="63" t="s">
        <v>1714</v>
      </c>
      <c r="L1022" s="63" t="s">
        <v>240</v>
      </c>
      <c r="M1022" s="63" t="s">
        <v>1715</v>
      </c>
      <c r="N1022" s="63" t="s">
        <v>240</v>
      </c>
      <c r="O1022" s="63" t="s">
        <v>240</v>
      </c>
      <c r="P1022" s="63" t="s">
        <v>240</v>
      </c>
      <c r="Q1022" s="63" t="s">
        <v>240</v>
      </c>
      <c r="R1022" s="63" t="s">
        <v>1548</v>
      </c>
      <c r="S1022" s="63">
        <v>3742</v>
      </c>
      <c r="T1022" s="63">
        <f t="shared" si="307"/>
        <v>1871</v>
      </c>
      <c r="U1022" s="63">
        <f t="shared" si="308"/>
        <v>1871</v>
      </c>
      <c r="V1022" s="63">
        <v>0.02</v>
      </c>
      <c r="W1022" s="63">
        <v>0.02</v>
      </c>
      <c r="AI1022" s="111">
        <f t="shared" si="301"/>
        <v>0.02</v>
      </c>
    </row>
    <row r="1023" spans="1:49" s="63" customFormat="1" ht="30" customHeight="1" x14ac:dyDescent="0.25">
      <c r="A1023" s="46" t="s">
        <v>1540</v>
      </c>
      <c r="B1023" s="51" t="s">
        <v>1560</v>
      </c>
      <c r="C1023" s="46" t="s">
        <v>1540</v>
      </c>
      <c r="D1023" s="63">
        <v>6</v>
      </c>
      <c r="E1023" s="64" t="s">
        <v>605</v>
      </c>
      <c r="F1023" s="64" t="s">
        <v>240</v>
      </c>
      <c r="G1023" s="65" t="s">
        <v>578</v>
      </c>
      <c r="H1023" s="63">
        <v>1</v>
      </c>
      <c r="I1023" s="63">
        <v>9</v>
      </c>
      <c r="J1023" s="63">
        <v>2</v>
      </c>
      <c r="K1023" s="63" t="s">
        <v>1718</v>
      </c>
      <c r="L1023" s="63" t="s">
        <v>240</v>
      </c>
      <c r="M1023" s="63" t="s">
        <v>1715</v>
      </c>
      <c r="N1023" s="63" t="s">
        <v>240</v>
      </c>
      <c r="O1023" s="63" t="s">
        <v>240</v>
      </c>
      <c r="P1023" s="63" t="s">
        <v>240</v>
      </c>
      <c r="Q1023" s="63" t="s">
        <v>240</v>
      </c>
      <c r="R1023" s="63" t="s">
        <v>1548</v>
      </c>
      <c r="S1023" s="63">
        <v>5076</v>
      </c>
      <c r="T1023" s="63">
        <f t="shared" si="307"/>
        <v>2538</v>
      </c>
      <c r="U1023" s="63">
        <f>+S1023-T1023</f>
        <v>2538</v>
      </c>
      <c r="V1023" s="63">
        <v>24.95</v>
      </c>
      <c r="W1023" s="63">
        <v>72.430000000000007</v>
      </c>
      <c r="AI1023" s="67">
        <f>+W1023</f>
        <v>72.430000000000007</v>
      </c>
      <c r="AJ1023" s="111"/>
      <c r="AK1023" s="111"/>
      <c r="AL1023" s="111"/>
      <c r="AM1023" s="111"/>
      <c r="AN1023" s="111"/>
      <c r="AO1023" s="111"/>
      <c r="AP1023" s="67">
        <f t="shared" ref="AP1023" si="309">+V1023/AQ1023</f>
        <v>9.6698837639144219E-3</v>
      </c>
      <c r="AQ1023" s="67">
        <f t="shared" ref="AQ1023" si="310">+AI1023*SQRT(T1023*U1023/S1023)</f>
        <v>2580.1757920924692</v>
      </c>
      <c r="AR1023" s="67"/>
      <c r="AS1023" s="67">
        <f t="shared" ref="AS1023" si="311">+AP1023^2/(AU1023-2)*(AU1023/(V1023/AI1023)^2+AU1023*AV1023^2-AU1023+2)</f>
        <v>7.8836967057862401E-4</v>
      </c>
      <c r="AT1023" s="67"/>
      <c r="AU1023" s="67">
        <f t="shared" ref="AU1023" si="312">+S1023-2</f>
        <v>5074</v>
      </c>
      <c r="AV1023" s="67">
        <f t="shared" ref="AV1023" si="313">IFERROR(1/(SQRT(AU1023/2)*_xlfn.GAMMA(AU1023/2-0.5)/_xlfn.GAMMA(AU1023/2)),1)</f>
        <v>1</v>
      </c>
      <c r="AW1023" s="67" t="s">
        <v>1350</v>
      </c>
    </row>
    <row r="1024" spans="1:49" s="63" customFormat="1" ht="30" customHeight="1" x14ac:dyDescent="0.25">
      <c r="A1024" s="46" t="s">
        <v>1540</v>
      </c>
      <c r="B1024" s="51" t="s">
        <v>1560</v>
      </c>
      <c r="C1024" s="46" t="s">
        <v>1540</v>
      </c>
      <c r="D1024" s="63">
        <v>7</v>
      </c>
      <c r="E1024" s="64" t="s">
        <v>605</v>
      </c>
      <c r="F1024" s="64" t="s">
        <v>240</v>
      </c>
      <c r="G1024" s="65" t="s">
        <v>578</v>
      </c>
      <c r="H1024" s="63">
        <v>1</v>
      </c>
      <c r="I1024" s="63">
        <f>9+12</f>
        <v>21</v>
      </c>
      <c r="J1024" s="63">
        <v>2</v>
      </c>
      <c r="K1024" s="63" t="s">
        <v>1718</v>
      </c>
      <c r="L1024" s="63" t="s">
        <v>240</v>
      </c>
      <c r="M1024" s="63" t="s">
        <v>1715</v>
      </c>
      <c r="N1024" s="63" t="s">
        <v>240</v>
      </c>
      <c r="O1024" s="63" t="s">
        <v>240</v>
      </c>
      <c r="P1024" s="63" t="s">
        <v>240</v>
      </c>
      <c r="Q1024" s="63" t="s">
        <v>240</v>
      </c>
      <c r="R1024" s="63" t="s">
        <v>1548</v>
      </c>
      <c r="S1024" s="63">
        <v>5076</v>
      </c>
      <c r="T1024" s="63">
        <f t="shared" si="307"/>
        <v>2538</v>
      </c>
      <c r="U1024" s="63">
        <f>+S1024-T1024</f>
        <v>2538</v>
      </c>
      <c r="V1024" s="63">
        <v>56.1</v>
      </c>
      <c r="W1024" s="63">
        <v>108.95</v>
      </c>
      <c r="AI1024" s="67">
        <f t="shared" ref="AI1024:AI1027" si="314">+W1024</f>
        <v>108.95</v>
      </c>
      <c r="AJ1024" s="111"/>
      <c r="AK1024" s="111"/>
      <c r="AL1024" s="111"/>
      <c r="AM1024" s="111"/>
      <c r="AN1024" s="111"/>
      <c r="AO1024" s="111"/>
      <c r="AP1024" s="67">
        <f t="shared" ref="AP1024:AP1027" si="315">+V1024/AQ1024</f>
        <v>1.4454557984345024E-2</v>
      </c>
      <c r="AQ1024" s="67">
        <f t="shared" ref="AQ1024:AQ1027" si="316">+AI1024*SQRT(T1024*U1024/S1024)</f>
        <v>3881.1287111483434</v>
      </c>
      <c r="AR1024" s="67"/>
      <c r="AS1024" s="67">
        <f t="shared" ref="AS1024:AS1027" si="317">+AP1024^2/(AU1024-2)*(AU1024/(V1024/AI1024)^2+AU1024*AV1024^2-AU1024+2)</f>
        <v>7.8841518619160293E-4</v>
      </c>
      <c r="AT1024" s="67"/>
      <c r="AU1024" s="67">
        <f t="shared" ref="AU1024:AU1027" si="318">+S1024-2</f>
        <v>5074</v>
      </c>
      <c r="AV1024" s="67">
        <f t="shared" ref="AV1024:AV1027" si="319">IFERROR(1/(SQRT(AU1024/2)*_xlfn.GAMMA(AU1024/2-0.5)/_xlfn.GAMMA(AU1024/2)),1)</f>
        <v>1</v>
      </c>
      <c r="AW1024" s="67" t="s">
        <v>1350</v>
      </c>
    </row>
    <row r="1025" spans="1:49" s="63" customFormat="1" ht="30" customHeight="1" x14ac:dyDescent="0.25">
      <c r="A1025" s="46" t="s">
        <v>1540</v>
      </c>
      <c r="B1025" s="51" t="s">
        <v>1560</v>
      </c>
      <c r="C1025" s="46" t="s">
        <v>1540</v>
      </c>
      <c r="D1025" s="63">
        <v>8</v>
      </c>
      <c r="E1025" s="64" t="s">
        <v>605</v>
      </c>
      <c r="F1025" s="64" t="s">
        <v>240</v>
      </c>
      <c r="G1025" s="65" t="s">
        <v>1716</v>
      </c>
      <c r="H1025" s="63">
        <v>1</v>
      </c>
      <c r="I1025" s="63">
        <v>9</v>
      </c>
      <c r="J1025" s="63">
        <v>2</v>
      </c>
      <c r="K1025" s="63" t="s">
        <v>1718</v>
      </c>
      <c r="L1025" s="63" t="s">
        <v>240</v>
      </c>
      <c r="M1025" s="63" t="s">
        <v>1715</v>
      </c>
      <c r="N1025" s="63" t="s">
        <v>240</v>
      </c>
      <c r="O1025" s="63" t="s">
        <v>240</v>
      </c>
      <c r="P1025" s="63" t="s">
        <v>240</v>
      </c>
      <c r="Q1025" s="63" t="s">
        <v>240</v>
      </c>
      <c r="R1025" s="63" t="s">
        <v>1548</v>
      </c>
      <c r="S1025" s="63">
        <v>1334</v>
      </c>
      <c r="T1025" s="63">
        <f t="shared" si="307"/>
        <v>667</v>
      </c>
      <c r="U1025" s="63">
        <f>+S1025-T1025</f>
        <v>667</v>
      </c>
      <c r="V1025" s="63">
        <v>-150.75</v>
      </c>
      <c r="W1025" s="63">
        <v>114.09</v>
      </c>
      <c r="AI1025" s="67">
        <f t="shared" si="314"/>
        <v>114.09</v>
      </c>
      <c r="AJ1025" s="111"/>
      <c r="AK1025" s="111"/>
      <c r="AL1025" s="111"/>
      <c r="AM1025" s="111"/>
      <c r="AN1025" s="111"/>
      <c r="AO1025" s="111"/>
      <c r="AP1025" s="67">
        <f t="shared" si="315"/>
        <v>-7.2353879382640082E-2</v>
      </c>
      <c r="AQ1025" s="67">
        <f t="shared" si="316"/>
        <v>2083.5095683365603</v>
      </c>
      <c r="AR1025" s="67"/>
      <c r="AS1025" s="67">
        <f t="shared" si="317"/>
        <v>3.010882079867808E-3</v>
      </c>
      <c r="AT1025" s="67"/>
      <c r="AU1025" s="67">
        <f t="shared" si="318"/>
        <v>1332</v>
      </c>
      <c r="AV1025" s="67">
        <f t="shared" si="319"/>
        <v>1</v>
      </c>
      <c r="AW1025" s="67" t="s">
        <v>1350</v>
      </c>
    </row>
    <row r="1026" spans="1:49" s="63" customFormat="1" ht="30" customHeight="1" x14ac:dyDescent="0.25">
      <c r="A1026" s="46" t="s">
        <v>1540</v>
      </c>
      <c r="B1026" s="51" t="s">
        <v>1560</v>
      </c>
      <c r="C1026" s="46" t="s">
        <v>1540</v>
      </c>
      <c r="D1026" s="63">
        <v>9</v>
      </c>
      <c r="E1026" s="64" t="s">
        <v>605</v>
      </c>
      <c r="F1026" s="64" t="s">
        <v>240</v>
      </c>
      <c r="G1026" s="65" t="s">
        <v>1716</v>
      </c>
      <c r="H1026" s="63">
        <v>1</v>
      </c>
      <c r="I1026" s="63">
        <v>21</v>
      </c>
      <c r="J1026" s="63">
        <v>2</v>
      </c>
      <c r="K1026" s="63" t="s">
        <v>1718</v>
      </c>
      <c r="L1026" s="63" t="s">
        <v>240</v>
      </c>
      <c r="M1026" s="63" t="s">
        <v>1715</v>
      </c>
      <c r="N1026" s="63" t="s">
        <v>240</v>
      </c>
      <c r="O1026" s="63" t="s">
        <v>240</v>
      </c>
      <c r="P1026" s="63" t="s">
        <v>240</v>
      </c>
      <c r="Q1026" s="63" t="s">
        <v>240</v>
      </c>
      <c r="R1026" s="63" t="s">
        <v>1548</v>
      </c>
      <c r="S1026" s="63">
        <v>1334</v>
      </c>
      <c r="T1026" s="63">
        <f t="shared" si="307"/>
        <v>667</v>
      </c>
      <c r="U1026" s="63">
        <f t="shared" ref="U1026:U1027" si="320">+S1026-T1026</f>
        <v>667</v>
      </c>
      <c r="V1026" s="63">
        <v>-135.13999999999999</v>
      </c>
      <c r="W1026" s="63">
        <v>140.65</v>
      </c>
      <c r="AI1026" s="67">
        <f t="shared" si="314"/>
        <v>140.65</v>
      </c>
      <c r="AJ1026" s="111"/>
      <c r="AK1026" s="111"/>
      <c r="AL1026" s="111"/>
      <c r="AM1026" s="111"/>
      <c r="AN1026" s="111"/>
      <c r="AO1026" s="111"/>
      <c r="AP1026" s="67">
        <f t="shared" si="315"/>
        <v>-5.2613386811983784E-2</v>
      </c>
      <c r="AQ1026" s="67">
        <f t="shared" si="316"/>
        <v>2568.5478200239918</v>
      </c>
      <c r="AR1026" s="67"/>
      <c r="AS1026" s="67">
        <f t="shared" si="317"/>
        <v>3.0071724326649657E-3</v>
      </c>
      <c r="AT1026" s="67"/>
      <c r="AU1026" s="67">
        <f t="shared" si="318"/>
        <v>1332</v>
      </c>
      <c r="AV1026" s="67">
        <f t="shared" si="319"/>
        <v>1</v>
      </c>
      <c r="AW1026" s="67" t="s">
        <v>1350</v>
      </c>
    </row>
    <row r="1027" spans="1:49" s="63" customFormat="1" ht="30" customHeight="1" x14ac:dyDescent="0.25">
      <c r="A1027" s="46" t="s">
        <v>1540</v>
      </c>
      <c r="B1027" s="51" t="s">
        <v>1560</v>
      </c>
      <c r="C1027" s="46" t="s">
        <v>1540</v>
      </c>
      <c r="D1027" s="63">
        <v>10</v>
      </c>
      <c r="E1027" s="64" t="s">
        <v>605</v>
      </c>
      <c r="F1027" s="64" t="s">
        <v>240</v>
      </c>
      <c r="G1027" s="65" t="s">
        <v>1717</v>
      </c>
      <c r="H1027" s="63">
        <v>1</v>
      </c>
      <c r="I1027" s="63">
        <v>9</v>
      </c>
      <c r="J1027" s="63">
        <v>2</v>
      </c>
      <c r="K1027" s="63" t="s">
        <v>1718</v>
      </c>
      <c r="L1027" s="63" t="s">
        <v>240</v>
      </c>
      <c r="M1027" s="63" t="s">
        <v>1715</v>
      </c>
      <c r="N1027" s="63" t="s">
        <v>240</v>
      </c>
      <c r="O1027" s="63" t="s">
        <v>240</v>
      </c>
      <c r="P1027" s="63" t="s">
        <v>240</v>
      </c>
      <c r="Q1027" s="63" t="s">
        <v>240</v>
      </c>
      <c r="R1027" s="63" t="s">
        <v>1548</v>
      </c>
      <c r="S1027" s="63">
        <v>3742</v>
      </c>
      <c r="T1027" s="63">
        <f t="shared" si="307"/>
        <v>1871</v>
      </c>
      <c r="U1027" s="63">
        <f t="shared" si="320"/>
        <v>1871</v>
      </c>
      <c r="V1027" s="63">
        <v>140.81</v>
      </c>
      <c r="W1027" s="63">
        <v>141.63</v>
      </c>
      <c r="AI1027" s="67">
        <f t="shared" si="314"/>
        <v>141.63</v>
      </c>
      <c r="AJ1027" s="111"/>
      <c r="AK1027" s="111"/>
      <c r="AL1027" s="111"/>
      <c r="AM1027" s="111"/>
      <c r="AN1027" s="111"/>
      <c r="AO1027" s="111"/>
      <c r="AP1027" s="67">
        <f t="shared" si="315"/>
        <v>3.2505462327479043E-2</v>
      </c>
      <c r="AQ1027" s="67">
        <f t="shared" si="316"/>
        <v>4331.8873173190923</v>
      </c>
      <c r="AR1027" s="67"/>
      <c r="AS1027" s="67">
        <f t="shared" si="317"/>
        <v>1.0700843541968988E-3</v>
      </c>
      <c r="AT1027" s="67"/>
      <c r="AU1027" s="67">
        <f t="shared" si="318"/>
        <v>3740</v>
      </c>
      <c r="AV1027" s="67">
        <f t="shared" si="319"/>
        <v>1</v>
      </c>
      <c r="AW1027" s="67" t="s">
        <v>1350</v>
      </c>
    </row>
    <row r="1028" spans="1:49" s="63" customFormat="1" ht="30" customHeight="1" x14ac:dyDescent="0.25">
      <c r="A1028" s="50" t="s">
        <v>1559</v>
      </c>
      <c r="B1028" s="51" t="s">
        <v>1560</v>
      </c>
      <c r="C1028" s="50" t="s">
        <v>1561</v>
      </c>
      <c r="D1028" s="63">
        <v>1</v>
      </c>
      <c r="E1028" s="64" t="s">
        <v>605</v>
      </c>
      <c r="F1028" s="64" t="s">
        <v>240</v>
      </c>
      <c r="G1028" s="65" t="s">
        <v>578</v>
      </c>
      <c r="H1028" s="63">
        <v>1</v>
      </c>
      <c r="I1028" s="63">
        <v>48</v>
      </c>
      <c r="J1028" s="63">
        <v>1</v>
      </c>
      <c r="K1028" s="63" t="s">
        <v>1320</v>
      </c>
      <c r="L1028" s="63" t="s">
        <v>240</v>
      </c>
      <c r="M1028" s="63" t="s">
        <v>1719</v>
      </c>
      <c r="N1028" s="63" t="s">
        <v>240</v>
      </c>
      <c r="O1028" s="63" t="s">
        <v>240</v>
      </c>
      <c r="P1028" s="63" t="s">
        <v>240</v>
      </c>
      <c r="Q1028" s="63" t="s">
        <v>240</v>
      </c>
      <c r="R1028" s="63" t="s">
        <v>1567</v>
      </c>
      <c r="S1028" s="63">
        <v>1217</v>
      </c>
      <c r="T1028" s="63">
        <v>731</v>
      </c>
      <c r="U1028" s="63">
        <v>486</v>
      </c>
      <c r="V1028" s="63">
        <v>3.1E-2</v>
      </c>
      <c r="AB1028" s="63">
        <v>0.82899999999999996</v>
      </c>
      <c r="AC1028" s="63">
        <v>0.79800000000000004</v>
      </c>
      <c r="AF1028" s="102">
        <f t="shared" ref="AF1028" si="321">_xlfn.T.INV.2T(AH1028,S1028-2)</f>
        <v>1.4025718758345234</v>
      </c>
      <c r="AH1028" s="63">
        <v>0.161</v>
      </c>
      <c r="AI1028" s="102">
        <f>ABS(V1028/AF1028)</f>
        <v>2.2102254104842331E-2</v>
      </c>
    </row>
    <row r="1029" spans="1:49" s="63" customFormat="1" ht="30" customHeight="1" x14ac:dyDescent="0.25">
      <c r="A1029" s="50" t="s">
        <v>1559</v>
      </c>
      <c r="B1029" s="51" t="s">
        <v>1560</v>
      </c>
      <c r="C1029" s="50" t="s">
        <v>1561</v>
      </c>
      <c r="D1029" s="63">
        <v>2</v>
      </c>
      <c r="E1029" s="64" t="s">
        <v>605</v>
      </c>
      <c r="F1029" s="64" t="s">
        <v>240</v>
      </c>
      <c r="G1029" s="65" t="s">
        <v>578</v>
      </c>
      <c r="H1029" s="63">
        <v>1</v>
      </c>
      <c r="I1029" s="63">
        <v>48</v>
      </c>
      <c r="J1029" s="63">
        <v>2</v>
      </c>
      <c r="K1029" s="63" t="s">
        <v>1720</v>
      </c>
      <c r="L1029" s="63" t="s">
        <v>240</v>
      </c>
      <c r="M1029" s="63" t="s">
        <v>1719</v>
      </c>
      <c r="N1029" s="63" t="s">
        <v>240</v>
      </c>
      <c r="O1029" s="63" t="s">
        <v>240</v>
      </c>
      <c r="P1029" s="63" t="s">
        <v>240</v>
      </c>
      <c r="Q1029" s="63" t="s">
        <v>240</v>
      </c>
      <c r="R1029" s="63" t="s">
        <v>1567</v>
      </c>
      <c r="S1029" s="63">
        <v>1217</v>
      </c>
      <c r="T1029" s="63">
        <v>731</v>
      </c>
      <c r="U1029" s="63">
        <v>486</v>
      </c>
      <c r="V1029" s="63">
        <v>-239</v>
      </c>
      <c r="AB1029" s="63">
        <v>16934</v>
      </c>
      <c r="AC1029" s="63">
        <v>17173</v>
      </c>
      <c r="AF1029" s="67">
        <f t="shared" ref="AF1029:AF1033" si="322">_xlfn.T.INV.2T(AH1029,S1029-2)</f>
        <v>0.1891587360635251</v>
      </c>
      <c r="AH1029" s="63">
        <v>0.85</v>
      </c>
      <c r="AI1029" s="67">
        <f>+ABS(V1029/AF1029)</f>
        <v>1263.4890937299176</v>
      </c>
      <c r="AJ1029" s="111"/>
      <c r="AK1029" s="111"/>
      <c r="AL1029" s="111"/>
      <c r="AM1029" s="111"/>
      <c r="AN1029" s="111"/>
      <c r="AO1029" s="111"/>
      <c r="AP1029" s="67">
        <f t="shared" ref="AP1029" si="323">+V1029/AQ1029</f>
        <v>-1.1071204413583493E-2</v>
      </c>
      <c r="AQ1029" s="67">
        <f t="shared" ref="AQ1029" si="324">+AI1029*SQRT(T1029*U1029/S1029)</f>
        <v>21587.533846522234</v>
      </c>
      <c r="AR1029" s="67"/>
      <c r="AS1029" s="67">
        <f t="shared" ref="AS1029" si="325">+AP1029^2/(AU1029-2)*(AU1029/(V1029/AI1029)^2+AU1029*AV1029^2-AU1029+2)</f>
        <v>3.4314524701407347E-3</v>
      </c>
      <c r="AT1029" s="67"/>
      <c r="AU1029" s="67">
        <f t="shared" ref="AU1029" si="326">+S1029-2</f>
        <v>1215</v>
      </c>
      <c r="AV1029" s="67">
        <f t="shared" ref="AV1029" si="327">IFERROR(1/(SQRT(AU1029/2)*_xlfn.GAMMA(AU1029/2-0.5)/_xlfn.GAMMA(AU1029/2)),1)</f>
        <v>1</v>
      </c>
      <c r="AW1029" s="67" t="s">
        <v>1350</v>
      </c>
    </row>
    <row r="1030" spans="1:49" s="63" customFormat="1" ht="30" customHeight="1" x14ac:dyDescent="0.25">
      <c r="A1030" s="50" t="s">
        <v>1559</v>
      </c>
      <c r="B1030" s="63" t="s">
        <v>1582</v>
      </c>
      <c r="C1030" s="50" t="s">
        <v>1573</v>
      </c>
      <c r="D1030" s="63">
        <v>3</v>
      </c>
      <c r="E1030" s="63" t="s">
        <v>568</v>
      </c>
      <c r="F1030" s="63" t="s">
        <v>240</v>
      </c>
      <c r="G1030" s="63" t="s">
        <v>1253</v>
      </c>
      <c r="H1030" s="63">
        <v>1</v>
      </c>
      <c r="I1030" s="63">
        <v>48</v>
      </c>
      <c r="J1030" s="63">
        <v>1</v>
      </c>
      <c r="K1030" s="63" t="s">
        <v>1320</v>
      </c>
      <c r="L1030" s="63" t="s">
        <v>240</v>
      </c>
      <c r="M1030" s="63" t="s">
        <v>1721</v>
      </c>
      <c r="N1030" s="63" t="s">
        <v>240</v>
      </c>
      <c r="O1030" s="63" t="s">
        <v>240</v>
      </c>
      <c r="P1030" s="63" t="s">
        <v>240</v>
      </c>
      <c r="Q1030" s="63" t="s">
        <v>240</v>
      </c>
      <c r="R1030" s="63" t="s">
        <v>955</v>
      </c>
      <c r="S1030" s="63">
        <f>SUM(T1030:U1030)</f>
        <v>1211</v>
      </c>
      <c r="T1030" s="63">
        <v>725</v>
      </c>
      <c r="U1030" s="63">
        <v>486</v>
      </c>
      <c r="V1030" s="63">
        <v>1.4999999999999999E-2</v>
      </c>
      <c r="AB1030" s="63">
        <v>0.81299999999999994</v>
      </c>
      <c r="AC1030" s="63">
        <v>0.79800000000000004</v>
      </c>
      <c r="AF1030" s="102">
        <f t="shared" si="322"/>
        <v>0.67626776830884472</v>
      </c>
      <c r="AH1030" s="63">
        <v>0.499</v>
      </c>
      <c r="AI1030" s="102">
        <f>ABS(V1030/AF1030)</f>
        <v>2.2180563236823745E-2</v>
      </c>
    </row>
    <row r="1031" spans="1:49" s="63" customFormat="1" ht="30" customHeight="1" x14ac:dyDescent="0.25">
      <c r="A1031" s="50" t="s">
        <v>1559</v>
      </c>
      <c r="B1031" s="63" t="s">
        <v>1582</v>
      </c>
      <c r="C1031" s="50" t="s">
        <v>1573</v>
      </c>
      <c r="D1031" s="63">
        <v>4</v>
      </c>
      <c r="E1031" s="63" t="s">
        <v>568</v>
      </c>
      <c r="F1031" s="63" t="s">
        <v>240</v>
      </c>
      <c r="G1031" s="63" t="s">
        <v>1253</v>
      </c>
      <c r="H1031" s="63">
        <v>1</v>
      </c>
      <c r="I1031" s="63">
        <v>48</v>
      </c>
      <c r="J1031" s="63">
        <v>2</v>
      </c>
      <c r="K1031" s="63" t="s">
        <v>1722</v>
      </c>
      <c r="L1031" s="63" t="s">
        <v>240</v>
      </c>
      <c r="M1031" s="63" t="s">
        <v>1721</v>
      </c>
      <c r="N1031" s="63" t="s">
        <v>240</v>
      </c>
      <c r="O1031" s="63" t="s">
        <v>240</v>
      </c>
      <c r="P1031" s="63" t="s">
        <v>240</v>
      </c>
      <c r="Q1031" s="63" t="s">
        <v>240</v>
      </c>
      <c r="R1031" s="63" t="s">
        <v>955</v>
      </c>
      <c r="S1031" s="63">
        <f>SUM(T1031:U1031)</f>
        <v>1211</v>
      </c>
      <c r="T1031" s="63">
        <v>725</v>
      </c>
      <c r="U1031" s="63">
        <v>486</v>
      </c>
      <c r="V1031" s="63">
        <v>-1526</v>
      </c>
      <c r="AB1031" s="63">
        <v>15647</v>
      </c>
      <c r="AC1031" s="63">
        <v>17173</v>
      </c>
      <c r="AF1031" s="67">
        <f t="shared" si="322"/>
        <v>1.2061386741083748</v>
      </c>
      <c r="AH1031" s="63">
        <v>0.22800000000000001</v>
      </c>
      <c r="AI1031" s="67">
        <f>+ABS(V1031/AF1031)</f>
        <v>1265.1944861382372</v>
      </c>
      <c r="AJ1031" s="111"/>
      <c r="AK1031" s="111"/>
      <c r="AL1031" s="111"/>
      <c r="AM1031" s="111"/>
      <c r="AN1031" s="111"/>
      <c r="AO1031" s="111"/>
      <c r="AP1031" s="67">
        <f t="shared" ref="AP1031" si="328">+V1031/AQ1031</f>
        <v>-7.0710218089939866E-2</v>
      </c>
      <c r="AQ1031" s="67">
        <f t="shared" ref="AQ1031" si="329">+AI1031*SQRT(T1031*U1031/S1031)</f>
        <v>21581.039363490636</v>
      </c>
      <c r="AR1031" s="67"/>
      <c r="AS1031" s="67">
        <f t="shared" ref="AS1031" si="330">+AP1031^2/(AU1031-2)*(AU1031/(V1031/AI1031)^2+AU1031*AV1031^2-AU1031+2)</f>
        <v>3.4509033950031981E-3</v>
      </c>
      <c r="AT1031" s="67"/>
      <c r="AU1031" s="67">
        <f t="shared" ref="AU1031" si="331">+S1031-2</f>
        <v>1209</v>
      </c>
      <c r="AV1031" s="67">
        <f t="shared" ref="AV1031" si="332">IFERROR(1/(SQRT(AU1031/2)*_xlfn.GAMMA(AU1031/2-0.5)/_xlfn.GAMMA(AU1031/2)),1)</f>
        <v>1</v>
      </c>
      <c r="AW1031" s="67" t="s">
        <v>1350</v>
      </c>
    </row>
    <row r="1032" spans="1:49" s="63" customFormat="1" ht="30" customHeight="1" x14ac:dyDescent="0.25">
      <c r="A1032" s="50" t="s">
        <v>1581</v>
      </c>
      <c r="B1032" s="63" t="s">
        <v>1582</v>
      </c>
      <c r="C1032" s="50" t="s">
        <v>1583</v>
      </c>
      <c r="D1032" s="63">
        <v>1</v>
      </c>
      <c r="E1032" s="63" t="s">
        <v>577</v>
      </c>
      <c r="F1032" s="63" t="s">
        <v>240</v>
      </c>
      <c r="G1032" s="63" t="s">
        <v>1253</v>
      </c>
      <c r="H1032" s="63">
        <v>1</v>
      </c>
      <c r="I1032" s="63">
        <v>9</v>
      </c>
      <c r="J1032" s="63">
        <v>1</v>
      </c>
      <c r="K1032" s="63" t="s">
        <v>1723</v>
      </c>
      <c r="L1032" s="63" t="s">
        <v>240</v>
      </c>
      <c r="M1032" s="63" t="s">
        <v>1724</v>
      </c>
      <c r="N1032" s="63" t="s">
        <v>240</v>
      </c>
      <c r="O1032" s="63" t="s">
        <v>240</v>
      </c>
      <c r="P1032" s="63" t="s">
        <v>240</v>
      </c>
      <c r="Q1032" s="63" t="s">
        <v>240</v>
      </c>
      <c r="R1032" s="63" t="s">
        <v>1567</v>
      </c>
      <c r="S1032" s="63">
        <v>2757</v>
      </c>
      <c r="T1032" s="63">
        <f>ROUND(+S1032*0.494,0)</f>
        <v>1362</v>
      </c>
      <c r="U1032" s="63">
        <f>+S1032-T1032</f>
        <v>1395</v>
      </c>
      <c r="V1032" s="63">
        <v>3.5000000000000003E-2</v>
      </c>
      <c r="AB1032" s="63">
        <v>0.38800000000000001</v>
      </c>
      <c r="AC1032" s="63">
        <v>0.35299999999999998</v>
      </c>
      <c r="AF1032" s="102">
        <f t="shared" si="322"/>
        <v>2.5776150589062596</v>
      </c>
      <c r="AH1032" s="63">
        <v>0.01</v>
      </c>
      <c r="AI1032" s="102">
        <f t="shared" ref="AI1032:AI1033" si="333">ABS(V1032/AF1032)</f>
        <v>1.3578443328481831E-2</v>
      </c>
      <c r="AK1032" s="63" t="s">
        <v>1725</v>
      </c>
    </row>
    <row r="1033" spans="1:49" s="63" customFormat="1" ht="30" customHeight="1" x14ac:dyDescent="0.25">
      <c r="A1033" s="50" t="s">
        <v>1581</v>
      </c>
      <c r="B1033" s="63" t="s">
        <v>1582</v>
      </c>
      <c r="C1033" s="50" t="s">
        <v>1593</v>
      </c>
      <c r="D1033" s="63">
        <v>2</v>
      </c>
      <c r="E1033" s="63" t="s">
        <v>577</v>
      </c>
      <c r="F1033" s="63" t="s">
        <v>240</v>
      </c>
      <c r="G1033" s="63" t="s">
        <v>1253</v>
      </c>
      <c r="H1033" s="63">
        <v>1</v>
      </c>
      <c r="I1033" s="63">
        <v>9</v>
      </c>
      <c r="J1033" s="63">
        <v>1</v>
      </c>
      <c r="K1033" s="63" t="s">
        <v>1723</v>
      </c>
      <c r="L1033" s="63" t="s">
        <v>240</v>
      </c>
      <c r="M1033" s="63" t="s">
        <v>1724</v>
      </c>
      <c r="N1033" s="63" t="s">
        <v>240</v>
      </c>
      <c r="O1033" s="63" t="s">
        <v>240</v>
      </c>
      <c r="P1033" s="63" t="s">
        <v>240</v>
      </c>
      <c r="Q1033" s="63" t="s">
        <v>240</v>
      </c>
      <c r="R1033" s="63" t="s">
        <v>1567</v>
      </c>
      <c r="S1033" s="63">
        <v>3150</v>
      </c>
      <c r="T1033" s="63">
        <f>ROUND(0.673*S1033,0)</f>
        <v>2120</v>
      </c>
      <c r="U1033" s="63">
        <f>+S1033-T1033</f>
        <v>1030</v>
      </c>
      <c r="V1033" s="63">
        <v>4.1000000000000002E-2</v>
      </c>
      <c r="AB1033" s="63">
        <v>0.376</v>
      </c>
      <c r="AC1033" s="63">
        <v>0.33500000000000002</v>
      </c>
      <c r="AF1033" s="102">
        <f t="shared" si="322"/>
        <v>2.5773919958274143</v>
      </c>
      <c r="AH1033" s="63">
        <v>0.01</v>
      </c>
      <c r="AI1033" s="102">
        <f t="shared" si="333"/>
        <v>1.5907553087142208E-2</v>
      </c>
      <c r="AK1033" s="63" t="s">
        <v>1725</v>
      </c>
    </row>
    <row r="1034" spans="1:49" s="63" customFormat="1" ht="30" customHeight="1" x14ac:dyDescent="0.25">
      <c r="A1034" s="50" t="s">
        <v>1581</v>
      </c>
      <c r="B1034" s="63" t="s">
        <v>1582</v>
      </c>
      <c r="C1034" s="50" t="s">
        <v>1583</v>
      </c>
      <c r="D1034" s="63">
        <v>3</v>
      </c>
      <c r="E1034" s="63" t="s">
        <v>577</v>
      </c>
      <c r="F1034" s="63" t="s">
        <v>240</v>
      </c>
      <c r="G1034" s="63" t="s">
        <v>1253</v>
      </c>
      <c r="H1034" s="63">
        <v>1</v>
      </c>
      <c r="I1034" s="63">
        <v>9</v>
      </c>
      <c r="J1034" s="63">
        <v>2</v>
      </c>
      <c r="K1034" s="63" t="s">
        <v>1726</v>
      </c>
      <c r="L1034" s="63" t="s">
        <v>638</v>
      </c>
      <c r="M1034" s="63" t="s">
        <v>1724</v>
      </c>
      <c r="N1034" s="63" t="s">
        <v>240</v>
      </c>
      <c r="O1034" s="63" t="s">
        <v>240</v>
      </c>
      <c r="P1034" s="63" t="s">
        <v>240</v>
      </c>
      <c r="Q1034" s="63" t="s">
        <v>240</v>
      </c>
      <c r="R1034" s="63" t="s">
        <v>1567</v>
      </c>
      <c r="S1034" s="63">
        <v>2757</v>
      </c>
      <c r="T1034" s="63">
        <f>ROUND(+S1034*0.494,0)</f>
        <v>1362</v>
      </c>
      <c r="U1034" s="63">
        <f>+S1034-T1034</f>
        <v>1395</v>
      </c>
      <c r="V1034" s="63">
        <v>96</v>
      </c>
      <c r="AB1034" s="63">
        <v>730</v>
      </c>
      <c r="AC1034" s="63">
        <v>634</v>
      </c>
      <c r="AF1034" s="67">
        <f t="shared" ref="AF1034:AF1035" si="334">_xlfn.T.INV.2T(AH1034,S1034-2)</f>
        <v>2.5776150589062596</v>
      </c>
      <c r="AH1034" s="63">
        <v>0.01</v>
      </c>
      <c r="AI1034" s="67">
        <f>+ABS(V1034/AF1034)</f>
        <v>37.243730272407305</v>
      </c>
      <c r="AK1034" s="63" t="s">
        <v>1725</v>
      </c>
      <c r="AP1034" s="67">
        <f t="shared" ref="AP1034:AP1054" si="335">+V1034/AQ1034</f>
        <v>9.8188536240920526E-2</v>
      </c>
      <c r="AQ1034" s="67">
        <f t="shared" ref="AQ1034:AQ1054" si="336">+AI1034*SQRT(T1034*U1034/S1034)</f>
        <v>977.71087822767186</v>
      </c>
      <c r="AR1034" s="67"/>
      <c r="AS1034" s="67">
        <f t="shared" ref="AS1034:AS1054" si="337">+AP1034^2/(AU1034-2)*(AU1034/(V1034/AI1034)^2+AU1034*AV1034^2-AU1034+2)</f>
        <v>1.4591184226923953E-3</v>
      </c>
      <c r="AT1034" s="67"/>
      <c r="AU1034" s="67">
        <f t="shared" ref="AU1034:AU1054" si="338">+S1034-2</f>
        <v>2755</v>
      </c>
      <c r="AV1034" s="67">
        <f t="shared" ref="AV1034:AV1054" si="339">IFERROR(1/(SQRT(AU1034/2)*_xlfn.GAMMA(AU1034/2-0.5)/_xlfn.GAMMA(AU1034/2)),1)</f>
        <v>1</v>
      </c>
      <c r="AW1034" s="67" t="s">
        <v>1350</v>
      </c>
    </row>
    <row r="1035" spans="1:49" s="63" customFormat="1" ht="30" customHeight="1" x14ac:dyDescent="0.25">
      <c r="A1035" s="50" t="s">
        <v>1581</v>
      </c>
      <c r="B1035" s="63" t="s">
        <v>1582</v>
      </c>
      <c r="C1035" s="50" t="s">
        <v>1593</v>
      </c>
      <c r="D1035" s="63">
        <v>4</v>
      </c>
      <c r="E1035" s="63" t="s">
        <v>577</v>
      </c>
      <c r="F1035" s="63" t="s">
        <v>240</v>
      </c>
      <c r="G1035" s="63" t="s">
        <v>1253</v>
      </c>
      <c r="H1035" s="63">
        <v>1</v>
      </c>
      <c r="I1035" s="63">
        <v>9</v>
      </c>
      <c r="J1035" s="63">
        <v>2</v>
      </c>
      <c r="K1035" s="63" t="s">
        <v>1726</v>
      </c>
      <c r="L1035" s="63" t="s">
        <v>638</v>
      </c>
      <c r="M1035" s="63" t="s">
        <v>1724</v>
      </c>
      <c r="N1035" s="63" t="s">
        <v>240</v>
      </c>
      <c r="O1035" s="63" t="s">
        <v>240</v>
      </c>
      <c r="P1035" s="63" t="s">
        <v>240</v>
      </c>
      <c r="Q1035" s="63" t="s">
        <v>240</v>
      </c>
      <c r="R1035" s="63" t="s">
        <v>1567</v>
      </c>
      <c r="S1035" s="63">
        <v>3150</v>
      </c>
      <c r="T1035" s="63">
        <f>ROUND(0.673*S1035,0)</f>
        <v>2120</v>
      </c>
      <c r="U1035" s="63">
        <f>+S1035-T1035</f>
        <v>1030</v>
      </c>
      <c r="V1035" s="63">
        <v>72</v>
      </c>
      <c r="AB1035" s="63">
        <v>613</v>
      </c>
      <c r="AC1035" s="63">
        <v>541</v>
      </c>
      <c r="AF1035" s="67">
        <f t="shared" si="334"/>
        <v>1.9607178498795983</v>
      </c>
      <c r="AH1035" s="63">
        <v>0.05</v>
      </c>
      <c r="AI1035" s="67">
        <f t="shared" ref="AI1035" si="340">+ABS(V1035/AF1035)</f>
        <v>36.721244723926645</v>
      </c>
      <c r="AK1035" s="63" t="s">
        <v>1309</v>
      </c>
      <c r="AP1035" s="67">
        <f t="shared" si="335"/>
        <v>7.4470425735216048E-2</v>
      </c>
      <c r="AQ1035" s="67">
        <f t="shared" si="336"/>
        <v>966.8267542339587</v>
      </c>
      <c r="AR1035" s="67"/>
      <c r="AS1035" s="67">
        <f t="shared" si="337"/>
        <v>1.4470146308351488E-3</v>
      </c>
      <c r="AT1035" s="67"/>
      <c r="AU1035" s="67">
        <f t="shared" si="338"/>
        <v>3148</v>
      </c>
      <c r="AV1035" s="67">
        <f t="shared" si="339"/>
        <v>1</v>
      </c>
      <c r="AW1035" s="67" t="s">
        <v>1350</v>
      </c>
    </row>
    <row r="1036" spans="1:49" s="63" customFormat="1" ht="30" customHeight="1" x14ac:dyDescent="0.25">
      <c r="A1036" s="55" t="s">
        <v>1597</v>
      </c>
      <c r="B1036" s="63" t="s">
        <v>1560</v>
      </c>
      <c r="C1036" s="55" t="s">
        <v>1597</v>
      </c>
      <c r="D1036" s="63">
        <v>1</v>
      </c>
      <c r="E1036" s="56" t="s">
        <v>605</v>
      </c>
      <c r="F1036" s="63" t="s">
        <v>240</v>
      </c>
      <c r="G1036" s="57" t="s">
        <v>1727</v>
      </c>
      <c r="H1036" s="63">
        <v>0</v>
      </c>
      <c r="I1036" s="63">
        <v>12</v>
      </c>
      <c r="J1036" s="63">
        <v>5</v>
      </c>
      <c r="K1036" s="114" t="s">
        <v>1728</v>
      </c>
      <c r="M1036" s="63" t="s">
        <v>1729</v>
      </c>
      <c r="N1036" s="63" t="s">
        <v>240</v>
      </c>
      <c r="O1036" s="63" t="s">
        <v>240</v>
      </c>
      <c r="P1036" s="63" t="s">
        <v>240</v>
      </c>
      <c r="Q1036" s="63" t="s">
        <v>240</v>
      </c>
      <c r="R1036" s="63" t="s">
        <v>1603</v>
      </c>
      <c r="S1036" s="63">
        <f t="shared" ref="S1036:S1041" si="341">SUM(T1036:U1036)</f>
        <v>2498</v>
      </c>
      <c r="T1036" s="63">
        <f>219+271</f>
        <v>490</v>
      </c>
      <c r="U1036" s="63">
        <f>852+1156</f>
        <v>2008</v>
      </c>
      <c r="V1036" s="63">
        <v>-1.2E-2</v>
      </c>
      <c r="W1036" s="63">
        <v>6.6000000000000003E-2</v>
      </c>
      <c r="AI1036" s="67">
        <f t="shared" ref="AI1036:AI1054" si="342">+W1036</f>
        <v>6.6000000000000003E-2</v>
      </c>
      <c r="AJ1036" s="111"/>
      <c r="AK1036" s="111"/>
      <c r="AL1036" s="111"/>
      <c r="AM1036" s="111"/>
      <c r="AN1036" s="111"/>
      <c r="AO1036" s="111"/>
      <c r="AP1036" s="67">
        <f t="shared" si="335"/>
        <v>-9.1612267659122049E-3</v>
      </c>
      <c r="AQ1036" s="67">
        <f t="shared" si="336"/>
        <v>1.3098682421715093</v>
      </c>
      <c r="AR1036" s="67"/>
      <c r="AS1036" s="67">
        <f t="shared" si="337"/>
        <v>2.540927544353784E-3</v>
      </c>
      <c r="AT1036" s="67"/>
      <c r="AU1036" s="67">
        <f t="shared" si="338"/>
        <v>2496</v>
      </c>
      <c r="AV1036" s="67">
        <f t="shared" si="339"/>
        <v>1</v>
      </c>
      <c r="AW1036" s="67" t="s">
        <v>1350</v>
      </c>
    </row>
    <row r="1037" spans="1:49" s="63" customFormat="1" ht="30" customHeight="1" x14ac:dyDescent="0.25">
      <c r="A1037" s="55" t="s">
        <v>1597</v>
      </c>
      <c r="B1037" s="63" t="s">
        <v>1560</v>
      </c>
      <c r="C1037" s="55" t="s">
        <v>1597</v>
      </c>
      <c r="D1037" s="63">
        <v>2</v>
      </c>
      <c r="E1037" s="56" t="s">
        <v>605</v>
      </c>
      <c r="F1037" s="63" t="s">
        <v>240</v>
      </c>
      <c r="G1037" s="57" t="s">
        <v>1727</v>
      </c>
      <c r="H1037" s="63">
        <v>0</v>
      </c>
      <c r="I1037" s="63">
        <v>24</v>
      </c>
      <c r="J1037" s="63">
        <v>5</v>
      </c>
      <c r="K1037" s="114" t="s">
        <v>1728</v>
      </c>
      <c r="M1037" s="63" t="s">
        <v>1729</v>
      </c>
      <c r="N1037" s="63" t="s">
        <v>240</v>
      </c>
      <c r="O1037" s="63" t="s">
        <v>240</v>
      </c>
      <c r="P1037" s="63" t="s">
        <v>240</v>
      </c>
      <c r="Q1037" s="63" t="s">
        <v>240</v>
      </c>
      <c r="R1037" s="63" t="s">
        <v>1603</v>
      </c>
      <c r="S1037" s="63">
        <f t="shared" si="341"/>
        <v>2498</v>
      </c>
      <c r="T1037" s="63">
        <f>219+271</f>
        <v>490</v>
      </c>
      <c r="U1037" s="63">
        <f>852+1156</f>
        <v>2008</v>
      </c>
      <c r="V1037" s="63">
        <v>3.5999999999999997E-2</v>
      </c>
      <c r="W1037" s="63">
        <v>7.1999999999999995E-2</v>
      </c>
      <c r="AI1037" s="67">
        <f t="shared" si="342"/>
        <v>7.1999999999999995E-2</v>
      </c>
      <c r="AJ1037" s="111"/>
      <c r="AK1037" s="111"/>
      <c r="AL1037" s="111"/>
      <c r="AM1037" s="111"/>
      <c r="AN1037" s="111"/>
      <c r="AO1037" s="111"/>
      <c r="AP1037" s="67">
        <f t="shared" si="335"/>
        <v>2.5193373606258562E-2</v>
      </c>
      <c r="AQ1037" s="67">
        <f t="shared" si="336"/>
        <v>1.4289471732780099</v>
      </c>
      <c r="AR1037" s="67"/>
      <c r="AS1037" s="67">
        <f t="shared" si="337"/>
        <v>2.5413692267898763E-3</v>
      </c>
      <c r="AT1037" s="67"/>
      <c r="AU1037" s="67">
        <f t="shared" si="338"/>
        <v>2496</v>
      </c>
      <c r="AV1037" s="67">
        <f t="shared" si="339"/>
        <v>1</v>
      </c>
      <c r="AW1037" s="67" t="s">
        <v>1350</v>
      </c>
    </row>
    <row r="1038" spans="1:49" s="63" customFormat="1" ht="30" customHeight="1" x14ac:dyDescent="0.25">
      <c r="A1038" s="55" t="s">
        <v>1597</v>
      </c>
      <c r="B1038" s="63" t="s">
        <v>1560</v>
      </c>
      <c r="C1038" s="55" t="s">
        <v>1597</v>
      </c>
      <c r="D1038" s="63">
        <v>3</v>
      </c>
      <c r="E1038" s="56" t="s">
        <v>605</v>
      </c>
      <c r="F1038" s="63" t="s">
        <v>240</v>
      </c>
      <c r="G1038" s="57" t="s">
        <v>1727</v>
      </c>
      <c r="H1038" s="63">
        <v>0</v>
      </c>
      <c r="I1038" s="63">
        <v>36</v>
      </c>
      <c r="J1038" s="63">
        <v>5</v>
      </c>
      <c r="K1038" s="114" t="s">
        <v>1728</v>
      </c>
      <c r="M1038" s="63" t="s">
        <v>1729</v>
      </c>
      <c r="N1038" s="63" t="s">
        <v>240</v>
      </c>
      <c r="O1038" s="63" t="s">
        <v>240</v>
      </c>
      <c r="P1038" s="63" t="s">
        <v>240</v>
      </c>
      <c r="Q1038" s="63" t="s">
        <v>240</v>
      </c>
      <c r="R1038" s="63" t="s">
        <v>1603</v>
      </c>
      <c r="S1038" s="63">
        <f t="shared" si="341"/>
        <v>2498</v>
      </c>
      <c r="T1038" s="63">
        <f>219+271</f>
        <v>490</v>
      </c>
      <c r="U1038" s="63">
        <f>852+1156</f>
        <v>2008</v>
      </c>
      <c r="V1038" s="63">
        <v>6.4000000000000001E-2</v>
      </c>
      <c r="W1038" s="63">
        <v>6.8000000000000005E-2</v>
      </c>
      <c r="AI1038" s="67">
        <f t="shared" si="342"/>
        <v>6.8000000000000005E-2</v>
      </c>
      <c r="AJ1038" s="111"/>
      <c r="AK1038" s="111"/>
      <c r="AL1038" s="111"/>
      <c r="AM1038" s="111"/>
      <c r="AN1038" s="111"/>
      <c r="AO1038" s="111"/>
      <c r="AP1038" s="67">
        <f t="shared" si="335"/>
        <v>4.7422820905898472E-2</v>
      </c>
      <c r="AQ1038" s="67">
        <f t="shared" si="336"/>
        <v>1.3495612192070094</v>
      </c>
      <c r="AR1038" s="67"/>
      <c r="AS1038" s="67">
        <f t="shared" si="337"/>
        <v>2.5426637078396026E-3</v>
      </c>
      <c r="AT1038" s="67"/>
      <c r="AU1038" s="67">
        <f t="shared" si="338"/>
        <v>2496</v>
      </c>
      <c r="AV1038" s="67">
        <f t="shared" si="339"/>
        <v>1</v>
      </c>
      <c r="AW1038" s="67" t="s">
        <v>1350</v>
      </c>
    </row>
    <row r="1039" spans="1:49" s="63" customFormat="1" ht="30" customHeight="1" x14ac:dyDescent="0.25">
      <c r="A1039" s="55" t="s">
        <v>1597</v>
      </c>
      <c r="B1039" s="63" t="s">
        <v>1560</v>
      </c>
      <c r="C1039" s="55" t="s">
        <v>1597</v>
      </c>
      <c r="D1039" s="63">
        <v>4</v>
      </c>
      <c r="E1039" s="56" t="s">
        <v>605</v>
      </c>
      <c r="F1039" s="63" t="s">
        <v>240</v>
      </c>
      <c r="G1039" s="57" t="s">
        <v>1730</v>
      </c>
      <c r="H1039" s="63">
        <v>0</v>
      </c>
      <c r="I1039" s="63">
        <v>12</v>
      </c>
      <c r="J1039" s="63">
        <v>5</v>
      </c>
      <c r="K1039" s="114" t="s">
        <v>1728</v>
      </c>
      <c r="M1039" s="63" t="s">
        <v>1729</v>
      </c>
      <c r="N1039" s="63" t="s">
        <v>240</v>
      </c>
      <c r="O1039" s="63" t="s">
        <v>240</v>
      </c>
      <c r="P1039" s="63" t="s">
        <v>240</v>
      </c>
      <c r="Q1039" s="63" t="s">
        <v>240</v>
      </c>
      <c r="R1039" s="63" t="s">
        <v>1603</v>
      </c>
      <c r="S1039" s="63">
        <f t="shared" si="341"/>
        <v>2484</v>
      </c>
      <c r="T1039" s="63">
        <f>220+298</f>
        <v>518</v>
      </c>
      <c r="U1039" s="63">
        <f>783+1183</f>
        <v>1966</v>
      </c>
      <c r="V1039" s="63">
        <v>8.1000000000000003E-2</v>
      </c>
      <c r="W1039" s="63">
        <v>6.3E-2</v>
      </c>
      <c r="AI1039" s="67">
        <f t="shared" si="342"/>
        <v>6.3E-2</v>
      </c>
      <c r="AJ1039" s="111"/>
      <c r="AK1039" s="111"/>
      <c r="AL1039" s="111"/>
      <c r="AM1039" s="111"/>
      <c r="AN1039" s="111"/>
      <c r="AO1039" s="111"/>
      <c r="AP1039" s="67">
        <f t="shared" si="335"/>
        <v>6.3498523731554957E-2</v>
      </c>
      <c r="AQ1039" s="67">
        <f t="shared" si="336"/>
        <v>1.2756202072103899</v>
      </c>
      <c r="AR1039" s="67"/>
      <c r="AS1039" s="67">
        <f t="shared" si="337"/>
        <v>2.4443676483923552E-3</v>
      </c>
      <c r="AT1039" s="67"/>
      <c r="AU1039" s="67">
        <f t="shared" si="338"/>
        <v>2482</v>
      </c>
      <c r="AV1039" s="67">
        <f t="shared" si="339"/>
        <v>1</v>
      </c>
      <c r="AW1039" s="67" t="s">
        <v>1350</v>
      </c>
    </row>
    <row r="1040" spans="1:49" s="63" customFormat="1" ht="30" customHeight="1" x14ac:dyDescent="0.25">
      <c r="A1040" s="55" t="s">
        <v>1597</v>
      </c>
      <c r="B1040" s="63" t="s">
        <v>1560</v>
      </c>
      <c r="C1040" s="55" t="s">
        <v>1597</v>
      </c>
      <c r="D1040" s="63">
        <v>5</v>
      </c>
      <c r="E1040" s="56" t="s">
        <v>605</v>
      </c>
      <c r="F1040" s="63" t="s">
        <v>240</v>
      </c>
      <c r="G1040" s="57" t="s">
        <v>1730</v>
      </c>
      <c r="H1040" s="63">
        <v>0</v>
      </c>
      <c r="I1040" s="63">
        <v>24</v>
      </c>
      <c r="J1040" s="63">
        <v>5</v>
      </c>
      <c r="K1040" s="114" t="s">
        <v>1728</v>
      </c>
      <c r="M1040" s="63" t="s">
        <v>1729</v>
      </c>
      <c r="N1040" s="63" t="s">
        <v>240</v>
      </c>
      <c r="O1040" s="63" t="s">
        <v>240</v>
      </c>
      <c r="P1040" s="63" t="s">
        <v>240</v>
      </c>
      <c r="Q1040" s="63" t="s">
        <v>240</v>
      </c>
      <c r="R1040" s="63" t="s">
        <v>1603</v>
      </c>
      <c r="S1040" s="63">
        <f t="shared" si="341"/>
        <v>2484</v>
      </c>
      <c r="T1040" s="63">
        <f>220+298</f>
        <v>518</v>
      </c>
      <c r="U1040" s="63">
        <f>783+1183</f>
        <v>1966</v>
      </c>
      <c r="V1040" s="63">
        <v>0.107</v>
      </c>
      <c r="W1040" s="63">
        <v>6.3E-2</v>
      </c>
      <c r="AI1040" s="67">
        <f t="shared" si="342"/>
        <v>6.3E-2</v>
      </c>
      <c r="AJ1040" s="111"/>
      <c r="AK1040" s="111"/>
      <c r="AL1040" s="111"/>
      <c r="AM1040" s="111"/>
      <c r="AN1040" s="111"/>
      <c r="AO1040" s="111"/>
      <c r="AP1040" s="67">
        <f t="shared" si="335"/>
        <v>8.3880765916992353E-2</v>
      </c>
      <c r="AQ1040" s="67">
        <f t="shared" si="336"/>
        <v>1.2756202072103899</v>
      </c>
      <c r="AR1040" s="67"/>
      <c r="AS1040" s="67">
        <f t="shared" si="337"/>
        <v>2.446790164823593E-3</v>
      </c>
      <c r="AT1040" s="67"/>
      <c r="AU1040" s="67">
        <f t="shared" si="338"/>
        <v>2482</v>
      </c>
      <c r="AV1040" s="67">
        <f t="shared" si="339"/>
        <v>1</v>
      </c>
      <c r="AW1040" s="67" t="s">
        <v>1350</v>
      </c>
    </row>
    <row r="1041" spans="1:49" s="63" customFormat="1" ht="30" customHeight="1" x14ac:dyDescent="0.25">
      <c r="A1041" s="55" t="s">
        <v>1597</v>
      </c>
      <c r="B1041" s="63" t="s">
        <v>1560</v>
      </c>
      <c r="C1041" s="55" t="s">
        <v>1597</v>
      </c>
      <c r="D1041" s="63">
        <v>6</v>
      </c>
      <c r="E1041" s="56" t="s">
        <v>605</v>
      </c>
      <c r="F1041" s="63" t="s">
        <v>240</v>
      </c>
      <c r="G1041" s="57" t="s">
        <v>1730</v>
      </c>
      <c r="H1041" s="63">
        <v>0</v>
      </c>
      <c r="I1041" s="63">
        <v>36</v>
      </c>
      <c r="J1041" s="63">
        <v>5</v>
      </c>
      <c r="K1041" s="114" t="s">
        <v>1728</v>
      </c>
      <c r="M1041" s="63" t="s">
        <v>1729</v>
      </c>
      <c r="N1041" s="63" t="s">
        <v>240</v>
      </c>
      <c r="O1041" s="63" t="s">
        <v>240</v>
      </c>
      <c r="P1041" s="63" t="s">
        <v>240</v>
      </c>
      <c r="Q1041" s="63" t="s">
        <v>240</v>
      </c>
      <c r="R1041" s="63" t="s">
        <v>1603</v>
      </c>
      <c r="S1041" s="63">
        <f t="shared" si="341"/>
        <v>2484</v>
      </c>
      <c r="T1041" s="63">
        <f>220+298</f>
        <v>518</v>
      </c>
      <c r="U1041" s="63">
        <f>783+1183</f>
        <v>1966</v>
      </c>
      <c r="V1041" s="63">
        <v>8.0000000000000002E-3</v>
      </c>
      <c r="W1041" s="63">
        <v>6.5000000000000002E-2</v>
      </c>
      <c r="AI1041" s="67">
        <f t="shared" si="342"/>
        <v>6.5000000000000002E-2</v>
      </c>
      <c r="AJ1041" s="111"/>
      <c r="AK1041" s="111"/>
      <c r="AL1041" s="111"/>
      <c r="AM1041" s="111"/>
      <c r="AN1041" s="111"/>
      <c r="AO1041" s="111"/>
      <c r="AP1041" s="67">
        <f t="shared" si="335"/>
        <v>6.0784911606274828E-3</v>
      </c>
      <c r="AQ1041" s="67">
        <f t="shared" si="336"/>
        <v>1.3161160868043706</v>
      </c>
      <c r="AR1041" s="67"/>
      <c r="AS1041" s="67">
        <f t="shared" si="337"/>
        <v>2.4411457818913095E-3</v>
      </c>
      <c r="AT1041" s="67"/>
      <c r="AU1041" s="67">
        <f t="shared" si="338"/>
        <v>2482</v>
      </c>
      <c r="AV1041" s="67">
        <f t="shared" si="339"/>
        <v>1</v>
      </c>
      <c r="AW1041" s="67" t="s">
        <v>1350</v>
      </c>
    </row>
    <row r="1042" spans="1:49" s="63" customFormat="1" ht="30" customHeight="1" x14ac:dyDescent="0.25">
      <c r="A1042" s="55" t="s">
        <v>1597</v>
      </c>
      <c r="B1042" s="63" t="s">
        <v>1560</v>
      </c>
      <c r="C1042" s="55" t="s">
        <v>1597</v>
      </c>
      <c r="D1042" s="63">
        <v>7</v>
      </c>
      <c r="E1042" s="56" t="s">
        <v>605</v>
      </c>
      <c r="F1042" s="63" t="s">
        <v>240</v>
      </c>
      <c r="G1042" s="63" t="s">
        <v>1731</v>
      </c>
      <c r="H1042" s="63">
        <v>0</v>
      </c>
      <c r="I1042" s="63">
        <v>12</v>
      </c>
      <c r="J1042" s="63">
        <v>5</v>
      </c>
      <c r="K1042" s="114" t="s">
        <v>1728</v>
      </c>
      <c r="M1042" s="63" t="s">
        <v>1729</v>
      </c>
      <c r="N1042" s="63" t="s">
        <v>240</v>
      </c>
      <c r="O1042" s="63" t="s">
        <v>240</v>
      </c>
      <c r="P1042" s="63" t="s">
        <v>240</v>
      </c>
      <c r="Q1042" s="63" t="s">
        <v>240</v>
      </c>
      <c r="R1042" s="63" t="s">
        <v>1603</v>
      </c>
      <c r="S1042" s="63">
        <f>+T1042+U1042</f>
        <v>2116</v>
      </c>
      <c r="T1042" s="63">
        <f>231+246</f>
        <v>477</v>
      </c>
      <c r="U1042" s="63">
        <f>683+956</f>
        <v>1639</v>
      </c>
      <c r="V1042" s="63">
        <v>0.193</v>
      </c>
      <c r="W1042" s="63">
        <v>7.3999999999999996E-2</v>
      </c>
      <c r="AI1042" s="67">
        <f t="shared" si="342"/>
        <v>7.3999999999999996E-2</v>
      </c>
      <c r="AJ1042" s="111"/>
      <c r="AK1042" s="111"/>
      <c r="AL1042" s="111"/>
      <c r="AM1042" s="111"/>
      <c r="AN1042" s="111"/>
      <c r="AO1042" s="111"/>
      <c r="AP1042" s="67">
        <f t="shared" si="335"/>
        <v>0.13568591093464069</v>
      </c>
      <c r="AQ1042" s="67">
        <f t="shared" si="336"/>
        <v>1.4224026552982885</v>
      </c>
      <c r="AR1042" s="67"/>
      <c r="AS1042" s="67">
        <f t="shared" si="337"/>
        <v>2.7265615630801265E-3</v>
      </c>
      <c r="AT1042" s="67"/>
      <c r="AU1042" s="67">
        <f t="shared" si="338"/>
        <v>2114</v>
      </c>
      <c r="AV1042" s="67">
        <f t="shared" si="339"/>
        <v>1</v>
      </c>
      <c r="AW1042" s="67" t="s">
        <v>1350</v>
      </c>
    </row>
    <row r="1043" spans="1:49" s="63" customFormat="1" ht="30" customHeight="1" x14ac:dyDescent="0.25">
      <c r="A1043" s="55" t="s">
        <v>1597</v>
      </c>
      <c r="B1043" s="63" t="s">
        <v>1560</v>
      </c>
      <c r="C1043" s="55" t="s">
        <v>1597</v>
      </c>
      <c r="D1043" s="63">
        <v>8</v>
      </c>
      <c r="E1043" s="56" t="s">
        <v>605</v>
      </c>
      <c r="F1043" s="63" t="s">
        <v>240</v>
      </c>
      <c r="G1043" s="63" t="s">
        <v>1731</v>
      </c>
      <c r="H1043" s="63">
        <v>0</v>
      </c>
      <c r="I1043" s="63">
        <v>24</v>
      </c>
      <c r="J1043" s="63">
        <v>5</v>
      </c>
      <c r="K1043" s="114" t="s">
        <v>1728</v>
      </c>
      <c r="M1043" s="63" t="s">
        <v>1729</v>
      </c>
      <c r="N1043" s="63" t="s">
        <v>240</v>
      </c>
      <c r="O1043" s="63" t="s">
        <v>240</v>
      </c>
      <c r="P1043" s="63" t="s">
        <v>240</v>
      </c>
      <c r="Q1043" s="63" t="s">
        <v>240</v>
      </c>
      <c r="R1043" s="63" t="s">
        <v>1603</v>
      </c>
      <c r="S1043" s="63">
        <f>+T1043+U1043</f>
        <v>2116</v>
      </c>
      <c r="T1043" s="63">
        <f>231+246</f>
        <v>477</v>
      </c>
      <c r="U1043" s="63">
        <f>683+956</f>
        <v>1639</v>
      </c>
      <c r="V1043" s="63">
        <v>0.14299999999999999</v>
      </c>
      <c r="W1043" s="63">
        <v>7.3999999999999996E-2</v>
      </c>
      <c r="AI1043" s="67">
        <f t="shared" si="342"/>
        <v>7.3999999999999996E-2</v>
      </c>
      <c r="AJ1043" s="111"/>
      <c r="AK1043" s="111"/>
      <c r="AL1043" s="111"/>
      <c r="AM1043" s="111"/>
      <c r="AN1043" s="111"/>
      <c r="AO1043" s="111"/>
      <c r="AP1043" s="67">
        <f t="shared" si="335"/>
        <v>0.10053412053706538</v>
      </c>
      <c r="AQ1043" s="67">
        <f t="shared" si="336"/>
        <v>1.4224026552982885</v>
      </c>
      <c r="AR1043" s="67"/>
      <c r="AS1043" s="67">
        <f t="shared" si="337"/>
        <v>2.718698346191868E-3</v>
      </c>
      <c r="AT1043" s="67"/>
      <c r="AU1043" s="67">
        <f t="shared" si="338"/>
        <v>2114</v>
      </c>
      <c r="AV1043" s="67">
        <f t="shared" si="339"/>
        <v>1</v>
      </c>
      <c r="AW1043" s="67" t="s">
        <v>1350</v>
      </c>
    </row>
    <row r="1044" spans="1:49" s="63" customFormat="1" ht="30" customHeight="1" x14ac:dyDescent="0.25">
      <c r="A1044" s="55" t="s">
        <v>1597</v>
      </c>
      <c r="B1044" s="63" t="s">
        <v>1560</v>
      </c>
      <c r="C1044" s="55" t="s">
        <v>1597</v>
      </c>
      <c r="D1044" s="63">
        <v>9</v>
      </c>
      <c r="E1044" s="56" t="s">
        <v>605</v>
      </c>
      <c r="F1044" s="63" t="s">
        <v>240</v>
      </c>
      <c r="G1044" s="63" t="s">
        <v>1731</v>
      </c>
      <c r="H1044" s="63">
        <v>0</v>
      </c>
      <c r="I1044" s="63">
        <v>36</v>
      </c>
      <c r="J1044" s="63">
        <v>5</v>
      </c>
      <c r="K1044" s="114" t="s">
        <v>1728</v>
      </c>
      <c r="M1044" s="63" t="s">
        <v>1729</v>
      </c>
      <c r="N1044" s="63" t="s">
        <v>240</v>
      </c>
      <c r="O1044" s="63" t="s">
        <v>240</v>
      </c>
      <c r="P1044" s="63" t="s">
        <v>240</v>
      </c>
      <c r="Q1044" s="63" t="s">
        <v>240</v>
      </c>
      <c r="R1044" s="63" t="s">
        <v>1603</v>
      </c>
      <c r="S1044" s="63">
        <f>+T1044+U1044</f>
        <v>2116</v>
      </c>
      <c r="T1044" s="63">
        <f>231+246</f>
        <v>477</v>
      </c>
      <c r="U1044" s="63">
        <f>683+956</f>
        <v>1639</v>
      </c>
      <c r="V1044" s="63">
        <v>0.16300000000000001</v>
      </c>
      <c r="W1044" s="63">
        <v>7.9000000000000001E-2</v>
      </c>
      <c r="AI1044" s="67">
        <f t="shared" si="342"/>
        <v>7.9000000000000001E-2</v>
      </c>
      <c r="AJ1044" s="111"/>
      <c r="AK1044" s="111"/>
      <c r="AL1044" s="111"/>
      <c r="AM1044" s="111"/>
      <c r="AN1044" s="111"/>
      <c r="AO1044" s="111"/>
      <c r="AP1044" s="67">
        <f t="shared" si="335"/>
        <v>0.10734199893051985</v>
      </c>
      <c r="AQ1044" s="67">
        <f t="shared" si="336"/>
        <v>1.5185109428184431</v>
      </c>
      <c r="AR1044" s="67"/>
      <c r="AS1044" s="67">
        <f t="shared" si="337"/>
        <v>2.7200384932962603E-3</v>
      </c>
      <c r="AT1044" s="67"/>
      <c r="AU1044" s="67">
        <f t="shared" si="338"/>
        <v>2114</v>
      </c>
      <c r="AV1044" s="67">
        <f t="shared" si="339"/>
        <v>1</v>
      </c>
      <c r="AW1044" s="67" t="s">
        <v>1350</v>
      </c>
    </row>
    <row r="1045" spans="1:49" s="63" customFormat="1" ht="30" customHeight="1" x14ac:dyDescent="0.25">
      <c r="A1045" s="55" t="s">
        <v>1597</v>
      </c>
      <c r="B1045" s="63" t="s">
        <v>1560</v>
      </c>
      <c r="C1045" s="55" t="s">
        <v>1597</v>
      </c>
      <c r="D1045" s="63">
        <v>10</v>
      </c>
      <c r="E1045" s="56" t="s">
        <v>605</v>
      </c>
      <c r="F1045" s="63" t="s">
        <v>240</v>
      </c>
      <c r="G1045" s="57" t="s">
        <v>1732</v>
      </c>
      <c r="H1045" s="63">
        <v>0</v>
      </c>
      <c r="I1045" s="63">
        <v>12</v>
      </c>
      <c r="J1045" s="63">
        <v>5</v>
      </c>
      <c r="K1045" s="114" t="s">
        <v>1728</v>
      </c>
      <c r="M1045" s="63" t="s">
        <v>1729</v>
      </c>
      <c r="N1045" s="63" t="s">
        <v>240</v>
      </c>
      <c r="O1045" s="63" t="s">
        <v>240</v>
      </c>
      <c r="P1045" s="63" t="s">
        <v>240</v>
      </c>
      <c r="Q1045" s="63" t="s">
        <v>240</v>
      </c>
      <c r="R1045" s="63" t="s">
        <v>1603</v>
      </c>
      <c r="S1045" s="63">
        <f t="shared" ref="S1045:S1053" si="343">SUM(T1045:U1045)</f>
        <v>2896</v>
      </c>
      <c r="T1045" s="63">
        <f>487+495</f>
        <v>982</v>
      </c>
      <c r="U1045" s="63">
        <f>907+1007</f>
        <v>1914</v>
      </c>
      <c r="V1045" s="63">
        <v>4.2000000000000003E-2</v>
      </c>
      <c r="W1045" s="63">
        <v>0.05</v>
      </c>
      <c r="AI1045" s="67">
        <f t="shared" si="342"/>
        <v>0.05</v>
      </c>
      <c r="AJ1045" s="111"/>
      <c r="AK1045" s="111"/>
      <c r="AL1045" s="111"/>
      <c r="AM1045" s="111"/>
      <c r="AN1045" s="111"/>
      <c r="AO1045" s="111"/>
      <c r="AP1045" s="67">
        <f t="shared" si="335"/>
        <v>3.2972498275161653E-2</v>
      </c>
      <c r="AQ1045" s="67">
        <f t="shared" si="336"/>
        <v>1.2737888299971134</v>
      </c>
      <c r="AR1045" s="67"/>
      <c r="AS1045" s="67">
        <f t="shared" si="337"/>
        <v>1.5426133932833579E-3</v>
      </c>
      <c r="AT1045" s="67"/>
      <c r="AU1045" s="67">
        <f t="shared" si="338"/>
        <v>2894</v>
      </c>
      <c r="AV1045" s="67">
        <f t="shared" si="339"/>
        <v>1</v>
      </c>
      <c r="AW1045" s="67" t="s">
        <v>1350</v>
      </c>
    </row>
    <row r="1046" spans="1:49" s="63" customFormat="1" ht="30" customHeight="1" x14ac:dyDescent="0.25">
      <c r="A1046" s="55" t="s">
        <v>1597</v>
      </c>
      <c r="B1046" s="63" t="s">
        <v>1560</v>
      </c>
      <c r="C1046" s="55" t="s">
        <v>1597</v>
      </c>
      <c r="D1046" s="63">
        <v>11</v>
      </c>
      <c r="E1046" s="56" t="s">
        <v>605</v>
      </c>
      <c r="F1046" s="63" t="s">
        <v>240</v>
      </c>
      <c r="G1046" s="57" t="s">
        <v>1732</v>
      </c>
      <c r="H1046" s="63">
        <v>0</v>
      </c>
      <c r="I1046" s="63">
        <v>24</v>
      </c>
      <c r="J1046" s="63">
        <v>5</v>
      </c>
      <c r="K1046" s="114" t="s">
        <v>1728</v>
      </c>
      <c r="M1046" s="63" t="s">
        <v>1729</v>
      </c>
      <c r="N1046" s="63" t="s">
        <v>240</v>
      </c>
      <c r="O1046" s="63" t="s">
        <v>240</v>
      </c>
      <c r="P1046" s="63" t="s">
        <v>240</v>
      </c>
      <c r="Q1046" s="63" t="s">
        <v>240</v>
      </c>
      <c r="R1046" s="63" t="s">
        <v>1603</v>
      </c>
      <c r="S1046" s="63">
        <f t="shared" si="343"/>
        <v>2896</v>
      </c>
      <c r="T1046" s="63">
        <f>487+495</f>
        <v>982</v>
      </c>
      <c r="U1046" s="63">
        <f>907+1007</f>
        <v>1914</v>
      </c>
      <c r="V1046" s="63">
        <v>0.05</v>
      </c>
      <c r="W1046" s="63">
        <v>4.9000000000000002E-2</v>
      </c>
      <c r="AI1046" s="67">
        <f t="shared" si="342"/>
        <v>4.9000000000000002E-2</v>
      </c>
      <c r="AJ1046" s="111"/>
      <c r="AK1046" s="111"/>
      <c r="AL1046" s="111"/>
      <c r="AM1046" s="111"/>
      <c r="AN1046" s="111"/>
      <c r="AO1046" s="111"/>
      <c r="AP1046" s="67">
        <f t="shared" si="335"/>
        <v>4.0054055241935935E-2</v>
      </c>
      <c r="AQ1046" s="67">
        <f t="shared" si="336"/>
        <v>1.2483130533971709</v>
      </c>
      <c r="AR1046" s="67"/>
      <c r="AS1046" s="67">
        <f t="shared" si="337"/>
        <v>1.5429710293129702E-3</v>
      </c>
      <c r="AT1046" s="67"/>
      <c r="AU1046" s="67">
        <f t="shared" si="338"/>
        <v>2894</v>
      </c>
      <c r="AV1046" s="67">
        <f t="shared" si="339"/>
        <v>1</v>
      </c>
      <c r="AW1046" s="67" t="s">
        <v>1350</v>
      </c>
    </row>
    <row r="1047" spans="1:49" s="63" customFormat="1" ht="30" customHeight="1" x14ac:dyDescent="0.25">
      <c r="A1047" s="55" t="s">
        <v>1597</v>
      </c>
      <c r="B1047" s="63" t="s">
        <v>1560</v>
      </c>
      <c r="C1047" s="55" t="s">
        <v>1597</v>
      </c>
      <c r="D1047" s="63">
        <v>12</v>
      </c>
      <c r="E1047" s="56" t="s">
        <v>605</v>
      </c>
      <c r="F1047" s="63" t="s">
        <v>240</v>
      </c>
      <c r="G1047" s="57" t="s">
        <v>1732</v>
      </c>
      <c r="H1047" s="63">
        <v>0</v>
      </c>
      <c r="I1047" s="63">
        <v>36</v>
      </c>
      <c r="J1047" s="63">
        <v>5</v>
      </c>
      <c r="K1047" s="114" t="s">
        <v>1728</v>
      </c>
      <c r="M1047" s="63" t="s">
        <v>1729</v>
      </c>
      <c r="N1047" s="63" t="s">
        <v>240</v>
      </c>
      <c r="O1047" s="63" t="s">
        <v>240</v>
      </c>
      <c r="P1047" s="63" t="s">
        <v>240</v>
      </c>
      <c r="Q1047" s="63" t="s">
        <v>240</v>
      </c>
      <c r="R1047" s="63" t="s">
        <v>1603</v>
      </c>
      <c r="S1047" s="63">
        <f t="shared" si="343"/>
        <v>2896</v>
      </c>
      <c r="T1047" s="63">
        <f>487+495</f>
        <v>982</v>
      </c>
      <c r="U1047" s="63">
        <f>907+1007</f>
        <v>1914</v>
      </c>
      <c r="V1047" s="63">
        <v>3.4000000000000002E-2</v>
      </c>
      <c r="W1047" s="63">
        <v>4.8000000000000001E-2</v>
      </c>
      <c r="AI1047" s="67">
        <f t="shared" si="342"/>
        <v>4.8000000000000001E-2</v>
      </c>
      <c r="AJ1047" s="111"/>
      <c r="AK1047" s="111"/>
      <c r="AL1047" s="111"/>
      <c r="AM1047" s="111"/>
      <c r="AN1047" s="111"/>
      <c r="AO1047" s="111"/>
      <c r="AP1047" s="67">
        <f t="shared" si="335"/>
        <v>2.7804190013777194E-2</v>
      </c>
      <c r="AQ1047" s="67">
        <f t="shared" si="336"/>
        <v>1.2228372767972286</v>
      </c>
      <c r="AR1047" s="67"/>
      <c r="AS1047" s="67">
        <f t="shared" si="337"/>
        <v>1.542396164611032E-3</v>
      </c>
      <c r="AT1047" s="67"/>
      <c r="AU1047" s="67">
        <f t="shared" si="338"/>
        <v>2894</v>
      </c>
      <c r="AV1047" s="67">
        <f t="shared" si="339"/>
        <v>1</v>
      </c>
      <c r="AW1047" s="67" t="s">
        <v>1350</v>
      </c>
    </row>
    <row r="1048" spans="1:49" s="63" customFormat="1" ht="30" customHeight="1" x14ac:dyDescent="0.25">
      <c r="A1048" s="55" t="s">
        <v>1597</v>
      </c>
      <c r="B1048" s="63" t="s">
        <v>1560</v>
      </c>
      <c r="C1048" s="55" t="s">
        <v>1597</v>
      </c>
      <c r="D1048" s="63">
        <v>13</v>
      </c>
      <c r="E1048" s="56" t="s">
        <v>605</v>
      </c>
      <c r="F1048" s="63" t="s">
        <v>240</v>
      </c>
      <c r="G1048" s="57" t="s">
        <v>1733</v>
      </c>
      <c r="H1048" s="63">
        <v>0</v>
      </c>
      <c r="I1048" s="63">
        <v>12</v>
      </c>
      <c r="J1048" s="63">
        <v>5</v>
      </c>
      <c r="K1048" s="114" t="s">
        <v>1728</v>
      </c>
      <c r="M1048" s="63" t="s">
        <v>1729</v>
      </c>
      <c r="N1048" s="63" t="s">
        <v>240</v>
      </c>
      <c r="O1048" s="63" t="s">
        <v>240</v>
      </c>
      <c r="P1048" s="63" t="s">
        <v>240</v>
      </c>
      <c r="Q1048" s="63" t="s">
        <v>240</v>
      </c>
      <c r="R1048" s="63" t="s">
        <v>1603</v>
      </c>
      <c r="S1048" s="63">
        <f t="shared" si="343"/>
        <v>2912</v>
      </c>
      <c r="T1048" s="63">
        <f>514+448</f>
        <v>962</v>
      </c>
      <c r="U1048" s="63">
        <f>937+1013</f>
        <v>1950</v>
      </c>
      <c r="V1048" s="63">
        <v>0.14499999999999999</v>
      </c>
      <c r="W1048" s="63">
        <v>4.8000000000000001E-2</v>
      </c>
      <c r="AI1048" s="67">
        <f t="shared" si="342"/>
        <v>4.8000000000000001E-2</v>
      </c>
      <c r="AJ1048" s="111"/>
      <c r="AK1048" s="111"/>
      <c r="AL1048" s="111"/>
      <c r="AM1048" s="111"/>
      <c r="AN1048" s="111"/>
      <c r="AO1048" s="111"/>
      <c r="AP1048" s="67">
        <f t="shared" si="335"/>
        <v>0.1190193594152141</v>
      </c>
      <c r="AQ1048" s="67">
        <f t="shared" si="336"/>
        <v>1.2182891986012891</v>
      </c>
      <c r="AR1048" s="67"/>
      <c r="AS1048" s="67">
        <f t="shared" si="337"/>
        <v>1.5631316826296203E-3</v>
      </c>
      <c r="AT1048" s="67"/>
      <c r="AU1048" s="67">
        <f t="shared" si="338"/>
        <v>2910</v>
      </c>
      <c r="AV1048" s="67">
        <f t="shared" si="339"/>
        <v>1</v>
      </c>
      <c r="AW1048" s="67" t="s">
        <v>1350</v>
      </c>
    </row>
    <row r="1049" spans="1:49" s="63" customFormat="1" ht="30" customHeight="1" x14ac:dyDescent="0.25">
      <c r="A1049" s="55" t="s">
        <v>1597</v>
      </c>
      <c r="B1049" s="63" t="s">
        <v>1560</v>
      </c>
      <c r="C1049" s="55" t="s">
        <v>1597</v>
      </c>
      <c r="D1049" s="63">
        <v>14</v>
      </c>
      <c r="E1049" s="56" t="s">
        <v>605</v>
      </c>
      <c r="F1049" s="63" t="s">
        <v>240</v>
      </c>
      <c r="G1049" s="57" t="s">
        <v>1733</v>
      </c>
      <c r="H1049" s="63">
        <v>0</v>
      </c>
      <c r="I1049" s="63">
        <v>24</v>
      </c>
      <c r="J1049" s="63">
        <v>5</v>
      </c>
      <c r="K1049" s="114" t="s">
        <v>1728</v>
      </c>
      <c r="M1049" s="63" t="s">
        <v>1729</v>
      </c>
      <c r="N1049" s="63" t="s">
        <v>240</v>
      </c>
      <c r="O1049" s="63" t="s">
        <v>240</v>
      </c>
      <c r="P1049" s="63" t="s">
        <v>240</v>
      </c>
      <c r="Q1049" s="63" t="s">
        <v>240</v>
      </c>
      <c r="R1049" s="63" t="s">
        <v>1603</v>
      </c>
      <c r="S1049" s="63">
        <f t="shared" si="343"/>
        <v>2912</v>
      </c>
      <c r="T1049" s="63">
        <f>514+448</f>
        <v>962</v>
      </c>
      <c r="U1049" s="63">
        <f>937+1013</f>
        <v>1950</v>
      </c>
      <c r="V1049" s="63">
        <v>0.13100000000000001</v>
      </c>
      <c r="W1049" s="63">
        <v>5.0999999999999997E-2</v>
      </c>
      <c r="AI1049" s="67">
        <f t="shared" si="342"/>
        <v>5.0999999999999997E-2</v>
      </c>
      <c r="AJ1049" s="111"/>
      <c r="AK1049" s="111"/>
      <c r="AL1049" s="111"/>
      <c r="AM1049" s="111"/>
      <c r="AN1049" s="111"/>
      <c r="AO1049" s="111"/>
      <c r="AP1049" s="67">
        <f t="shared" si="335"/>
        <v>0.10120266828977233</v>
      </c>
      <c r="AQ1049" s="67">
        <f t="shared" si="336"/>
        <v>1.2944322735138698</v>
      </c>
      <c r="AR1049" s="67"/>
      <c r="AS1049" s="67">
        <f t="shared" si="337"/>
        <v>1.5604331765452736E-3</v>
      </c>
      <c r="AT1049" s="67"/>
      <c r="AU1049" s="67">
        <f t="shared" si="338"/>
        <v>2910</v>
      </c>
      <c r="AV1049" s="67">
        <f t="shared" si="339"/>
        <v>1</v>
      </c>
      <c r="AW1049" s="67" t="s">
        <v>1350</v>
      </c>
    </row>
    <row r="1050" spans="1:49" s="63" customFormat="1" ht="30" customHeight="1" x14ac:dyDescent="0.25">
      <c r="A1050" s="55" t="s">
        <v>1597</v>
      </c>
      <c r="B1050" s="63" t="s">
        <v>1560</v>
      </c>
      <c r="C1050" s="55" t="s">
        <v>1597</v>
      </c>
      <c r="D1050" s="63">
        <v>15</v>
      </c>
      <c r="E1050" s="56" t="s">
        <v>605</v>
      </c>
      <c r="F1050" s="63" t="s">
        <v>240</v>
      </c>
      <c r="G1050" s="57" t="s">
        <v>1733</v>
      </c>
      <c r="H1050" s="63">
        <v>0</v>
      </c>
      <c r="I1050" s="63">
        <v>36</v>
      </c>
      <c r="J1050" s="63">
        <v>5</v>
      </c>
      <c r="K1050" s="114" t="s">
        <v>1728</v>
      </c>
      <c r="M1050" s="63" t="s">
        <v>1729</v>
      </c>
      <c r="N1050" s="63" t="s">
        <v>240</v>
      </c>
      <c r="O1050" s="63" t="s">
        <v>240</v>
      </c>
      <c r="P1050" s="63" t="s">
        <v>240</v>
      </c>
      <c r="Q1050" s="63" t="s">
        <v>240</v>
      </c>
      <c r="R1050" s="63" t="s">
        <v>1603</v>
      </c>
      <c r="S1050" s="63">
        <f t="shared" si="343"/>
        <v>2912</v>
      </c>
      <c r="T1050" s="63">
        <f>514+448</f>
        <v>962</v>
      </c>
      <c r="U1050" s="63">
        <f>937+1013</f>
        <v>1950</v>
      </c>
      <c r="V1050" s="63">
        <v>0.153</v>
      </c>
      <c r="W1050" s="63">
        <v>5.1999999999999998E-2</v>
      </c>
      <c r="AI1050" s="67">
        <f t="shared" si="342"/>
        <v>5.1999999999999998E-2</v>
      </c>
      <c r="AJ1050" s="111"/>
      <c r="AK1050" s="111"/>
      <c r="AL1050" s="111"/>
      <c r="AM1050" s="111"/>
      <c r="AN1050" s="111"/>
      <c r="AO1050" s="111"/>
      <c r="AP1050" s="67">
        <f t="shared" si="335"/>
        <v>0.11592548747285576</v>
      </c>
      <c r="AQ1050" s="67">
        <f t="shared" si="336"/>
        <v>1.3198132984847299</v>
      </c>
      <c r="AR1050" s="67"/>
      <c r="AS1050" s="67">
        <f t="shared" si="337"/>
        <v>1.5626317587851975E-3</v>
      </c>
      <c r="AT1050" s="67"/>
      <c r="AU1050" s="67">
        <f t="shared" si="338"/>
        <v>2910</v>
      </c>
      <c r="AV1050" s="67">
        <f t="shared" si="339"/>
        <v>1</v>
      </c>
      <c r="AW1050" s="67" t="s">
        <v>1350</v>
      </c>
    </row>
    <row r="1051" spans="1:49" s="63" customFormat="1" ht="30" customHeight="1" x14ac:dyDescent="0.25">
      <c r="A1051" s="55" t="s">
        <v>1597</v>
      </c>
      <c r="B1051" s="63" t="s">
        <v>1560</v>
      </c>
      <c r="C1051" s="55" t="s">
        <v>1597</v>
      </c>
      <c r="D1051" s="63">
        <v>16</v>
      </c>
      <c r="E1051" s="56" t="s">
        <v>605</v>
      </c>
      <c r="F1051" s="63" t="s">
        <v>240</v>
      </c>
      <c r="G1051" s="63" t="s">
        <v>1734</v>
      </c>
      <c r="H1051" s="63">
        <v>0</v>
      </c>
      <c r="I1051" s="63">
        <v>12</v>
      </c>
      <c r="J1051" s="63">
        <v>5</v>
      </c>
      <c r="K1051" s="114" t="s">
        <v>1728</v>
      </c>
      <c r="M1051" s="63" t="s">
        <v>1729</v>
      </c>
      <c r="N1051" s="63" t="s">
        <v>240</v>
      </c>
      <c r="O1051" s="63" t="s">
        <v>240</v>
      </c>
      <c r="P1051" s="63" t="s">
        <v>240</v>
      </c>
      <c r="Q1051" s="63" t="s">
        <v>240</v>
      </c>
      <c r="R1051" s="63" t="s">
        <v>1603</v>
      </c>
      <c r="S1051" s="63">
        <f t="shared" si="343"/>
        <v>2901</v>
      </c>
      <c r="T1051" s="63">
        <f>467+507</f>
        <v>974</v>
      </c>
      <c r="U1051" s="63">
        <f>990+937</f>
        <v>1927</v>
      </c>
      <c r="V1051" s="63">
        <v>6.8000000000000005E-2</v>
      </c>
      <c r="W1051" s="63">
        <v>5.0999999999999997E-2</v>
      </c>
      <c r="AI1051" s="67">
        <f t="shared" si="342"/>
        <v>5.0999999999999997E-2</v>
      </c>
      <c r="AJ1051" s="111"/>
      <c r="AK1051" s="111"/>
      <c r="AL1051" s="111"/>
      <c r="AM1051" s="111"/>
      <c r="AN1051" s="111"/>
      <c r="AO1051" s="111"/>
      <c r="AP1051" s="67">
        <f t="shared" si="335"/>
        <v>5.2419426505844198E-2</v>
      </c>
      <c r="AQ1051" s="67">
        <f t="shared" si="336"/>
        <v>1.2972289956743182</v>
      </c>
      <c r="AR1051" s="67"/>
      <c r="AS1051" s="67">
        <f t="shared" si="337"/>
        <v>1.5485994584287935E-3</v>
      </c>
      <c r="AT1051" s="67"/>
      <c r="AU1051" s="67">
        <f t="shared" si="338"/>
        <v>2899</v>
      </c>
      <c r="AV1051" s="67">
        <f t="shared" si="339"/>
        <v>1</v>
      </c>
      <c r="AW1051" s="67" t="s">
        <v>1350</v>
      </c>
    </row>
    <row r="1052" spans="1:49" s="63" customFormat="1" ht="30" customHeight="1" x14ac:dyDescent="0.25">
      <c r="A1052" s="55" t="s">
        <v>1597</v>
      </c>
      <c r="B1052" s="63" t="s">
        <v>1560</v>
      </c>
      <c r="C1052" s="55" t="s">
        <v>1597</v>
      </c>
      <c r="D1052" s="63">
        <v>17</v>
      </c>
      <c r="E1052" s="56" t="s">
        <v>605</v>
      </c>
      <c r="F1052" s="63" t="s">
        <v>240</v>
      </c>
      <c r="G1052" s="63" t="s">
        <v>1734</v>
      </c>
      <c r="H1052" s="63">
        <v>0</v>
      </c>
      <c r="I1052" s="63">
        <v>24</v>
      </c>
      <c r="J1052" s="63">
        <v>5</v>
      </c>
      <c r="K1052" s="114" t="s">
        <v>1728</v>
      </c>
      <c r="M1052" s="63" t="s">
        <v>1729</v>
      </c>
      <c r="N1052" s="63" t="s">
        <v>240</v>
      </c>
      <c r="O1052" s="63" t="s">
        <v>240</v>
      </c>
      <c r="P1052" s="63" t="s">
        <v>240</v>
      </c>
      <c r="Q1052" s="63" t="s">
        <v>240</v>
      </c>
      <c r="R1052" s="63" t="s">
        <v>1603</v>
      </c>
      <c r="S1052" s="63">
        <f t="shared" si="343"/>
        <v>2901</v>
      </c>
      <c r="T1052" s="63">
        <f>467+507</f>
        <v>974</v>
      </c>
      <c r="U1052" s="63">
        <f>990+937</f>
        <v>1927</v>
      </c>
      <c r="V1052" s="63">
        <v>8.3000000000000004E-2</v>
      </c>
      <c r="W1052" s="63">
        <v>0.05</v>
      </c>
      <c r="AI1052" s="67">
        <f t="shared" si="342"/>
        <v>0.05</v>
      </c>
      <c r="AJ1052" s="111"/>
      <c r="AK1052" s="111"/>
      <c r="AL1052" s="111"/>
      <c r="AM1052" s="111"/>
      <c r="AN1052" s="111"/>
      <c r="AO1052" s="111"/>
      <c r="AP1052" s="67">
        <f t="shared" si="335"/>
        <v>6.5262185999776012E-2</v>
      </c>
      <c r="AQ1052" s="67">
        <f t="shared" si="336"/>
        <v>1.2717931330140377</v>
      </c>
      <c r="AR1052" s="67"/>
      <c r="AS1052" s="67">
        <f t="shared" si="337"/>
        <v>1.5496428527306694E-3</v>
      </c>
      <c r="AT1052" s="67"/>
      <c r="AU1052" s="67">
        <f t="shared" si="338"/>
        <v>2899</v>
      </c>
      <c r="AV1052" s="67">
        <f t="shared" si="339"/>
        <v>1</v>
      </c>
      <c r="AW1052" s="67" t="s">
        <v>1350</v>
      </c>
    </row>
    <row r="1053" spans="1:49" s="63" customFormat="1" ht="30" customHeight="1" x14ac:dyDescent="0.25">
      <c r="A1053" s="55" t="s">
        <v>1597</v>
      </c>
      <c r="B1053" s="63" t="s">
        <v>1560</v>
      </c>
      <c r="C1053" s="55" t="s">
        <v>1597</v>
      </c>
      <c r="D1053" s="63">
        <v>18</v>
      </c>
      <c r="E1053" s="56" t="s">
        <v>605</v>
      </c>
      <c r="F1053" s="63" t="s">
        <v>240</v>
      </c>
      <c r="G1053" s="63" t="s">
        <v>1734</v>
      </c>
      <c r="H1053" s="63">
        <v>0</v>
      </c>
      <c r="I1053" s="63">
        <v>36</v>
      </c>
      <c r="J1053" s="63">
        <v>5</v>
      </c>
      <c r="K1053" s="114" t="s">
        <v>1728</v>
      </c>
      <c r="M1053" s="63" t="s">
        <v>1729</v>
      </c>
      <c r="N1053" s="63" t="s">
        <v>240</v>
      </c>
      <c r="O1053" s="63" t="s">
        <v>240</v>
      </c>
      <c r="P1053" s="63" t="s">
        <v>240</v>
      </c>
      <c r="Q1053" s="63" t="s">
        <v>240</v>
      </c>
      <c r="R1053" s="63" t="s">
        <v>1603</v>
      </c>
      <c r="S1053" s="63">
        <f t="shared" si="343"/>
        <v>2901</v>
      </c>
      <c r="T1053" s="63">
        <f>467+507</f>
        <v>974</v>
      </c>
      <c r="U1053" s="63">
        <f>990+937</f>
        <v>1927</v>
      </c>
      <c r="V1053" s="63">
        <v>0.255</v>
      </c>
      <c r="W1053" s="63">
        <v>5.0999999999999997E-2</v>
      </c>
      <c r="AI1053" s="67">
        <f t="shared" si="342"/>
        <v>5.0999999999999997E-2</v>
      </c>
      <c r="AJ1053" s="111"/>
      <c r="AK1053" s="111"/>
      <c r="AL1053" s="111"/>
      <c r="AM1053" s="111"/>
      <c r="AN1053" s="111"/>
      <c r="AO1053" s="111"/>
      <c r="AP1053" s="67">
        <f t="shared" si="335"/>
        <v>0.19657284939691574</v>
      </c>
      <c r="AQ1053" s="67">
        <f t="shared" si="336"/>
        <v>1.2972289956743182</v>
      </c>
      <c r="AR1053" s="67"/>
      <c r="AS1053" s="67">
        <f t="shared" si="337"/>
        <v>1.5733789467579765E-3</v>
      </c>
      <c r="AT1053" s="67"/>
      <c r="AU1053" s="67">
        <f t="shared" si="338"/>
        <v>2899</v>
      </c>
      <c r="AV1053" s="67">
        <f t="shared" si="339"/>
        <v>1</v>
      </c>
      <c r="AW1053" s="67" t="s">
        <v>1350</v>
      </c>
    </row>
    <row r="1054" spans="1:49" s="63" customFormat="1" ht="30" customHeight="1" x14ac:dyDescent="0.25">
      <c r="A1054" s="55" t="s">
        <v>1607</v>
      </c>
      <c r="B1054" s="63" t="s">
        <v>1560</v>
      </c>
      <c r="C1054" s="55" t="s">
        <v>1607</v>
      </c>
      <c r="D1054" s="63">
        <v>1</v>
      </c>
      <c r="E1054" s="56" t="s">
        <v>605</v>
      </c>
      <c r="F1054" s="66" t="s">
        <v>240</v>
      </c>
      <c r="G1054" s="57" t="s">
        <v>578</v>
      </c>
      <c r="H1054" s="63">
        <v>0</v>
      </c>
      <c r="I1054" s="63">
        <v>12</v>
      </c>
      <c r="J1054" s="63">
        <v>2</v>
      </c>
      <c r="K1054" s="63" t="s">
        <v>1735</v>
      </c>
      <c r="L1054" s="63" t="s">
        <v>638</v>
      </c>
      <c r="M1054" s="63" t="s">
        <v>1736</v>
      </c>
      <c r="N1054" s="63" t="s">
        <v>240</v>
      </c>
      <c r="O1054" s="63">
        <v>0</v>
      </c>
      <c r="P1054" s="63">
        <v>0</v>
      </c>
      <c r="Q1054" s="63">
        <v>0</v>
      </c>
      <c r="R1054" s="63" t="s">
        <v>311</v>
      </c>
      <c r="S1054" s="63">
        <f>+T1054+U1054</f>
        <v>1981</v>
      </c>
      <c r="T1054" s="63">
        <v>1236</v>
      </c>
      <c r="U1054" s="63">
        <v>745</v>
      </c>
      <c r="V1054" s="63">
        <v>1054.32</v>
      </c>
      <c r="W1054" s="63">
        <v>588</v>
      </c>
      <c r="AI1054" s="67">
        <f t="shared" si="342"/>
        <v>588</v>
      </c>
      <c r="AJ1054" s="111"/>
      <c r="AK1054" s="111"/>
      <c r="AL1054" s="111"/>
      <c r="AM1054" s="111"/>
      <c r="AN1054" s="111"/>
      <c r="AO1054" s="111"/>
      <c r="AP1054" s="67">
        <f t="shared" si="335"/>
        <v>8.316679873929364E-2</v>
      </c>
      <c r="AQ1054" s="67">
        <f t="shared" si="336"/>
        <v>12677.174256821161</v>
      </c>
      <c r="AR1054" s="67"/>
      <c r="AS1054" s="67">
        <f t="shared" si="337"/>
        <v>2.1605169235383915E-3</v>
      </c>
      <c r="AT1054" s="67"/>
      <c r="AU1054" s="67">
        <f t="shared" si="338"/>
        <v>1979</v>
      </c>
      <c r="AV1054" s="67">
        <f t="shared" si="339"/>
        <v>1</v>
      </c>
      <c r="AW1054" s="67" t="s">
        <v>1350</v>
      </c>
    </row>
    <row r="1055" spans="1:49" s="63" customFormat="1" ht="30" customHeight="1" x14ac:dyDescent="0.25">
      <c r="A1055" s="58" t="s">
        <v>1618</v>
      </c>
      <c r="B1055" s="63" t="s">
        <v>1560</v>
      </c>
      <c r="C1055" s="58" t="s">
        <v>1618</v>
      </c>
      <c r="D1055" s="63">
        <v>1</v>
      </c>
      <c r="E1055" s="56" t="s">
        <v>605</v>
      </c>
      <c r="F1055" s="63" t="s">
        <v>240</v>
      </c>
      <c r="G1055" s="63" t="s">
        <v>578</v>
      </c>
      <c r="H1055" s="63">
        <v>0</v>
      </c>
      <c r="I1055" s="63">
        <v>12</v>
      </c>
      <c r="J1055" s="63">
        <v>1</v>
      </c>
      <c r="K1055" s="114" t="s">
        <v>1737</v>
      </c>
      <c r="L1055" s="63" t="s">
        <v>240</v>
      </c>
      <c r="M1055" s="63" t="s">
        <v>1738</v>
      </c>
      <c r="N1055" s="63" t="s">
        <v>240</v>
      </c>
      <c r="O1055" s="63" t="s">
        <v>240</v>
      </c>
      <c r="P1055" s="63" t="s">
        <v>240</v>
      </c>
      <c r="Q1055" s="63" t="s">
        <v>240</v>
      </c>
      <c r="R1055" s="63" t="s">
        <v>1739</v>
      </c>
      <c r="S1055" s="63">
        <f t="shared" ref="S1055:S1081" si="344">+T1055+U1055</f>
        <v>5102</v>
      </c>
      <c r="T1055" s="63">
        <f>1557+994</f>
        <v>2551</v>
      </c>
      <c r="U1055" s="63">
        <f t="shared" ref="U1055:U1072" si="345">+T1055</f>
        <v>2551</v>
      </c>
      <c r="V1055" s="63">
        <v>-0.01</v>
      </c>
      <c r="AF1055" s="102">
        <f t="shared" ref="AF1055" si="346">_xlfn.T.INV.2T(AH1055,S1055-2)</f>
        <v>0.67453785814020439</v>
      </c>
      <c r="AH1055" s="63">
        <v>0.5</v>
      </c>
      <c r="AI1055" s="102">
        <f>ABS(V1055/AF1055)</f>
        <v>1.4824964795262055E-2</v>
      </c>
      <c r="AK1055" s="63" t="s">
        <v>1740</v>
      </c>
    </row>
    <row r="1056" spans="1:49" s="63" customFormat="1" ht="30" customHeight="1" x14ac:dyDescent="0.25">
      <c r="A1056" s="58" t="s">
        <v>1618</v>
      </c>
      <c r="B1056" s="63" t="s">
        <v>1560</v>
      </c>
      <c r="C1056" s="58" t="s">
        <v>1618</v>
      </c>
      <c r="D1056" s="63">
        <v>2</v>
      </c>
      <c r="E1056" s="56" t="s">
        <v>605</v>
      </c>
      <c r="F1056" s="63" t="s">
        <v>240</v>
      </c>
      <c r="G1056" s="63" t="s">
        <v>578</v>
      </c>
      <c r="H1056" s="63">
        <v>0</v>
      </c>
      <c r="I1056" s="63">
        <v>12</v>
      </c>
      <c r="J1056" s="63">
        <v>3</v>
      </c>
      <c r="K1056" s="114" t="s">
        <v>1741</v>
      </c>
      <c r="M1056" s="63" t="s">
        <v>1738</v>
      </c>
      <c r="N1056" s="63" t="s">
        <v>240</v>
      </c>
      <c r="O1056" s="63" t="s">
        <v>240</v>
      </c>
      <c r="P1056" s="63" t="s">
        <v>240</v>
      </c>
      <c r="Q1056" s="63" t="s">
        <v>240</v>
      </c>
      <c r="R1056" s="63" t="s">
        <v>1739</v>
      </c>
      <c r="S1056" s="63">
        <f t="shared" si="344"/>
        <v>3296</v>
      </c>
      <c r="T1056" s="63">
        <f>1557+91</f>
        <v>1648</v>
      </c>
      <c r="U1056" s="63">
        <f t="shared" si="345"/>
        <v>1648</v>
      </c>
      <c r="V1056" s="63">
        <v>0.11</v>
      </c>
      <c r="AK1056" s="63" t="s">
        <v>1322</v>
      </c>
    </row>
    <row r="1057" spans="1:49" s="63" customFormat="1" ht="30" customHeight="1" x14ac:dyDescent="0.25">
      <c r="A1057" s="58" t="s">
        <v>1618</v>
      </c>
      <c r="B1057" s="63" t="s">
        <v>1560</v>
      </c>
      <c r="C1057" s="58" t="s">
        <v>1618</v>
      </c>
      <c r="D1057" s="63">
        <v>3</v>
      </c>
      <c r="E1057" s="56" t="s">
        <v>605</v>
      </c>
      <c r="F1057" s="63" t="s">
        <v>240</v>
      </c>
      <c r="G1057" s="63" t="s">
        <v>578</v>
      </c>
      <c r="H1057" s="63">
        <v>0</v>
      </c>
      <c r="I1057" s="63">
        <v>12</v>
      </c>
      <c r="J1057" s="63">
        <v>4</v>
      </c>
      <c r="K1057" s="114" t="s">
        <v>1742</v>
      </c>
      <c r="L1057" s="63" t="s">
        <v>1743</v>
      </c>
      <c r="M1057" s="63" t="s">
        <v>1738</v>
      </c>
      <c r="N1057" s="63" t="s">
        <v>240</v>
      </c>
      <c r="O1057" s="63" t="s">
        <v>240</v>
      </c>
      <c r="P1057" s="63" t="s">
        <v>240</v>
      </c>
      <c r="Q1057" s="63" t="s">
        <v>240</v>
      </c>
      <c r="R1057" s="63" t="s">
        <v>1739</v>
      </c>
      <c r="S1057" s="63">
        <f t="shared" si="344"/>
        <v>3296</v>
      </c>
      <c r="T1057" s="63">
        <f>1557+91</f>
        <v>1648</v>
      </c>
      <c r="U1057" s="63">
        <f t="shared" si="345"/>
        <v>1648</v>
      </c>
      <c r="V1057" s="63">
        <v>43.067999999999998</v>
      </c>
      <c r="AF1057" s="67">
        <f>_xlfn.T.INV.2T(AH1057,T1057-2)</f>
        <v>2.5788195341059734</v>
      </c>
      <c r="AH1057" s="63">
        <v>0.01</v>
      </c>
      <c r="AI1057" s="67">
        <f t="shared" ref="AI1057" si="347">+ABS(V1057/AF1057)</f>
        <v>16.700664560046789</v>
      </c>
      <c r="AK1057" s="63" t="s">
        <v>1744</v>
      </c>
      <c r="AP1057" s="67">
        <f t="shared" ref="AP1057" si="348">+V1057/AQ1057</f>
        <v>8.9837435365587998E-2</v>
      </c>
      <c r="AQ1057" s="67">
        <f t="shared" ref="AQ1057" si="349">+AI1057*SQRT(T1057*U1057/S1057)</f>
        <v>479.39925961529718</v>
      </c>
      <c r="AR1057" s="67"/>
      <c r="AS1057" s="67">
        <f t="shared" ref="AS1057" si="350">+AP1057^2/(AU1057-2)*(AU1057/(V1057/AI1057)^2+AU1057*AV1057^2-AU1057+2)</f>
        <v>1.2192327901336922E-3</v>
      </c>
      <c r="AT1057" s="67"/>
      <c r="AU1057" s="67">
        <f t="shared" ref="AU1057" si="351">+S1057-2</f>
        <v>3294</v>
      </c>
      <c r="AV1057" s="67">
        <f t="shared" ref="AV1057" si="352">IFERROR(1/(SQRT(AU1057/2)*_xlfn.GAMMA(AU1057/2-0.5)/_xlfn.GAMMA(AU1057/2)),1)</f>
        <v>1</v>
      </c>
      <c r="AW1057" s="67" t="s">
        <v>1350</v>
      </c>
    </row>
    <row r="1058" spans="1:49" s="63" customFormat="1" ht="30" customHeight="1" x14ac:dyDescent="0.25">
      <c r="A1058" s="58" t="s">
        <v>1618</v>
      </c>
      <c r="B1058" s="63" t="s">
        <v>1560</v>
      </c>
      <c r="C1058" s="58" t="s">
        <v>1618</v>
      </c>
      <c r="D1058" s="63">
        <v>4</v>
      </c>
      <c r="E1058" s="56" t="s">
        <v>605</v>
      </c>
      <c r="F1058" s="63" t="s">
        <v>240</v>
      </c>
      <c r="G1058" s="63" t="s">
        <v>578</v>
      </c>
      <c r="H1058" s="63">
        <v>0</v>
      </c>
      <c r="I1058" s="63">
        <v>24</v>
      </c>
      <c r="J1058" s="63">
        <v>1</v>
      </c>
      <c r="K1058" s="114" t="s">
        <v>1737</v>
      </c>
      <c r="L1058" s="63" t="s">
        <v>240</v>
      </c>
      <c r="M1058" s="63" t="s">
        <v>1738</v>
      </c>
      <c r="N1058" s="63" t="s">
        <v>240</v>
      </c>
      <c r="O1058" s="63" t="s">
        <v>240</v>
      </c>
      <c r="P1058" s="63" t="s">
        <v>240</v>
      </c>
      <c r="Q1058" s="63" t="s">
        <v>240</v>
      </c>
      <c r="R1058" s="63" t="s">
        <v>1745</v>
      </c>
      <c r="S1058" s="63">
        <f t="shared" si="344"/>
        <v>3296</v>
      </c>
      <c r="T1058" s="63">
        <f>1557+91</f>
        <v>1648</v>
      </c>
      <c r="U1058" s="63">
        <f t="shared" si="345"/>
        <v>1648</v>
      </c>
      <c r="V1058" s="63">
        <v>4.0000000000000001E-3</v>
      </c>
      <c r="AF1058" s="102">
        <f t="shared" ref="AF1058" si="353">_xlfn.T.INV.2T(AH1058,S1058-2)</f>
        <v>0.67456423685626199</v>
      </c>
      <c r="AH1058" s="63">
        <v>0.5</v>
      </c>
      <c r="AI1058" s="102">
        <f>ABS(V1058/AF1058)</f>
        <v>5.929754027046547E-3</v>
      </c>
      <c r="AK1058" s="63" t="s">
        <v>1740</v>
      </c>
    </row>
    <row r="1059" spans="1:49" s="63" customFormat="1" ht="30" customHeight="1" x14ac:dyDescent="0.25">
      <c r="A1059" s="58" t="s">
        <v>1618</v>
      </c>
      <c r="B1059" s="63" t="s">
        <v>1560</v>
      </c>
      <c r="C1059" s="58" t="s">
        <v>1618</v>
      </c>
      <c r="D1059" s="63">
        <v>5</v>
      </c>
      <c r="E1059" s="56" t="s">
        <v>605</v>
      </c>
      <c r="F1059" s="63" t="s">
        <v>240</v>
      </c>
      <c r="G1059" s="63" t="s">
        <v>578</v>
      </c>
      <c r="H1059" s="63">
        <v>0</v>
      </c>
      <c r="I1059" s="63">
        <v>24</v>
      </c>
      <c r="J1059" s="63">
        <v>3</v>
      </c>
      <c r="K1059" s="114" t="s">
        <v>1741</v>
      </c>
      <c r="M1059" s="63" t="s">
        <v>1738</v>
      </c>
      <c r="N1059" s="63" t="s">
        <v>240</v>
      </c>
      <c r="O1059" s="63" t="s">
        <v>240</v>
      </c>
      <c r="P1059" s="63" t="s">
        <v>240</v>
      </c>
      <c r="Q1059" s="63" t="s">
        <v>240</v>
      </c>
      <c r="R1059" s="63" t="s">
        <v>1745</v>
      </c>
      <c r="S1059" s="63">
        <f t="shared" si="344"/>
        <v>3296</v>
      </c>
      <c r="T1059" s="63">
        <f>1557+91</f>
        <v>1648</v>
      </c>
      <c r="U1059" s="63">
        <f t="shared" si="345"/>
        <v>1648</v>
      </c>
      <c r="V1059" s="63">
        <v>0.15</v>
      </c>
      <c r="AK1059" s="63" t="s">
        <v>1324</v>
      </c>
    </row>
    <row r="1060" spans="1:49" s="63" customFormat="1" ht="30" customHeight="1" x14ac:dyDescent="0.25">
      <c r="A1060" s="58" t="s">
        <v>1618</v>
      </c>
      <c r="B1060" s="63" t="s">
        <v>1560</v>
      </c>
      <c r="C1060" s="58" t="s">
        <v>1618</v>
      </c>
      <c r="D1060" s="63">
        <v>6</v>
      </c>
      <c r="E1060" s="56" t="s">
        <v>605</v>
      </c>
      <c r="F1060" s="63" t="s">
        <v>240</v>
      </c>
      <c r="G1060" s="63" t="s">
        <v>578</v>
      </c>
      <c r="H1060" s="63">
        <v>0</v>
      </c>
      <c r="I1060" s="63">
        <v>24</v>
      </c>
      <c r="J1060" s="63">
        <v>4</v>
      </c>
      <c r="K1060" s="114" t="s">
        <v>1742</v>
      </c>
      <c r="L1060" s="63" t="s">
        <v>1743</v>
      </c>
      <c r="M1060" s="63" t="s">
        <v>1738</v>
      </c>
      <c r="N1060" s="63" t="s">
        <v>240</v>
      </c>
      <c r="O1060" s="63" t="s">
        <v>240</v>
      </c>
      <c r="P1060" s="63" t="s">
        <v>240</v>
      </c>
      <c r="Q1060" s="63" t="s">
        <v>240</v>
      </c>
      <c r="R1060" s="63" t="s">
        <v>1745</v>
      </c>
      <c r="S1060" s="63">
        <f t="shared" si="344"/>
        <v>3296</v>
      </c>
      <c r="T1060" s="63">
        <f>1557+91</f>
        <v>1648</v>
      </c>
      <c r="U1060" s="63">
        <f t="shared" si="345"/>
        <v>1648</v>
      </c>
      <c r="V1060" s="63">
        <v>49.353000000000002</v>
      </c>
      <c r="AF1060" s="67">
        <f>_xlfn.T.INV.2T(AH1060,T1060-2)</f>
        <v>2.5788195341059734</v>
      </c>
      <c r="AH1060" s="63">
        <v>0.01</v>
      </c>
      <c r="AI1060" s="67">
        <f t="shared" ref="AI1060" si="354">+ABS(V1060/AF1060)</f>
        <v>19.137826182594715</v>
      </c>
      <c r="AK1060" s="63" t="s">
        <v>1744</v>
      </c>
      <c r="AP1060" s="67">
        <f t="shared" ref="AP1060" si="355">+V1060/AQ1060</f>
        <v>8.9837435365588011E-2</v>
      </c>
      <c r="AQ1060" s="67">
        <f t="shared" ref="AQ1060" si="356">+AI1060*SQRT(T1060*U1060/S1060)</f>
        <v>549.35895931535617</v>
      </c>
      <c r="AR1060" s="67"/>
      <c r="AS1060" s="67">
        <f t="shared" ref="AS1060" si="357">+AP1060^2/(AU1060-2)*(AU1060/(V1060/AI1060)^2+AU1060*AV1060^2-AU1060+2)</f>
        <v>1.2192327901336913E-3</v>
      </c>
      <c r="AT1060" s="67"/>
      <c r="AU1060" s="67">
        <f t="shared" ref="AU1060" si="358">+S1060-2</f>
        <v>3294</v>
      </c>
      <c r="AV1060" s="67">
        <f t="shared" ref="AV1060" si="359">IFERROR(1/(SQRT(AU1060/2)*_xlfn.GAMMA(AU1060/2-0.5)/_xlfn.GAMMA(AU1060/2)),1)</f>
        <v>1</v>
      </c>
      <c r="AW1060" s="67" t="s">
        <v>1350</v>
      </c>
    </row>
    <row r="1061" spans="1:49" s="63" customFormat="1" ht="30" customHeight="1" x14ac:dyDescent="0.25">
      <c r="A1061" s="58" t="s">
        <v>1618</v>
      </c>
      <c r="B1061" s="63" t="s">
        <v>1560</v>
      </c>
      <c r="C1061" s="58" t="s">
        <v>1618</v>
      </c>
      <c r="D1061" s="63">
        <v>7</v>
      </c>
      <c r="E1061" s="56" t="s">
        <v>583</v>
      </c>
      <c r="F1061" s="63" t="s">
        <v>240</v>
      </c>
      <c r="G1061" s="63" t="s">
        <v>578</v>
      </c>
      <c r="H1061" s="63">
        <v>0</v>
      </c>
      <c r="I1061" s="63">
        <v>12</v>
      </c>
      <c r="J1061" s="63">
        <v>1</v>
      </c>
      <c r="K1061" s="114" t="s">
        <v>1737</v>
      </c>
      <c r="L1061" s="63" t="s">
        <v>240</v>
      </c>
      <c r="M1061" s="63" t="s">
        <v>1738</v>
      </c>
      <c r="N1061" s="63" t="s">
        <v>240</v>
      </c>
      <c r="O1061" s="63" t="s">
        <v>240</v>
      </c>
      <c r="P1061" s="63" t="s">
        <v>240</v>
      </c>
      <c r="Q1061" s="63" t="s">
        <v>240</v>
      </c>
      <c r="R1061" s="63" t="s">
        <v>1746</v>
      </c>
      <c r="S1061" s="63">
        <f t="shared" si="344"/>
        <v>1852</v>
      </c>
      <c r="T1061" s="63">
        <f>873+53</f>
        <v>926</v>
      </c>
      <c r="U1061" s="63">
        <f t="shared" si="345"/>
        <v>926</v>
      </c>
      <c r="V1061" s="63">
        <v>0.05</v>
      </c>
      <c r="AF1061" s="102">
        <f t="shared" ref="AF1061" si="360">_xlfn.T.INV.2T(AH1061,S1061-2)</f>
        <v>0.67462238689464471</v>
      </c>
      <c r="AH1061" s="63">
        <v>0.5</v>
      </c>
      <c r="AI1061" s="102">
        <f>ABS(V1061/AF1061)</f>
        <v>7.4115536293058809E-2</v>
      </c>
      <c r="AK1061" s="63" t="s">
        <v>1740</v>
      </c>
    </row>
    <row r="1062" spans="1:49" s="63" customFormat="1" ht="30" customHeight="1" x14ac:dyDescent="0.25">
      <c r="A1062" s="58" t="s">
        <v>1618</v>
      </c>
      <c r="B1062" s="63" t="s">
        <v>1560</v>
      </c>
      <c r="C1062" s="58" t="s">
        <v>1618</v>
      </c>
      <c r="D1062" s="63">
        <v>8</v>
      </c>
      <c r="E1062" s="56" t="s">
        <v>583</v>
      </c>
      <c r="F1062" s="63" t="s">
        <v>240</v>
      </c>
      <c r="G1062" s="63" t="s">
        <v>578</v>
      </c>
      <c r="H1062" s="63">
        <v>0</v>
      </c>
      <c r="I1062" s="63">
        <v>12</v>
      </c>
      <c r="J1062" s="63">
        <v>3</v>
      </c>
      <c r="K1062" s="114" t="s">
        <v>1741</v>
      </c>
      <c r="M1062" s="63" t="s">
        <v>1738</v>
      </c>
      <c r="N1062" s="63" t="s">
        <v>240</v>
      </c>
      <c r="O1062" s="63" t="s">
        <v>240</v>
      </c>
      <c r="P1062" s="63" t="s">
        <v>240</v>
      </c>
      <c r="Q1062" s="63" t="s">
        <v>240</v>
      </c>
      <c r="R1062" s="63" t="s">
        <v>1746</v>
      </c>
      <c r="S1062" s="63">
        <f t="shared" si="344"/>
        <v>1852</v>
      </c>
      <c r="T1062" s="63">
        <f>873+53</f>
        <v>926</v>
      </c>
      <c r="U1062" s="63">
        <f t="shared" si="345"/>
        <v>926</v>
      </c>
      <c r="V1062" s="63">
        <v>0.11</v>
      </c>
      <c r="AK1062" s="63" t="s">
        <v>1322</v>
      </c>
    </row>
    <row r="1063" spans="1:49" s="63" customFormat="1" ht="30" customHeight="1" x14ac:dyDescent="0.25">
      <c r="A1063" s="58" t="s">
        <v>1618</v>
      </c>
      <c r="B1063" s="63" t="s">
        <v>1560</v>
      </c>
      <c r="C1063" s="58" t="s">
        <v>1618</v>
      </c>
      <c r="D1063" s="63">
        <v>9</v>
      </c>
      <c r="E1063" s="56" t="s">
        <v>583</v>
      </c>
      <c r="F1063" s="63" t="s">
        <v>240</v>
      </c>
      <c r="G1063" s="63" t="s">
        <v>578</v>
      </c>
      <c r="H1063" s="63">
        <v>0</v>
      </c>
      <c r="I1063" s="63">
        <v>12</v>
      </c>
      <c r="J1063" s="63">
        <v>4</v>
      </c>
      <c r="K1063" s="114" t="s">
        <v>1742</v>
      </c>
      <c r="L1063" s="63" t="s">
        <v>1743</v>
      </c>
      <c r="M1063" s="63" t="s">
        <v>1738</v>
      </c>
      <c r="N1063" s="63" t="s">
        <v>240</v>
      </c>
      <c r="O1063" s="63" t="s">
        <v>240</v>
      </c>
      <c r="P1063" s="63" t="s">
        <v>240</v>
      </c>
      <c r="Q1063" s="63" t="s">
        <v>240</v>
      </c>
      <c r="R1063" s="63" t="s">
        <v>1746</v>
      </c>
      <c r="S1063" s="63">
        <f t="shared" si="344"/>
        <v>1852</v>
      </c>
      <c r="T1063" s="63">
        <f>873+53</f>
        <v>926</v>
      </c>
      <c r="U1063" s="63">
        <f t="shared" si="345"/>
        <v>926</v>
      </c>
      <c r="V1063" s="63">
        <v>49.707999999999998</v>
      </c>
      <c r="AF1063" s="67">
        <f>_xlfn.T.INV.2T(AH1063,T1063-2)</f>
        <v>2.581160605788023</v>
      </c>
      <c r="AH1063" s="63">
        <v>0.01</v>
      </c>
      <c r="AI1063" s="67">
        <f t="shared" ref="AI1063" si="361">+ABS(V1063/AF1063)</f>
        <v>19.258003507621428</v>
      </c>
      <c r="AK1063" s="63" t="s">
        <v>1744</v>
      </c>
      <c r="AP1063" s="67">
        <f t="shared" ref="AP1063" si="362">+V1063/AQ1063</f>
        <v>0.1199567063089531</v>
      </c>
      <c r="AQ1063" s="67">
        <f t="shared" ref="AQ1063" si="363">+AI1063*SQRT(T1063*U1063/S1063)</f>
        <v>414.38283468683392</v>
      </c>
      <c r="AR1063" s="67"/>
      <c r="AS1063" s="67">
        <f t="shared" ref="AS1063" si="364">+AP1063^2/(AU1063-2)*(AU1063/(V1063/AI1063)^2+AU1063*AV1063^2-AU1063+2)</f>
        <v>2.1777378616608957E-3</v>
      </c>
      <c r="AT1063" s="67"/>
      <c r="AU1063" s="67">
        <f t="shared" ref="AU1063" si="365">+S1063-2</f>
        <v>1850</v>
      </c>
      <c r="AV1063" s="67">
        <f t="shared" ref="AV1063" si="366">IFERROR(1/(SQRT(AU1063/2)*_xlfn.GAMMA(AU1063/2-0.5)/_xlfn.GAMMA(AU1063/2)),1)</f>
        <v>1</v>
      </c>
      <c r="AW1063" s="67" t="s">
        <v>1350</v>
      </c>
    </row>
    <row r="1064" spans="1:49" s="148" customFormat="1" ht="30" customHeight="1" x14ac:dyDescent="0.25">
      <c r="A1064" s="147" t="s">
        <v>1618</v>
      </c>
      <c r="B1064" s="148" t="s">
        <v>1560</v>
      </c>
      <c r="C1064" s="147" t="s">
        <v>1618</v>
      </c>
      <c r="D1064" s="148">
        <v>10</v>
      </c>
      <c r="E1064" s="149" t="s">
        <v>577</v>
      </c>
      <c r="F1064" s="148" t="s">
        <v>240</v>
      </c>
      <c r="G1064" s="148" t="s">
        <v>578</v>
      </c>
      <c r="H1064" s="148">
        <v>0</v>
      </c>
      <c r="I1064" s="148">
        <v>12</v>
      </c>
      <c r="J1064" s="148">
        <v>1</v>
      </c>
      <c r="K1064" s="150" t="s">
        <v>1737</v>
      </c>
      <c r="L1064" s="148" t="s">
        <v>240</v>
      </c>
      <c r="M1064" s="148" t="s">
        <v>1738</v>
      </c>
      <c r="N1064" s="148" t="s">
        <v>240</v>
      </c>
      <c r="O1064" s="148" t="s">
        <v>240</v>
      </c>
      <c r="P1064" s="148" t="s">
        <v>240</v>
      </c>
      <c r="Q1064" s="148" t="s">
        <v>240</v>
      </c>
      <c r="R1064" s="148" t="s">
        <v>1746</v>
      </c>
      <c r="S1064" s="148">
        <f t="shared" si="344"/>
        <v>1450</v>
      </c>
      <c r="T1064" s="148">
        <f>687+38</f>
        <v>725</v>
      </c>
      <c r="U1064" s="148">
        <f t="shared" si="345"/>
        <v>725</v>
      </c>
      <c r="V1064" s="148">
        <v>1E-10</v>
      </c>
      <c r="AF1064" s="151">
        <f t="shared" ref="AF1064" si="367">_xlfn.T.INV.2T(AH1064,S1064-2)</f>
        <v>0.67465921830386932</v>
      </c>
      <c r="AH1064" s="148">
        <v>0.5</v>
      </c>
      <c r="AI1064" s="151">
        <f>ABS(V1064/AF1064)</f>
        <v>1.4822298026462241E-10</v>
      </c>
      <c r="AK1064" s="148" t="s">
        <v>1740</v>
      </c>
    </row>
    <row r="1065" spans="1:49" s="63" customFormat="1" ht="30" customHeight="1" x14ac:dyDescent="0.25">
      <c r="A1065" s="58" t="s">
        <v>1618</v>
      </c>
      <c r="B1065" s="63" t="s">
        <v>1560</v>
      </c>
      <c r="C1065" s="58" t="s">
        <v>1618</v>
      </c>
      <c r="D1065" s="63">
        <v>11</v>
      </c>
      <c r="E1065" s="56" t="s">
        <v>577</v>
      </c>
      <c r="F1065" s="63" t="s">
        <v>240</v>
      </c>
      <c r="G1065" s="63" t="s">
        <v>578</v>
      </c>
      <c r="H1065" s="63">
        <v>0</v>
      </c>
      <c r="I1065" s="63">
        <v>12</v>
      </c>
      <c r="J1065" s="63">
        <v>3</v>
      </c>
      <c r="K1065" s="114" t="s">
        <v>1741</v>
      </c>
      <c r="M1065" s="63" t="s">
        <v>1738</v>
      </c>
      <c r="N1065" s="63" t="s">
        <v>240</v>
      </c>
      <c r="O1065" s="63" t="s">
        <v>240</v>
      </c>
      <c r="P1065" s="63" t="s">
        <v>240</v>
      </c>
      <c r="Q1065" s="63" t="s">
        <v>240</v>
      </c>
      <c r="R1065" s="63" t="s">
        <v>1746</v>
      </c>
      <c r="S1065" s="63">
        <f t="shared" si="344"/>
        <v>1450</v>
      </c>
      <c r="T1065" s="63">
        <f>687+38</f>
        <v>725</v>
      </c>
      <c r="U1065" s="63">
        <f t="shared" si="345"/>
        <v>725</v>
      </c>
      <c r="V1065" s="63">
        <v>0.05</v>
      </c>
      <c r="AK1065" s="63" t="s">
        <v>1740</v>
      </c>
    </row>
    <row r="1066" spans="1:49" s="63" customFormat="1" ht="30" customHeight="1" x14ac:dyDescent="0.25">
      <c r="A1066" s="58" t="s">
        <v>1618</v>
      </c>
      <c r="B1066" s="63" t="s">
        <v>1560</v>
      </c>
      <c r="C1066" s="58" t="s">
        <v>1618</v>
      </c>
      <c r="D1066" s="63">
        <v>12</v>
      </c>
      <c r="E1066" s="56" t="s">
        <v>577</v>
      </c>
      <c r="F1066" s="63" t="s">
        <v>240</v>
      </c>
      <c r="G1066" s="63" t="s">
        <v>578</v>
      </c>
      <c r="H1066" s="63">
        <v>0</v>
      </c>
      <c r="I1066" s="63">
        <v>12</v>
      </c>
      <c r="J1066" s="63">
        <v>4</v>
      </c>
      <c r="K1066" s="114" t="s">
        <v>1742</v>
      </c>
      <c r="L1066" s="63" t="s">
        <v>1743</v>
      </c>
      <c r="M1066" s="63" t="s">
        <v>1738</v>
      </c>
      <c r="N1066" s="63" t="s">
        <v>240</v>
      </c>
      <c r="O1066" s="63" t="s">
        <v>240</v>
      </c>
      <c r="P1066" s="63" t="s">
        <v>240</v>
      </c>
      <c r="Q1066" s="63" t="s">
        <v>240</v>
      </c>
      <c r="R1066" s="63" t="s">
        <v>1746</v>
      </c>
      <c r="S1066" s="63">
        <f t="shared" si="344"/>
        <v>1450</v>
      </c>
      <c r="T1066" s="63">
        <f>687+38</f>
        <v>725</v>
      </c>
      <c r="U1066" s="63">
        <f t="shared" si="345"/>
        <v>725</v>
      </c>
      <c r="V1066" s="63">
        <v>20.05</v>
      </c>
      <c r="AF1066" s="67">
        <f>_xlfn.T.INV.2T(AH1066,T1066-2)</f>
        <v>1.6469639109746019</v>
      </c>
      <c r="AH1066" s="63">
        <v>0.1</v>
      </c>
      <c r="AI1066" s="67">
        <f t="shared" ref="AI1066" si="368">+ABS(V1066/AF1066)</f>
        <v>12.173915813452936</v>
      </c>
      <c r="AK1066" s="63" t="s">
        <v>1322</v>
      </c>
      <c r="AP1066" s="67">
        <f t="shared" ref="AP1066" si="369">+V1066/AQ1066</f>
        <v>8.6502782479509058E-2</v>
      </c>
      <c r="AQ1066" s="67">
        <f t="shared" ref="AQ1066" si="370">+AI1066*SQRT(T1066*U1066/S1066)</f>
        <v>231.78445161286555</v>
      </c>
      <c r="AR1066" s="67"/>
      <c r="AS1066" s="67">
        <f t="shared" ref="AS1066" si="371">+AP1066^2/(AU1066-2)*(AU1066/(V1066/AI1066)^2+AU1066*AV1066^2-AU1066+2)</f>
        <v>2.7727857685851212E-3</v>
      </c>
      <c r="AT1066" s="67"/>
      <c r="AU1066" s="67">
        <f t="shared" ref="AU1066" si="372">+S1066-2</f>
        <v>1448</v>
      </c>
      <c r="AV1066" s="67">
        <f t="shared" ref="AV1066" si="373">IFERROR(1/(SQRT(AU1066/2)*_xlfn.GAMMA(AU1066/2-0.5)/_xlfn.GAMMA(AU1066/2)),1)</f>
        <v>1</v>
      </c>
      <c r="AW1066" s="67" t="s">
        <v>1350</v>
      </c>
    </row>
    <row r="1067" spans="1:49" s="63" customFormat="1" ht="30" customHeight="1" x14ac:dyDescent="0.25">
      <c r="A1067" s="58" t="s">
        <v>1618</v>
      </c>
      <c r="B1067" s="63" t="s">
        <v>1560</v>
      </c>
      <c r="C1067" s="58" t="s">
        <v>1618</v>
      </c>
      <c r="D1067" s="63">
        <v>13</v>
      </c>
      <c r="E1067" s="56" t="s">
        <v>583</v>
      </c>
      <c r="F1067" s="63" t="s">
        <v>240</v>
      </c>
      <c r="G1067" s="63" t="s">
        <v>578</v>
      </c>
      <c r="H1067" s="63">
        <v>0</v>
      </c>
      <c r="I1067" s="63">
        <v>24</v>
      </c>
      <c r="J1067" s="63">
        <v>1</v>
      </c>
      <c r="K1067" s="114" t="s">
        <v>1737</v>
      </c>
      <c r="L1067" s="63" t="s">
        <v>240</v>
      </c>
      <c r="M1067" s="63" t="s">
        <v>1738</v>
      </c>
      <c r="N1067" s="63" t="s">
        <v>240</v>
      </c>
      <c r="O1067" s="63" t="s">
        <v>240</v>
      </c>
      <c r="P1067" s="63" t="s">
        <v>240</v>
      </c>
      <c r="Q1067" s="63" t="s">
        <v>240</v>
      </c>
      <c r="R1067" s="63" t="s">
        <v>1746</v>
      </c>
      <c r="S1067" s="63">
        <f t="shared" si="344"/>
        <v>1852</v>
      </c>
      <c r="T1067" s="63">
        <f>873+53</f>
        <v>926</v>
      </c>
      <c r="U1067" s="63">
        <f t="shared" si="345"/>
        <v>926</v>
      </c>
      <c r="V1067" s="63">
        <v>0.04</v>
      </c>
      <c r="AF1067" s="102">
        <f t="shared" ref="AF1067" si="374">_xlfn.T.INV.2T(AH1067,S1067-2)</f>
        <v>0.67462238689464471</v>
      </c>
      <c r="AH1067" s="63">
        <v>0.5</v>
      </c>
      <c r="AI1067" s="102">
        <f>ABS(V1067/AF1067)</f>
        <v>5.929242903444705E-2</v>
      </c>
      <c r="AK1067" s="63" t="s">
        <v>1740</v>
      </c>
    </row>
    <row r="1068" spans="1:49" s="63" customFormat="1" ht="30" customHeight="1" x14ac:dyDescent="0.25">
      <c r="A1068" s="58" t="s">
        <v>1618</v>
      </c>
      <c r="B1068" s="63" t="s">
        <v>1560</v>
      </c>
      <c r="C1068" s="58" t="s">
        <v>1618</v>
      </c>
      <c r="D1068" s="63">
        <v>14</v>
      </c>
      <c r="E1068" s="56" t="s">
        <v>583</v>
      </c>
      <c r="F1068" s="63" t="s">
        <v>240</v>
      </c>
      <c r="G1068" s="63" t="s">
        <v>578</v>
      </c>
      <c r="H1068" s="63">
        <v>0</v>
      </c>
      <c r="I1068" s="63">
        <v>24</v>
      </c>
      <c r="J1068" s="63">
        <v>3</v>
      </c>
      <c r="K1068" s="114" t="s">
        <v>1741</v>
      </c>
      <c r="M1068" s="63" t="s">
        <v>1738</v>
      </c>
      <c r="N1068" s="63" t="s">
        <v>240</v>
      </c>
      <c r="O1068" s="63" t="s">
        <v>240</v>
      </c>
      <c r="P1068" s="63" t="s">
        <v>240</v>
      </c>
      <c r="Q1068" s="63" t="s">
        <v>240</v>
      </c>
      <c r="R1068" s="63" t="s">
        <v>1746</v>
      </c>
      <c r="S1068" s="63">
        <f t="shared" si="344"/>
        <v>1852</v>
      </c>
      <c r="T1068" s="63">
        <f>873+53</f>
        <v>926</v>
      </c>
      <c r="U1068" s="63">
        <f t="shared" si="345"/>
        <v>926</v>
      </c>
      <c r="V1068" s="63">
        <v>0.19</v>
      </c>
      <c r="AK1068" s="63" t="s">
        <v>1744</v>
      </c>
    </row>
    <row r="1069" spans="1:49" s="63" customFormat="1" ht="30" customHeight="1" x14ac:dyDescent="0.25">
      <c r="A1069" s="58" t="s">
        <v>1618</v>
      </c>
      <c r="B1069" s="63" t="s">
        <v>1560</v>
      </c>
      <c r="C1069" s="58" t="s">
        <v>1618</v>
      </c>
      <c r="D1069" s="63">
        <v>15</v>
      </c>
      <c r="E1069" s="56" t="s">
        <v>583</v>
      </c>
      <c r="F1069" s="63" t="s">
        <v>240</v>
      </c>
      <c r="G1069" s="63" t="s">
        <v>578</v>
      </c>
      <c r="H1069" s="63">
        <v>0</v>
      </c>
      <c r="I1069" s="63">
        <v>24</v>
      </c>
      <c r="J1069" s="63">
        <v>4</v>
      </c>
      <c r="K1069" s="114" t="s">
        <v>1742</v>
      </c>
      <c r="L1069" s="63" t="s">
        <v>1743</v>
      </c>
      <c r="M1069" s="63" t="s">
        <v>1738</v>
      </c>
      <c r="N1069" s="63" t="s">
        <v>240</v>
      </c>
      <c r="O1069" s="63" t="s">
        <v>240</v>
      </c>
      <c r="P1069" s="63" t="s">
        <v>240</v>
      </c>
      <c r="Q1069" s="63" t="s">
        <v>240</v>
      </c>
      <c r="R1069" s="63" t="s">
        <v>1746</v>
      </c>
      <c r="S1069" s="63">
        <f t="shared" si="344"/>
        <v>1852</v>
      </c>
      <c r="T1069" s="63">
        <f>873+53</f>
        <v>926</v>
      </c>
      <c r="U1069" s="63">
        <f t="shared" si="345"/>
        <v>926</v>
      </c>
      <c r="V1069" s="63">
        <v>62.716000000000001</v>
      </c>
      <c r="AF1069" s="67">
        <f>_xlfn.T.INV.2T(AH1069,T1069-2)</f>
        <v>2.581160605788023</v>
      </c>
      <c r="AH1069" s="63">
        <v>0.01</v>
      </c>
      <c r="AI1069" s="67">
        <f t="shared" ref="AI1069" si="375">+ABS(V1069/AF1069)</f>
        <v>24.297596925725951</v>
      </c>
      <c r="AK1069" s="63" t="s">
        <v>1744</v>
      </c>
      <c r="AP1069" s="67">
        <f t="shared" ref="AP1069" si="376">+V1069/AQ1069</f>
        <v>0.1199567063089531</v>
      </c>
      <c r="AQ1069" s="67">
        <f t="shared" ref="AQ1069" si="377">+AI1069*SQRT(T1069*U1069/S1069)</f>
        <v>522.82195743581474</v>
      </c>
      <c r="AR1069" s="67"/>
      <c r="AS1069" s="67">
        <f t="shared" ref="AS1069" si="378">+AP1069^2/(AU1069-2)*(AU1069/(V1069/AI1069)^2+AU1069*AV1069^2-AU1069+2)</f>
        <v>2.1777378616608957E-3</v>
      </c>
      <c r="AT1069" s="67"/>
      <c r="AU1069" s="67">
        <f t="shared" ref="AU1069" si="379">+S1069-2</f>
        <v>1850</v>
      </c>
      <c r="AV1069" s="67">
        <f t="shared" ref="AV1069" si="380">IFERROR(1/(SQRT(AU1069/2)*_xlfn.GAMMA(AU1069/2-0.5)/_xlfn.GAMMA(AU1069/2)),1)</f>
        <v>1</v>
      </c>
      <c r="AW1069" s="67" t="s">
        <v>1350</v>
      </c>
    </row>
    <row r="1070" spans="1:49" s="63" customFormat="1" ht="30" customHeight="1" x14ac:dyDescent="0.25">
      <c r="A1070" s="58" t="s">
        <v>1618</v>
      </c>
      <c r="B1070" s="63" t="s">
        <v>1560</v>
      </c>
      <c r="C1070" s="58" t="s">
        <v>1618</v>
      </c>
      <c r="D1070" s="63">
        <v>16</v>
      </c>
      <c r="E1070" s="56" t="s">
        <v>577</v>
      </c>
      <c r="F1070" s="63" t="s">
        <v>240</v>
      </c>
      <c r="G1070" s="63" t="s">
        <v>578</v>
      </c>
      <c r="H1070" s="63">
        <v>0</v>
      </c>
      <c r="I1070" s="63">
        <v>24</v>
      </c>
      <c r="J1070" s="63">
        <v>1</v>
      </c>
      <c r="K1070" s="114" t="s">
        <v>1737</v>
      </c>
      <c r="L1070" s="63" t="s">
        <v>240</v>
      </c>
      <c r="M1070" s="63" t="s">
        <v>1738</v>
      </c>
      <c r="N1070" s="63" t="s">
        <v>240</v>
      </c>
      <c r="O1070" s="63" t="s">
        <v>240</v>
      </c>
      <c r="P1070" s="63" t="s">
        <v>240</v>
      </c>
      <c r="Q1070" s="63" t="s">
        <v>240</v>
      </c>
      <c r="R1070" s="63" t="s">
        <v>1746</v>
      </c>
      <c r="S1070" s="63">
        <f t="shared" si="344"/>
        <v>1450</v>
      </c>
      <c r="T1070" s="63">
        <f>687+38</f>
        <v>725</v>
      </c>
      <c r="U1070" s="63">
        <f t="shared" si="345"/>
        <v>725</v>
      </c>
      <c r="V1070" s="63">
        <v>0.04</v>
      </c>
      <c r="AF1070" s="102">
        <f t="shared" ref="AF1070" si="381">_xlfn.T.INV.2T(AH1070,S1070-2)</f>
        <v>0.67465921830386932</v>
      </c>
      <c r="AH1070" s="63">
        <v>0.5</v>
      </c>
      <c r="AI1070" s="102">
        <f>ABS(V1070/AF1070)</f>
        <v>5.9289192105848959E-2</v>
      </c>
      <c r="AK1070" s="63" t="s">
        <v>1740</v>
      </c>
    </row>
    <row r="1071" spans="1:49" s="63" customFormat="1" ht="30" customHeight="1" x14ac:dyDescent="0.25">
      <c r="A1071" s="58" t="s">
        <v>1618</v>
      </c>
      <c r="B1071" s="63" t="s">
        <v>1560</v>
      </c>
      <c r="C1071" s="58" t="s">
        <v>1618</v>
      </c>
      <c r="D1071" s="63">
        <v>17</v>
      </c>
      <c r="E1071" s="56" t="s">
        <v>577</v>
      </c>
      <c r="F1071" s="63" t="s">
        <v>240</v>
      </c>
      <c r="G1071" s="63" t="s">
        <v>578</v>
      </c>
      <c r="H1071" s="63">
        <v>0</v>
      </c>
      <c r="I1071" s="63">
        <v>24</v>
      </c>
      <c r="J1071" s="63">
        <v>3</v>
      </c>
      <c r="K1071" s="114" t="s">
        <v>1741</v>
      </c>
      <c r="M1071" s="63" t="s">
        <v>1738</v>
      </c>
      <c r="N1071" s="63" t="s">
        <v>240</v>
      </c>
      <c r="O1071" s="63" t="s">
        <v>240</v>
      </c>
      <c r="P1071" s="63" t="s">
        <v>240</v>
      </c>
      <c r="Q1071" s="63" t="s">
        <v>240</v>
      </c>
      <c r="R1071" s="63" t="s">
        <v>1746</v>
      </c>
      <c r="S1071" s="63">
        <f t="shared" si="344"/>
        <v>1450</v>
      </c>
      <c r="T1071" s="63">
        <f>687+38</f>
        <v>725</v>
      </c>
      <c r="U1071" s="63">
        <f t="shared" si="345"/>
        <v>725</v>
      </c>
      <c r="V1071" s="63">
        <v>-0.09</v>
      </c>
      <c r="AK1071" s="63" t="s">
        <v>1740</v>
      </c>
    </row>
    <row r="1072" spans="1:49" s="63" customFormat="1" ht="30" customHeight="1" x14ac:dyDescent="0.25">
      <c r="A1072" s="58" t="s">
        <v>1618</v>
      </c>
      <c r="B1072" s="63" t="s">
        <v>1560</v>
      </c>
      <c r="C1072" s="58" t="s">
        <v>1618</v>
      </c>
      <c r="D1072" s="63">
        <v>18</v>
      </c>
      <c r="E1072" s="56" t="s">
        <v>577</v>
      </c>
      <c r="F1072" s="63" t="s">
        <v>240</v>
      </c>
      <c r="G1072" s="63" t="s">
        <v>578</v>
      </c>
      <c r="H1072" s="63">
        <v>0</v>
      </c>
      <c r="I1072" s="63">
        <v>24</v>
      </c>
      <c r="J1072" s="63">
        <v>4</v>
      </c>
      <c r="K1072" s="114" t="s">
        <v>1742</v>
      </c>
      <c r="L1072" s="63" t="s">
        <v>1743</v>
      </c>
      <c r="M1072" s="63" t="s">
        <v>1738</v>
      </c>
      <c r="N1072" s="63" t="s">
        <v>240</v>
      </c>
      <c r="O1072" s="63" t="s">
        <v>240</v>
      </c>
      <c r="P1072" s="63" t="s">
        <v>240</v>
      </c>
      <c r="Q1072" s="63" t="s">
        <v>240</v>
      </c>
      <c r="R1072" s="63" t="s">
        <v>1746</v>
      </c>
      <c r="S1072" s="63">
        <f t="shared" si="344"/>
        <v>1450</v>
      </c>
      <c r="T1072" s="63">
        <f>687+38</f>
        <v>725</v>
      </c>
      <c r="U1072" s="63">
        <f t="shared" si="345"/>
        <v>725</v>
      </c>
      <c r="V1072" s="63">
        <v>13.422000000000001</v>
      </c>
      <c r="AF1072" s="67">
        <f>_xlfn.T.INV.2T(AH1072,T1072-2)</f>
        <v>0.67482923133134276</v>
      </c>
      <c r="AH1072" s="63">
        <v>0.5</v>
      </c>
      <c r="AI1072" s="67">
        <f t="shared" ref="AI1072" si="382">+ABS(V1072/AF1072)</f>
        <v>19.889476295388523</v>
      </c>
      <c r="AK1072" s="63" t="s">
        <v>1740</v>
      </c>
      <c r="AP1072" s="67">
        <f t="shared" ref="AP1072" si="383">+V1072/AQ1072</f>
        <v>3.5443767662234858E-2</v>
      </c>
      <c r="AQ1072" s="67">
        <f t="shared" ref="AQ1072" si="384">+AI1072*SQRT(T1072*U1072/S1072)</f>
        <v>378.68434665034408</v>
      </c>
      <c r="AR1072" s="67"/>
      <c r="AS1072" s="67">
        <f t="shared" ref="AS1072" si="385">+AP1072^2/(AU1072-2)*(AU1072/(V1072/AI1072)^2+AU1072*AV1072^2-AU1072+2)</f>
        <v>2.7641737759010227E-3</v>
      </c>
      <c r="AT1072" s="67"/>
      <c r="AU1072" s="67">
        <f t="shared" ref="AU1072" si="386">+S1072-2</f>
        <v>1448</v>
      </c>
      <c r="AV1072" s="67">
        <f t="shared" ref="AV1072" si="387">IFERROR(1/(SQRT(AU1072/2)*_xlfn.GAMMA(AU1072/2-0.5)/_xlfn.GAMMA(AU1072/2)),1)</f>
        <v>1</v>
      </c>
      <c r="AW1072" s="67" t="s">
        <v>1350</v>
      </c>
    </row>
    <row r="1073" spans="1:49" s="63" customFormat="1" ht="30" customHeight="1" x14ac:dyDescent="0.25">
      <c r="A1073" s="58" t="s">
        <v>1630</v>
      </c>
      <c r="B1073" s="63" t="s">
        <v>1560</v>
      </c>
      <c r="C1073" s="58" t="s">
        <v>1618</v>
      </c>
      <c r="D1073" s="63">
        <v>1</v>
      </c>
      <c r="E1073" s="56" t="s">
        <v>605</v>
      </c>
      <c r="F1073" s="63" t="s">
        <v>240</v>
      </c>
      <c r="G1073" s="63" t="s">
        <v>578</v>
      </c>
      <c r="H1073" s="63">
        <v>0</v>
      </c>
      <c r="I1073" s="63">
        <v>12</v>
      </c>
      <c r="J1073" s="63">
        <v>1</v>
      </c>
      <c r="K1073" s="114" t="s">
        <v>1737</v>
      </c>
      <c r="L1073" s="63" t="s">
        <v>240</v>
      </c>
      <c r="M1073" s="63" t="s">
        <v>1738</v>
      </c>
      <c r="N1073" s="63" t="s">
        <v>240</v>
      </c>
      <c r="O1073" s="63" t="s">
        <v>240</v>
      </c>
      <c r="P1073" s="63" t="s">
        <v>240</v>
      </c>
      <c r="Q1073" s="63" t="s">
        <v>240</v>
      </c>
      <c r="R1073" s="63" t="s">
        <v>1633</v>
      </c>
      <c r="S1073" s="63">
        <f t="shared" si="344"/>
        <v>4834</v>
      </c>
      <c r="T1073" s="63">
        <f>1326+1091</f>
        <v>2417</v>
      </c>
      <c r="U1073" s="63">
        <f>+T1073</f>
        <v>2417</v>
      </c>
      <c r="V1073" s="63">
        <v>0.17</v>
      </c>
      <c r="AF1073" s="102">
        <f t="shared" ref="AF1073" si="388">_xlfn.T.INV.2T(AH1073,S1073-2)</f>
        <v>2.5768471794813106</v>
      </c>
      <c r="AH1073" s="63">
        <v>0.01</v>
      </c>
      <c r="AI1073" s="102">
        <f>ABS(V1073/AF1073)</f>
        <v>6.5972092312520852E-2</v>
      </c>
      <c r="AK1073" s="63" t="s">
        <v>1744</v>
      </c>
    </row>
    <row r="1074" spans="1:49" s="63" customFormat="1" ht="30" customHeight="1" x14ac:dyDescent="0.25">
      <c r="A1074" s="58" t="s">
        <v>1630</v>
      </c>
      <c r="B1074" s="63" t="s">
        <v>1560</v>
      </c>
      <c r="C1074" s="58" t="s">
        <v>1618</v>
      </c>
      <c r="D1074" s="63">
        <v>2</v>
      </c>
      <c r="E1074" s="56" t="s">
        <v>605</v>
      </c>
      <c r="F1074" s="63" t="s">
        <v>240</v>
      </c>
      <c r="G1074" s="63" t="s">
        <v>578</v>
      </c>
      <c r="H1074" s="63">
        <v>0</v>
      </c>
      <c r="I1074" s="63">
        <v>12</v>
      </c>
      <c r="J1074" s="63">
        <v>3</v>
      </c>
      <c r="K1074" s="114" t="s">
        <v>1741</v>
      </c>
      <c r="L1074" s="63" t="s">
        <v>240</v>
      </c>
      <c r="M1074" s="63" t="s">
        <v>1738</v>
      </c>
      <c r="N1074" s="63" t="s">
        <v>240</v>
      </c>
      <c r="O1074" s="63" t="s">
        <v>240</v>
      </c>
      <c r="P1074" s="63" t="s">
        <v>240</v>
      </c>
      <c r="Q1074" s="63" t="s">
        <v>240</v>
      </c>
      <c r="R1074" s="63" t="s">
        <v>1633</v>
      </c>
      <c r="S1074" s="63">
        <f t="shared" si="344"/>
        <v>4834</v>
      </c>
      <c r="T1074" s="63">
        <f>1326+1091</f>
        <v>2417</v>
      </c>
      <c r="U1074" s="63">
        <f>+T1074</f>
        <v>2417</v>
      </c>
      <c r="V1074" s="63">
        <v>0.15</v>
      </c>
      <c r="AK1074" s="63" t="s">
        <v>1744</v>
      </c>
    </row>
    <row r="1075" spans="1:49" s="63" customFormat="1" ht="30" customHeight="1" x14ac:dyDescent="0.25">
      <c r="A1075" s="58" t="s">
        <v>1630</v>
      </c>
      <c r="B1075" s="63" t="s">
        <v>1560</v>
      </c>
      <c r="C1075" s="58" t="s">
        <v>1618</v>
      </c>
      <c r="D1075" s="63">
        <v>3</v>
      </c>
      <c r="E1075" s="56" t="s">
        <v>605</v>
      </c>
      <c r="F1075" s="63" t="s">
        <v>240</v>
      </c>
      <c r="G1075" s="63" t="s">
        <v>578</v>
      </c>
      <c r="H1075" s="63">
        <v>0</v>
      </c>
      <c r="I1075" s="63">
        <v>12</v>
      </c>
      <c r="J1075" s="63">
        <v>4</v>
      </c>
      <c r="K1075" s="114" t="s">
        <v>1742</v>
      </c>
      <c r="L1075" s="63" t="s">
        <v>1743</v>
      </c>
      <c r="M1075" s="63" t="s">
        <v>1738</v>
      </c>
      <c r="N1075" s="63" t="s">
        <v>240</v>
      </c>
      <c r="O1075" s="63" t="s">
        <v>240</v>
      </c>
      <c r="P1075" s="63" t="s">
        <v>240</v>
      </c>
      <c r="Q1075" s="63" t="s">
        <v>240</v>
      </c>
      <c r="R1075" s="63" t="s">
        <v>1633</v>
      </c>
      <c r="S1075" s="63">
        <f t="shared" si="344"/>
        <v>4834</v>
      </c>
      <c r="T1075" s="63">
        <f>1326+1091</f>
        <v>2417</v>
      </c>
      <c r="U1075" s="63">
        <f>+T1075</f>
        <v>2417</v>
      </c>
      <c r="V1075" s="63">
        <v>41480.449999999997</v>
      </c>
      <c r="AF1075" s="67">
        <f>_xlfn.T.INV.2T(AH1075,T1075-2)</f>
        <v>2.5778666567449355</v>
      </c>
      <c r="AH1075" s="63">
        <v>0.01</v>
      </c>
      <c r="AI1075" s="67">
        <f t="shared" ref="AI1075" si="389">+ABS(V1075/AF1075)</f>
        <v>16090.999079206538</v>
      </c>
      <c r="AK1075" s="63" t="s">
        <v>1744</v>
      </c>
      <c r="AP1075" s="67">
        <f t="shared" ref="AP1075" si="390">+V1075/AQ1075</f>
        <v>7.4154433559390887E-2</v>
      </c>
      <c r="AQ1075" s="67">
        <f t="shared" ref="AQ1075" si="391">+AI1075*SQRT(T1075*U1075/S1075)</f>
        <v>559379.23073443701</v>
      </c>
      <c r="AR1075" s="67"/>
      <c r="AS1075" s="67">
        <f t="shared" ref="AS1075" si="392">+AP1075^2/(AU1075-2)*(AU1075/(V1075/AI1075)^2+AU1075*AV1075^2-AU1075+2)</f>
        <v>8.3009168030794933E-4</v>
      </c>
      <c r="AT1075" s="67"/>
      <c r="AU1075" s="67">
        <f t="shared" ref="AU1075" si="393">+S1075-2</f>
        <v>4832</v>
      </c>
      <c r="AV1075" s="67">
        <f t="shared" ref="AV1075" si="394">IFERROR(1/(SQRT(AU1075/2)*_xlfn.GAMMA(AU1075/2-0.5)/_xlfn.GAMMA(AU1075/2)),1)</f>
        <v>1</v>
      </c>
      <c r="AW1075" s="67" t="s">
        <v>1350</v>
      </c>
    </row>
    <row r="1076" spans="1:49" s="63" customFormat="1" ht="30" customHeight="1" x14ac:dyDescent="0.25">
      <c r="A1076" s="60" t="s">
        <v>1634</v>
      </c>
      <c r="B1076" s="63" t="s">
        <v>1560</v>
      </c>
      <c r="C1076" s="60" t="s">
        <v>1634</v>
      </c>
      <c r="D1076" s="63">
        <v>1</v>
      </c>
      <c r="E1076" s="56" t="s">
        <v>583</v>
      </c>
      <c r="F1076" s="63" t="s">
        <v>240</v>
      </c>
      <c r="G1076" s="63" t="s">
        <v>1276</v>
      </c>
      <c r="H1076" s="63">
        <v>0</v>
      </c>
      <c r="I1076" s="63">
        <v>18</v>
      </c>
      <c r="J1076" s="63">
        <v>1</v>
      </c>
      <c r="K1076" s="114" t="s">
        <v>1747</v>
      </c>
      <c r="L1076" s="63" t="s">
        <v>240</v>
      </c>
      <c r="M1076" s="114" t="s">
        <v>1748</v>
      </c>
      <c r="N1076" s="63" t="s">
        <v>240</v>
      </c>
      <c r="O1076" s="63" t="s">
        <v>240</v>
      </c>
      <c r="P1076" s="63" t="s">
        <v>240</v>
      </c>
      <c r="Q1076" s="63" t="s">
        <v>240</v>
      </c>
      <c r="R1076" s="63" t="s">
        <v>1749</v>
      </c>
      <c r="S1076" s="63">
        <f t="shared" si="344"/>
        <v>8172</v>
      </c>
      <c r="T1076" s="63">
        <v>4256</v>
      </c>
      <c r="U1076" s="63">
        <v>3916</v>
      </c>
      <c r="V1076" s="63">
        <v>5.2900000000000003E-2</v>
      </c>
      <c r="W1076" s="63">
        <v>2.81E-2</v>
      </c>
      <c r="AI1076" s="63">
        <f>+W1076</f>
        <v>2.81E-2</v>
      </c>
    </row>
    <row r="1077" spans="1:49" s="63" customFormat="1" ht="30" customHeight="1" x14ac:dyDescent="0.25">
      <c r="A1077" s="60" t="s">
        <v>1634</v>
      </c>
      <c r="B1077" s="63" t="s">
        <v>1560</v>
      </c>
      <c r="C1077" s="60" t="s">
        <v>1634</v>
      </c>
      <c r="D1077" s="63">
        <v>2</v>
      </c>
      <c r="E1077" s="56" t="s">
        <v>583</v>
      </c>
      <c r="F1077" s="63" t="s">
        <v>240</v>
      </c>
      <c r="G1077" s="63" t="s">
        <v>1281</v>
      </c>
      <c r="H1077" s="63">
        <v>0</v>
      </c>
      <c r="I1077" s="63">
        <v>18</v>
      </c>
      <c r="J1077" s="63">
        <v>1</v>
      </c>
      <c r="K1077" s="114" t="s">
        <v>1747</v>
      </c>
      <c r="L1077" s="63" t="s">
        <v>240</v>
      </c>
      <c r="M1077" s="114" t="s">
        <v>1748</v>
      </c>
      <c r="N1077" s="63" t="s">
        <v>240</v>
      </c>
      <c r="O1077" s="63" t="s">
        <v>240</v>
      </c>
      <c r="P1077" s="63" t="s">
        <v>240</v>
      </c>
      <c r="Q1077" s="63" t="s">
        <v>240</v>
      </c>
      <c r="R1077" s="63" t="s">
        <v>1749</v>
      </c>
      <c r="S1077" s="63">
        <f t="shared" si="344"/>
        <v>8217</v>
      </c>
      <c r="T1077" s="63">
        <v>4261</v>
      </c>
      <c r="U1077" s="63">
        <v>3956</v>
      </c>
      <c r="V1077" s="63">
        <v>4.5400000000000003E-2</v>
      </c>
      <c r="W1077" s="63">
        <v>2.7699999999999999E-2</v>
      </c>
      <c r="AI1077" s="63">
        <f t="shared" ref="AI1077:AI1106" si="395">+W1077</f>
        <v>2.7699999999999999E-2</v>
      </c>
    </row>
    <row r="1078" spans="1:49" s="63" customFormat="1" ht="30" customHeight="1" x14ac:dyDescent="0.25">
      <c r="A1078" s="60" t="s">
        <v>1634</v>
      </c>
      <c r="B1078" s="63" t="s">
        <v>1560</v>
      </c>
      <c r="C1078" s="60" t="s">
        <v>1634</v>
      </c>
      <c r="D1078" s="63">
        <v>3</v>
      </c>
      <c r="E1078" s="56" t="s">
        <v>583</v>
      </c>
      <c r="F1078" s="63" t="s">
        <v>240</v>
      </c>
      <c r="G1078" s="63" t="s">
        <v>1282</v>
      </c>
      <c r="H1078" s="63">
        <v>0</v>
      </c>
      <c r="I1078" s="63">
        <v>18</v>
      </c>
      <c r="J1078" s="63">
        <v>1</v>
      </c>
      <c r="K1078" s="114" t="s">
        <v>1747</v>
      </c>
      <c r="L1078" s="63" t="s">
        <v>240</v>
      </c>
      <c r="M1078" s="114" t="s">
        <v>1748</v>
      </c>
      <c r="N1078" s="63" t="s">
        <v>240</v>
      </c>
      <c r="O1078" s="63" t="s">
        <v>240</v>
      </c>
      <c r="P1078" s="63" t="s">
        <v>240</v>
      </c>
      <c r="Q1078" s="63" t="s">
        <v>240</v>
      </c>
      <c r="R1078" s="63" t="s">
        <v>1749</v>
      </c>
      <c r="S1078" s="63">
        <f t="shared" si="344"/>
        <v>7448</v>
      </c>
      <c r="T1078" s="63">
        <v>3885</v>
      </c>
      <c r="U1078" s="63">
        <v>3563</v>
      </c>
      <c r="V1078" s="63">
        <v>-1.1999999999999999E-3</v>
      </c>
      <c r="W1078" s="63">
        <v>2.86E-2</v>
      </c>
      <c r="AI1078" s="63">
        <f t="shared" si="395"/>
        <v>2.86E-2</v>
      </c>
    </row>
    <row r="1079" spans="1:49" s="63" customFormat="1" ht="30" customHeight="1" x14ac:dyDescent="0.25">
      <c r="A1079" s="60" t="s">
        <v>1634</v>
      </c>
      <c r="B1079" s="63" t="s">
        <v>1560</v>
      </c>
      <c r="C1079" s="60" t="s">
        <v>1634</v>
      </c>
      <c r="D1079" s="63">
        <v>4</v>
      </c>
      <c r="E1079" s="56" t="s">
        <v>583</v>
      </c>
      <c r="F1079" s="63" t="s">
        <v>240</v>
      </c>
      <c r="G1079" s="63" t="s">
        <v>1283</v>
      </c>
      <c r="H1079" s="63">
        <v>0</v>
      </c>
      <c r="I1079" s="63">
        <v>18</v>
      </c>
      <c r="J1079" s="63">
        <v>1</v>
      </c>
      <c r="K1079" s="114" t="s">
        <v>1747</v>
      </c>
      <c r="L1079" s="63" t="s">
        <v>240</v>
      </c>
      <c r="M1079" s="114" t="s">
        <v>1748</v>
      </c>
      <c r="N1079" s="63" t="s">
        <v>240</v>
      </c>
      <c r="O1079" s="63" t="s">
        <v>240</v>
      </c>
      <c r="P1079" s="63" t="s">
        <v>240</v>
      </c>
      <c r="Q1079" s="63" t="s">
        <v>240</v>
      </c>
      <c r="R1079" s="63" t="s">
        <v>1749</v>
      </c>
      <c r="S1079" s="63">
        <f t="shared" si="344"/>
        <v>6349</v>
      </c>
      <c r="T1079" s="63">
        <v>3311</v>
      </c>
      <c r="U1079" s="63">
        <v>3038</v>
      </c>
      <c r="V1079" s="63">
        <v>2.7900000000000001E-2</v>
      </c>
      <c r="W1079" s="63">
        <v>2.98E-2</v>
      </c>
      <c r="AI1079" s="63">
        <f t="shared" si="395"/>
        <v>2.98E-2</v>
      </c>
    </row>
    <row r="1080" spans="1:49" s="63" customFormat="1" ht="30" customHeight="1" x14ac:dyDescent="0.25">
      <c r="A1080" s="60" t="s">
        <v>1634</v>
      </c>
      <c r="B1080" s="63" t="s">
        <v>1560</v>
      </c>
      <c r="C1080" s="60" t="s">
        <v>1634</v>
      </c>
      <c r="D1080" s="63">
        <v>5</v>
      </c>
      <c r="E1080" s="56" t="s">
        <v>583</v>
      </c>
      <c r="F1080" s="63" t="s">
        <v>240</v>
      </c>
      <c r="G1080" s="63" t="s">
        <v>1284</v>
      </c>
      <c r="H1080" s="63">
        <v>0</v>
      </c>
      <c r="I1080" s="63">
        <v>18</v>
      </c>
      <c r="J1080" s="63">
        <v>1</v>
      </c>
      <c r="K1080" s="114" t="s">
        <v>1747</v>
      </c>
      <c r="L1080" s="63" t="s">
        <v>240</v>
      </c>
      <c r="M1080" s="114" t="s">
        <v>1748</v>
      </c>
      <c r="N1080" s="63" t="s">
        <v>240</v>
      </c>
      <c r="O1080" s="63" t="s">
        <v>240</v>
      </c>
      <c r="P1080" s="63" t="s">
        <v>240</v>
      </c>
      <c r="Q1080" s="63" t="s">
        <v>240</v>
      </c>
      <c r="R1080" s="63" t="s">
        <v>1749</v>
      </c>
      <c r="S1080" s="63">
        <f t="shared" si="344"/>
        <v>6193</v>
      </c>
      <c r="T1080" s="63">
        <v>3283</v>
      </c>
      <c r="U1080" s="63">
        <v>2910</v>
      </c>
      <c r="V1080" s="63">
        <v>0.1004</v>
      </c>
      <c r="W1080" s="63">
        <v>3.15E-2</v>
      </c>
      <c r="AI1080" s="63">
        <f t="shared" si="395"/>
        <v>3.15E-2</v>
      </c>
    </row>
    <row r="1081" spans="1:49" s="63" customFormat="1" ht="30" customHeight="1" x14ac:dyDescent="0.25">
      <c r="A1081" s="60" t="s">
        <v>1634</v>
      </c>
      <c r="B1081" s="63" t="s">
        <v>1560</v>
      </c>
      <c r="C1081" s="60" t="s">
        <v>1634</v>
      </c>
      <c r="D1081" s="63">
        <v>6</v>
      </c>
      <c r="E1081" s="56" t="s">
        <v>583</v>
      </c>
      <c r="F1081" s="63" t="s">
        <v>240</v>
      </c>
      <c r="G1081" s="63" t="s">
        <v>578</v>
      </c>
      <c r="H1081" s="63">
        <v>0</v>
      </c>
      <c r="I1081" s="63">
        <v>18</v>
      </c>
      <c r="J1081" s="63">
        <v>1</v>
      </c>
      <c r="K1081" s="114" t="s">
        <v>1747</v>
      </c>
      <c r="L1081" s="63" t="s">
        <v>240</v>
      </c>
      <c r="M1081" s="114" t="s">
        <v>1748</v>
      </c>
      <c r="N1081" s="63" t="s">
        <v>240</v>
      </c>
      <c r="O1081" s="63" t="s">
        <v>240</v>
      </c>
      <c r="P1081" s="63" t="s">
        <v>240</v>
      </c>
      <c r="Q1081" s="63" t="s">
        <v>240</v>
      </c>
      <c r="R1081" s="63" t="s">
        <v>1749</v>
      </c>
      <c r="S1081" s="63">
        <f t="shared" si="344"/>
        <v>36378</v>
      </c>
      <c r="T1081" s="63">
        <v>18995</v>
      </c>
      <c r="U1081" s="63">
        <v>17383</v>
      </c>
      <c r="V1081" s="63">
        <v>4.19E-2</v>
      </c>
      <c r="W1081" s="63">
        <v>1.2999999999999999E-2</v>
      </c>
      <c r="AI1081" s="63">
        <f t="shared" si="395"/>
        <v>1.2999999999999999E-2</v>
      </c>
    </row>
    <row r="1082" spans="1:49" s="63" customFormat="1" ht="30" customHeight="1" x14ac:dyDescent="0.25">
      <c r="A1082" s="60" t="s">
        <v>1648</v>
      </c>
      <c r="B1082" s="63" t="s">
        <v>1560</v>
      </c>
      <c r="C1082" s="60" t="s">
        <v>1634</v>
      </c>
      <c r="D1082" s="63">
        <v>1</v>
      </c>
      <c r="E1082" s="56" t="s">
        <v>583</v>
      </c>
      <c r="F1082" s="63" t="s">
        <v>240</v>
      </c>
      <c r="G1082" s="63" t="s">
        <v>1750</v>
      </c>
      <c r="H1082" s="63">
        <v>0</v>
      </c>
      <c r="I1082" s="63">
        <v>18</v>
      </c>
      <c r="J1082" s="63">
        <v>1</v>
      </c>
      <c r="K1082" s="114" t="s">
        <v>1751</v>
      </c>
      <c r="L1082" s="63" t="s">
        <v>240</v>
      </c>
      <c r="M1082" s="114" t="s">
        <v>1748</v>
      </c>
      <c r="N1082" s="63" t="s">
        <v>240</v>
      </c>
      <c r="O1082" s="63" t="s">
        <v>240</v>
      </c>
      <c r="P1082" s="63" t="s">
        <v>240</v>
      </c>
      <c r="Q1082" s="63" t="s">
        <v>240</v>
      </c>
      <c r="R1082" s="115" t="s">
        <v>462</v>
      </c>
      <c r="S1082" s="63">
        <f>+T1082+U1082</f>
        <v>2959</v>
      </c>
      <c r="T1082" s="63">
        <v>1553</v>
      </c>
      <c r="U1082" s="63">
        <v>1406</v>
      </c>
      <c r="V1082" s="63">
        <v>8.72E-2</v>
      </c>
      <c r="W1082" s="63">
        <v>3.4599999999999999E-2</v>
      </c>
      <c r="AI1082" s="63">
        <f t="shared" si="395"/>
        <v>3.4599999999999999E-2</v>
      </c>
    </row>
    <row r="1083" spans="1:49" s="63" customFormat="1" ht="30" customHeight="1" x14ac:dyDescent="0.25">
      <c r="A1083" s="60" t="s">
        <v>1648</v>
      </c>
      <c r="B1083" s="63" t="s">
        <v>1560</v>
      </c>
      <c r="C1083" s="60" t="s">
        <v>1634</v>
      </c>
      <c r="D1083" s="63">
        <v>2</v>
      </c>
      <c r="E1083" s="56" t="s">
        <v>583</v>
      </c>
      <c r="F1083" s="63" t="s">
        <v>240</v>
      </c>
      <c r="G1083" s="63" t="s">
        <v>1752</v>
      </c>
      <c r="H1083" s="63">
        <v>0</v>
      </c>
      <c r="I1083" s="63">
        <v>18</v>
      </c>
      <c r="J1083" s="63">
        <v>1</v>
      </c>
      <c r="K1083" s="114" t="s">
        <v>1751</v>
      </c>
      <c r="L1083" s="63" t="s">
        <v>240</v>
      </c>
      <c r="M1083" s="114" t="s">
        <v>1748</v>
      </c>
      <c r="N1083" s="63" t="s">
        <v>240</v>
      </c>
      <c r="O1083" s="63" t="s">
        <v>240</v>
      </c>
      <c r="P1083" s="63" t="s">
        <v>240</v>
      </c>
      <c r="Q1083" s="63" t="s">
        <v>240</v>
      </c>
      <c r="R1083" s="115" t="s">
        <v>462</v>
      </c>
      <c r="S1083" s="63">
        <f>+T1083+U1083</f>
        <v>2831</v>
      </c>
      <c r="T1083" s="63">
        <v>1486</v>
      </c>
      <c r="U1083" s="63">
        <v>1345</v>
      </c>
      <c r="V1083" s="63">
        <v>9.3600000000000003E-2</v>
      </c>
      <c r="W1083" s="63">
        <v>3.7999999999999999E-2</v>
      </c>
      <c r="AI1083" s="63">
        <f t="shared" si="395"/>
        <v>3.7999999999999999E-2</v>
      </c>
    </row>
    <row r="1084" spans="1:49" s="63" customFormat="1" ht="30" customHeight="1" x14ac:dyDescent="0.25">
      <c r="A1084" s="60" t="s">
        <v>1648</v>
      </c>
      <c r="B1084" s="63" t="s">
        <v>1560</v>
      </c>
      <c r="C1084" s="60" t="s">
        <v>1634</v>
      </c>
      <c r="D1084" s="63">
        <v>3</v>
      </c>
      <c r="E1084" s="56" t="s">
        <v>583</v>
      </c>
      <c r="F1084" s="63" t="s">
        <v>240</v>
      </c>
      <c r="G1084" s="63" t="s">
        <v>1753</v>
      </c>
      <c r="H1084" s="63">
        <v>0</v>
      </c>
      <c r="I1084" s="63">
        <v>18</v>
      </c>
      <c r="J1084" s="63">
        <v>1</v>
      </c>
      <c r="K1084" s="114" t="s">
        <v>1751</v>
      </c>
      <c r="L1084" s="63" t="s">
        <v>240</v>
      </c>
      <c r="M1084" s="114" t="s">
        <v>1748</v>
      </c>
      <c r="N1084" s="63" t="s">
        <v>240</v>
      </c>
      <c r="O1084" s="63" t="s">
        <v>240</v>
      </c>
      <c r="P1084" s="63" t="s">
        <v>240</v>
      </c>
      <c r="Q1084" s="63" t="s">
        <v>240</v>
      </c>
      <c r="R1084" s="115" t="s">
        <v>462</v>
      </c>
      <c r="S1084" s="63">
        <f t="shared" ref="S1084:S1097" si="396">+T1084+U1084</f>
        <v>2382</v>
      </c>
      <c r="T1084" s="63">
        <v>1217</v>
      </c>
      <c r="U1084" s="63">
        <v>1165</v>
      </c>
      <c r="V1084" s="63">
        <v>2.9399999999999999E-2</v>
      </c>
      <c r="W1084" s="63">
        <v>3.9E-2</v>
      </c>
      <c r="AI1084" s="63">
        <f t="shared" si="395"/>
        <v>3.9E-2</v>
      </c>
    </row>
    <row r="1085" spans="1:49" s="63" customFormat="1" ht="30" customHeight="1" x14ac:dyDescent="0.25">
      <c r="A1085" s="60" t="s">
        <v>1648</v>
      </c>
      <c r="B1085" s="63" t="s">
        <v>1560</v>
      </c>
      <c r="C1085" s="60" t="s">
        <v>1634</v>
      </c>
      <c r="D1085" s="63">
        <v>4</v>
      </c>
      <c r="E1085" s="56" t="s">
        <v>583</v>
      </c>
      <c r="F1085" s="63" t="s">
        <v>240</v>
      </c>
      <c r="G1085" s="63" t="s">
        <v>1754</v>
      </c>
      <c r="H1085" s="63">
        <v>0</v>
      </c>
      <c r="I1085" s="63">
        <v>18</v>
      </c>
      <c r="J1085" s="63">
        <v>1</v>
      </c>
      <c r="K1085" s="114" t="s">
        <v>1751</v>
      </c>
      <c r="L1085" s="63" t="s">
        <v>240</v>
      </c>
      <c r="M1085" s="114" t="s">
        <v>1748</v>
      </c>
      <c r="N1085" s="63" t="s">
        <v>240</v>
      </c>
      <c r="O1085" s="63" t="s">
        <v>240</v>
      </c>
      <c r="P1085" s="63" t="s">
        <v>240</v>
      </c>
      <c r="Q1085" s="63" t="s">
        <v>240</v>
      </c>
      <c r="R1085" s="115" t="s">
        <v>462</v>
      </c>
      <c r="S1085" s="63">
        <f t="shared" si="396"/>
        <v>2800</v>
      </c>
      <c r="T1085" s="63">
        <v>1458</v>
      </c>
      <c r="U1085" s="63">
        <v>1342</v>
      </c>
      <c r="V1085" s="63">
        <v>7.8700000000000006E-2</v>
      </c>
      <c r="W1085" s="63">
        <v>3.8399999999999997E-2</v>
      </c>
      <c r="AI1085" s="63">
        <f t="shared" si="395"/>
        <v>3.8399999999999997E-2</v>
      </c>
    </row>
    <row r="1086" spans="1:49" s="63" customFormat="1" ht="30" customHeight="1" x14ac:dyDescent="0.25">
      <c r="A1086" s="60" t="s">
        <v>1648</v>
      </c>
      <c r="B1086" s="63" t="s">
        <v>1560</v>
      </c>
      <c r="C1086" s="60" t="s">
        <v>1634</v>
      </c>
      <c r="D1086" s="63">
        <v>5</v>
      </c>
      <c r="E1086" s="56" t="s">
        <v>583</v>
      </c>
      <c r="F1086" s="63" t="s">
        <v>240</v>
      </c>
      <c r="G1086" s="63" t="s">
        <v>1755</v>
      </c>
      <c r="H1086" s="63">
        <v>0</v>
      </c>
      <c r="I1086" s="63">
        <v>18</v>
      </c>
      <c r="J1086" s="63">
        <v>1</v>
      </c>
      <c r="K1086" s="114" t="s">
        <v>1751</v>
      </c>
      <c r="L1086" s="63" t="s">
        <v>240</v>
      </c>
      <c r="M1086" s="114" t="s">
        <v>1748</v>
      </c>
      <c r="N1086" s="63" t="s">
        <v>240</v>
      </c>
      <c r="O1086" s="63" t="s">
        <v>240</v>
      </c>
      <c r="P1086" s="63" t="s">
        <v>240</v>
      </c>
      <c r="Q1086" s="63" t="s">
        <v>240</v>
      </c>
      <c r="R1086" s="115" t="s">
        <v>462</v>
      </c>
      <c r="S1086" s="63">
        <f t="shared" si="396"/>
        <v>2814</v>
      </c>
      <c r="T1086" s="63">
        <v>1480</v>
      </c>
      <c r="U1086" s="63">
        <v>1334</v>
      </c>
      <c r="V1086" s="63">
        <v>0.11260000000000001</v>
      </c>
      <c r="W1086" s="63">
        <v>3.7999999999999999E-2</v>
      </c>
      <c r="AI1086" s="63">
        <f t="shared" si="395"/>
        <v>3.7999999999999999E-2</v>
      </c>
    </row>
    <row r="1087" spans="1:49" s="63" customFormat="1" ht="30" customHeight="1" x14ac:dyDescent="0.25">
      <c r="A1087" s="60" t="s">
        <v>1648</v>
      </c>
      <c r="B1087" s="63" t="s">
        <v>1560</v>
      </c>
      <c r="C1087" s="60" t="s">
        <v>1634</v>
      </c>
      <c r="D1087" s="63">
        <v>6</v>
      </c>
      <c r="E1087" s="56" t="s">
        <v>583</v>
      </c>
      <c r="F1087" s="63" t="s">
        <v>240</v>
      </c>
      <c r="G1087" s="63" t="s">
        <v>1756</v>
      </c>
      <c r="H1087" s="63">
        <v>0</v>
      </c>
      <c r="I1087" s="63">
        <v>18</v>
      </c>
      <c r="J1087" s="63">
        <v>1</v>
      </c>
      <c r="K1087" s="114" t="s">
        <v>1751</v>
      </c>
      <c r="L1087" s="63" t="s">
        <v>240</v>
      </c>
      <c r="M1087" s="114" t="s">
        <v>1748</v>
      </c>
      <c r="N1087" s="63" t="s">
        <v>240</v>
      </c>
      <c r="O1087" s="63" t="s">
        <v>240</v>
      </c>
      <c r="P1087" s="63" t="s">
        <v>240</v>
      </c>
      <c r="Q1087" s="63" t="s">
        <v>240</v>
      </c>
      <c r="R1087" s="115" t="s">
        <v>462</v>
      </c>
      <c r="S1087" s="63">
        <f t="shared" si="396"/>
        <v>2603</v>
      </c>
      <c r="T1087" s="63">
        <v>1323</v>
      </c>
      <c r="U1087" s="63">
        <v>1280</v>
      </c>
      <c r="V1087" s="63">
        <v>7.4200000000000002E-2</v>
      </c>
      <c r="W1087" s="63">
        <v>3.5799999999999998E-2</v>
      </c>
      <c r="AI1087" s="63">
        <f t="shared" si="395"/>
        <v>3.5799999999999998E-2</v>
      </c>
    </row>
    <row r="1088" spans="1:49" s="63" customFormat="1" ht="30" customHeight="1" x14ac:dyDescent="0.25">
      <c r="A1088" s="60" t="s">
        <v>1648</v>
      </c>
      <c r="B1088" s="63" t="s">
        <v>1560</v>
      </c>
      <c r="C1088" s="60" t="s">
        <v>1634</v>
      </c>
      <c r="D1088" s="63">
        <v>7</v>
      </c>
      <c r="E1088" s="56" t="s">
        <v>583</v>
      </c>
      <c r="F1088" s="63" t="s">
        <v>240</v>
      </c>
      <c r="G1088" s="63" t="s">
        <v>1753</v>
      </c>
      <c r="H1088" s="63">
        <v>0</v>
      </c>
      <c r="I1088" s="63">
        <v>18</v>
      </c>
      <c r="J1088" s="63">
        <v>1</v>
      </c>
      <c r="K1088" s="114" t="s">
        <v>1751</v>
      </c>
      <c r="L1088" s="63" t="s">
        <v>240</v>
      </c>
      <c r="M1088" s="114" t="s">
        <v>1748</v>
      </c>
      <c r="N1088" s="63" t="s">
        <v>240</v>
      </c>
      <c r="O1088" s="63" t="s">
        <v>240</v>
      </c>
      <c r="P1088" s="63" t="s">
        <v>240</v>
      </c>
      <c r="Q1088" s="63" t="s">
        <v>240</v>
      </c>
      <c r="R1088" s="115" t="s">
        <v>462</v>
      </c>
      <c r="S1088" s="63">
        <f t="shared" si="396"/>
        <v>2157</v>
      </c>
      <c r="T1088" s="63">
        <v>1059</v>
      </c>
      <c r="U1088" s="63">
        <v>1098</v>
      </c>
      <c r="V1088" s="63">
        <v>9.2999999999999992E-3</v>
      </c>
      <c r="W1088" s="63">
        <v>4.1200000000000001E-2</v>
      </c>
      <c r="AI1088" s="63">
        <f t="shared" si="395"/>
        <v>4.1200000000000001E-2</v>
      </c>
    </row>
    <row r="1089" spans="1:38" s="63" customFormat="1" ht="30" customHeight="1" x14ac:dyDescent="0.25">
      <c r="A1089" s="60" t="s">
        <v>1648</v>
      </c>
      <c r="B1089" s="63" t="s">
        <v>1560</v>
      </c>
      <c r="C1089" s="60" t="s">
        <v>1634</v>
      </c>
      <c r="D1089" s="63">
        <v>8</v>
      </c>
      <c r="E1089" s="56" t="s">
        <v>583</v>
      </c>
      <c r="F1089" s="63" t="s">
        <v>240</v>
      </c>
      <c r="G1089" s="63" t="s">
        <v>1757</v>
      </c>
      <c r="H1089" s="63">
        <v>0</v>
      </c>
      <c r="I1089" s="63">
        <v>18</v>
      </c>
      <c r="J1089" s="63">
        <v>1</v>
      </c>
      <c r="K1089" s="114" t="s">
        <v>1751</v>
      </c>
      <c r="L1089" s="63" t="s">
        <v>240</v>
      </c>
      <c r="M1089" s="114" t="s">
        <v>1748</v>
      </c>
      <c r="N1089" s="63" t="s">
        <v>240</v>
      </c>
      <c r="O1089" s="63" t="s">
        <v>240</v>
      </c>
      <c r="P1089" s="63" t="s">
        <v>240</v>
      </c>
      <c r="Q1089" s="63" t="s">
        <v>240</v>
      </c>
      <c r="R1089" s="115" t="s">
        <v>462</v>
      </c>
      <c r="S1089" s="63">
        <f t="shared" si="396"/>
        <v>2713</v>
      </c>
      <c r="T1089" s="63">
        <v>1450</v>
      </c>
      <c r="U1089" s="63">
        <v>1263</v>
      </c>
      <c r="V1089" s="63">
        <v>2.5399999999999999E-2</v>
      </c>
      <c r="W1089" s="63">
        <v>3.7100000000000001E-2</v>
      </c>
      <c r="AI1089" s="63">
        <f t="shared" si="395"/>
        <v>3.7100000000000001E-2</v>
      </c>
    </row>
    <row r="1090" spans="1:38" s="63" customFormat="1" ht="30" customHeight="1" x14ac:dyDescent="0.25">
      <c r="A1090" s="60" t="s">
        <v>1648</v>
      </c>
      <c r="B1090" s="63" t="s">
        <v>1560</v>
      </c>
      <c r="C1090" s="60" t="s">
        <v>1634</v>
      </c>
      <c r="D1090" s="63">
        <v>9</v>
      </c>
      <c r="E1090" s="56" t="s">
        <v>583</v>
      </c>
      <c r="F1090" s="63" t="s">
        <v>240</v>
      </c>
      <c r="G1090" s="63" t="s">
        <v>1755</v>
      </c>
      <c r="H1090" s="63">
        <v>0</v>
      </c>
      <c r="I1090" s="63">
        <v>18</v>
      </c>
      <c r="J1090" s="63">
        <v>1</v>
      </c>
      <c r="K1090" s="114" t="s">
        <v>1751</v>
      </c>
      <c r="L1090" s="63" t="s">
        <v>240</v>
      </c>
      <c r="M1090" s="114" t="s">
        <v>1748</v>
      </c>
      <c r="N1090" s="63" t="s">
        <v>240</v>
      </c>
      <c r="O1090" s="63" t="s">
        <v>240</v>
      </c>
      <c r="P1090" s="63" t="s">
        <v>240</v>
      </c>
      <c r="Q1090" s="63" t="s">
        <v>240</v>
      </c>
      <c r="R1090" s="115" t="s">
        <v>462</v>
      </c>
      <c r="S1090" s="63">
        <f t="shared" si="396"/>
        <v>2578</v>
      </c>
      <c r="T1090" s="63">
        <v>1376</v>
      </c>
      <c r="U1090" s="63">
        <v>1202</v>
      </c>
      <c r="V1090" s="63">
        <v>2.2700000000000001E-2</v>
      </c>
      <c r="W1090" s="63">
        <v>3.61E-2</v>
      </c>
      <c r="AI1090" s="63">
        <f t="shared" si="395"/>
        <v>3.61E-2</v>
      </c>
    </row>
    <row r="1091" spans="1:38" s="63" customFormat="1" ht="30" customHeight="1" x14ac:dyDescent="0.25">
      <c r="A1091" s="60" t="s">
        <v>1648</v>
      </c>
      <c r="B1091" s="63" t="s">
        <v>1560</v>
      </c>
      <c r="C1091" s="60" t="s">
        <v>1634</v>
      </c>
      <c r="D1091" s="63">
        <v>10</v>
      </c>
      <c r="E1091" s="56" t="s">
        <v>583</v>
      </c>
      <c r="F1091" s="63" t="s">
        <v>240</v>
      </c>
      <c r="G1091" s="63" t="s">
        <v>1756</v>
      </c>
      <c r="H1091" s="63">
        <v>0</v>
      </c>
      <c r="I1091" s="63">
        <v>18</v>
      </c>
      <c r="J1091" s="63">
        <v>1</v>
      </c>
      <c r="K1091" s="114" t="s">
        <v>1751</v>
      </c>
      <c r="L1091" s="63" t="s">
        <v>240</v>
      </c>
      <c r="M1091" s="114" t="s">
        <v>1748</v>
      </c>
      <c r="N1091" s="63" t="s">
        <v>240</v>
      </c>
      <c r="O1091" s="63" t="s">
        <v>240</v>
      </c>
      <c r="P1091" s="63" t="s">
        <v>240</v>
      </c>
      <c r="Q1091" s="63" t="s">
        <v>240</v>
      </c>
      <c r="R1091" s="115" t="s">
        <v>462</v>
      </c>
      <c r="S1091" s="63">
        <f t="shared" si="396"/>
        <v>2223</v>
      </c>
      <c r="T1091" s="63">
        <v>1197</v>
      </c>
      <c r="U1091" s="63">
        <v>1026</v>
      </c>
      <c r="V1091" s="63">
        <v>9.8100000000000007E-2</v>
      </c>
      <c r="W1091" s="63">
        <v>3.9399999999999998E-2</v>
      </c>
      <c r="AI1091" s="63">
        <f t="shared" si="395"/>
        <v>3.9399999999999998E-2</v>
      </c>
    </row>
    <row r="1092" spans="1:38" s="63" customFormat="1" ht="30" customHeight="1" x14ac:dyDescent="0.25">
      <c r="A1092" s="60" t="s">
        <v>1648</v>
      </c>
      <c r="B1092" s="63" t="s">
        <v>1560</v>
      </c>
      <c r="C1092" s="60" t="s">
        <v>1634</v>
      </c>
      <c r="D1092" s="63">
        <v>11</v>
      </c>
      <c r="E1092" s="56" t="s">
        <v>583</v>
      </c>
      <c r="F1092" s="63" t="s">
        <v>240</v>
      </c>
      <c r="G1092" s="63" t="s">
        <v>1753</v>
      </c>
      <c r="H1092" s="63">
        <v>0</v>
      </c>
      <c r="I1092" s="63">
        <v>18</v>
      </c>
      <c r="J1092" s="63">
        <v>1</v>
      </c>
      <c r="K1092" s="114" t="s">
        <v>1751</v>
      </c>
      <c r="L1092" s="63" t="s">
        <v>240</v>
      </c>
      <c r="M1092" s="114" t="s">
        <v>1748</v>
      </c>
      <c r="N1092" s="63" t="s">
        <v>240</v>
      </c>
      <c r="O1092" s="63" t="s">
        <v>240</v>
      </c>
      <c r="P1092" s="63" t="s">
        <v>240</v>
      </c>
      <c r="Q1092" s="63" t="s">
        <v>240</v>
      </c>
      <c r="R1092" s="115" t="s">
        <v>462</v>
      </c>
      <c r="S1092" s="63">
        <f t="shared" si="396"/>
        <v>1927</v>
      </c>
      <c r="T1092" s="63">
        <v>970</v>
      </c>
      <c r="U1092" s="63">
        <v>957</v>
      </c>
      <c r="V1092" s="63">
        <v>2.3099999999999999E-2</v>
      </c>
      <c r="W1092" s="63">
        <v>4.3700000000000003E-2</v>
      </c>
      <c r="AI1092" s="63">
        <f t="shared" si="395"/>
        <v>4.3700000000000003E-2</v>
      </c>
    </row>
    <row r="1093" spans="1:38" s="63" customFormat="1" ht="30" customHeight="1" x14ac:dyDescent="0.25">
      <c r="A1093" s="60" t="s">
        <v>1648</v>
      </c>
      <c r="B1093" s="63" t="s">
        <v>1560</v>
      </c>
      <c r="C1093" s="60" t="s">
        <v>1634</v>
      </c>
      <c r="D1093" s="63">
        <v>12</v>
      </c>
      <c r="E1093" s="56" t="s">
        <v>583</v>
      </c>
      <c r="F1093" s="63" t="s">
        <v>240</v>
      </c>
      <c r="G1093" s="63" t="s">
        <v>1758</v>
      </c>
      <c r="H1093" s="63">
        <v>0</v>
      </c>
      <c r="I1093" s="63">
        <v>18</v>
      </c>
      <c r="J1093" s="63">
        <v>1</v>
      </c>
      <c r="K1093" s="114" t="s">
        <v>1751</v>
      </c>
      <c r="L1093" s="63" t="s">
        <v>240</v>
      </c>
      <c r="M1093" s="114" t="s">
        <v>1748</v>
      </c>
      <c r="N1093" s="63" t="s">
        <v>240</v>
      </c>
      <c r="O1093" s="63" t="s">
        <v>240</v>
      </c>
      <c r="P1093" s="63" t="s">
        <v>240</v>
      </c>
      <c r="Q1093" s="63" t="s">
        <v>240</v>
      </c>
      <c r="R1093" s="115" t="s">
        <v>462</v>
      </c>
      <c r="S1093" s="63">
        <f t="shared" si="396"/>
        <v>2199</v>
      </c>
      <c r="T1093" s="63">
        <v>1144</v>
      </c>
      <c r="U1093" s="63">
        <v>1055</v>
      </c>
      <c r="V1093" s="63">
        <v>3.2000000000000002E-3</v>
      </c>
      <c r="W1093" s="63">
        <v>3.8199999999999998E-2</v>
      </c>
      <c r="AI1093" s="63">
        <f t="shared" si="395"/>
        <v>3.8199999999999998E-2</v>
      </c>
    </row>
    <row r="1094" spans="1:38" s="63" customFormat="1" ht="30" customHeight="1" x14ac:dyDescent="0.25">
      <c r="A1094" s="60" t="s">
        <v>1648</v>
      </c>
      <c r="B1094" s="63" t="s">
        <v>1560</v>
      </c>
      <c r="C1094" s="60" t="s">
        <v>1634</v>
      </c>
      <c r="D1094" s="63">
        <v>13</v>
      </c>
      <c r="E1094" s="56" t="s">
        <v>583</v>
      </c>
      <c r="F1094" s="63" t="s">
        <v>240</v>
      </c>
      <c r="G1094" s="63" t="s">
        <v>1755</v>
      </c>
      <c r="H1094" s="63">
        <v>0</v>
      </c>
      <c r="I1094" s="63">
        <v>18</v>
      </c>
      <c r="J1094" s="63">
        <v>1</v>
      </c>
      <c r="K1094" s="114" t="s">
        <v>1751</v>
      </c>
      <c r="L1094" s="63" t="s">
        <v>240</v>
      </c>
      <c r="M1094" s="114" t="s">
        <v>1748</v>
      </c>
      <c r="N1094" s="63" t="s">
        <v>240</v>
      </c>
      <c r="O1094" s="63" t="s">
        <v>240</v>
      </c>
      <c r="P1094" s="63" t="s">
        <v>240</v>
      </c>
      <c r="Q1094" s="63" t="s">
        <v>240</v>
      </c>
      <c r="R1094" s="115" t="s">
        <v>462</v>
      </c>
      <c r="S1094" s="63">
        <f t="shared" si="396"/>
        <v>2398</v>
      </c>
      <c r="T1094" s="63">
        <v>1279</v>
      </c>
      <c r="U1094" s="63">
        <v>1119</v>
      </c>
      <c r="V1094" s="63">
        <v>0.12559999999999999</v>
      </c>
      <c r="W1094" s="63">
        <v>3.9600000000000003E-2</v>
      </c>
      <c r="AI1094" s="63">
        <f t="shared" si="395"/>
        <v>3.9600000000000003E-2</v>
      </c>
    </row>
    <row r="1095" spans="1:38" s="63" customFormat="1" ht="30" customHeight="1" x14ac:dyDescent="0.25">
      <c r="A1095" s="60" t="s">
        <v>1648</v>
      </c>
      <c r="B1095" s="63" t="s">
        <v>1560</v>
      </c>
      <c r="C1095" s="60" t="s">
        <v>1634</v>
      </c>
      <c r="D1095" s="63">
        <v>14</v>
      </c>
      <c r="E1095" s="56" t="s">
        <v>583</v>
      </c>
      <c r="F1095" s="63" t="s">
        <v>240</v>
      </c>
      <c r="G1095" s="63" t="s">
        <v>1756</v>
      </c>
      <c r="H1095" s="63">
        <v>0</v>
      </c>
      <c r="I1095" s="63">
        <v>18</v>
      </c>
      <c r="J1095" s="63">
        <v>1</v>
      </c>
      <c r="K1095" s="114" t="s">
        <v>1751</v>
      </c>
      <c r="L1095" s="63" t="s">
        <v>240</v>
      </c>
      <c r="M1095" s="114" t="s">
        <v>1748</v>
      </c>
      <c r="N1095" s="63" t="s">
        <v>240</v>
      </c>
      <c r="O1095" s="63" t="s">
        <v>240</v>
      </c>
      <c r="P1095" s="63" t="s">
        <v>240</v>
      </c>
      <c r="Q1095" s="63" t="s">
        <v>240</v>
      </c>
      <c r="R1095" s="115" t="s">
        <v>462</v>
      </c>
      <c r="S1095" s="63">
        <f t="shared" si="396"/>
        <v>2044</v>
      </c>
      <c r="T1095" s="63">
        <v>1109</v>
      </c>
      <c r="U1095" s="63">
        <v>935</v>
      </c>
      <c r="V1095" s="63">
        <v>6.5299999999999997E-2</v>
      </c>
      <c r="W1095" s="63">
        <v>4.0800000000000003E-2</v>
      </c>
      <c r="AI1095" s="63">
        <f t="shared" si="395"/>
        <v>4.0800000000000003E-2</v>
      </c>
    </row>
    <row r="1096" spans="1:38" s="63" customFormat="1" ht="30" customHeight="1" x14ac:dyDescent="0.25">
      <c r="A1096" s="60" t="s">
        <v>1648</v>
      </c>
      <c r="B1096" s="63" t="s">
        <v>1560</v>
      </c>
      <c r="C1096" s="60" t="s">
        <v>1634</v>
      </c>
      <c r="D1096" s="63">
        <v>15</v>
      </c>
      <c r="E1096" s="56" t="s">
        <v>583</v>
      </c>
      <c r="F1096" s="63" t="s">
        <v>240</v>
      </c>
      <c r="G1096" s="63" t="s">
        <v>1759</v>
      </c>
      <c r="H1096" s="63">
        <v>0</v>
      </c>
      <c r="I1096" s="63">
        <v>18</v>
      </c>
      <c r="J1096" s="63">
        <v>1</v>
      </c>
      <c r="K1096" s="114" t="s">
        <v>1751</v>
      </c>
      <c r="L1096" s="63" t="s">
        <v>240</v>
      </c>
      <c r="M1096" s="114" t="s">
        <v>1748</v>
      </c>
      <c r="N1096" s="63" t="s">
        <v>240</v>
      </c>
      <c r="O1096" s="63" t="s">
        <v>240</v>
      </c>
      <c r="P1096" s="63" t="s">
        <v>240</v>
      </c>
      <c r="Q1096" s="63" t="s">
        <v>240</v>
      </c>
      <c r="R1096" s="115" t="s">
        <v>462</v>
      </c>
      <c r="S1096" s="63">
        <f t="shared" si="396"/>
        <v>1750</v>
      </c>
      <c r="T1096" s="63">
        <v>894</v>
      </c>
      <c r="U1096" s="63">
        <v>856</v>
      </c>
      <c r="V1096" s="63">
        <v>0.1172</v>
      </c>
      <c r="W1096" s="63">
        <v>4.8899999999999999E-2</v>
      </c>
      <c r="AI1096" s="63">
        <f t="shared" si="395"/>
        <v>4.8899999999999999E-2</v>
      </c>
    </row>
    <row r="1097" spans="1:38" s="63" customFormat="1" ht="30" customHeight="1" x14ac:dyDescent="0.25">
      <c r="A1097" s="60" t="s">
        <v>1648</v>
      </c>
      <c r="B1097" s="63" t="s">
        <v>1560</v>
      </c>
      <c r="C1097" s="60" t="s">
        <v>1634</v>
      </c>
      <c r="D1097" s="63">
        <v>16</v>
      </c>
      <c r="E1097" s="56" t="s">
        <v>583</v>
      </c>
      <c r="F1097" s="63" t="s">
        <v>240</v>
      </c>
      <c r="G1097" s="63" t="s">
        <v>578</v>
      </c>
      <c r="H1097" s="63">
        <v>0</v>
      </c>
      <c r="I1097" s="63">
        <v>18</v>
      </c>
      <c r="J1097" s="63">
        <v>1</v>
      </c>
      <c r="K1097" s="114" t="s">
        <v>1751</v>
      </c>
      <c r="L1097" s="63" t="s">
        <v>240</v>
      </c>
      <c r="M1097" s="114" t="s">
        <v>1748</v>
      </c>
      <c r="N1097" s="63" t="s">
        <v>240</v>
      </c>
      <c r="O1097" s="63" t="s">
        <v>240</v>
      </c>
      <c r="P1097" s="63" t="s">
        <v>240</v>
      </c>
      <c r="Q1097" s="63" t="s">
        <v>240</v>
      </c>
      <c r="R1097" s="115" t="s">
        <v>462</v>
      </c>
      <c r="S1097" s="63">
        <f t="shared" si="396"/>
        <v>36378</v>
      </c>
      <c r="T1097" s="63">
        <v>18995</v>
      </c>
      <c r="U1097" s="63">
        <v>17383</v>
      </c>
      <c r="V1097" s="63">
        <v>6.4500000000000002E-2</v>
      </c>
      <c r="W1097" s="63">
        <v>1.04E-2</v>
      </c>
      <c r="AI1097" s="63">
        <f t="shared" si="395"/>
        <v>1.04E-2</v>
      </c>
    </row>
    <row r="1098" spans="1:38" s="63" customFormat="1" ht="30" customHeight="1" x14ac:dyDescent="0.25">
      <c r="A1098" s="60" t="s">
        <v>1649</v>
      </c>
      <c r="B1098" s="63" t="s">
        <v>1582</v>
      </c>
      <c r="C1098" s="60" t="s">
        <v>1634</v>
      </c>
      <c r="D1098" s="63">
        <v>1</v>
      </c>
      <c r="E1098" s="56" t="s">
        <v>605</v>
      </c>
      <c r="F1098" s="63" t="s">
        <v>240</v>
      </c>
      <c r="G1098" s="63" t="s">
        <v>578</v>
      </c>
      <c r="H1098" s="63">
        <v>0</v>
      </c>
      <c r="I1098" s="63">
        <v>10</v>
      </c>
      <c r="J1098" s="63">
        <v>1</v>
      </c>
      <c r="K1098" s="114" t="s">
        <v>1760</v>
      </c>
      <c r="L1098" s="63" t="s">
        <v>240</v>
      </c>
      <c r="M1098" s="114" t="s">
        <v>1748</v>
      </c>
      <c r="N1098" s="63" t="s">
        <v>240</v>
      </c>
      <c r="O1098" s="63" t="s">
        <v>240</v>
      </c>
      <c r="P1098" s="63" t="s">
        <v>240</v>
      </c>
      <c r="Q1098" s="63" t="s">
        <v>240</v>
      </c>
      <c r="R1098" s="63" t="s">
        <v>1761</v>
      </c>
      <c r="S1098" s="63">
        <v>3716</v>
      </c>
      <c r="T1098" s="63">
        <f>+S1098/2</f>
        <v>1858</v>
      </c>
      <c r="U1098" s="63">
        <f>+S1098/2</f>
        <v>1858</v>
      </c>
      <c r="V1098" s="63">
        <v>0.11</v>
      </c>
      <c r="W1098" s="63">
        <v>3.9E-2</v>
      </c>
      <c r="AI1098" s="63">
        <f t="shared" si="395"/>
        <v>3.9E-2</v>
      </c>
    </row>
    <row r="1099" spans="1:38" s="63" customFormat="1" ht="30" customHeight="1" x14ac:dyDescent="0.25">
      <c r="A1099" s="60" t="s">
        <v>1649</v>
      </c>
      <c r="B1099" s="63" t="s">
        <v>1560</v>
      </c>
      <c r="C1099" s="60" t="s">
        <v>1634</v>
      </c>
      <c r="D1099" s="63">
        <v>2</v>
      </c>
      <c r="E1099" s="63" t="s">
        <v>583</v>
      </c>
      <c r="F1099" s="63" t="s">
        <v>240</v>
      </c>
      <c r="G1099" s="63" t="s">
        <v>578</v>
      </c>
      <c r="H1099" s="63">
        <v>0</v>
      </c>
      <c r="I1099" s="63">
        <v>10</v>
      </c>
      <c r="J1099" s="63">
        <v>1</v>
      </c>
      <c r="K1099" s="63" t="s">
        <v>1762</v>
      </c>
      <c r="L1099" s="63" t="s">
        <v>240</v>
      </c>
      <c r="M1099" s="114" t="s">
        <v>1748</v>
      </c>
      <c r="N1099" s="63" t="s">
        <v>240</v>
      </c>
      <c r="O1099" s="63" t="s">
        <v>240</v>
      </c>
      <c r="P1099" s="63" t="s">
        <v>240</v>
      </c>
      <c r="Q1099" s="63" t="s">
        <v>240</v>
      </c>
      <c r="R1099" s="115" t="s">
        <v>1763</v>
      </c>
      <c r="S1099" s="63">
        <v>20957</v>
      </c>
      <c r="T1099" s="63">
        <f>+S1099/2</f>
        <v>10478.5</v>
      </c>
      <c r="U1099" s="63">
        <f>+S1099-T1099</f>
        <v>10478.5</v>
      </c>
      <c r="V1099" s="63">
        <v>4.0000000000000001E-3</v>
      </c>
      <c r="W1099" s="63">
        <v>8.0000000000000002E-3</v>
      </c>
      <c r="AI1099" s="63">
        <f t="shared" si="395"/>
        <v>8.0000000000000002E-3</v>
      </c>
    </row>
    <row r="1100" spans="1:38" s="63" customFormat="1" ht="30" customHeight="1" x14ac:dyDescent="0.25">
      <c r="A1100" s="60" t="s">
        <v>1649</v>
      </c>
      <c r="B1100" s="63" t="s">
        <v>1560</v>
      </c>
      <c r="C1100" s="60" t="s">
        <v>1634</v>
      </c>
      <c r="D1100" s="63">
        <v>3</v>
      </c>
      <c r="E1100" s="63" t="s">
        <v>577</v>
      </c>
      <c r="F1100" s="63" t="s">
        <v>240</v>
      </c>
      <c r="G1100" s="63" t="s">
        <v>578</v>
      </c>
      <c r="H1100" s="63">
        <v>0</v>
      </c>
      <c r="I1100" s="63">
        <v>10</v>
      </c>
      <c r="J1100" s="63">
        <v>1</v>
      </c>
      <c r="K1100" s="63" t="s">
        <v>1762</v>
      </c>
      <c r="L1100" s="63" t="s">
        <v>240</v>
      </c>
      <c r="M1100" s="114" t="s">
        <v>1748</v>
      </c>
      <c r="N1100" s="63" t="s">
        <v>240</v>
      </c>
      <c r="O1100" s="63" t="s">
        <v>240</v>
      </c>
      <c r="P1100" s="63" t="s">
        <v>240</v>
      </c>
      <c r="Q1100" s="63" t="s">
        <v>240</v>
      </c>
      <c r="R1100" s="115" t="s">
        <v>1763</v>
      </c>
      <c r="S1100" s="63">
        <v>1169</v>
      </c>
      <c r="T1100" s="63">
        <f>+S1100/2</f>
        <v>584.5</v>
      </c>
      <c r="U1100" s="63">
        <f>+S1100-T1100</f>
        <v>584.5</v>
      </c>
      <c r="V1100" s="63">
        <v>6.0999999999999999E-2</v>
      </c>
      <c r="W1100" s="63">
        <v>5.8000000000000003E-2</v>
      </c>
      <c r="AI1100" s="63">
        <f t="shared" si="395"/>
        <v>5.8000000000000003E-2</v>
      </c>
    </row>
    <row r="1101" spans="1:38" s="63" customFormat="1" ht="30" customHeight="1" x14ac:dyDescent="0.25">
      <c r="A1101" s="63" t="s">
        <v>1651</v>
      </c>
      <c r="B1101" s="63" t="s">
        <v>1582</v>
      </c>
      <c r="C1101" s="63" t="s">
        <v>1651</v>
      </c>
      <c r="D1101" s="63">
        <v>1</v>
      </c>
      <c r="E1101" s="56" t="s">
        <v>605</v>
      </c>
      <c r="F1101" s="63" t="s">
        <v>240</v>
      </c>
      <c r="G1101" s="63" t="s">
        <v>578</v>
      </c>
      <c r="H1101" s="63">
        <v>1</v>
      </c>
      <c r="I1101" s="63">
        <f>5/4</f>
        <v>1.25</v>
      </c>
      <c r="J1101" s="63">
        <v>1</v>
      </c>
      <c r="K1101" s="114" t="s">
        <v>1764</v>
      </c>
      <c r="L1101" s="63" t="s">
        <v>240</v>
      </c>
      <c r="M1101" s="63" t="s">
        <v>1765</v>
      </c>
      <c r="N1101" s="63" t="s">
        <v>240</v>
      </c>
      <c r="O1101" s="63" t="s">
        <v>240</v>
      </c>
      <c r="P1101" s="63" t="s">
        <v>240</v>
      </c>
      <c r="Q1101" s="63" t="s">
        <v>240</v>
      </c>
      <c r="R1101" s="115" t="s">
        <v>311</v>
      </c>
      <c r="S1101" s="63">
        <f t="shared" ref="S1101:S1105" si="397">+T1101+U1101</f>
        <v>4500</v>
      </c>
      <c r="T1101" s="63">
        <v>2216</v>
      </c>
      <c r="U1101" s="63">
        <v>2284</v>
      </c>
      <c r="V1101" s="63">
        <v>2.1999999999999999E-2</v>
      </c>
      <c r="W1101" s="63">
        <v>1.2E-2</v>
      </c>
      <c r="AI1101" s="63">
        <f t="shared" si="395"/>
        <v>1.2E-2</v>
      </c>
      <c r="AL1101" s="114"/>
    </row>
    <row r="1102" spans="1:38" s="63" customFormat="1" ht="30" customHeight="1" x14ac:dyDescent="0.25">
      <c r="A1102" s="63" t="s">
        <v>1651</v>
      </c>
      <c r="B1102" s="63" t="s">
        <v>1582</v>
      </c>
      <c r="C1102" s="63" t="s">
        <v>1651</v>
      </c>
      <c r="D1102" s="63">
        <v>2</v>
      </c>
      <c r="E1102" s="56" t="s">
        <v>605</v>
      </c>
      <c r="F1102" s="63" t="s">
        <v>240</v>
      </c>
      <c r="G1102" s="63" t="s">
        <v>578</v>
      </c>
      <c r="H1102" s="63">
        <v>1</v>
      </c>
      <c r="I1102" s="63">
        <f>10/4</f>
        <v>2.5</v>
      </c>
      <c r="J1102" s="63">
        <v>1</v>
      </c>
      <c r="K1102" s="114" t="s">
        <v>1764</v>
      </c>
      <c r="L1102" s="63" t="s">
        <v>240</v>
      </c>
      <c r="M1102" s="63" t="s">
        <v>1765</v>
      </c>
      <c r="N1102" s="63" t="s">
        <v>240</v>
      </c>
      <c r="O1102" s="63" t="s">
        <v>240</v>
      </c>
      <c r="P1102" s="63" t="s">
        <v>240</v>
      </c>
      <c r="Q1102" s="63" t="s">
        <v>240</v>
      </c>
      <c r="R1102" s="115" t="s">
        <v>311</v>
      </c>
      <c r="S1102" s="63">
        <f t="shared" si="397"/>
        <v>4500</v>
      </c>
      <c r="T1102" s="63">
        <v>2216</v>
      </c>
      <c r="U1102" s="63">
        <v>2284</v>
      </c>
      <c r="V1102" s="63">
        <v>6.6000000000000003E-2</v>
      </c>
      <c r="W1102" s="63">
        <v>1.4E-2</v>
      </c>
      <c r="AI1102" s="63">
        <f t="shared" si="395"/>
        <v>1.4E-2</v>
      </c>
      <c r="AL1102" s="114"/>
    </row>
    <row r="1103" spans="1:38" s="63" customFormat="1" ht="30" customHeight="1" x14ac:dyDescent="0.25">
      <c r="A1103" s="63" t="s">
        <v>1651</v>
      </c>
      <c r="B1103" s="63" t="s">
        <v>1582</v>
      </c>
      <c r="C1103" s="63" t="s">
        <v>1651</v>
      </c>
      <c r="D1103" s="63">
        <v>3</v>
      </c>
      <c r="E1103" s="56" t="s">
        <v>605</v>
      </c>
      <c r="F1103" s="63" t="s">
        <v>240</v>
      </c>
      <c r="G1103" s="63" t="s">
        <v>578</v>
      </c>
      <c r="H1103" s="63">
        <v>1</v>
      </c>
      <c r="I1103" s="63">
        <f>15/4</f>
        <v>3.75</v>
      </c>
      <c r="J1103" s="63">
        <v>1</v>
      </c>
      <c r="K1103" s="114" t="s">
        <v>1764</v>
      </c>
      <c r="L1103" s="63" t="s">
        <v>240</v>
      </c>
      <c r="M1103" s="63" t="s">
        <v>1765</v>
      </c>
      <c r="N1103" s="63" t="s">
        <v>240</v>
      </c>
      <c r="O1103" s="63" t="s">
        <v>240</v>
      </c>
      <c r="P1103" s="63" t="s">
        <v>240</v>
      </c>
      <c r="Q1103" s="63" t="s">
        <v>240</v>
      </c>
      <c r="R1103" s="115" t="s">
        <v>311</v>
      </c>
      <c r="S1103" s="63">
        <f t="shared" si="397"/>
        <v>4500</v>
      </c>
      <c r="T1103" s="63">
        <v>2216</v>
      </c>
      <c r="U1103" s="63">
        <v>2284</v>
      </c>
      <c r="V1103" s="63">
        <v>7.8E-2</v>
      </c>
      <c r="W1103" s="63">
        <v>1.4999999999999999E-2</v>
      </c>
      <c r="AI1103" s="63">
        <f t="shared" si="395"/>
        <v>1.4999999999999999E-2</v>
      </c>
      <c r="AL1103" s="114"/>
    </row>
    <row r="1104" spans="1:38" s="63" customFormat="1" ht="30" customHeight="1" x14ac:dyDescent="0.25">
      <c r="A1104" s="63" t="s">
        <v>1651</v>
      </c>
      <c r="B1104" s="63" t="s">
        <v>1582</v>
      </c>
      <c r="C1104" s="63" t="s">
        <v>1651</v>
      </c>
      <c r="D1104" s="63">
        <v>4</v>
      </c>
      <c r="E1104" s="56" t="s">
        <v>605</v>
      </c>
      <c r="F1104" s="63" t="s">
        <v>240</v>
      </c>
      <c r="G1104" s="63" t="s">
        <v>578</v>
      </c>
      <c r="H1104" s="63">
        <v>1</v>
      </c>
      <c r="I1104" s="63">
        <f>20/4</f>
        <v>5</v>
      </c>
      <c r="J1104" s="63">
        <v>1</v>
      </c>
      <c r="K1104" s="114" t="s">
        <v>1764</v>
      </c>
      <c r="L1104" s="63" t="s">
        <v>240</v>
      </c>
      <c r="M1104" s="63" t="s">
        <v>1765</v>
      </c>
      <c r="N1104" s="63" t="s">
        <v>240</v>
      </c>
      <c r="O1104" s="63" t="s">
        <v>240</v>
      </c>
      <c r="P1104" s="63" t="s">
        <v>240</v>
      </c>
      <c r="Q1104" s="63" t="s">
        <v>240</v>
      </c>
      <c r="R1104" s="115" t="s">
        <v>311</v>
      </c>
      <c r="S1104" s="63">
        <f t="shared" si="397"/>
        <v>4500</v>
      </c>
      <c r="T1104" s="63">
        <v>2216</v>
      </c>
      <c r="U1104" s="63">
        <v>2284</v>
      </c>
      <c r="V1104" s="63">
        <v>8.5999999999999993E-2</v>
      </c>
      <c r="W1104" s="63">
        <v>1.4E-2</v>
      </c>
      <c r="AI1104" s="63">
        <f t="shared" si="395"/>
        <v>1.4E-2</v>
      </c>
      <c r="AL1104" s="114"/>
    </row>
    <row r="1105" spans="1:49" s="63" customFormat="1" ht="30" customHeight="1" x14ac:dyDescent="0.25">
      <c r="A1105" s="63" t="s">
        <v>1651</v>
      </c>
      <c r="B1105" s="63" t="s">
        <v>1582</v>
      </c>
      <c r="C1105" s="63" t="s">
        <v>1651</v>
      </c>
      <c r="D1105" s="63">
        <v>5</v>
      </c>
      <c r="E1105" s="56" t="s">
        <v>605</v>
      </c>
      <c r="F1105" s="63" t="s">
        <v>240</v>
      </c>
      <c r="G1105" s="63" t="s">
        <v>578</v>
      </c>
      <c r="H1105" s="63">
        <v>1</v>
      </c>
      <c r="I1105" s="63">
        <f>25/4</f>
        <v>6.25</v>
      </c>
      <c r="J1105" s="63">
        <v>1</v>
      </c>
      <c r="K1105" s="114" t="s">
        <v>1764</v>
      </c>
      <c r="L1105" s="63" t="s">
        <v>240</v>
      </c>
      <c r="M1105" s="63" t="s">
        <v>1765</v>
      </c>
      <c r="N1105" s="63" t="s">
        <v>240</v>
      </c>
      <c r="O1105" s="63" t="s">
        <v>240</v>
      </c>
      <c r="P1105" s="63" t="s">
        <v>240</v>
      </c>
      <c r="Q1105" s="63" t="s">
        <v>240</v>
      </c>
      <c r="R1105" s="115" t="s">
        <v>311</v>
      </c>
      <c r="S1105" s="63">
        <f t="shared" si="397"/>
        <v>4500</v>
      </c>
      <c r="T1105" s="63">
        <v>2216</v>
      </c>
      <c r="U1105" s="63">
        <v>2284</v>
      </c>
      <c r="V1105" s="63">
        <v>7.9000000000000001E-2</v>
      </c>
      <c r="W1105" s="63">
        <v>1.2999999999999999E-2</v>
      </c>
      <c r="AI1105" s="63">
        <f t="shared" si="395"/>
        <v>1.2999999999999999E-2</v>
      </c>
      <c r="AL1105" s="114"/>
    </row>
    <row r="1106" spans="1:49" s="63" customFormat="1" ht="30" customHeight="1" x14ac:dyDescent="0.25">
      <c r="A1106" s="60" t="s">
        <v>1661</v>
      </c>
      <c r="B1106" s="63" t="s">
        <v>1560</v>
      </c>
      <c r="C1106" s="60" t="s">
        <v>1661</v>
      </c>
      <c r="D1106" s="63">
        <v>1</v>
      </c>
      <c r="E1106" s="63" t="s">
        <v>605</v>
      </c>
      <c r="F1106" s="63" t="s">
        <v>240</v>
      </c>
      <c r="G1106" s="63" t="s">
        <v>578</v>
      </c>
      <c r="H1106" s="63">
        <v>0</v>
      </c>
      <c r="I1106" s="63">
        <v>7</v>
      </c>
      <c r="J1106" s="63">
        <v>1</v>
      </c>
      <c r="K1106" s="63" t="s">
        <v>1766</v>
      </c>
      <c r="L1106" s="63" t="s">
        <v>240</v>
      </c>
      <c r="M1106" s="63" t="s">
        <v>1767</v>
      </c>
      <c r="N1106" s="63" t="s">
        <v>240</v>
      </c>
      <c r="O1106" s="63" t="s">
        <v>240</v>
      </c>
      <c r="P1106" s="63" t="s">
        <v>240</v>
      </c>
      <c r="Q1106" s="63" t="s">
        <v>240</v>
      </c>
      <c r="R1106" s="63" t="s">
        <v>376</v>
      </c>
      <c r="S1106" s="63">
        <f>SUM(T1106:U1106)</f>
        <v>161680</v>
      </c>
      <c r="T1106" s="63">
        <v>80840</v>
      </c>
      <c r="U1106" s="63">
        <f>+T1106</f>
        <v>80840</v>
      </c>
      <c r="V1106" s="63">
        <v>9.7000000000000003E-2</v>
      </c>
      <c r="W1106" s="63">
        <v>0.04</v>
      </c>
      <c r="AI1106" s="63">
        <f t="shared" si="395"/>
        <v>0.04</v>
      </c>
    </row>
    <row r="1107" spans="1:49" s="63" customFormat="1" ht="30" customHeight="1" x14ac:dyDescent="0.25">
      <c r="A1107" s="60" t="s">
        <v>1661</v>
      </c>
      <c r="B1107" s="63" t="s">
        <v>1560</v>
      </c>
      <c r="C1107" s="60" t="s">
        <v>1661</v>
      </c>
      <c r="D1107" s="63">
        <v>2</v>
      </c>
      <c r="E1107" s="63" t="s">
        <v>605</v>
      </c>
      <c r="F1107" s="63" t="s">
        <v>240</v>
      </c>
      <c r="G1107" s="63" t="s">
        <v>578</v>
      </c>
      <c r="H1107" s="63">
        <v>0</v>
      </c>
      <c r="I1107" s="63">
        <v>7</v>
      </c>
      <c r="J1107" s="63">
        <v>5</v>
      </c>
      <c r="K1107" s="63" t="s">
        <v>1768</v>
      </c>
      <c r="L1107" s="63" t="s">
        <v>1769</v>
      </c>
      <c r="M1107" s="63" t="s">
        <v>1767</v>
      </c>
      <c r="N1107" s="63" t="s">
        <v>240</v>
      </c>
      <c r="O1107" s="63" t="s">
        <v>240</v>
      </c>
      <c r="P1107" s="63" t="s">
        <v>240</v>
      </c>
      <c r="Q1107" s="63" t="s">
        <v>240</v>
      </c>
      <c r="R1107" s="63" t="s">
        <v>376</v>
      </c>
      <c r="S1107" s="63">
        <f t="shared" ref="S1107:S1110" si="398">SUM(T1107:U1107)</f>
        <v>161680</v>
      </c>
      <c r="T1107" s="63">
        <v>80840</v>
      </c>
      <c r="U1107" s="63">
        <f t="shared" ref="U1107:U1110" si="399">+T1107</f>
        <v>80840</v>
      </c>
      <c r="V1107" s="63">
        <v>0.23699999999999999</v>
      </c>
      <c r="W1107" s="63">
        <v>0.109</v>
      </c>
      <c r="AI1107" s="63">
        <f>+W1107</f>
        <v>0.109</v>
      </c>
      <c r="AP1107" s="67">
        <f t="shared" ref="AP1107" si="400">+V1107/AQ1107</f>
        <v>1.0814929518921127E-2</v>
      </c>
      <c r="AQ1107" s="67">
        <f t="shared" ref="AQ1107" si="401">+AI1107*SQRT(T1107*U1107/S1107)</f>
        <v>21.914151135738752</v>
      </c>
      <c r="AR1107" s="67"/>
      <c r="AS1107" s="67">
        <f t="shared" ref="AS1107" si="402">+AP1107^2/(AU1107-2)*(AU1107/(V1107/AI1107)^2+AU1107*AV1107^2-AU1107+2)</f>
        <v>2.4741980534808993E-5</v>
      </c>
      <c r="AT1107" s="67"/>
      <c r="AU1107" s="67">
        <f t="shared" ref="AU1107" si="403">+S1107-2</f>
        <v>161678</v>
      </c>
      <c r="AV1107" s="67">
        <f t="shared" ref="AV1107" si="404">IFERROR(1/(SQRT(AU1107/2)*_xlfn.GAMMA(AU1107/2-0.5)/_xlfn.GAMMA(AU1107/2)),1)</f>
        <v>1</v>
      </c>
      <c r="AW1107" s="67" t="s">
        <v>1350</v>
      </c>
    </row>
    <row r="1108" spans="1:49" s="63" customFormat="1" ht="30" customHeight="1" x14ac:dyDescent="0.25">
      <c r="A1108" s="60" t="s">
        <v>1661</v>
      </c>
      <c r="B1108" s="63" t="s">
        <v>1560</v>
      </c>
      <c r="C1108" s="60" t="s">
        <v>1661</v>
      </c>
      <c r="D1108" s="63">
        <v>3</v>
      </c>
      <c r="E1108" s="63" t="s">
        <v>577</v>
      </c>
      <c r="F1108" s="63" t="s">
        <v>240</v>
      </c>
      <c r="G1108" s="63" t="s">
        <v>578</v>
      </c>
      <c r="H1108" s="63">
        <v>0</v>
      </c>
      <c r="I1108" s="63">
        <v>7</v>
      </c>
      <c r="J1108" s="63">
        <v>1</v>
      </c>
      <c r="K1108" s="63" t="s">
        <v>1766</v>
      </c>
      <c r="L1108" s="63" t="s">
        <v>240</v>
      </c>
      <c r="M1108" s="63" t="s">
        <v>1767</v>
      </c>
      <c r="N1108" s="63" t="s">
        <v>240</v>
      </c>
      <c r="O1108" s="63" t="s">
        <v>240</v>
      </c>
      <c r="P1108" s="63" t="s">
        <v>240</v>
      </c>
      <c r="Q1108" s="63" t="s">
        <v>240</v>
      </c>
      <c r="R1108" s="63" t="s">
        <v>338</v>
      </c>
      <c r="S1108" s="63">
        <f t="shared" si="398"/>
        <v>161680</v>
      </c>
      <c r="T1108" s="63">
        <v>80840</v>
      </c>
      <c r="U1108" s="63">
        <f t="shared" si="399"/>
        <v>80840</v>
      </c>
      <c r="V1108" s="63">
        <v>6.3E-2</v>
      </c>
      <c r="W1108" s="63">
        <v>1.2999999999999999E-2</v>
      </c>
      <c r="AI1108" s="63">
        <f t="shared" ref="AI1108:AI1110" si="405">+W1108</f>
        <v>1.2999999999999999E-2</v>
      </c>
    </row>
    <row r="1109" spans="1:49" s="63" customFormat="1" ht="30" customHeight="1" x14ac:dyDescent="0.25">
      <c r="A1109" s="60" t="s">
        <v>1661</v>
      </c>
      <c r="B1109" s="63" t="s">
        <v>1560</v>
      </c>
      <c r="C1109" s="60" t="s">
        <v>1661</v>
      </c>
      <c r="D1109" s="63">
        <v>4</v>
      </c>
      <c r="E1109" s="63" t="s">
        <v>605</v>
      </c>
      <c r="F1109" s="63" t="s">
        <v>1770</v>
      </c>
      <c r="G1109" s="63" t="s">
        <v>578</v>
      </c>
      <c r="H1109" s="63">
        <v>0</v>
      </c>
      <c r="I1109" s="63">
        <v>7</v>
      </c>
      <c r="J1109" s="63">
        <v>1</v>
      </c>
      <c r="K1109" s="63" t="s">
        <v>1766</v>
      </c>
      <c r="L1109" s="63" t="s">
        <v>240</v>
      </c>
      <c r="M1109" s="63" t="s">
        <v>1767</v>
      </c>
      <c r="N1109" s="63" t="s">
        <v>240</v>
      </c>
      <c r="O1109" s="63" t="s">
        <v>240</v>
      </c>
      <c r="P1109" s="63" t="s">
        <v>240</v>
      </c>
      <c r="Q1109" s="63" t="s">
        <v>240</v>
      </c>
      <c r="R1109" s="63" t="s">
        <v>338</v>
      </c>
      <c r="S1109" s="63">
        <f t="shared" si="398"/>
        <v>161680</v>
      </c>
      <c r="T1109" s="63">
        <v>80840</v>
      </c>
      <c r="U1109" s="63">
        <f t="shared" si="399"/>
        <v>80840</v>
      </c>
      <c r="V1109" s="63">
        <v>1.7000000000000001E-2</v>
      </c>
      <c r="W1109" s="63">
        <v>8.9999999999999993E-3</v>
      </c>
      <c r="AI1109" s="63">
        <f t="shared" si="405"/>
        <v>8.9999999999999993E-3</v>
      </c>
    </row>
    <row r="1110" spans="1:49" s="63" customFormat="1" ht="30" customHeight="1" x14ac:dyDescent="0.25">
      <c r="A1110" s="60" t="s">
        <v>1661</v>
      </c>
      <c r="B1110" s="63" t="s">
        <v>1560</v>
      </c>
      <c r="C1110" s="60" t="s">
        <v>1661</v>
      </c>
      <c r="D1110" s="63">
        <v>5</v>
      </c>
      <c r="E1110" s="63" t="s">
        <v>605</v>
      </c>
      <c r="F1110" s="63" t="s">
        <v>1771</v>
      </c>
      <c r="G1110" s="63" t="s">
        <v>578</v>
      </c>
      <c r="H1110" s="63">
        <v>0</v>
      </c>
      <c r="I1110" s="63">
        <v>7</v>
      </c>
      <c r="J1110" s="63">
        <v>1</v>
      </c>
      <c r="K1110" s="63" t="s">
        <v>1766</v>
      </c>
      <c r="L1110" s="63" t="s">
        <v>240</v>
      </c>
      <c r="M1110" s="63" t="s">
        <v>1767</v>
      </c>
      <c r="N1110" s="63" t="s">
        <v>240</v>
      </c>
      <c r="O1110" s="63" t="s">
        <v>240</v>
      </c>
      <c r="P1110" s="63" t="s">
        <v>240</v>
      </c>
      <c r="Q1110" s="63" t="s">
        <v>240</v>
      </c>
      <c r="R1110" s="63" t="s">
        <v>338</v>
      </c>
      <c r="S1110" s="63">
        <f t="shared" si="398"/>
        <v>161680</v>
      </c>
      <c r="T1110" s="63">
        <v>80840</v>
      </c>
      <c r="U1110" s="63">
        <f t="shared" si="399"/>
        <v>80840</v>
      </c>
      <c r="V1110" s="63">
        <v>1.2E-2</v>
      </c>
      <c r="W1110" s="63">
        <v>8.9999999999999993E-3</v>
      </c>
      <c r="AI1110" s="63">
        <f t="shared" si="405"/>
        <v>8.9999999999999993E-3</v>
      </c>
    </row>
    <row r="1111" spans="1:49" s="63" customFormat="1" ht="30" customHeight="1" x14ac:dyDescent="0.25">
      <c r="A1111" s="60" t="s">
        <v>1670</v>
      </c>
      <c r="B1111" s="63" t="s">
        <v>1560</v>
      </c>
      <c r="C1111" s="60" t="s">
        <v>1670</v>
      </c>
      <c r="D1111" s="63">
        <v>1</v>
      </c>
      <c r="E1111" s="56" t="s">
        <v>605</v>
      </c>
      <c r="F1111" s="63" t="s">
        <v>240</v>
      </c>
      <c r="G1111" s="63" t="s">
        <v>1772</v>
      </c>
      <c r="H1111" s="63">
        <v>1</v>
      </c>
      <c r="I1111" s="63">
        <v>12</v>
      </c>
      <c r="J1111" s="63">
        <v>1</v>
      </c>
      <c r="K1111" s="63" t="s">
        <v>1320</v>
      </c>
      <c r="L1111" s="63" t="s">
        <v>240</v>
      </c>
      <c r="M1111" s="57" t="s">
        <v>587</v>
      </c>
      <c r="N1111" s="63" t="s">
        <v>240</v>
      </c>
      <c r="O1111" s="63" t="s">
        <v>240</v>
      </c>
      <c r="P1111" s="63" t="s">
        <v>240</v>
      </c>
      <c r="Q1111" s="63" t="s">
        <v>240</v>
      </c>
      <c r="R1111" s="63" t="s">
        <v>238</v>
      </c>
      <c r="S1111" s="63">
        <f>+T1111+U1111</f>
        <v>1205</v>
      </c>
      <c r="T1111" s="63">
        <v>602</v>
      </c>
      <c r="U1111" s="63">
        <v>603</v>
      </c>
      <c r="V1111" s="63">
        <v>2.8000000000000001E-2</v>
      </c>
      <c r="AB1111" s="63">
        <v>0.30099999999999999</v>
      </c>
      <c r="AC1111" s="63">
        <v>0.27300000000000002</v>
      </c>
      <c r="AF1111" s="102">
        <f t="shared" ref="AF1111:AF1114" si="406">_xlfn.T.INV.2T(AH1111,S1111-2)</f>
        <v>0.67469374105140889</v>
      </c>
      <c r="AH1111" s="63">
        <v>0.5</v>
      </c>
      <c r="AI1111" s="102">
        <f t="shared" ref="AI1111:AI1114" si="407">ABS(V1111/AF1111)</f>
        <v>4.1500310876407723E-2</v>
      </c>
      <c r="AK1111" s="63" t="s">
        <v>1740</v>
      </c>
    </row>
    <row r="1112" spans="1:49" s="63" customFormat="1" ht="30" customHeight="1" x14ac:dyDescent="0.25">
      <c r="A1112" s="60" t="s">
        <v>1670</v>
      </c>
      <c r="B1112" s="63" t="s">
        <v>1560</v>
      </c>
      <c r="C1112" s="60" t="s">
        <v>1670</v>
      </c>
      <c r="D1112" s="63">
        <v>2</v>
      </c>
      <c r="E1112" s="56" t="s">
        <v>605</v>
      </c>
      <c r="F1112" s="63" t="s">
        <v>240</v>
      </c>
      <c r="G1112" s="63" t="s">
        <v>1772</v>
      </c>
      <c r="H1112" s="63">
        <v>1</v>
      </c>
      <c r="I1112" s="63">
        <v>24</v>
      </c>
      <c r="J1112" s="63">
        <v>1</v>
      </c>
      <c r="K1112" s="63" t="s">
        <v>1320</v>
      </c>
      <c r="L1112" s="63" t="s">
        <v>240</v>
      </c>
      <c r="M1112" s="57" t="s">
        <v>587</v>
      </c>
      <c r="N1112" s="63" t="s">
        <v>240</v>
      </c>
      <c r="O1112" s="63" t="s">
        <v>240</v>
      </c>
      <c r="P1112" s="63" t="s">
        <v>240</v>
      </c>
      <c r="Q1112" s="63" t="s">
        <v>240</v>
      </c>
      <c r="R1112" s="63" t="s">
        <v>238</v>
      </c>
      <c r="S1112" s="63">
        <f t="shared" ref="S1112:S1115" si="408">+T1112+U1112</f>
        <v>1205</v>
      </c>
      <c r="T1112" s="63">
        <v>602</v>
      </c>
      <c r="U1112" s="63">
        <v>603</v>
      </c>
      <c r="V1112" s="63">
        <v>6.5000000000000002E-2</v>
      </c>
      <c r="AB1112" s="63">
        <v>0.32800000000000001</v>
      </c>
      <c r="AC1112" s="63">
        <v>0.26300000000000001</v>
      </c>
      <c r="AF1112" s="102">
        <f t="shared" si="406"/>
        <v>2.579922320954493</v>
      </c>
      <c r="AH1112" s="63">
        <v>0.01</v>
      </c>
      <c r="AI1112" s="102">
        <f t="shared" si="407"/>
        <v>2.5194557011294812E-2</v>
      </c>
      <c r="AK1112" s="63" t="s">
        <v>1744</v>
      </c>
    </row>
    <row r="1113" spans="1:49" s="63" customFormat="1" ht="30" customHeight="1" x14ac:dyDescent="0.25">
      <c r="A1113" s="60" t="s">
        <v>1670</v>
      </c>
      <c r="B1113" s="63" t="s">
        <v>1560</v>
      </c>
      <c r="C1113" s="60" t="s">
        <v>1670</v>
      </c>
      <c r="D1113" s="63">
        <v>3</v>
      </c>
      <c r="E1113" s="56" t="s">
        <v>605</v>
      </c>
      <c r="F1113" s="63" t="s">
        <v>240</v>
      </c>
      <c r="G1113" s="63" t="s">
        <v>1772</v>
      </c>
      <c r="H1113" s="63">
        <v>1</v>
      </c>
      <c r="I1113" s="63">
        <v>36</v>
      </c>
      <c r="J1113" s="63">
        <v>1</v>
      </c>
      <c r="K1113" s="63" t="s">
        <v>1320</v>
      </c>
      <c r="L1113" s="63" t="s">
        <v>240</v>
      </c>
      <c r="M1113" s="57" t="s">
        <v>587</v>
      </c>
      <c r="N1113" s="63" t="s">
        <v>240</v>
      </c>
      <c r="O1113" s="63" t="s">
        <v>240</v>
      </c>
      <c r="P1113" s="63" t="s">
        <v>240</v>
      </c>
      <c r="Q1113" s="63" t="s">
        <v>240</v>
      </c>
      <c r="R1113" s="63" t="s">
        <v>238</v>
      </c>
      <c r="S1113" s="63">
        <f t="shared" si="408"/>
        <v>1205</v>
      </c>
      <c r="T1113" s="63">
        <v>602</v>
      </c>
      <c r="U1113" s="63">
        <v>603</v>
      </c>
      <c r="V1113" s="63">
        <v>6.8000000000000005E-2</v>
      </c>
      <c r="AB1113" s="63">
        <v>0.33900000000000002</v>
      </c>
      <c r="AC1113" s="63">
        <v>0.27100000000000002</v>
      </c>
      <c r="AF1113" s="102">
        <f t="shared" si="406"/>
        <v>2.579922320954493</v>
      </c>
      <c r="AH1113" s="63">
        <v>0.01</v>
      </c>
      <c r="AI1113" s="102">
        <f t="shared" si="407"/>
        <v>2.6357382719508417E-2</v>
      </c>
      <c r="AK1113" s="63" t="s">
        <v>1744</v>
      </c>
    </row>
    <row r="1114" spans="1:49" s="63" customFormat="1" ht="30" customHeight="1" x14ac:dyDescent="0.25">
      <c r="A1114" s="60" t="s">
        <v>1670</v>
      </c>
      <c r="B1114" s="63" t="s">
        <v>1560</v>
      </c>
      <c r="C1114" s="60" t="s">
        <v>1670</v>
      </c>
      <c r="D1114" s="63">
        <v>4</v>
      </c>
      <c r="E1114" s="56" t="s">
        <v>605</v>
      </c>
      <c r="F1114" s="63" t="s">
        <v>240</v>
      </c>
      <c r="G1114" s="63" t="s">
        <v>1772</v>
      </c>
      <c r="H1114" s="63">
        <v>1</v>
      </c>
      <c r="I1114" s="63">
        <v>48</v>
      </c>
      <c r="J1114" s="63">
        <v>1</v>
      </c>
      <c r="K1114" s="63" t="s">
        <v>1320</v>
      </c>
      <c r="L1114" s="63" t="s">
        <v>240</v>
      </c>
      <c r="M1114" s="57" t="s">
        <v>587</v>
      </c>
      <c r="N1114" s="63" t="s">
        <v>240</v>
      </c>
      <c r="O1114" s="63" t="s">
        <v>240</v>
      </c>
      <c r="P1114" s="63" t="s">
        <v>240</v>
      </c>
      <c r="Q1114" s="63" t="s">
        <v>240</v>
      </c>
      <c r="R1114" s="63" t="s">
        <v>238</v>
      </c>
      <c r="S1114" s="63">
        <f t="shared" si="408"/>
        <v>1205</v>
      </c>
      <c r="T1114" s="63">
        <v>602</v>
      </c>
      <c r="U1114" s="63">
        <v>603</v>
      </c>
      <c r="V1114" s="63">
        <v>1.4999999999999999E-2</v>
      </c>
      <c r="AB1114" s="63">
        <v>0.35</v>
      </c>
      <c r="AC1114" s="63">
        <v>0.33400000000000002</v>
      </c>
      <c r="AF1114" s="102">
        <f t="shared" si="406"/>
        <v>0.67469374105140889</v>
      </c>
      <c r="AH1114" s="63">
        <v>0.5</v>
      </c>
      <c r="AI1114" s="102">
        <f t="shared" si="407"/>
        <v>2.2232309398075564E-2</v>
      </c>
      <c r="AK1114" s="63" t="s">
        <v>1740</v>
      </c>
    </row>
    <row r="1115" spans="1:49" s="63" customFormat="1" ht="30" customHeight="1" x14ac:dyDescent="0.25">
      <c r="A1115" s="60" t="s">
        <v>1670</v>
      </c>
      <c r="B1115" s="63" t="s">
        <v>1560</v>
      </c>
      <c r="C1115" s="60" t="s">
        <v>1670</v>
      </c>
      <c r="D1115" s="63">
        <v>5</v>
      </c>
      <c r="E1115" s="56" t="s">
        <v>605</v>
      </c>
      <c r="F1115" s="63" t="s">
        <v>240</v>
      </c>
      <c r="G1115" s="63" t="s">
        <v>1772</v>
      </c>
      <c r="H1115" s="63">
        <v>1</v>
      </c>
      <c r="I1115" s="63">
        <v>60</v>
      </c>
      <c r="J1115" s="63">
        <v>1</v>
      </c>
      <c r="K1115" s="63" t="s">
        <v>1320</v>
      </c>
      <c r="L1115" s="63" t="s">
        <v>240</v>
      </c>
      <c r="M1115" s="57" t="s">
        <v>587</v>
      </c>
      <c r="N1115" s="63" t="s">
        <v>240</v>
      </c>
      <c r="O1115" s="63" t="s">
        <v>240</v>
      </c>
      <c r="P1115" s="63" t="s">
        <v>240</v>
      </c>
      <c r="Q1115" s="63" t="s">
        <v>240</v>
      </c>
      <c r="R1115" s="63" t="s">
        <v>238</v>
      </c>
      <c r="S1115" s="63">
        <f t="shared" si="408"/>
        <v>1205</v>
      </c>
      <c r="T1115" s="63">
        <v>602</v>
      </c>
      <c r="U1115" s="63">
        <v>603</v>
      </c>
      <c r="V1115" s="63">
        <v>1.4999999999999999E-2</v>
      </c>
      <c r="AB1115" s="63">
        <v>0.37</v>
      </c>
      <c r="AC1115" s="63">
        <v>0.35499999999999998</v>
      </c>
      <c r="AF1115" s="102">
        <f t="shared" ref="AF1115" si="409">_xlfn.T.INV.2T(AH1115,S1115-2)</f>
        <v>0.67469374105140889</v>
      </c>
      <c r="AH1115" s="63">
        <v>0.5</v>
      </c>
      <c r="AI1115" s="102">
        <f>ABS(V1115/AF1115)</f>
        <v>2.2232309398075564E-2</v>
      </c>
      <c r="AK1115" s="63" t="s">
        <v>1740</v>
      </c>
    </row>
    <row r="1116" spans="1:49" s="63" customFormat="1" ht="30" customHeight="1" x14ac:dyDescent="0.25">
      <c r="A1116" s="60" t="s">
        <v>1670</v>
      </c>
      <c r="B1116" s="63" t="s">
        <v>1560</v>
      </c>
      <c r="C1116" s="60" t="s">
        <v>1670</v>
      </c>
      <c r="D1116" s="63">
        <v>6</v>
      </c>
      <c r="E1116" s="56" t="s">
        <v>605</v>
      </c>
      <c r="F1116" s="63" t="s">
        <v>240</v>
      </c>
      <c r="G1116" s="63" t="s">
        <v>1772</v>
      </c>
      <c r="H1116" s="63">
        <v>1</v>
      </c>
      <c r="I1116" s="63">
        <v>12</v>
      </c>
      <c r="J1116" s="63">
        <v>2</v>
      </c>
      <c r="K1116" s="63" t="s">
        <v>1773</v>
      </c>
      <c r="L1116" s="63" t="s">
        <v>1326</v>
      </c>
      <c r="M1116" s="57" t="s">
        <v>587</v>
      </c>
      <c r="N1116" s="63" t="s">
        <v>240</v>
      </c>
      <c r="O1116" s="63" t="s">
        <v>240</v>
      </c>
      <c r="P1116" s="63" t="s">
        <v>240</v>
      </c>
      <c r="Q1116" s="63" t="s">
        <v>240</v>
      </c>
      <c r="R1116" s="63" t="s">
        <v>238</v>
      </c>
      <c r="S1116" s="63">
        <f>+T1116+U1116</f>
        <v>1205</v>
      </c>
      <c r="T1116" s="63">
        <v>602</v>
      </c>
      <c r="U1116" s="63">
        <v>603</v>
      </c>
      <c r="V1116" s="63">
        <v>209</v>
      </c>
      <c r="AB1116" s="63">
        <v>1421</v>
      </c>
      <c r="AC1116" s="63">
        <v>1212</v>
      </c>
      <c r="AF1116" s="67">
        <f t="shared" ref="AF1116:AF1120" si="410">_xlfn.T.INV.2T(AH1116,T1116-2)</f>
        <v>0.67489886252069409</v>
      </c>
      <c r="AH1116" s="63">
        <v>0.5</v>
      </c>
      <c r="AI1116" s="67">
        <f t="shared" ref="AI1116:AI1120" si="411">+ABS(V1116/AF1116)</f>
        <v>309.67602941187585</v>
      </c>
      <c r="AK1116" s="63" t="s">
        <v>1740</v>
      </c>
      <c r="AP1116" s="67">
        <f t="shared" ref="AP1116:AP1120" si="412">+V1116/AQ1116</f>
        <v>3.8884392470996225E-2</v>
      </c>
      <c r="AQ1116" s="67">
        <f t="shared" ref="AQ1116:AQ1120" si="413">+AI1116*SQRT(T1116*U1116/S1116)</f>
        <v>5374.9071727401324</v>
      </c>
      <c r="AR1116" s="67"/>
      <c r="AS1116" s="67">
        <f t="shared" ref="AS1116:AS1120" si="414">+AP1116^2/(AU1116-2)*(AU1116/(V1116/AI1116)^2+AU1116*AV1116^2-AU1116+2)</f>
        <v>3.3275501565440983E-3</v>
      </c>
      <c r="AT1116" s="67"/>
      <c r="AU1116" s="67">
        <f t="shared" ref="AU1116:AU1120" si="415">+S1116-2</f>
        <v>1203</v>
      </c>
      <c r="AV1116" s="67">
        <f t="shared" ref="AV1116:AV1120" si="416">IFERROR(1/(SQRT(AU1116/2)*_xlfn.GAMMA(AU1116/2-0.5)/_xlfn.GAMMA(AU1116/2)),1)</f>
        <v>1</v>
      </c>
      <c r="AW1116" s="67" t="s">
        <v>1350</v>
      </c>
    </row>
    <row r="1117" spans="1:49" s="63" customFormat="1" ht="30" customHeight="1" x14ac:dyDescent="0.25">
      <c r="A1117" s="60" t="s">
        <v>1670</v>
      </c>
      <c r="B1117" s="63" t="s">
        <v>1560</v>
      </c>
      <c r="C1117" s="60" t="s">
        <v>1670</v>
      </c>
      <c r="D1117" s="63">
        <v>7</v>
      </c>
      <c r="E1117" s="56" t="s">
        <v>605</v>
      </c>
      <c r="F1117" s="63" t="s">
        <v>240</v>
      </c>
      <c r="G1117" s="63" t="s">
        <v>1772</v>
      </c>
      <c r="H1117" s="63">
        <v>1</v>
      </c>
      <c r="I1117" s="63">
        <v>24</v>
      </c>
      <c r="J1117" s="63">
        <v>2</v>
      </c>
      <c r="K1117" s="63" t="s">
        <v>1773</v>
      </c>
      <c r="L1117" s="63" t="s">
        <v>1326</v>
      </c>
      <c r="M1117" s="57" t="s">
        <v>587</v>
      </c>
      <c r="N1117" s="63" t="s">
        <v>240</v>
      </c>
      <c r="O1117" s="63" t="s">
        <v>240</v>
      </c>
      <c r="P1117" s="63" t="s">
        <v>240</v>
      </c>
      <c r="Q1117" s="63" t="s">
        <v>240</v>
      </c>
      <c r="R1117" s="63" t="s">
        <v>238</v>
      </c>
      <c r="S1117" s="63">
        <f t="shared" ref="S1117:S1180" si="417">+T1117+U1117</f>
        <v>1205</v>
      </c>
      <c r="T1117" s="63">
        <v>602</v>
      </c>
      <c r="U1117" s="63">
        <v>603</v>
      </c>
      <c r="V1117" s="63">
        <v>508</v>
      </c>
      <c r="AB1117" s="63">
        <v>2132</v>
      </c>
      <c r="AC1117" s="63">
        <v>1624</v>
      </c>
      <c r="AF1117" s="67">
        <f t="shared" si="410"/>
        <v>1.6473971917600083</v>
      </c>
      <c r="AH1117" s="63">
        <v>0.1</v>
      </c>
      <c r="AI1117" s="67">
        <f t="shared" si="411"/>
        <v>308.36522153912051</v>
      </c>
      <c r="AK1117" s="63" t="s">
        <v>1322</v>
      </c>
      <c r="AP1117" s="67">
        <f t="shared" si="412"/>
        <v>9.4915019890182459E-2</v>
      </c>
      <c r="AQ1117" s="67">
        <f t="shared" si="413"/>
        <v>5352.1560716919266</v>
      </c>
      <c r="AR1117" s="67"/>
      <c r="AS1117" s="67">
        <f t="shared" si="414"/>
        <v>3.3400345279394608E-3</v>
      </c>
      <c r="AT1117" s="67"/>
      <c r="AU1117" s="67">
        <f t="shared" si="415"/>
        <v>1203</v>
      </c>
      <c r="AV1117" s="67">
        <f t="shared" si="416"/>
        <v>1</v>
      </c>
      <c r="AW1117" s="67" t="s">
        <v>1350</v>
      </c>
    </row>
    <row r="1118" spans="1:49" s="63" customFormat="1" ht="30" customHeight="1" x14ac:dyDescent="0.25">
      <c r="A1118" s="60" t="s">
        <v>1670</v>
      </c>
      <c r="B1118" s="63" t="s">
        <v>1560</v>
      </c>
      <c r="C1118" s="60" t="s">
        <v>1670</v>
      </c>
      <c r="D1118" s="63">
        <v>8</v>
      </c>
      <c r="E1118" s="56" t="s">
        <v>605</v>
      </c>
      <c r="F1118" s="63" t="s">
        <v>240</v>
      </c>
      <c r="G1118" s="63" t="s">
        <v>1772</v>
      </c>
      <c r="H1118" s="63">
        <v>1</v>
      </c>
      <c r="I1118" s="63">
        <v>36</v>
      </c>
      <c r="J1118" s="63">
        <v>2</v>
      </c>
      <c r="K1118" s="63" t="s">
        <v>1773</v>
      </c>
      <c r="L1118" s="63" t="s">
        <v>1326</v>
      </c>
      <c r="M1118" s="57" t="s">
        <v>587</v>
      </c>
      <c r="N1118" s="63" t="s">
        <v>240</v>
      </c>
      <c r="O1118" s="63" t="s">
        <v>240</v>
      </c>
      <c r="P1118" s="63" t="s">
        <v>240</v>
      </c>
      <c r="Q1118" s="63" t="s">
        <v>240</v>
      </c>
      <c r="R1118" s="63" t="s">
        <v>238</v>
      </c>
      <c r="S1118" s="63">
        <f t="shared" si="417"/>
        <v>1205</v>
      </c>
      <c r="T1118" s="63">
        <v>602</v>
      </c>
      <c r="U1118" s="63">
        <v>603</v>
      </c>
      <c r="V1118" s="63">
        <v>755</v>
      </c>
      <c r="AB1118" s="63">
        <v>2880</v>
      </c>
      <c r="AC1118" s="63">
        <v>2125</v>
      </c>
      <c r="AF1118" s="67">
        <f t="shared" si="410"/>
        <v>1.9639256220427344</v>
      </c>
      <c r="AH1118" s="63">
        <v>0.05</v>
      </c>
      <c r="AI1118" s="67">
        <f t="shared" si="411"/>
        <v>384.43411070461173</v>
      </c>
      <c r="AK1118" s="63" t="s">
        <v>1324</v>
      </c>
      <c r="AP1118" s="67">
        <f t="shared" si="412"/>
        <v>0.11315184972476303</v>
      </c>
      <c r="AQ1118" s="67">
        <f t="shared" si="413"/>
        <v>6672.4494724258138</v>
      </c>
      <c r="AR1118" s="67"/>
      <c r="AS1118" s="67">
        <f t="shared" si="414"/>
        <v>3.3463533957086219E-3</v>
      </c>
      <c r="AT1118" s="67"/>
      <c r="AU1118" s="67">
        <f t="shared" si="415"/>
        <v>1203</v>
      </c>
      <c r="AV1118" s="67">
        <f t="shared" si="416"/>
        <v>1</v>
      </c>
      <c r="AW1118" s="67" t="s">
        <v>1350</v>
      </c>
    </row>
    <row r="1119" spans="1:49" s="63" customFormat="1" ht="30" customHeight="1" x14ac:dyDescent="0.25">
      <c r="A1119" s="60" t="s">
        <v>1670</v>
      </c>
      <c r="B1119" s="63" t="s">
        <v>1560</v>
      </c>
      <c r="C1119" s="60" t="s">
        <v>1670</v>
      </c>
      <c r="D1119" s="63">
        <v>9</v>
      </c>
      <c r="E1119" s="56" t="s">
        <v>605</v>
      </c>
      <c r="F1119" s="63" t="s">
        <v>240</v>
      </c>
      <c r="G1119" s="63" t="s">
        <v>1772</v>
      </c>
      <c r="H1119" s="63">
        <v>1</v>
      </c>
      <c r="I1119" s="63">
        <v>48</v>
      </c>
      <c r="J1119" s="63">
        <v>2</v>
      </c>
      <c r="K1119" s="63" t="s">
        <v>1773</v>
      </c>
      <c r="L1119" s="63" t="s">
        <v>1326</v>
      </c>
      <c r="M1119" s="57" t="s">
        <v>587</v>
      </c>
      <c r="N1119" s="63" t="s">
        <v>240</v>
      </c>
      <c r="O1119" s="63" t="s">
        <v>240</v>
      </c>
      <c r="P1119" s="63" t="s">
        <v>240</v>
      </c>
      <c r="Q1119" s="63" t="s">
        <v>240</v>
      </c>
      <c r="R1119" s="63" t="s">
        <v>238</v>
      </c>
      <c r="S1119" s="63">
        <f t="shared" si="417"/>
        <v>1205</v>
      </c>
      <c r="T1119" s="63">
        <v>602</v>
      </c>
      <c r="U1119" s="63">
        <v>603</v>
      </c>
      <c r="V1119" s="63">
        <v>671</v>
      </c>
      <c r="AB1119" s="63">
        <v>332</v>
      </c>
      <c r="AC1119" s="63">
        <v>2631</v>
      </c>
      <c r="AF1119" s="67">
        <f t="shared" si="410"/>
        <v>0.67489886252069409</v>
      </c>
      <c r="AH1119" s="63">
        <v>0.5</v>
      </c>
      <c r="AI1119" s="67">
        <f t="shared" si="411"/>
        <v>994.22304179602236</v>
      </c>
      <c r="AK1119" s="63" t="s">
        <v>1740</v>
      </c>
      <c r="AP1119" s="67">
        <f t="shared" si="412"/>
        <v>3.8884392470996218E-2</v>
      </c>
      <c r="AQ1119" s="67">
        <f t="shared" si="413"/>
        <v>17256.280923007795</v>
      </c>
      <c r="AR1119" s="67"/>
      <c r="AS1119" s="67">
        <f t="shared" si="414"/>
        <v>3.3275501565440979E-3</v>
      </c>
      <c r="AT1119" s="67"/>
      <c r="AU1119" s="67">
        <f t="shared" si="415"/>
        <v>1203</v>
      </c>
      <c r="AV1119" s="67">
        <f t="shared" si="416"/>
        <v>1</v>
      </c>
      <c r="AW1119" s="67" t="s">
        <v>1350</v>
      </c>
    </row>
    <row r="1120" spans="1:49" s="63" customFormat="1" ht="30" customHeight="1" x14ac:dyDescent="0.25">
      <c r="A1120" s="60" t="s">
        <v>1670</v>
      </c>
      <c r="B1120" s="63" t="s">
        <v>1560</v>
      </c>
      <c r="C1120" s="60" t="s">
        <v>1670</v>
      </c>
      <c r="D1120" s="63">
        <v>10</v>
      </c>
      <c r="E1120" s="56" t="s">
        <v>605</v>
      </c>
      <c r="F1120" s="63" t="s">
        <v>240</v>
      </c>
      <c r="G1120" s="63" t="s">
        <v>1772</v>
      </c>
      <c r="H1120" s="63">
        <v>1</v>
      </c>
      <c r="I1120" s="63">
        <v>60</v>
      </c>
      <c r="J1120" s="63">
        <v>2</v>
      </c>
      <c r="K1120" s="63" t="s">
        <v>1773</v>
      </c>
      <c r="L1120" s="63" t="s">
        <v>1326</v>
      </c>
      <c r="M1120" s="57" t="s">
        <v>587</v>
      </c>
      <c r="N1120" s="63" t="s">
        <v>240</v>
      </c>
      <c r="O1120" s="63" t="s">
        <v>240</v>
      </c>
      <c r="P1120" s="63" t="s">
        <v>240</v>
      </c>
      <c r="Q1120" s="63" t="s">
        <v>240</v>
      </c>
      <c r="R1120" s="63" t="s">
        <v>238</v>
      </c>
      <c r="S1120" s="63">
        <f t="shared" si="417"/>
        <v>1205</v>
      </c>
      <c r="T1120" s="63">
        <v>602</v>
      </c>
      <c r="U1120" s="63">
        <v>603</v>
      </c>
      <c r="V1120" s="63">
        <v>527</v>
      </c>
      <c r="AB1120" s="63">
        <v>3763</v>
      </c>
      <c r="AC1120" s="63">
        <v>3263</v>
      </c>
      <c r="AF1120" s="67">
        <f t="shared" si="410"/>
        <v>0.67489886252069409</v>
      </c>
      <c r="AH1120" s="63">
        <v>0.5</v>
      </c>
      <c r="AI1120" s="67">
        <f t="shared" si="411"/>
        <v>780.85773923472993</v>
      </c>
      <c r="AK1120" s="63" t="s">
        <v>1740</v>
      </c>
      <c r="AP1120" s="67">
        <f t="shared" si="412"/>
        <v>3.8884392470996218E-2</v>
      </c>
      <c r="AQ1120" s="67">
        <f t="shared" si="413"/>
        <v>13552.995598249043</v>
      </c>
      <c r="AR1120" s="67"/>
      <c r="AS1120" s="67">
        <f t="shared" si="414"/>
        <v>3.3275501565440979E-3</v>
      </c>
      <c r="AT1120" s="67"/>
      <c r="AU1120" s="67">
        <f t="shared" si="415"/>
        <v>1203</v>
      </c>
      <c r="AV1120" s="67">
        <f t="shared" si="416"/>
        <v>1</v>
      </c>
      <c r="AW1120" s="67" t="s">
        <v>1350</v>
      </c>
    </row>
    <row r="1121" spans="1:49" s="63" customFormat="1" ht="30" customHeight="1" x14ac:dyDescent="0.25">
      <c r="A1121" s="60" t="s">
        <v>1670</v>
      </c>
      <c r="B1121" s="63" t="s">
        <v>1560</v>
      </c>
      <c r="C1121" s="60" t="s">
        <v>1670</v>
      </c>
      <c r="D1121" s="63">
        <v>11</v>
      </c>
      <c r="E1121" s="56" t="s">
        <v>605</v>
      </c>
      <c r="F1121" s="63" t="s">
        <v>240</v>
      </c>
      <c r="G1121" s="63" t="s">
        <v>1774</v>
      </c>
      <c r="H1121" s="63">
        <v>1</v>
      </c>
      <c r="I1121" s="63">
        <v>12</v>
      </c>
      <c r="J1121" s="63">
        <v>1</v>
      </c>
      <c r="K1121" s="63" t="s">
        <v>1320</v>
      </c>
      <c r="L1121" s="63" t="s">
        <v>240</v>
      </c>
      <c r="M1121" s="57" t="s">
        <v>587</v>
      </c>
      <c r="N1121" s="63" t="s">
        <v>240</v>
      </c>
      <c r="O1121" s="63" t="s">
        <v>240</v>
      </c>
      <c r="P1121" s="63" t="s">
        <v>240</v>
      </c>
      <c r="Q1121" s="63" t="s">
        <v>240</v>
      </c>
      <c r="R1121" s="63" t="s">
        <v>238</v>
      </c>
      <c r="S1121" s="63">
        <f t="shared" si="417"/>
        <v>1229</v>
      </c>
      <c r="T1121" s="63">
        <v>986</v>
      </c>
      <c r="U1121" s="63">
        <v>243</v>
      </c>
      <c r="V1121" s="63">
        <v>-3.3000000000000002E-2</v>
      </c>
      <c r="AB1121" s="63">
        <v>0.42299999999999999</v>
      </c>
      <c r="AC1121" s="63">
        <v>0.45600000000000002</v>
      </c>
      <c r="AF1121" s="102">
        <f t="shared" ref="AF1121:AF1125" si="418">_xlfn.T.INV.2T(AH1121,S1121-2)</f>
        <v>0.67468974995694964</v>
      </c>
      <c r="AH1121" s="63">
        <v>0.5</v>
      </c>
      <c r="AI1121" s="102">
        <f t="shared" ref="AI1121:AI1125" si="419">ABS(V1121/AF1121)</f>
        <v>4.8911370006889318E-2</v>
      </c>
      <c r="AK1121" s="63" t="s">
        <v>1740</v>
      </c>
    </row>
    <row r="1122" spans="1:49" s="63" customFormat="1" ht="30" customHeight="1" x14ac:dyDescent="0.25">
      <c r="A1122" s="60" t="s">
        <v>1670</v>
      </c>
      <c r="B1122" s="63" t="s">
        <v>1560</v>
      </c>
      <c r="C1122" s="60" t="s">
        <v>1670</v>
      </c>
      <c r="D1122" s="63">
        <v>12</v>
      </c>
      <c r="E1122" s="56" t="s">
        <v>605</v>
      </c>
      <c r="F1122" s="63" t="s">
        <v>240</v>
      </c>
      <c r="G1122" s="63" t="s">
        <v>1774</v>
      </c>
      <c r="H1122" s="63">
        <v>1</v>
      </c>
      <c r="I1122" s="63">
        <v>24</v>
      </c>
      <c r="J1122" s="63">
        <v>1</v>
      </c>
      <c r="K1122" s="63" t="s">
        <v>1320</v>
      </c>
      <c r="L1122" s="63" t="s">
        <v>240</v>
      </c>
      <c r="M1122" s="57" t="s">
        <v>587</v>
      </c>
      <c r="N1122" s="63" t="s">
        <v>240</v>
      </c>
      <c r="O1122" s="63" t="s">
        <v>240</v>
      </c>
      <c r="P1122" s="63" t="s">
        <v>240</v>
      </c>
      <c r="Q1122" s="63" t="s">
        <v>240</v>
      </c>
      <c r="R1122" s="63" t="s">
        <v>238</v>
      </c>
      <c r="S1122" s="63">
        <f t="shared" si="417"/>
        <v>1229</v>
      </c>
      <c r="T1122" s="63">
        <v>986</v>
      </c>
      <c r="U1122" s="63">
        <v>243</v>
      </c>
      <c r="V1122" s="63">
        <v>0.04</v>
      </c>
      <c r="AB1122" s="63">
        <v>0.46300000000000002</v>
      </c>
      <c r="AC1122" s="63">
        <v>0.42199999999999999</v>
      </c>
      <c r="AF1122" s="102">
        <f t="shared" si="418"/>
        <v>0.67468974995694964</v>
      </c>
      <c r="AH1122" s="63">
        <v>0.5</v>
      </c>
      <c r="AI1122" s="102">
        <f t="shared" si="419"/>
        <v>5.9286509099259782E-2</v>
      </c>
      <c r="AK1122" s="63" t="s">
        <v>1740</v>
      </c>
    </row>
    <row r="1123" spans="1:49" s="63" customFormat="1" ht="30" customHeight="1" x14ac:dyDescent="0.25">
      <c r="A1123" s="60" t="s">
        <v>1670</v>
      </c>
      <c r="B1123" s="63" t="s">
        <v>1560</v>
      </c>
      <c r="C1123" s="60" t="s">
        <v>1670</v>
      </c>
      <c r="D1123" s="63">
        <v>13</v>
      </c>
      <c r="E1123" s="56" t="s">
        <v>605</v>
      </c>
      <c r="F1123" s="63" t="s">
        <v>240</v>
      </c>
      <c r="G1123" s="63" t="s">
        <v>1774</v>
      </c>
      <c r="H1123" s="63">
        <v>1</v>
      </c>
      <c r="I1123" s="63">
        <v>36</v>
      </c>
      <c r="J1123" s="63">
        <v>1</v>
      </c>
      <c r="K1123" s="63" t="s">
        <v>1320</v>
      </c>
      <c r="L1123" s="63" t="s">
        <v>240</v>
      </c>
      <c r="M1123" s="57" t="s">
        <v>587</v>
      </c>
      <c r="N1123" s="63" t="s">
        <v>240</v>
      </c>
      <c r="O1123" s="63" t="s">
        <v>240</v>
      </c>
      <c r="P1123" s="63" t="s">
        <v>240</v>
      </c>
      <c r="Q1123" s="63" t="s">
        <v>240</v>
      </c>
      <c r="R1123" s="63" t="s">
        <v>238</v>
      </c>
      <c r="S1123" s="63">
        <f t="shared" si="417"/>
        <v>1229</v>
      </c>
      <c r="T1123" s="63">
        <v>986</v>
      </c>
      <c r="U1123" s="63">
        <v>243</v>
      </c>
      <c r="V1123" s="63">
        <v>4.2999999999999997E-2</v>
      </c>
      <c r="AB1123" s="63">
        <v>0.46700000000000003</v>
      </c>
      <c r="AC1123" s="63">
        <v>0.42499999999999999</v>
      </c>
      <c r="AF1123" s="102">
        <f t="shared" si="418"/>
        <v>0.67468974995694964</v>
      </c>
      <c r="AH1123" s="63">
        <v>0.5</v>
      </c>
      <c r="AI1123" s="102">
        <f t="shared" si="419"/>
        <v>6.3732997281704257E-2</v>
      </c>
      <c r="AK1123" s="63" t="s">
        <v>1740</v>
      </c>
    </row>
    <row r="1124" spans="1:49" s="63" customFormat="1" ht="30" customHeight="1" x14ac:dyDescent="0.25">
      <c r="A1124" s="60" t="s">
        <v>1670</v>
      </c>
      <c r="B1124" s="63" t="s">
        <v>1560</v>
      </c>
      <c r="C1124" s="60" t="s">
        <v>1670</v>
      </c>
      <c r="D1124" s="63">
        <v>14</v>
      </c>
      <c r="E1124" s="56" t="s">
        <v>605</v>
      </c>
      <c r="F1124" s="63" t="s">
        <v>240</v>
      </c>
      <c r="G1124" s="63" t="s">
        <v>1774</v>
      </c>
      <c r="H1124" s="63">
        <v>1</v>
      </c>
      <c r="I1124" s="63">
        <v>48</v>
      </c>
      <c r="J1124" s="63">
        <v>1</v>
      </c>
      <c r="K1124" s="63" t="s">
        <v>1320</v>
      </c>
      <c r="L1124" s="63" t="s">
        <v>240</v>
      </c>
      <c r="M1124" s="57" t="s">
        <v>587</v>
      </c>
      <c r="N1124" s="63" t="s">
        <v>240</v>
      </c>
      <c r="O1124" s="63" t="s">
        <v>240</v>
      </c>
      <c r="P1124" s="63" t="s">
        <v>240</v>
      </c>
      <c r="Q1124" s="63" t="s">
        <v>240</v>
      </c>
      <c r="R1124" s="63" t="s">
        <v>238</v>
      </c>
      <c r="S1124" s="63">
        <f t="shared" si="417"/>
        <v>1229</v>
      </c>
      <c r="T1124" s="63">
        <v>986</v>
      </c>
      <c r="U1124" s="63">
        <v>243</v>
      </c>
      <c r="V1124" s="63">
        <v>-1.6E-2</v>
      </c>
      <c r="AB1124" s="63">
        <v>0.439</v>
      </c>
      <c r="AC1124" s="63">
        <v>0.45600000000000002</v>
      </c>
      <c r="AF1124" s="102">
        <f t="shared" si="418"/>
        <v>0.67468974995694964</v>
      </c>
      <c r="AH1124" s="63">
        <v>0.5</v>
      </c>
      <c r="AI1124" s="102">
        <f t="shared" si="419"/>
        <v>2.3714603639703912E-2</v>
      </c>
      <c r="AK1124" s="63" t="s">
        <v>1740</v>
      </c>
    </row>
    <row r="1125" spans="1:49" s="63" customFormat="1" ht="30" customHeight="1" x14ac:dyDescent="0.25">
      <c r="A1125" s="60" t="s">
        <v>1670</v>
      </c>
      <c r="B1125" s="63" t="s">
        <v>1560</v>
      </c>
      <c r="C1125" s="60" t="s">
        <v>1670</v>
      </c>
      <c r="D1125" s="63">
        <v>15</v>
      </c>
      <c r="E1125" s="56" t="s">
        <v>605</v>
      </c>
      <c r="F1125" s="63" t="s">
        <v>240</v>
      </c>
      <c r="G1125" s="63" t="s">
        <v>1774</v>
      </c>
      <c r="H1125" s="63">
        <v>1</v>
      </c>
      <c r="I1125" s="63">
        <v>60</v>
      </c>
      <c r="J1125" s="63">
        <v>1</v>
      </c>
      <c r="K1125" s="63" t="s">
        <v>1320</v>
      </c>
      <c r="L1125" s="63" t="s">
        <v>240</v>
      </c>
      <c r="M1125" s="57" t="s">
        <v>587</v>
      </c>
      <c r="N1125" s="63" t="s">
        <v>240</v>
      </c>
      <c r="O1125" s="63" t="s">
        <v>240</v>
      </c>
      <c r="P1125" s="63" t="s">
        <v>240</v>
      </c>
      <c r="Q1125" s="63" t="s">
        <v>240</v>
      </c>
      <c r="R1125" s="63" t="s">
        <v>238</v>
      </c>
      <c r="S1125" s="63">
        <f t="shared" si="417"/>
        <v>1229</v>
      </c>
      <c r="T1125" s="63">
        <v>986</v>
      </c>
      <c r="U1125" s="63">
        <v>243</v>
      </c>
      <c r="V1125" s="63">
        <v>-1.4999999999999999E-2</v>
      </c>
      <c r="AB1125" s="63">
        <v>0.44</v>
      </c>
      <c r="AC1125" s="63">
        <v>0.45500000000000002</v>
      </c>
      <c r="AF1125" s="102">
        <f t="shared" si="418"/>
        <v>0.67468974995694964</v>
      </c>
      <c r="AH1125" s="63">
        <v>0.5</v>
      </c>
      <c r="AI1125" s="102">
        <f t="shared" si="419"/>
        <v>2.2232440912222415E-2</v>
      </c>
      <c r="AK1125" s="63" t="s">
        <v>1740</v>
      </c>
    </row>
    <row r="1126" spans="1:49" s="63" customFormat="1" ht="30" customHeight="1" x14ac:dyDescent="0.25">
      <c r="A1126" s="60" t="s">
        <v>1670</v>
      </c>
      <c r="B1126" s="63" t="s">
        <v>1560</v>
      </c>
      <c r="C1126" s="60" t="s">
        <v>1670</v>
      </c>
      <c r="D1126" s="63">
        <v>16</v>
      </c>
      <c r="E1126" s="56" t="s">
        <v>605</v>
      </c>
      <c r="F1126" s="63" t="s">
        <v>240</v>
      </c>
      <c r="G1126" s="63" t="s">
        <v>1774</v>
      </c>
      <c r="H1126" s="63">
        <v>1</v>
      </c>
      <c r="I1126" s="63">
        <v>12</v>
      </c>
      <c r="J1126" s="63">
        <v>2</v>
      </c>
      <c r="K1126" s="63" t="s">
        <v>1773</v>
      </c>
      <c r="L1126" s="63" t="s">
        <v>1326</v>
      </c>
      <c r="M1126" s="57" t="s">
        <v>587</v>
      </c>
      <c r="N1126" s="63" t="s">
        <v>240</v>
      </c>
      <c r="O1126" s="63" t="s">
        <v>240</v>
      </c>
      <c r="P1126" s="63" t="s">
        <v>240</v>
      </c>
      <c r="Q1126" s="63" t="s">
        <v>240</v>
      </c>
      <c r="R1126" s="63" t="s">
        <v>238</v>
      </c>
      <c r="S1126" s="63">
        <f t="shared" si="417"/>
        <v>1229</v>
      </c>
      <c r="T1126" s="63">
        <v>986</v>
      </c>
      <c r="U1126" s="63">
        <v>243</v>
      </c>
      <c r="V1126" s="63">
        <v>272</v>
      </c>
      <c r="AB1126" s="63">
        <v>2001</v>
      </c>
      <c r="AC1126" s="63">
        <v>1729</v>
      </c>
      <c r="AF1126" s="67">
        <f t="shared" ref="AF1126:AF1130" si="420">_xlfn.T.INV.2T(AH1126,T1126-2)</f>
        <v>0.67473915639855686</v>
      </c>
      <c r="AH1126" s="63">
        <v>0.5</v>
      </c>
      <c r="AI1126" s="67">
        <f t="shared" ref="AI1126:AI1130" si="421">+ABS(V1126/AF1126)</f>
        <v>403.11874214001335</v>
      </c>
      <c r="AK1126" s="63" t="s">
        <v>1740</v>
      </c>
      <c r="AP1126" s="67">
        <f t="shared" ref="AP1126:AP1130" si="422">+V1126/AQ1126</f>
        <v>4.8324821774791818E-2</v>
      </c>
      <c r="AQ1126" s="67">
        <f t="shared" ref="AQ1126:AQ1130" si="423">+AI1126*SQRT(T1126*U1126/S1126)</f>
        <v>5628.577406195137</v>
      </c>
      <c r="AR1126" s="67"/>
      <c r="AS1126" s="67">
        <f t="shared" ref="AS1126:AS1130" si="424">+AP1126^2/(AU1126-2)*(AU1126/(V1126/AI1126)^2+AU1126*AV1126^2-AU1126+2)</f>
        <v>5.1416124077895723E-3</v>
      </c>
      <c r="AT1126" s="67"/>
      <c r="AU1126" s="67">
        <f t="shared" ref="AU1126:AU1130" si="425">+S1126-2</f>
        <v>1227</v>
      </c>
      <c r="AV1126" s="67">
        <f t="shared" ref="AV1126:AV1130" si="426">IFERROR(1/(SQRT(AU1126/2)*_xlfn.GAMMA(AU1126/2-0.5)/_xlfn.GAMMA(AU1126/2)),1)</f>
        <v>1</v>
      </c>
      <c r="AW1126" s="67" t="s">
        <v>1350</v>
      </c>
    </row>
    <row r="1127" spans="1:49" s="63" customFormat="1" ht="30" customHeight="1" x14ac:dyDescent="0.25">
      <c r="A1127" s="60" t="s">
        <v>1670</v>
      </c>
      <c r="B1127" s="63" t="s">
        <v>1560</v>
      </c>
      <c r="C1127" s="60" t="s">
        <v>1670</v>
      </c>
      <c r="D1127" s="63">
        <v>17</v>
      </c>
      <c r="E1127" s="56" t="s">
        <v>605</v>
      </c>
      <c r="F1127" s="63" t="s">
        <v>240</v>
      </c>
      <c r="G1127" s="63" t="s">
        <v>1774</v>
      </c>
      <c r="H1127" s="63">
        <v>1</v>
      </c>
      <c r="I1127" s="63">
        <v>24</v>
      </c>
      <c r="J1127" s="63">
        <v>2</v>
      </c>
      <c r="K1127" s="63" t="s">
        <v>1773</v>
      </c>
      <c r="L1127" s="63" t="s">
        <v>1326</v>
      </c>
      <c r="M1127" s="57" t="s">
        <v>587</v>
      </c>
      <c r="N1127" s="63" t="s">
        <v>240</v>
      </c>
      <c r="O1127" s="63" t="s">
        <v>240</v>
      </c>
      <c r="P1127" s="63" t="s">
        <v>240</v>
      </c>
      <c r="Q1127" s="63" t="s">
        <v>240</v>
      </c>
      <c r="R1127" s="63" t="s">
        <v>238</v>
      </c>
      <c r="S1127" s="63">
        <f t="shared" si="417"/>
        <v>1229</v>
      </c>
      <c r="T1127" s="63">
        <v>986</v>
      </c>
      <c r="U1127" s="63">
        <v>243</v>
      </c>
      <c r="V1127" s="63">
        <v>556</v>
      </c>
      <c r="AB1127" s="63">
        <v>2998</v>
      </c>
      <c r="AC1127" s="63">
        <v>2442</v>
      </c>
      <c r="AF1127" s="67">
        <f t="shared" si="420"/>
        <v>0.67473915639855686</v>
      </c>
      <c r="AH1127" s="63">
        <v>0.5</v>
      </c>
      <c r="AI1127" s="67">
        <f t="shared" si="421"/>
        <v>824.02213466855676</v>
      </c>
      <c r="AK1127" s="63" t="s">
        <v>1740</v>
      </c>
      <c r="AP1127" s="67">
        <f t="shared" si="422"/>
        <v>4.8324821774791811E-2</v>
      </c>
      <c r="AQ1127" s="67">
        <f t="shared" si="423"/>
        <v>11505.47440384006</v>
      </c>
      <c r="AR1127" s="67"/>
      <c r="AS1127" s="67">
        <f t="shared" si="424"/>
        <v>5.1416124077895715E-3</v>
      </c>
      <c r="AT1127" s="67"/>
      <c r="AU1127" s="67">
        <f t="shared" si="425"/>
        <v>1227</v>
      </c>
      <c r="AV1127" s="67">
        <f t="shared" si="426"/>
        <v>1</v>
      </c>
      <c r="AW1127" s="67" t="s">
        <v>1350</v>
      </c>
    </row>
    <row r="1128" spans="1:49" s="63" customFormat="1" ht="30" customHeight="1" x14ac:dyDescent="0.25">
      <c r="A1128" s="60" t="s">
        <v>1670</v>
      </c>
      <c r="B1128" s="63" t="s">
        <v>1560</v>
      </c>
      <c r="C1128" s="60" t="s">
        <v>1670</v>
      </c>
      <c r="D1128" s="63">
        <v>18</v>
      </c>
      <c r="E1128" s="56" t="s">
        <v>605</v>
      </c>
      <c r="F1128" s="63" t="s">
        <v>240</v>
      </c>
      <c r="G1128" s="63" t="s">
        <v>1774</v>
      </c>
      <c r="H1128" s="63">
        <v>1</v>
      </c>
      <c r="I1128" s="63">
        <v>36</v>
      </c>
      <c r="J1128" s="63">
        <v>2</v>
      </c>
      <c r="K1128" s="63" t="s">
        <v>1773</v>
      </c>
      <c r="L1128" s="63" t="s">
        <v>1326</v>
      </c>
      <c r="M1128" s="57" t="s">
        <v>587</v>
      </c>
      <c r="N1128" s="63" t="s">
        <v>240</v>
      </c>
      <c r="O1128" s="63" t="s">
        <v>240</v>
      </c>
      <c r="P1128" s="63" t="s">
        <v>240</v>
      </c>
      <c r="Q1128" s="63" t="s">
        <v>240</v>
      </c>
      <c r="R1128" s="63" t="s">
        <v>238</v>
      </c>
      <c r="S1128" s="63">
        <f t="shared" si="417"/>
        <v>1229</v>
      </c>
      <c r="T1128" s="63">
        <v>986</v>
      </c>
      <c r="U1128" s="63">
        <v>243</v>
      </c>
      <c r="V1128" s="63">
        <v>640</v>
      </c>
      <c r="AB1128" s="63">
        <v>3633</v>
      </c>
      <c r="AC1128" s="63">
        <v>2993</v>
      </c>
      <c r="AF1128" s="67">
        <f t="shared" si="420"/>
        <v>0.67473915639855686</v>
      </c>
      <c r="AH1128" s="63">
        <v>0.5</v>
      </c>
      <c r="AI1128" s="67">
        <f t="shared" si="421"/>
        <v>948.51468738826679</v>
      </c>
      <c r="AK1128" s="63" t="s">
        <v>1740</v>
      </c>
      <c r="AP1128" s="67">
        <f t="shared" si="422"/>
        <v>4.8324821774791811E-2</v>
      </c>
      <c r="AQ1128" s="67">
        <f t="shared" si="423"/>
        <v>13243.711543988558</v>
      </c>
      <c r="AR1128" s="67"/>
      <c r="AS1128" s="67">
        <f t="shared" si="424"/>
        <v>5.1416124077895715E-3</v>
      </c>
      <c r="AT1128" s="67"/>
      <c r="AU1128" s="67">
        <f t="shared" si="425"/>
        <v>1227</v>
      </c>
      <c r="AV1128" s="67">
        <f t="shared" si="426"/>
        <v>1</v>
      </c>
      <c r="AW1128" s="67" t="s">
        <v>1350</v>
      </c>
    </row>
    <row r="1129" spans="1:49" s="63" customFormat="1" ht="30" customHeight="1" x14ac:dyDescent="0.25">
      <c r="A1129" s="60" t="s">
        <v>1670</v>
      </c>
      <c r="B1129" s="63" t="s">
        <v>1560</v>
      </c>
      <c r="C1129" s="60" t="s">
        <v>1670</v>
      </c>
      <c r="D1129" s="63">
        <v>19</v>
      </c>
      <c r="E1129" s="56" t="s">
        <v>605</v>
      </c>
      <c r="F1129" s="63" t="s">
        <v>240</v>
      </c>
      <c r="G1129" s="63" t="s">
        <v>1774</v>
      </c>
      <c r="H1129" s="63">
        <v>1</v>
      </c>
      <c r="I1129" s="63">
        <v>48</v>
      </c>
      <c r="J1129" s="63">
        <v>2</v>
      </c>
      <c r="K1129" s="63" t="s">
        <v>1773</v>
      </c>
      <c r="L1129" s="63" t="s">
        <v>1326</v>
      </c>
      <c r="M1129" s="57" t="s">
        <v>587</v>
      </c>
      <c r="N1129" s="63" t="s">
        <v>240</v>
      </c>
      <c r="O1129" s="63" t="s">
        <v>240</v>
      </c>
      <c r="P1129" s="63" t="s">
        <v>240</v>
      </c>
      <c r="Q1129" s="63" t="s">
        <v>240</v>
      </c>
      <c r="R1129" s="63" t="s">
        <v>238</v>
      </c>
      <c r="S1129" s="63">
        <f t="shared" si="417"/>
        <v>1229</v>
      </c>
      <c r="T1129" s="63">
        <v>986</v>
      </c>
      <c r="U1129" s="63">
        <v>243</v>
      </c>
      <c r="V1129" s="63">
        <v>1385</v>
      </c>
      <c r="AB1129" s="63">
        <v>4209</v>
      </c>
      <c r="AC1129" s="63">
        <v>2824</v>
      </c>
      <c r="AF1129" s="67">
        <f t="shared" si="420"/>
        <v>2.5808349321774471</v>
      </c>
      <c r="AH1129" s="63">
        <v>0.01</v>
      </c>
      <c r="AI1129" s="67">
        <f t="shared" si="421"/>
        <v>536.64803693255863</v>
      </c>
      <c r="AK1129" s="63" t="s">
        <v>1744</v>
      </c>
      <c r="AP1129" s="67">
        <f t="shared" si="422"/>
        <v>0.18483941082257721</v>
      </c>
      <c r="AQ1129" s="67">
        <f t="shared" si="423"/>
        <v>7492.9907741884508</v>
      </c>
      <c r="AR1129" s="67"/>
      <c r="AS1129" s="67">
        <f t="shared" si="424"/>
        <v>5.1935802761873999E-3</v>
      </c>
      <c r="AT1129" s="67"/>
      <c r="AU1129" s="67">
        <f t="shared" si="425"/>
        <v>1227</v>
      </c>
      <c r="AV1129" s="67">
        <f t="shared" si="426"/>
        <v>1</v>
      </c>
      <c r="AW1129" s="67" t="s">
        <v>1350</v>
      </c>
    </row>
    <row r="1130" spans="1:49" s="63" customFormat="1" ht="30" customHeight="1" x14ac:dyDescent="0.25">
      <c r="A1130" s="60" t="s">
        <v>1670</v>
      </c>
      <c r="B1130" s="63" t="s">
        <v>1560</v>
      </c>
      <c r="C1130" s="60" t="s">
        <v>1670</v>
      </c>
      <c r="D1130" s="63">
        <v>20</v>
      </c>
      <c r="E1130" s="56" t="s">
        <v>605</v>
      </c>
      <c r="F1130" s="63" t="s">
        <v>240</v>
      </c>
      <c r="G1130" s="63" t="s">
        <v>1774</v>
      </c>
      <c r="H1130" s="63">
        <v>1</v>
      </c>
      <c r="I1130" s="63">
        <v>60</v>
      </c>
      <c r="J1130" s="63">
        <v>2</v>
      </c>
      <c r="K1130" s="63" t="s">
        <v>1773</v>
      </c>
      <c r="L1130" s="63" t="s">
        <v>1326</v>
      </c>
      <c r="M1130" s="57" t="s">
        <v>587</v>
      </c>
      <c r="N1130" s="63" t="s">
        <v>240</v>
      </c>
      <c r="O1130" s="63" t="s">
        <v>240</v>
      </c>
      <c r="P1130" s="63" t="s">
        <v>240</v>
      </c>
      <c r="Q1130" s="63" t="s">
        <v>240</v>
      </c>
      <c r="R1130" s="63" t="s">
        <v>238</v>
      </c>
      <c r="S1130" s="63">
        <f t="shared" si="417"/>
        <v>1229</v>
      </c>
      <c r="T1130" s="63">
        <v>986</v>
      </c>
      <c r="U1130" s="63">
        <v>243</v>
      </c>
      <c r="V1130" s="63">
        <v>1339</v>
      </c>
      <c r="AB1130" s="63">
        <v>4620</v>
      </c>
      <c r="AC1130" s="63">
        <v>3281</v>
      </c>
      <c r="AF1130" s="67">
        <f t="shared" si="420"/>
        <v>1.9623777470040034</v>
      </c>
      <c r="AH1130" s="63">
        <v>0.05</v>
      </c>
      <c r="AI1130" s="67">
        <f t="shared" si="421"/>
        <v>682.33549939315958</v>
      </c>
      <c r="AK1130" s="63" t="s">
        <v>1324</v>
      </c>
      <c r="AP1130" s="67">
        <f t="shared" si="422"/>
        <v>0.14054550410999209</v>
      </c>
      <c r="AQ1130" s="67">
        <f t="shared" si="423"/>
        <v>9527.1635224424354</v>
      </c>
      <c r="AR1130" s="67"/>
      <c r="AS1130" s="67">
        <f t="shared" si="424"/>
        <v>5.1700495511789049E-3</v>
      </c>
      <c r="AT1130" s="67"/>
      <c r="AU1130" s="67">
        <f t="shared" si="425"/>
        <v>1227</v>
      </c>
      <c r="AV1130" s="67">
        <f t="shared" si="426"/>
        <v>1</v>
      </c>
      <c r="AW1130" s="67" t="s">
        <v>1350</v>
      </c>
    </row>
    <row r="1131" spans="1:49" s="63" customFormat="1" ht="30" customHeight="1" x14ac:dyDescent="0.25">
      <c r="A1131" s="60" t="s">
        <v>1670</v>
      </c>
      <c r="B1131" s="63" t="s">
        <v>1560</v>
      </c>
      <c r="C1131" s="60" t="s">
        <v>1670</v>
      </c>
      <c r="D1131" s="63">
        <v>21</v>
      </c>
      <c r="E1131" s="56" t="s">
        <v>605</v>
      </c>
      <c r="F1131" s="63" t="s">
        <v>240</v>
      </c>
      <c r="G1131" s="63" t="s">
        <v>1775</v>
      </c>
      <c r="H1131" s="63">
        <v>1</v>
      </c>
      <c r="I1131" s="63">
        <v>12</v>
      </c>
      <c r="J1131" s="63">
        <v>1</v>
      </c>
      <c r="K1131" s="63" t="s">
        <v>1320</v>
      </c>
      <c r="L1131" s="63" t="s">
        <v>240</v>
      </c>
      <c r="M1131" s="57" t="s">
        <v>587</v>
      </c>
      <c r="N1131" s="63" t="s">
        <v>240</v>
      </c>
      <c r="O1131" s="63" t="s">
        <v>240</v>
      </c>
      <c r="P1131" s="63" t="s">
        <v>240</v>
      </c>
      <c r="Q1131" s="63" t="s">
        <v>240</v>
      </c>
      <c r="R1131" s="63" t="s">
        <v>238</v>
      </c>
      <c r="S1131" s="63">
        <f t="shared" si="417"/>
        <v>4396</v>
      </c>
      <c r="T1131" s="63">
        <v>2995</v>
      </c>
      <c r="U1131" s="63">
        <v>1401</v>
      </c>
      <c r="V1131" s="63">
        <v>2.1000000000000001E-2</v>
      </c>
      <c r="AB1131" s="63">
        <v>0.27</v>
      </c>
      <c r="AC1131" s="63">
        <v>0.249</v>
      </c>
      <c r="AF1131" s="102">
        <f t="shared" ref="AF1131:AF1134" si="427">_xlfn.T.INV.2T(AH1131,S1131-2)</f>
        <v>0.67454558838826906</v>
      </c>
      <c r="AH1131" s="63">
        <v>0.5</v>
      </c>
      <c r="AI1131" s="102">
        <f>ABS(V1131/AF1131)</f>
        <v>3.1132069294495752E-2</v>
      </c>
      <c r="AK1131" s="63" t="s">
        <v>1740</v>
      </c>
    </row>
    <row r="1132" spans="1:49" s="63" customFormat="1" ht="30" customHeight="1" x14ac:dyDescent="0.25">
      <c r="A1132" s="60" t="s">
        <v>1670</v>
      </c>
      <c r="B1132" s="63" t="s">
        <v>1560</v>
      </c>
      <c r="C1132" s="60" t="s">
        <v>1670</v>
      </c>
      <c r="D1132" s="63">
        <v>22</v>
      </c>
      <c r="E1132" s="56" t="s">
        <v>605</v>
      </c>
      <c r="F1132" s="63" t="s">
        <v>240</v>
      </c>
      <c r="G1132" s="63" t="s">
        <v>1775</v>
      </c>
      <c r="H1132" s="63">
        <v>1</v>
      </c>
      <c r="I1132" s="63">
        <v>24</v>
      </c>
      <c r="J1132" s="63">
        <v>1</v>
      </c>
      <c r="K1132" s="63" t="s">
        <v>1320</v>
      </c>
      <c r="L1132" s="63" t="s">
        <v>240</v>
      </c>
      <c r="M1132" s="57" t="s">
        <v>587</v>
      </c>
      <c r="N1132" s="63" t="s">
        <v>240</v>
      </c>
      <c r="O1132" s="63" t="s">
        <v>240</v>
      </c>
      <c r="P1132" s="63" t="s">
        <v>240</v>
      </c>
      <c r="Q1132" s="63" t="s">
        <v>240</v>
      </c>
      <c r="R1132" s="63" t="s">
        <v>238</v>
      </c>
      <c r="S1132" s="63">
        <f t="shared" si="417"/>
        <v>4396</v>
      </c>
      <c r="T1132" s="63">
        <v>2995</v>
      </c>
      <c r="U1132" s="63">
        <v>1401</v>
      </c>
      <c r="V1132" s="63">
        <v>0.04</v>
      </c>
      <c r="AB1132" s="63">
        <v>0.26900000000000002</v>
      </c>
      <c r="AC1132" s="63">
        <v>0.22900000000000001</v>
      </c>
      <c r="AF1132" s="102">
        <f t="shared" si="427"/>
        <v>2.5769486842656728</v>
      </c>
      <c r="AH1132" s="63">
        <v>0.01</v>
      </c>
      <c r="AI1132" s="102">
        <f t="shared" ref="AI1132:AI1134" si="428">ABS(V1132/AF1132)</f>
        <v>1.5522233812505427E-2</v>
      </c>
      <c r="AK1132" s="63" t="s">
        <v>1744</v>
      </c>
    </row>
    <row r="1133" spans="1:49" s="63" customFormat="1" ht="30" customHeight="1" x14ac:dyDescent="0.25">
      <c r="A1133" s="60" t="s">
        <v>1670</v>
      </c>
      <c r="B1133" s="63" t="s">
        <v>1560</v>
      </c>
      <c r="C1133" s="60" t="s">
        <v>1670</v>
      </c>
      <c r="D1133" s="63">
        <v>23</v>
      </c>
      <c r="E1133" s="56" t="s">
        <v>605</v>
      </c>
      <c r="F1133" s="63" t="s">
        <v>240</v>
      </c>
      <c r="G1133" s="63" t="s">
        <v>1775</v>
      </c>
      <c r="H1133" s="63">
        <v>1</v>
      </c>
      <c r="I1133" s="63">
        <v>36</v>
      </c>
      <c r="J1133" s="63">
        <v>1</v>
      </c>
      <c r="K1133" s="63" t="s">
        <v>1320</v>
      </c>
      <c r="L1133" s="63" t="s">
        <v>240</v>
      </c>
      <c r="M1133" s="57" t="s">
        <v>587</v>
      </c>
      <c r="N1133" s="63" t="s">
        <v>240</v>
      </c>
      <c r="O1133" s="63" t="s">
        <v>240</v>
      </c>
      <c r="P1133" s="63" t="s">
        <v>240</v>
      </c>
      <c r="Q1133" s="63" t="s">
        <v>240</v>
      </c>
      <c r="R1133" s="63" t="s">
        <v>238</v>
      </c>
      <c r="S1133" s="63">
        <f t="shared" si="417"/>
        <v>4396</v>
      </c>
      <c r="T1133" s="63">
        <v>2995</v>
      </c>
      <c r="U1133" s="63">
        <v>1401</v>
      </c>
      <c r="V1133" s="63">
        <v>3.5999999999999997E-2</v>
      </c>
      <c r="AB1133" s="63">
        <v>0.26</v>
      </c>
      <c r="AC1133" s="63">
        <v>0.224</v>
      </c>
      <c r="AF1133" s="102">
        <f t="shared" si="427"/>
        <v>2.5769486842656728</v>
      </c>
      <c r="AH1133" s="63">
        <v>0.01</v>
      </c>
      <c r="AI1133" s="102">
        <f t="shared" si="428"/>
        <v>1.3970010431254884E-2</v>
      </c>
      <c r="AK1133" s="63" t="s">
        <v>1744</v>
      </c>
    </row>
    <row r="1134" spans="1:49" s="63" customFormat="1" ht="30" customHeight="1" x14ac:dyDescent="0.25">
      <c r="A1134" s="60" t="s">
        <v>1670</v>
      </c>
      <c r="B1134" s="63" t="s">
        <v>1560</v>
      </c>
      <c r="C1134" s="60" t="s">
        <v>1670</v>
      </c>
      <c r="D1134" s="63">
        <v>24</v>
      </c>
      <c r="E1134" s="56" t="s">
        <v>605</v>
      </c>
      <c r="F1134" s="63" t="s">
        <v>240</v>
      </c>
      <c r="G1134" s="63" t="s">
        <v>1775</v>
      </c>
      <c r="H1134" s="63">
        <v>1</v>
      </c>
      <c r="I1134" s="63">
        <v>48</v>
      </c>
      <c r="J1134" s="63">
        <v>1</v>
      </c>
      <c r="K1134" s="63" t="s">
        <v>1320</v>
      </c>
      <c r="L1134" s="63" t="s">
        <v>240</v>
      </c>
      <c r="M1134" s="57" t="s">
        <v>587</v>
      </c>
      <c r="N1134" s="63" t="s">
        <v>240</v>
      </c>
      <c r="O1134" s="63" t="s">
        <v>240</v>
      </c>
      <c r="P1134" s="63" t="s">
        <v>240</v>
      </c>
      <c r="Q1134" s="63" t="s">
        <v>240</v>
      </c>
      <c r="R1134" s="63" t="s">
        <v>238</v>
      </c>
      <c r="S1134" s="63">
        <f t="shared" si="417"/>
        <v>4396</v>
      </c>
      <c r="T1134" s="63">
        <v>2995</v>
      </c>
      <c r="U1134" s="63">
        <v>1401</v>
      </c>
      <c r="V1134" s="63">
        <v>1.9E-2</v>
      </c>
      <c r="AB1134" s="63">
        <v>0.25800000000000001</v>
      </c>
      <c r="AC1134" s="63">
        <v>0.23899999999999999</v>
      </c>
      <c r="AF1134" s="102">
        <f t="shared" si="427"/>
        <v>0.67454558838826906</v>
      </c>
      <c r="AH1134" s="63">
        <v>0.5</v>
      </c>
      <c r="AI1134" s="102">
        <f t="shared" si="428"/>
        <v>2.8167110314067583E-2</v>
      </c>
      <c r="AK1134" s="63" t="s">
        <v>1740</v>
      </c>
    </row>
    <row r="1135" spans="1:49" s="63" customFormat="1" ht="30" customHeight="1" x14ac:dyDescent="0.25">
      <c r="A1135" s="60" t="s">
        <v>1670</v>
      </c>
      <c r="B1135" s="63" t="s">
        <v>1560</v>
      </c>
      <c r="C1135" s="60" t="s">
        <v>1670</v>
      </c>
      <c r="D1135" s="63">
        <v>25</v>
      </c>
      <c r="E1135" s="56" t="s">
        <v>605</v>
      </c>
      <c r="F1135" s="63" t="s">
        <v>240</v>
      </c>
      <c r="G1135" s="63" t="s">
        <v>1775</v>
      </c>
      <c r="H1135" s="63">
        <v>1</v>
      </c>
      <c r="I1135" s="63">
        <v>60</v>
      </c>
      <c r="J1135" s="63">
        <v>1</v>
      </c>
      <c r="K1135" s="63" t="s">
        <v>1320</v>
      </c>
      <c r="L1135" s="63" t="s">
        <v>240</v>
      </c>
      <c r="M1135" s="57" t="s">
        <v>587</v>
      </c>
      <c r="N1135" s="63" t="s">
        <v>240</v>
      </c>
      <c r="O1135" s="63" t="s">
        <v>240</v>
      </c>
      <c r="P1135" s="63" t="s">
        <v>240</v>
      </c>
      <c r="Q1135" s="63" t="s">
        <v>240</v>
      </c>
      <c r="R1135" s="63" t="s">
        <v>238</v>
      </c>
      <c r="S1135" s="63">
        <f t="shared" si="417"/>
        <v>4396</v>
      </c>
      <c r="T1135" s="63">
        <v>2995</v>
      </c>
      <c r="U1135" s="63">
        <v>1401</v>
      </c>
      <c r="V1135" s="63">
        <v>0.04</v>
      </c>
      <c r="AB1135" s="63">
        <v>0.29799999999999999</v>
      </c>
      <c r="AC1135" s="63">
        <v>0.25800000000000001</v>
      </c>
      <c r="AF1135" s="102">
        <f t="shared" ref="AF1135" si="429">_xlfn.T.INV.2T(AH1135,S1135-2)</f>
        <v>2.5769486842656728</v>
      </c>
      <c r="AH1135" s="63">
        <v>0.01</v>
      </c>
      <c r="AI1135" s="102">
        <f t="shared" ref="AI1135" si="430">ABS(V1135/AF1135)</f>
        <v>1.5522233812505427E-2</v>
      </c>
      <c r="AK1135" s="63" t="s">
        <v>1744</v>
      </c>
    </row>
    <row r="1136" spans="1:49" s="63" customFormat="1" ht="30" customHeight="1" x14ac:dyDescent="0.25">
      <c r="A1136" s="60" t="s">
        <v>1670</v>
      </c>
      <c r="B1136" s="63" t="s">
        <v>1560</v>
      </c>
      <c r="C1136" s="60" t="s">
        <v>1670</v>
      </c>
      <c r="D1136" s="63">
        <v>26</v>
      </c>
      <c r="E1136" s="56" t="s">
        <v>605</v>
      </c>
      <c r="F1136" s="63" t="s">
        <v>240</v>
      </c>
      <c r="G1136" s="63" t="s">
        <v>1775</v>
      </c>
      <c r="H1136" s="63">
        <v>1</v>
      </c>
      <c r="I1136" s="63">
        <v>12</v>
      </c>
      <c r="J1136" s="63">
        <v>2</v>
      </c>
      <c r="K1136" s="63" t="s">
        <v>1773</v>
      </c>
      <c r="L1136" s="63" t="s">
        <v>1326</v>
      </c>
      <c r="M1136" s="57" t="s">
        <v>587</v>
      </c>
      <c r="N1136" s="63" t="s">
        <v>240</v>
      </c>
      <c r="O1136" s="63" t="s">
        <v>240</v>
      </c>
      <c r="P1136" s="63" t="s">
        <v>240</v>
      </c>
      <c r="Q1136" s="63" t="s">
        <v>240</v>
      </c>
      <c r="R1136" s="63" t="s">
        <v>238</v>
      </c>
      <c r="S1136" s="63">
        <f t="shared" si="417"/>
        <v>4396</v>
      </c>
      <c r="T1136" s="63">
        <v>2995</v>
      </c>
      <c r="U1136" s="63">
        <v>1401</v>
      </c>
      <c r="V1136" s="63">
        <v>-4</v>
      </c>
      <c r="AB1136" s="63">
        <v>1304</v>
      </c>
      <c r="AC1136" s="63">
        <v>1308</v>
      </c>
      <c r="AF1136" s="67">
        <f t="shared" ref="AF1136:AF1140" si="431">_xlfn.T.INV.2T(AH1136,T1136-2)</f>
        <v>0.6745717286406685</v>
      </c>
      <c r="AH1136" s="63">
        <v>0.5</v>
      </c>
      <c r="AI1136" s="67">
        <f t="shared" ref="AI1136:AI1140" si="432">+ABS(V1136/AF1136)</f>
        <v>5.929688171279297</v>
      </c>
      <c r="AK1136" s="63" t="s">
        <v>1740</v>
      </c>
      <c r="AP1136" s="67">
        <f t="shared" ref="AP1136:AP1140" si="433">+V1136/AQ1136</f>
        <v>-2.1834311243266086E-2</v>
      </c>
      <c r="AQ1136" s="67">
        <f t="shared" ref="AQ1136:AQ1140" si="434">+AI1136*SQRT(T1136*U1136/S1136)</f>
        <v>183.19790147873974</v>
      </c>
      <c r="AR1136" s="67"/>
      <c r="AS1136" s="67">
        <f t="shared" ref="AS1136:AS1140" si="435">+AP1136^2/(AU1136-2)*(AU1136/(V1136/AI1136)^2+AU1136*AV1136^2-AU1136+2)</f>
        <v>1.0483598632488906E-3</v>
      </c>
      <c r="AT1136" s="67"/>
      <c r="AU1136" s="67">
        <f t="shared" ref="AU1136:AU1140" si="436">+S1136-2</f>
        <v>4394</v>
      </c>
      <c r="AV1136" s="67">
        <f t="shared" ref="AV1136:AV1140" si="437">IFERROR(1/(SQRT(AU1136/2)*_xlfn.GAMMA(AU1136/2-0.5)/_xlfn.GAMMA(AU1136/2)),1)</f>
        <v>1</v>
      </c>
      <c r="AW1136" s="67" t="s">
        <v>1350</v>
      </c>
    </row>
    <row r="1137" spans="1:49" s="63" customFormat="1" ht="30" customHeight="1" x14ac:dyDescent="0.25">
      <c r="A1137" s="60" t="s">
        <v>1670</v>
      </c>
      <c r="B1137" s="63" t="s">
        <v>1560</v>
      </c>
      <c r="C1137" s="60" t="s">
        <v>1670</v>
      </c>
      <c r="D1137" s="63">
        <v>27</v>
      </c>
      <c r="E1137" s="56" t="s">
        <v>605</v>
      </c>
      <c r="F1137" s="63" t="s">
        <v>240</v>
      </c>
      <c r="G1137" s="63" t="s">
        <v>1775</v>
      </c>
      <c r="H1137" s="63">
        <v>1</v>
      </c>
      <c r="I1137" s="63">
        <v>24</v>
      </c>
      <c r="J1137" s="63">
        <v>2</v>
      </c>
      <c r="K1137" s="63" t="s">
        <v>1773</v>
      </c>
      <c r="L1137" s="63" t="s">
        <v>1326</v>
      </c>
      <c r="M1137" s="57" t="s">
        <v>587</v>
      </c>
      <c r="N1137" s="63" t="s">
        <v>240</v>
      </c>
      <c r="O1137" s="63" t="s">
        <v>240</v>
      </c>
      <c r="P1137" s="63" t="s">
        <v>240</v>
      </c>
      <c r="Q1137" s="63" t="s">
        <v>240</v>
      </c>
      <c r="R1137" s="63" t="s">
        <v>238</v>
      </c>
      <c r="S1137" s="63">
        <f t="shared" si="417"/>
        <v>4396</v>
      </c>
      <c r="T1137" s="63">
        <v>2995</v>
      </c>
      <c r="U1137" s="63">
        <v>1401</v>
      </c>
      <c r="V1137" s="63">
        <v>110</v>
      </c>
      <c r="AB1137" s="63">
        <v>1699</v>
      </c>
      <c r="AC1137" s="63">
        <v>1589</v>
      </c>
      <c r="AF1137" s="67">
        <f t="shared" si="431"/>
        <v>0.6745717286406685</v>
      </c>
      <c r="AH1137" s="63">
        <v>0.5</v>
      </c>
      <c r="AI1137" s="67">
        <f t="shared" si="432"/>
        <v>163.06642471018068</v>
      </c>
      <c r="AK1137" s="63" t="s">
        <v>1740</v>
      </c>
      <c r="AP1137" s="67">
        <f t="shared" si="433"/>
        <v>2.1834311243266083E-2</v>
      </c>
      <c r="AQ1137" s="67">
        <f t="shared" si="434"/>
        <v>5037.9422906653435</v>
      </c>
      <c r="AR1137" s="67"/>
      <c r="AS1137" s="67">
        <f t="shared" si="435"/>
        <v>1.0483598632488903E-3</v>
      </c>
      <c r="AT1137" s="67"/>
      <c r="AU1137" s="67">
        <f t="shared" si="436"/>
        <v>4394</v>
      </c>
      <c r="AV1137" s="67">
        <f t="shared" si="437"/>
        <v>1</v>
      </c>
      <c r="AW1137" s="67" t="s">
        <v>1350</v>
      </c>
    </row>
    <row r="1138" spans="1:49" s="63" customFormat="1" ht="30" customHeight="1" x14ac:dyDescent="0.25">
      <c r="A1138" s="60" t="s">
        <v>1670</v>
      </c>
      <c r="B1138" s="63" t="s">
        <v>1560</v>
      </c>
      <c r="C1138" s="60" t="s">
        <v>1670</v>
      </c>
      <c r="D1138" s="63">
        <v>28</v>
      </c>
      <c r="E1138" s="56" t="s">
        <v>605</v>
      </c>
      <c r="F1138" s="63" t="s">
        <v>240</v>
      </c>
      <c r="G1138" s="63" t="s">
        <v>1775</v>
      </c>
      <c r="H1138" s="63">
        <v>1</v>
      </c>
      <c r="I1138" s="63">
        <v>36</v>
      </c>
      <c r="J1138" s="63">
        <v>2</v>
      </c>
      <c r="K1138" s="63" t="s">
        <v>1773</v>
      </c>
      <c r="L1138" s="63" t="s">
        <v>1326</v>
      </c>
      <c r="M1138" s="57" t="s">
        <v>587</v>
      </c>
      <c r="N1138" s="63" t="s">
        <v>240</v>
      </c>
      <c r="O1138" s="63" t="s">
        <v>240</v>
      </c>
      <c r="P1138" s="63" t="s">
        <v>240</v>
      </c>
      <c r="Q1138" s="63" t="s">
        <v>240</v>
      </c>
      <c r="R1138" s="63" t="s">
        <v>238</v>
      </c>
      <c r="S1138" s="63">
        <f t="shared" si="417"/>
        <v>4396</v>
      </c>
      <c r="T1138" s="63">
        <v>2995</v>
      </c>
      <c r="U1138" s="63">
        <v>1401</v>
      </c>
      <c r="V1138" s="63">
        <v>152</v>
      </c>
      <c r="AB1138" s="63">
        <v>1939</v>
      </c>
      <c r="AC1138" s="63">
        <v>1787</v>
      </c>
      <c r="AF1138" s="67">
        <f t="shared" si="431"/>
        <v>0.6745717286406685</v>
      </c>
      <c r="AH1138" s="63">
        <v>0.5</v>
      </c>
      <c r="AI1138" s="67">
        <f t="shared" si="432"/>
        <v>225.32815050861331</v>
      </c>
      <c r="AK1138" s="63" t="s">
        <v>1740</v>
      </c>
      <c r="AP1138" s="67">
        <f t="shared" si="433"/>
        <v>2.1834311243266083E-2</v>
      </c>
      <c r="AQ1138" s="67">
        <f t="shared" si="434"/>
        <v>6961.5202561921114</v>
      </c>
      <c r="AR1138" s="67"/>
      <c r="AS1138" s="67">
        <f t="shared" si="435"/>
        <v>1.0483598632488903E-3</v>
      </c>
      <c r="AT1138" s="67"/>
      <c r="AU1138" s="67">
        <f t="shared" si="436"/>
        <v>4394</v>
      </c>
      <c r="AV1138" s="67">
        <f t="shared" si="437"/>
        <v>1</v>
      </c>
      <c r="AW1138" s="67" t="s">
        <v>1350</v>
      </c>
    </row>
    <row r="1139" spans="1:49" s="63" customFormat="1" ht="30" customHeight="1" x14ac:dyDescent="0.25">
      <c r="A1139" s="60" t="s">
        <v>1670</v>
      </c>
      <c r="B1139" s="63" t="s">
        <v>1560</v>
      </c>
      <c r="C1139" s="60" t="s">
        <v>1670</v>
      </c>
      <c r="D1139" s="63">
        <v>29</v>
      </c>
      <c r="E1139" s="56" t="s">
        <v>605</v>
      </c>
      <c r="F1139" s="63" t="s">
        <v>240</v>
      </c>
      <c r="G1139" s="63" t="s">
        <v>1775</v>
      </c>
      <c r="H1139" s="63">
        <v>1</v>
      </c>
      <c r="I1139" s="63">
        <v>48</v>
      </c>
      <c r="J1139" s="63">
        <v>2</v>
      </c>
      <c r="K1139" s="63" t="s">
        <v>1773</v>
      </c>
      <c r="L1139" s="63" t="s">
        <v>1326</v>
      </c>
      <c r="M1139" s="57" t="s">
        <v>587</v>
      </c>
      <c r="N1139" s="63" t="s">
        <v>240</v>
      </c>
      <c r="O1139" s="63" t="s">
        <v>240</v>
      </c>
      <c r="P1139" s="63" t="s">
        <v>240</v>
      </c>
      <c r="Q1139" s="63" t="s">
        <v>240</v>
      </c>
      <c r="R1139" s="63" t="s">
        <v>238</v>
      </c>
      <c r="S1139" s="63">
        <f t="shared" si="417"/>
        <v>4396</v>
      </c>
      <c r="T1139" s="63">
        <v>2995</v>
      </c>
      <c r="U1139" s="63">
        <v>1401</v>
      </c>
      <c r="V1139" s="63">
        <v>125</v>
      </c>
      <c r="AB1139" s="63">
        <v>2053</v>
      </c>
      <c r="AC1139" s="63">
        <v>1928</v>
      </c>
      <c r="AF1139" s="67">
        <f t="shared" si="431"/>
        <v>0.6745717286406685</v>
      </c>
      <c r="AH1139" s="63">
        <v>0.5</v>
      </c>
      <c r="AI1139" s="67">
        <f t="shared" si="432"/>
        <v>185.30275535247804</v>
      </c>
      <c r="AK1139" s="63" t="s">
        <v>1740</v>
      </c>
      <c r="AP1139" s="67">
        <f t="shared" si="433"/>
        <v>2.1834311243266083E-2</v>
      </c>
      <c r="AQ1139" s="67">
        <f t="shared" si="434"/>
        <v>5724.934421210618</v>
      </c>
      <c r="AR1139" s="67"/>
      <c r="AS1139" s="67">
        <f t="shared" si="435"/>
        <v>1.0483598632488903E-3</v>
      </c>
      <c r="AT1139" s="67"/>
      <c r="AU1139" s="67">
        <f t="shared" si="436"/>
        <v>4394</v>
      </c>
      <c r="AV1139" s="67">
        <f t="shared" si="437"/>
        <v>1</v>
      </c>
      <c r="AW1139" s="67" t="s">
        <v>1350</v>
      </c>
    </row>
    <row r="1140" spans="1:49" s="63" customFormat="1" ht="30" customHeight="1" x14ac:dyDescent="0.25">
      <c r="A1140" s="60" t="s">
        <v>1670</v>
      </c>
      <c r="B1140" s="63" t="s">
        <v>1560</v>
      </c>
      <c r="C1140" s="60" t="s">
        <v>1670</v>
      </c>
      <c r="D1140" s="63">
        <v>30</v>
      </c>
      <c r="E1140" s="56" t="s">
        <v>605</v>
      </c>
      <c r="F1140" s="63" t="s">
        <v>240</v>
      </c>
      <c r="G1140" s="63" t="s">
        <v>1775</v>
      </c>
      <c r="H1140" s="63">
        <v>1</v>
      </c>
      <c r="I1140" s="63">
        <v>60</v>
      </c>
      <c r="J1140" s="63">
        <v>2</v>
      </c>
      <c r="K1140" s="63" t="s">
        <v>1773</v>
      </c>
      <c r="L1140" s="63" t="s">
        <v>1326</v>
      </c>
      <c r="M1140" s="57" t="s">
        <v>587</v>
      </c>
      <c r="N1140" s="63" t="s">
        <v>240</v>
      </c>
      <c r="O1140" s="63" t="s">
        <v>240</v>
      </c>
      <c r="P1140" s="63" t="s">
        <v>240</v>
      </c>
      <c r="Q1140" s="63" t="s">
        <v>240</v>
      </c>
      <c r="R1140" s="63" t="s">
        <v>238</v>
      </c>
      <c r="S1140" s="63">
        <f t="shared" si="417"/>
        <v>4396</v>
      </c>
      <c r="T1140" s="63">
        <v>2995</v>
      </c>
      <c r="U1140" s="63">
        <v>1401</v>
      </c>
      <c r="V1140" s="63">
        <v>213</v>
      </c>
      <c r="AB1140" s="63">
        <v>2472</v>
      </c>
      <c r="AC1140" s="63">
        <v>2259</v>
      </c>
      <c r="AF1140" s="67">
        <f t="shared" si="431"/>
        <v>0.6745717286406685</v>
      </c>
      <c r="AH1140" s="63">
        <v>0.5</v>
      </c>
      <c r="AI1140" s="67">
        <f t="shared" si="432"/>
        <v>315.7558951206226</v>
      </c>
      <c r="AK1140" s="63" t="s">
        <v>1740</v>
      </c>
      <c r="AP1140" s="67">
        <f t="shared" si="433"/>
        <v>2.1834311243266083E-2</v>
      </c>
      <c r="AQ1140" s="67">
        <f t="shared" si="434"/>
        <v>9755.2882537428923</v>
      </c>
      <c r="AR1140" s="67"/>
      <c r="AS1140" s="67">
        <f t="shared" si="435"/>
        <v>1.0483598632488903E-3</v>
      </c>
      <c r="AT1140" s="67"/>
      <c r="AU1140" s="67">
        <f t="shared" si="436"/>
        <v>4394</v>
      </c>
      <c r="AV1140" s="67">
        <f t="shared" si="437"/>
        <v>1</v>
      </c>
      <c r="AW1140" s="67" t="s">
        <v>1350</v>
      </c>
    </row>
    <row r="1141" spans="1:49" s="63" customFormat="1" ht="30" customHeight="1" x14ac:dyDescent="0.25">
      <c r="A1141" s="60" t="s">
        <v>1670</v>
      </c>
      <c r="B1141" s="63" t="s">
        <v>1560</v>
      </c>
      <c r="C1141" s="60" t="s">
        <v>1670</v>
      </c>
      <c r="D1141" s="63">
        <v>31</v>
      </c>
      <c r="E1141" s="56" t="s">
        <v>605</v>
      </c>
      <c r="F1141" s="63" t="s">
        <v>240</v>
      </c>
      <c r="G1141" s="63" t="s">
        <v>1776</v>
      </c>
      <c r="H1141" s="63">
        <v>1</v>
      </c>
      <c r="I1141" s="63">
        <v>12</v>
      </c>
      <c r="J1141" s="63">
        <v>1</v>
      </c>
      <c r="K1141" s="63" t="s">
        <v>1320</v>
      </c>
      <c r="L1141" s="63" t="s">
        <v>240</v>
      </c>
      <c r="M1141" s="57" t="s">
        <v>587</v>
      </c>
      <c r="N1141" s="63" t="s">
        <v>240</v>
      </c>
      <c r="O1141" s="63" t="s">
        <v>240</v>
      </c>
      <c r="P1141" s="63" t="s">
        <v>240</v>
      </c>
      <c r="Q1141" s="63" t="s">
        <v>240</v>
      </c>
      <c r="R1141" s="63" t="s">
        <v>238</v>
      </c>
      <c r="S1141" s="63">
        <f t="shared" si="417"/>
        <v>5508</v>
      </c>
      <c r="T1141" s="63">
        <v>4457</v>
      </c>
      <c r="U1141" s="63">
        <v>1051</v>
      </c>
      <c r="V1141" s="63">
        <v>0.18</v>
      </c>
      <c r="AB1141" s="63">
        <v>0.52100000000000002</v>
      </c>
      <c r="AC1141" s="63">
        <v>0.34</v>
      </c>
      <c r="AF1141" s="102">
        <f t="shared" ref="AF1141:AF1145" si="438">_xlfn.T.INV.2T(AH1141,S1141-2)</f>
        <v>2.5767225386686703</v>
      </c>
      <c r="AH1141" s="63">
        <v>0.01</v>
      </c>
      <c r="AI1141" s="102">
        <f t="shared" ref="AI1141:AI1145" si="439">ABS(V1141/AF1141)</f>
        <v>6.9856182533724262E-2</v>
      </c>
      <c r="AK1141" s="63" t="s">
        <v>1744</v>
      </c>
    </row>
    <row r="1142" spans="1:49" s="63" customFormat="1" ht="30" customHeight="1" x14ac:dyDescent="0.25">
      <c r="A1142" s="60" t="s">
        <v>1670</v>
      </c>
      <c r="B1142" s="63" t="s">
        <v>1560</v>
      </c>
      <c r="C1142" s="60" t="s">
        <v>1670</v>
      </c>
      <c r="D1142" s="63">
        <v>32</v>
      </c>
      <c r="E1142" s="56" t="s">
        <v>605</v>
      </c>
      <c r="F1142" s="63" t="s">
        <v>240</v>
      </c>
      <c r="G1142" s="63" t="s">
        <v>1776</v>
      </c>
      <c r="H1142" s="63">
        <v>1</v>
      </c>
      <c r="I1142" s="63">
        <v>24</v>
      </c>
      <c r="J1142" s="63">
        <v>1</v>
      </c>
      <c r="K1142" s="63" t="s">
        <v>1320</v>
      </c>
      <c r="L1142" s="63" t="s">
        <v>240</v>
      </c>
      <c r="M1142" s="57" t="s">
        <v>587</v>
      </c>
      <c r="N1142" s="63" t="s">
        <v>240</v>
      </c>
      <c r="O1142" s="63" t="s">
        <v>240</v>
      </c>
      <c r="P1142" s="63" t="s">
        <v>240</v>
      </c>
      <c r="Q1142" s="63" t="s">
        <v>240</v>
      </c>
      <c r="R1142" s="63" t="s">
        <v>238</v>
      </c>
      <c r="S1142" s="63">
        <f t="shared" si="417"/>
        <v>5508</v>
      </c>
      <c r="T1142" s="63">
        <v>4457</v>
      </c>
      <c r="U1142" s="63">
        <v>1051</v>
      </c>
      <c r="V1142" s="63">
        <v>0.14000000000000001</v>
      </c>
      <c r="AB1142" s="63">
        <v>0.49399999999999999</v>
      </c>
      <c r="AC1142" s="63">
        <v>0.35399999999999998</v>
      </c>
      <c r="AF1142" s="102">
        <f t="shared" si="438"/>
        <v>2.5767225386686703</v>
      </c>
      <c r="AH1142" s="63">
        <v>0.01</v>
      </c>
      <c r="AI1142" s="102">
        <f t="shared" si="439"/>
        <v>5.4332586415118872E-2</v>
      </c>
      <c r="AK1142" s="63" t="s">
        <v>1744</v>
      </c>
    </row>
    <row r="1143" spans="1:49" s="63" customFormat="1" ht="30" customHeight="1" x14ac:dyDescent="0.25">
      <c r="A1143" s="60" t="s">
        <v>1670</v>
      </c>
      <c r="B1143" s="63" t="s">
        <v>1560</v>
      </c>
      <c r="C1143" s="60" t="s">
        <v>1670</v>
      </c>
      <c r="D1143" s="63">
        <v>33</v>
      </c>
      <c r="E1143" s="56" t="s">
        <v>605</v>
      </c>
      <c r="F1143" s="63" t="s">
        <v>240</v>
      </c>
      <c r="G1143" s="63" t="s">
        <v>1776</v>
      </c>
      <c r="H1143" s="63">
        <v>1</v>
      </c>
      <c r="I1143" s="63">
        <v>36</v>
      </c>
      <c r="J1143" s="63">
        <v>1</v>
      </c>
      <c r="K1143" s="63" t="s">
        <v>1320</v>
      </c>
      <c r="L1143" s="63" t="s">
        <v>240</v>
      </c>
      <c r="M1143" s="57" t="s">
        <v>587</v>
      </c>
      <c r="N1143" s="63" t="s">
        <v>240</v>
      </c>
      <c r="O1143" s="63" t="s">
        <v>240</v>
      </c>
      <c r="P1143" s="63" t="s">
        <v>240</v>
      </c>
      <c r="Q1143" s="63" t="s">
        <v>240</v>
      </c>
      <c r="R1143" s="63" t="s">
        <v>238</v>
      </c>
      <c r="S1143" s="63">
        <f t="shared" si="417"/>
        <v>5508</v>
      </c>
      <c r="T1143" s="63">
        <v>4457</v>
      </c>
      <c r="U1143" s="63">
        <v>1051</v>
      </c>
      <c r="V1143" s="63">
        <v>9.1999999999999998E-2</v>
      </c>
      <c r="AB1143" s="63">
        <v>0.44500000000000001</v>
      </c>
      <c r="AC1143" s="63">
        <v>0.35299999999999998</v>
      </c>
      <c r="AF1143" s="102">
        <f t="shared" si="438"/>
        <v>2.5767225386686703</v>
      </c>
      <c r="AH1143" s="63">
        <v>0.01</v>
      </c>
      <c r="AI1143" s="102">
        <f t="shared" si="439"/>
        <v>3.57042710727924E-2</v>
      </c>
      <c r="AK1143" s="63" t="s">
        <v>1744</v>
      </c>
    </row>
    <row r="1144" spans="1:49" s="63" customFormat="1" ht="30" customHeight="1" x14ac:dyDescent="0.25">
      <c r="A1144" s="60" t="s">
        <v>1670</v>
      </c>
      <c r="B1144" s="63" t="s">
        <v>1560</v>
      </c>
      <c r="C1144" s="60" t="s">
        <v>1670</v>
      </c>
      <c r="D1144" s="63">
        <v>34</v>
      </c>
      <c r="E1144" s="56" t="s">
        <v>605</v>
      </c>
      <c r="F1144" s="63" t="s">
        <v>240</v>
      </c>
      <c r="G1144" s="63" t="s">
        <v>1776</v>
      </c>
      <c r="H1144" s="63">
        <v>1</v>
      </c>
      <c r="I1144" s="63">
        <v>48</v>
      </c>
      <c r="J1144" s="63">
        <v>1</v>
      </c>
      <c r="K1144" s="63" t="s">
        <v>1320</v>
      </c>
      <c r="L1144" s="63" t="s">
        <v>240</v>
      </c>
      <c r="M1144" s="57" t="s">
        <v>587</v>
      </c>
      <c r="N1144" s="63" t="s">
        <v>240</v>
      </c>
      <c r="O1144" s="63" t="s">
        <v>240</v>
      </c>
      <c r="P1144" s="63" t="s">
        <v>240</v>
      </c>
      <c r="Q1144" s="63" t="s">
        <v>240</v>
      </c>
      <c r="R1144" s="63" t="s">
        <v>238</v>
      </c>
      <c r="S1144" s="63">
        <f t="shared" si="417"/>
        <v>5508</v>
      </c>
      <c r="T1144" s="63">
        <v>4457</v>
      </c>
      <c r="U1144" s="63">
        <v>1051</v>
      </c>
      <c r="V1144" s="63">
        <v>7.2999999999999995E-2</v>
      </c>
      <c r="AB1144" s="63">
        <v>0.41099999999999998</v>
      </c>
      <c r="AC1144" s="63">
        <v>0.33800000000000002</v>
      </c>
      <c r="AF1144" s="102">
        <f t="shared" si="438"/>
        <v>2.5767225386686703</v>
      </c>
      <c r="AH1144" s="63">
        <v>0.01</v>
      </c>
      <c r="AI1144" s="102">
        <f t="shared" si="439"/>
        <v>2.8330562916454836E-2</v>
      </c>
      <c r="AK1144" s="63" t="s">
        <v>1744</v>
      </c>
    </row>
    <row r="1145" spans="1:49" s="63" customFormat="1" ht="30" customHeight="1" x14ac:dyDescent="0.25">
      <c r="A1145" s="60" t="s">
        <v>1670</v>
      </c>
      <c r="B1145" s="63" t="s">
        <v>1560</v>
      </c>
      <c r="C1145" s="60" t="s">
        <v>1670</v>
      </c>
      <c r="D1145" s="63">
        <v>35</v>
      </c>
      <c r="E1145" s="56" t="s">
        <v>605</v>
      </c>
      <c r="F1145" s="63" t="s">
        <v>240</v>
      </c>
      <c r="G1145" s="63" t="s">
        <v>1776</v>
      </c>
      <c r="H1145" s="63">
        <v>1</v>
      </c>
      <c r="I1145" s="63">
        <v>60</v>
      </c>
      <c r="J1145" s="63">
        <v>1</v>
      </c>
      <c r="K1145" s="63" t="s">
        <v>1320</v>
      </c>
      <c r="L1145" s="63" t="s">
        <v>240</v>
      </c>
      <c r="M1145" s="57" t="s">
        <v>587</v>
      </c>
      <c r="N1145" s="63" t="s">
        <v>240</v>
      </c>
      <c r="O1145" s="63" t="s">
        <v>240</v>
      </c>
      <c r="P1145" s="63" t="s">
        <v>240</v>
      </c>
      <c r="Q1145" s="63" t="s">
        <v>240</v>
      </c>
      <c r="R1145" s="63" t="s">
        <v>238</v>
      </c>
      <c r="S1145" s="63">
        <f t="shared" si="417"/>
        <v>5508</v>
      </c>
      <c r="T1145" s="63">
        <v>4457</v>
      </c>
      <c r="U1145" s="63">
        <v>1051</v>
      </c>
      <c r="V1145" s="63">
        <v>0.06</v>
      </c>
      <c r="AB1145" s="63">
        <v>0.39400000000000002</v>
      </c>
      <c r="AC1145" s="63">
        <v>0.33400000000000002</v>
      </c>
      <c r="AF1145" s="102">
        <f t="shared" si="438"/>
        <v>2.5767225386686703</v>
      </c>
      <c r="AH1145" s="63">
        <v>0.01</v>
      </c>
      <c r="AI1145" s="102">
        <f t="shared" si="439"/>
        <v>2.3285394177908085E-2</v>
      </c>
      <c r="AK1145" s="63" t="s">
        <v>1744</v>
      </c>
    </row>
    <row r="1146" spans="1:49" s="63" customFormat="1" ht="30" customHeight="1" x14ac:dyDescent="0.25">
      <c r="A1146" s="60" t="s">
        <v>1670</v>
      </c>
      <c r="B1146" s="63" t="s">
        <v>1560</v>
      </c>
      <c r="C1146" s="60" t="s">
        <v>1670</v>
      </c>
      <c r="D1146" s="63">
        <v>36</v>
      </c>
      <c r="E1146" s="56" t="s">
        <v>605</v>
      </c>
      <c r="F1146" s="63" t="s">
        <v>240</v>
      </c>
      <c r="G1146" s="63" t="s">
        <v>1776</v>
      </c>
      <c r="H1146" s="63">
        <v>1</v>
      </c>
      <c r="I1146" s="63">
        <v>12</v>
      </c>
      <c r="J1146" s="63">
        <v>2</v>
      </c>
      <c r="K1146" s="63" t="s">
        <v>1773</v>
      </c>
      <c r="L1146" s="63" t="s">
        <v>1326</v>
      </c>
      <c r="M1146" s="57" t="s">
        <v>587</v>
      </c>
      <c r="N1146" s="63" t="s">
        <v>240</v>
      </c>
      <c r="O1146" s="63" t="s">
        <v>240</v>
      </c>
      <c r="P1146" s="63" t="s">
        <v>240</v>
      </c>
      <c r="Q1146" s="63" t="s">
        <v>240</v>
      </c>
      <c r="R1146" s="63" t="s">
        <v>238</v>
      </c>
      <c r="S1146" s="63">
        <f t="shared" si="417"/>
        <v>5508</v>
      </c>
      <c r="T1146" s="63">
        <v>4457</v>
      </c>
      <c r="U1146" s="63">
        <v>1051</v>
      </c>
      <c r="V1146" s="63">
        <v>920</v>
      </c>
      <c r="AB1146" s="63">
        <v>2470</v>
      </c>
      <c r="AC1146" s="63">
        <v>1550</v>
      </c>
      <c r="AF1146" s="67">
        <f t="shared" ref="AF1146:AF1150" si="440">_xlfn.T.INV.2T(AH1146,T1146-2)</f>
        <v>2.5769333509837535</v>
      </c>
      <c r="AH1146" s="63">
        <v>0.01</v>
      </c>
      <c r="AI1146" s="67">
        <f t="shared" ref="AI1146:AI1150" si="441">+ABS(V1146/AF1146)</f>
        <v>357.01350197853844</v>
      </c>
      <c r="AK1146" s="63" t="s">
        <v>1744</v>
      </c>
      <c r="AP1146" s="67">
        <f t="shared" ref="AP1146:AP1150" si="442">+V1146/AQ1146</f>
        <v>8.8364429310924905E-2</v>
      </c>
      <c r="AQ1146" s="67">
        <f t="shared" ref="AQ1146:AQ1150" si="443">+AI1146*SQRT(T1146*U1146/S1146)</f>
        <v>10411.429204876404</v>
      </c>
      <c r="AR1146" s="67"/>
      <c r="AS1146" s="67">
        <f t="shared" ref="AS1146:AS1150" si="444">+AP1146^2/(AU1146-2)*(AU1146/(V1146/AI1146)^2+AU1146*AV1146^2-AU1146+2)</f>
        <v>1.1791055275610675E-3</v>
      </c>
      <c r="AT1146" s="67"/>
      <c r="AU1146" s="67">
        <f t="shared" ref="AU1146:AU1150" si="445">+S1146-2</f>
        <v>5506</v>
      </c>
      <c r="AV1146" s="67">
        <f t="shared" ref="AV1146:AV1150" si="446">IFERROR(1/(SQRT(AU1146/2)*_xlfn.GAMMA(AU1146/2-0.5)/_xlfn.GAMMA(AU1146/2)),1)</f>
        <v>1</v>
      </c>
      <c r="AW1146" s="67" t="s">
        <v>1350</v>
      </c>
    </row>
    <row r="1147" spans="1:49" s="63" customFormat="1" ht="30" customHeight="1" x14ac:dyDescent="0.25">
      <c r="A1147" s="60" t="s">
        <v>1670</v>
      </c>
      <c r="B1147" s="63" t="s">
        <v>1560</v>
      </c>
      <c r="C1147" s="60" t="s">
        <v>1670</v>
      </c>
      <c r="D1147" s="63">
        <v>37</v>
      </c>
      <c r="E1147" s="56" t="s">
        <v>605</v>
      </c>
      <c r="F1147" s="63" t="s">
        <v>240</v>
      </c>
      <c r="G1147" s="63" t="s">
        <v>1776</v>
      </c>
      <c r="H1147" s="63">
        <v>1</v>
      </c>
      <c r="I1147" s="63">
        <v>24</v>
      </c>
      <c r="J1147" s="63">
        <v>2</v>
      </c>
      <c r="K1147" s="63" t="s">
        <v>1773</v>
      </c>
      <c r="L1147" s="63" t="s">
        <v>1326</v>
      </c>
      <c r="M1147" s="57" t="s">
        <v>587</v>
      </c>
      <c r="N1147" s="63" t="s">
        <v>240</v>
      </c>
      <c r="O1147" s="63" t="s">
        <v>240</v>
      </c>
      <c r="P1147" s="63" t="s">
        <v>240</v>
      </c>
      <c r="Q1147" s="63" t="s">
        <v>240</v>
      </c>
      <c r="R1147" s="63" t="s">
        <v>238</v>
      </c>
      <c r="S1147" s="63">
        <f t="shared" si="417"/>
        <v>5508</v>
      </c>
      <c r="T1147" s="63">
        <v>4457</v>
      </c>
      <c r="U1147" s="63">
        <v>1051</v>
      </c>
      <c r="V1147" s="63">
        <v>1183</v>
      </c>
      <c r="AB1147" s="63">
        <v>3416</v>
      </c>
      <c r="AC1147" s="63">
        <v>2233</v>
      </c>
      <c r="AF1147" s="67">
        <f t="shared" si="440"/>
        <v>2.5769333509837535</v>
      </c>
      <c r="AH1147" s="63">
        <v>0.01</v>
      </c>
      <c r="AI1147" s="67">
        <f t="shared" si="441"/>
        <v>459.0727965658815</v>
      </c>
      <c r="AK1147" s="63" t="s">
        <v>1744</v>
      </c>
      <c r="AP1147" s="67">
        <f t="shared" si="442"/>
        <v>8.8364429310924891E-2</v>
      </c>
      <c r="AQ1147" s="67">
        <f t="shared" si="443"/>
        <v>13387.739944966072</v>
      </c>
      <c r="AR1147" s="67"/>
      <c r="AS1147" s="67">
        <f t="shared" si="444"/>
        <v>1.1791055275610671E-3</v>
      </c>
      <c r="AT1147" s="67"/>
      <c r="AU1147" s="67">
        <f t="shared" si="445"/>
        <v>5506</v>
      </c>
      <c r="AV1147" s="67">
        <f t="shared" si="446"/>
        <v>1</v>
      </c>
      <c r="AW1147" s="67" t="s">
        <v>1350</v>
      </c>
    </row>
    <row r="1148" spans="1:49" s="63" customFormat="1" ht="30" customHeight="1" x14ac:dyDescent="0.25">
      <c r="A1148" s="60" t="s">
        <v>1670</v>
      </c>
      <c r="B1148" s="63" t="s">
        <v>1560</v>
      </c>
      <c r="C1148" s="60" t="s">
        <v>1670</v>
      </c>
      <c r="D1148" s="63">
        <v>38</v>
      </c>
      <c r="E1148" s="56" t="s">
        <v>605</v>
      </c>
      <c r="F1148" s="63" t="s">
        <v>240</v>
      </c>
      <c r="G1148" s="63" t="s">
        <v>1776</v>
      </c>
      <c r="H1148" s="63">
        <v>1</v>
      </c>
      <c r="I1148" s="63">
        <v>36</v>
      </c>
      <c r="J1148" s="63">
        <v>2</v>
      </c>
      <c r="K1148" s="63" t="s">
        <v>1773</v>
      </c>
      <c r="L1148" s="63" t="s">
        <v>1326</v>
      </c>
      <c r="M1148" s="57" t="s">
        <v>587</v>
      </c>
      <c r="N1148" s="63" t="s">
        <v>240</v>
      </c>
      <c r="O1148" s="63" t="s">
        <v>240</v>
      </c>
      <c r="P1148" s="63" t="s">
        <v>240</v>
      </c>
      <c r="Q1148" s="63" t="s">
        <v>240</v>
      </c>
      <c r="R1148" s="63" t="s">
        <v>238</v>
      </c>
      <c r="S1148" s="63">
        <f t="shared" si="417"/>
        <v>5508</v>
      </c>
      <c r="T1148" s="63">
        <v>4457</v>
      </c>
      <c r="U1148" s="63">
        <v>1051</v>
      </c>
      <c r="V1148" s="63">
        <v>1010</v>
      </c>
      <c r="AB1148" s="63">
        <v>3563</v>
      </c>
      <c r="AC1148" s="63">
        <v>2553</v>
      </c>
      <c r="AF1148" s="67">
        <f t="shared" si="440"/>
        <v>2.5769333509837535</v>
      </c>
      <c r="AH1148" s="63">
        <v>0.01</v>
      </c>
      <c r="AI1148" s="67">
        <f t="shared" si="441"/>
        <v>391.93873586774328</v>
      </c>
      <c r="AK1148" s="63" t="s">
        <v>1744</v>
      </c>
      <c r="AP1148" s="67">
        <f t="shared" si="442"/>
        <v>8.8364429310924905E-2</v>
      </c>
      <c r="AQ1148" s="67">
        <f t="shared" si="443"/>
        <v>11429.938583614312</v>
      </c>
      <c r="AR1148" s="67"/>
      <c r="AS1148" s="67">
        <f t="shared" si="444"/>
        <v>1.1791055275610675E-3</v>
      </c>
      <c r="AT1148" s="67"/>
      <c r="AU1148" s="67">
        <f t="shared" si="445"/>
        <v>5506</v>
      </c>
      <c r="AV1148" s="67">
        <f t="shared" si="446"/>
        <v>1</v>
      </c>
      <c r="AW1148" s="67" t="s">
        <v>1350</v>
      </c>
    </row>
    <row r="1149" spans="1:49" s="63" customFormat="1" ht="30" customHeight="1" x14ac:dyDescent="0.25">
      <c r="A1149" s="60" t="s">
        <v>1670</v>
      </c>
      <c r="B1149" s="63" t="s">
        <v>1560</v>
      </c>
      <c r="C1149" s="60" t="s">
        <v>1670</v>
      </c>
      <c r="D1149" s="63">
        <v>39</v>
      </c>
      <c r="E1149" s="56" t="s">
        <v>605</v>
      </c>
      <c r="F1149" s="63" t="s">
        <v>240</v>
      </c>
      <c r="G1149" s="63" t="s">
        <v>1776</v>
      </c>
      <c r="H1149" s="63">
        <v>1</v>
      </c>
      <c r="I1149" s="63">
        <v>48</v>
      </c>
      <c r="J1149" s="63">
        <v>2</v>
      </c>
      <c r="K1149" s="63" t="s">
        <v>1773</v>
      </c>
      <c r="L1149" s="63" t="s">
        <v>1326</v>
      </c>
      <c r="M1149" s="57" t="s">
        <v>587</v>
      </c>
      <c r="N1149" s="63" t="s">
        <v>240</v>
      </c>
      <c r="O1149" s="63" t="s">
        <v>240</v>
      </c>
      <c r="P1149" s="63" t="s">
        <v>240</v>
      </c>
      <c r="Q1149" s="63" t="s">
        <v>240</v>
      </c>
      <c r="R1149" s="63" t="s">
        <v>238</v>
      </c>
      <c r="S1149" s="63">
        <f t="shared" si="417"/>
        <v>5508</v>
      </c>
      <c r="T1149" s="63">
        <v>4457</v>
      </c>
      <c r="U1149" s="63">
        <v>1051</v>
      </c>
      <c r="V1149" s="63">
        <v>1004</v>
      </c>
      <c r="AB1149" s="63">
        <v>3678</v>
      </c>
      <c r="AC1149" s="63">
        <v>2684</v>
      </c>
      <c r="AF1149" s="67">
        <f t="shared" si="440"/>
        <v>2.5769333509837535</v>
      </c>
      <c r="AH1149" s="63">
        <v>0.01</v>
      </c>
      <c r="AI1149" s="67">
        <f t="shared" si="441"/>
        <v>389.61038694179632</v>
      </c>
      <c r="AK1149" s="63" t="s">
        <v>1744</v>
      </c>
      <c r="AP1149" s="67">
        <f t="shared" si="442"/>
        <v>8.8364429310924891E-2</v>
      </c>
      <c r="AQ1149" s="67">
        <f t="shared" si="443"/>
        <v>11362.037958365119</v>
      </c>
      <c r="AR1149" s="67"/>
      <c r="AS1149" s="67">
        <f t="shared" si="444"/>
        <v>1.1791055275610671E-3</v>
      </c>
      <c r="AT1149" s="67"/>
      <c r="AU1149" s="67">
        <f t="shared" si="445"/>
        <v>5506</v>
      </c>
      <c r="AV1149" s="67">
        <f t="shared" si="446"/>
        <v>1</v>
      </c>
      <c r="AW1149" s="67" t="s">
        <v>1350</v>
      </c>
    </row>
    <row r="1150" spans="1:49" s="63" customFormat="1" ht="30" customHeight="1" x14ac:dyDescent="0.25">
      <c r="A1150" s="60" t="s">
        <v>1670</v>
      </c>
      <c r="B1150" s="63" t="s">
        <v>1560</v>
      </c>
      <c r="C1150" s="60" t="s">
        <v>1670</v>
      </c>
      <c r="D1150" s="63">
        <v>40</v>
      </c>
      <c r="E1150" s="56" t="s">
        <v>605</v>
      </c>
      <c r="F1150" s="63" t="s">
        <v>240</v>
      </c>
      <c r="G1150" s="63" t="s">
        <v>1776</v>
      </c>
      <c r="H1150" s="63">
        <v>1</v>
      </c>
      <c r="I1150" s="63">
        <v>60</v>
      </c>
      <c r="J1150" s="63">
        <v>2</v>
      </c>
      <c r="K1150" s="63" t="s">
        <v>1773</v>
      </c>
      <c r="L1150" s="63" t="s">
        <v>1326</v>
      </c>
      <c r="M1150" s="57" t="s">
        <v>587</v>
      </c>
      <c r="N1150" s="63" t="s">
        <v>240</v>
      </c>
      <c r="O1150" s="63" t="s">
        <v>240</v>
      </c>
      <c r="P1150" s="63" t="s">
        <v>240</v>
      </c>
      <c r="Q1150" s="63" t="s">
        <v>240</v>
      </c>
      <c r="R1150" s="63" t="s">
        <v>238</v>
      </c>
      <c r="S1150" s="63">
        <f t="shared" si="417"/>
        <v>5508</v>
      </c>
      <c r="T1150" s="63">
        <v>4457</v>
      </c>
      <c r="U1150" s="63">
        <v>1051</v>
      </c>
      <c r="V1150" s="63">
        <v>922</v>
      </c>
      <c r="AB1150" s="63">
        <v>3839</v>
      </c>
      <c r="AC1150" s="63">
        <v>2917</v>
      </c>
      <c r="AF1150" s="67">
        <f t="shared" si="440"/>
        <v>2.5769333509837535</v>
      </c>
      <c r="AH1150" s="63">
        <v>0.01</v>
      </c>
      <c r="AI1150" s="67">
        <f t="shared" si="441"/>
        <v>357.78961828718747</v>
      </c>
      <c r="AK1150" s="63" t="s">
        <v>1744</v>
      </c>
      <c r="AP1150" s="67">
        <f t="shared" si="442"/>
        <v>8.8364429310924891E-2</v>
      </c>
      <c r="AQ1150" s="67">
        <f t="shared" si="443"/>
        <v>10434.062746626136</v>
      </c>
      <c r="AR1150" s="67"/>
      <c r="AS1150" s="67">
        <f t="shared" si="444"/>
        <v>1.1791055275610671E-3</v>
      </c>
      <c r="AT1150" s="67"/>
      <c r="AU1150" s="67">
        <f t="shared" si="445"/>
        <v>5506</v>
      </c>
      <c r="AV1150" s="67">
        <f t="shared" si="446"/>
        <v>1</v>
      </c>
      <c r="AW1150" s="67" t="s">
        <v>1350</v>
      </c>
    </row>
    <row r="1151" spans="1:49" s="63" customFormat="1" ht="30" customHeight="1" x14ac:dyDescent="0.25">
      <c r="A1151" s="60" t="s">
        <v>1670</v>
      </c>
      <c r="B1151" s="63" t="s">
        <v>1560</v>
      </c>
      <c r="C1151" s="60" t="s">
        <v>1670</v>
      </c>
      <c r="D1151" s="63">
        <v>41</v>
      </c>
      <c r="E1151" s="56" t="s">
        <v>605</v>
      </c>
      <c r="F1151" s="63" t="s">
        <v>240</v>
      </c>
      <c r="G1151" s="63" t="s">
        <v>1777</v>
      </c>
      <c r="H1151" s="63">
        <v>1</v>
      </c>
      <c r="I1151" s="63">
        <v>12</v>
      </c>
      <c r="J1151" s="63">
        <v>1</v>
      </c>
      <c r="K1151" s="63" t="s">
        <v>1320</v>
      </c>
      <c r="L1151" s="63" t="s">
        <v>240</v>
      </c>
      <c r="M1151" s="57" t="s">
        <v>587</v>
      </c>
      <c r="N1151" s="63" t="s">
        <v>240</v>
      </c>
      <c r="O1151" s="63" t="s">
        <v>240</v>
      </c>
      <c r="P1151" s="63" t="s">
        <v>240</v>
      </c>
      <c r="Q1151" s="63" t="s">
        <v>240</v>
      </c>
      <c r="R1151" s="63" t="s">
        <v>238</v>
      </c>
      <c r="S1151" s="63">
        <f t="shared" si="417"/>
        <v>8219</v>
      </c>
      <c r="T1151" s="63">
        <v>7049</v>
      </c>
      <c r="U1151" s="63">
        <v>1170</v>
      </c>
      <c r="V1151" s="63">
        <v>0.06</v>
      </c>
      <c r="AB1151" s="63">
        <v>0.46</v>
      </c>
      <c r="AC1151" s="63">
        <v>0.4</v>
      </c>
      <c r="AF1151" s="102">
        <f t="shared" ref="AF1151:AF1155" si="447">_xlfn.T.INV.2T(AH1151,S1151-2)</f>
        <v>2.5764277729367651</v>
      </c>
      <c r="AH1151" s="63">
        <v>0.01</v>
      </c>
      <c r="AI1151" s="102">
        <f t="shared" ref="AI1151:AI1155" si="448">ABS(V1151/AF1151)</f>
        <v>2.3288058229402039E-2</v>
      </c>
      <c r="AK1151" s="63" t="s">
        <v>1744</v>
      </c>
    </row>
    <row r="1152" spans="1:49" s="63" customFormat="1" ht="30" customHeight="1" x14ac:dyDescent="0.25">
      <c r="A1152" s="60" t="s">
        <v>1670</v>
      </c>
      <c r="B1152" s="63" t="s">
        <v>1560</v>
      </c>
      <c r="C1152" s="60" t="s">
        <v>1670</v>
      </c>
      <c r="D1152" s="63">
        <v>42</v>
      </c>
      <c r="E1152" s="56" t="s">
        <v>605</v>
      </c>
      <c r="F1152" s="63" t="s">
        <v>240</v>
      </c>
      <c r="G1152" s="63" t="s">
        <v>1777</v>
      </c>
      <c r="H1152" s="63">
        <v>1</v>
      </c>
      <c r="I1152" s="63">
        <v>24</v>
      </c>
      <c r="J1152" s="63">
        <v>1</v>
      </c>
      <c r="K1152" s="63" t="s">
        <v>1320</v>
      </c>
      <c r="L1152" s="63" t="s">
        <v>240</v>
      </c>
      <c r="M1152" s="57" t="s">
        <v>587</v>
      </c>
      <c r="N1152" s="63" t="s">
        <v>240</v>
      </c>
      <c r="O1152" s="63" t="s">
        <v>240</v>
      </c>
      <c r="P1152" s="63" t="s">
        <v>240</v>
      </c>
      <c r="Q1152" s="63" t="s">
        <v>240</v>
      </c>
      <c r="R1152" s="63" t="s">
        <v>238</v>
      </c>
      <c r="S1152" s="63">
        <f t="shared" si="417"/>
        <v>8219</v>
      </c>
      <c r="T1152" s="63">
        <v>7049</v>
      </c>
      <c r="U1152" s="63">
        <v>1170</v>
      </c>
      <c r="V1152" s="63">
        <v>5.0999999999999997E-2</v>
      </c>
      <c r="AB1152" s="63">
        <v>0.45900000000000002</v>
      </c>
      <c r="AC1152" s="63">
        <v>0.40799999999999997</v>
      </c>
      <c r="AF1152" s="102">
        <f t="shared" si="447"/>
        <v>2.5764277729367651</v>
      </c>
      <c r="AH1152" s="63">
        <v>0.01</v>
      </c>
      <c r="AI1152" s="102">
        <f t="shared" si="448"/>
        <v>1.9794849494991731E-2</v>
      </c>
      <c r="AK1152" s="63" t="s">
        <v>1744</v>
      </c>
    </row>
    <row r="1153" spans="1:49" s="63" customFormat="1" ht="30" customHeight="1" x14ac:dyDescent="0.25">
      <c r="A1153" s="60" t="s">
        <v>1670</v>
      </c>
      <c r="B1153" s="63" t="s">
        <v>1560</v>
      </c>
      <c r="C1153" s="60" t="s">
        <v>1670</v>
      </c>
      <c r="D1153" s="63">
        <v>43</v>
      </c>
      <c r="E1153" s="56" t="s">
        <v>605</v>
      </c>
      <c r="F1153" s="63" t="s">
        <v>240</v>
      </c>
      <c r="G1153" s="63" t="s">
        <v>1777</v>
      </c>
      <c r="H1153" s="63">
        <v>1</v>
      </c>
      <c r="I1153" s="63">
        <v>36</v>
      </c>
      <c r="J1153" s="63">
        <v>1</v>
      </c>
      <c r="K1153" s="63" t="s">
        <v>1320</v>
      </c>
      <c r="L1153" s="63" t="s">
        <v>240</v>
      </c>
      <c r="M1153" s="57" t="s">
        <v>587</v>
      </c>
      <c r="N1153" s="63" t="s">
        <v>240</v>
      </c>
      <c r="O1153" s="63" t="s">
        <v>240</v>
      </c>
      <c r="P1153" s="63" t="s">
        <v>240</v>
      </c>
      <c r="Q1153" s="63" t="s">
        <v>240</v>
      </c>
      <c r="R1153" s="63" t="s">
        <v>238</v>
      </c>
      <c r="S1153" s="63">
        <f t="shared" si="417"/>
        <v>8219</v>
      </c>
      <c r="T1153" s="63">
        <v>7049</v>
      </c>
      <c r="U1153" s="63">
        <v>1170</v>
      </c>
      <c r="V1153" s="63">
        <v>5.1999999999999998E-2</v>
      </c>
      <c r="AB1153" s="63">
        <v>0.42499999999999999</v>
      </c>
      <c r="AC1153" s="63">
        <v>0.373</v>
      </c>
      <c r="AF1153" s="102">
        <f t="shared" si="447"/>
        <v>2.5764277729367651</v>
      </c>
      <c r="AH1153" s="63">
        <v>0.01</v>
      </c>
      <c r="AI1153" s="102">
        <f t="shared" si="448"/>
        <v>2.0182983798815099E-2</v>
      </c>
      <c r="AK1153" s="63" t="s">
        <v>1744</v>
      </c>
    </row>
    <row r="1154" spans="1:49" s="63" customFormat="1" ht="30" customHeight="1" x14ac:dyDescent="0.25">
      <c r="A1154" s="60" t="s">
        <v>1670</v>
      </c>
      <c r="B1154" s="63" t="s">
        <v>1560</v>
      </c>
      <c r="C1154" s="60" t="s">
        <v>1670</v>
      </c>
      <c r="D1154" s="63">
        <v>44</v>
      </c>
      <c r="E1154" s="56" t="s">
        <v>605</v>
      </c>
      <c r="F1154" s="63" t="s">
        <v>240</v>
      </c>
      <c r="G1154" s="63" t="s">
        <v>1777</v>
      </c>
      <c r="H1154" s="63">
        <v>1</v>
      </c>
      <c r="I1154" s="63">
        <v>48</v>
      </c>
      <c r="J1154" s="63">
        <v>1</v>
      </c>
      <c r="K1154" s="63" t="s">
        <v>1320</v>
      </c>
      <c r="L1154" s="63" t="s">
        <v>240</v>
      </c>
      <c r="M1154" s="57" t="s">
        <v>587</v>
      </c>
      <c r="N1154" s="63" t="s">
        <v>240</v>
      </c>
      <c r="O1154" s="63" t="s">
        <v>240</v>
      </c>
      <c r="P1154" s="63" t="s">
        <v>240</v>
      </c>
      <c r="Q1154" s="63" t="s">
        <v>240</v>
      </c>
      <c r="R1154" s="63" t="s">
        <v>238</v>
      </c>
      <c r="S1154" s="63">
        <f t="shared" si="417"/>
        <v>8219</v>
      </c>
      <c r="T1154" s="63">
        <v>7049</v>
      </c>
      <c r="U1154" s="63">
        <v>1170</v>
      </c>
      <c r="V1154" s="63">
        <v>3.5999999999999997E-2</v>
      </c>
      <c r="AB1154" s="63">
        <v>0.40799999999999997</v>
      </c>
      <c r="AC1154" s="63">
        <v>0.372</v>
      </c>
      <c r="AF1154" s="102">
        <f t="shared" si="447"/>
        <v>1.960252729186724</v>
      </c>
      <c r="AH1154" s="63">
        <v>0.05</v>
      </c>
      <c r="AI1154" s="102">
        <f t="shared" si="448"/>
        <v>1.8364978894805973E-2</v>
      </c>
      <c r="AK1154" s="63" t="s">
        <v>1324</v>
      </c>
    </row>
    <row r="1155" spans="1:49" s="63" customFormat="1" ht="30" customHeight="1" x14ac:dyDescent="0.25">
      <c r="A1155" s="60" t="s">
        <v>1670</v>
      </c>
      <c r="B1155" s="63" t="s">
        <v>1560</v>
      </c>
      <c r="C1155" s="60" t="s">
        <v>1670</v>
      </c>
      <c r="D1155" s="63">
        <v>45</v>
      </c>
      <c r="E1155" s="56" t="s">
        <v>605</v>
      </c>
      <c r="F1155" s="63" t="s">
        <v>240</v>
      </c>
      <c r="G1155" s="63" t="s">
        <v>1777</v>
      </c>
      <c r="H1155" s="63">
        <v>1</v>
      </c>
      <c r="I1155" s="63">
        <v>60</v>
      </c>
      <c r="J1155" s="63">
        <v>1</v>
      </c>
      <c r="K1155" s="63" t="s">
        <v>1320</v>
      </c>
      <c r="L1155" s="63" t="s">
        <v>240</v>
      </c>
      <c r="M1155" s="57" t="s">
        <v>587</v>
      </c>
      <c r="N1155" s="63" t="s">
        <v>240</v>
      </c>
      <c r="O1155" s="63" t="s">
        <v>240</v>
      </c>
      <c r="P1155" s="63" t="s">
        <v>240</v>
      </c>
      <c r="Q1155" s="63" t="s">
        <v>240</v>
      </c>
      <c r="R1155" s="63" t="s">
        <v>238</v>
      </c>
      <c r="S1155" s="63">
        <f t="shared" si="417"/>
        <v>8219</v>
      </c>
      <c r="T1155" s="63">
        <v>7049</v>
      </c>
      <c r="U1155" s="63">
        <v>1170</v>
      </c>
      <c r="V1155" s="63">
        <v>3.3000000000000002E-2</v>
      </c>
      <c r="AB1155" s="63">
        <v>0.40400000000000003</v>
      </c>
      <c r="AC1155" s="63">
        <v>0.371</v>
      </c>
      <c r="AF1155" s="102">
        <f t="shared" si="447"/>
        <v>1.960252729186724</v>
      </c>
      <c r="AH1155" s="63">
        <v>0.05</v>
      </c>
      <c r="AI1155" s="102">
        <f t="shared" si="448"/>
        <v>1.6834563986905478E-2</v>
      </c>
      <c r="AK1155" s="63" t="s">
        <v>1324</v>
      </c>
    </row>
    <row r="1156" spans="1:49" s="63" customFormat="1" ht="30" customHeight="1" x14ac:dyDescent="0.25">
      <c r="A1156" s="60" t="s">
        <v>1670</v>
      </c>
      <c r="B1156" s="63" t="s">
        <v>1560</v>
      </c>
      <c r="C1156" s="60" t="s">
        <v>1670</v>
      </c>
      <c r="D1156" s="63">
        <v>46</v>
      </c>
      <c r="E1156" s="56" t="s">
        <v>605</v>
      </c>
      <c r="F1156" s="63" t="s">
        <v>240</v>
      </c>
      <c r="G1156" s="63" t="s">
        <v>1777</v>
      </c>
      <c r="H1156" s="63">
        <v>1</v>
      </c>
      <c r="I1156" s="63">
        <v>12</v>
      </c>
      <c r="J1156" s="63">
        <v>2</v>
      </c>
      <c r="K1156" s="63" t="s">
        <v>1773</v>
      </c>
      <c r="L1156" s="63" t="s">
        <v>1326</v>
      </c>
      <c r="M1156" s="57" t="s">
        <v>587</v>
      </c>
      <c r="N1156" s="63" t="s">
        <v>240</v>
      </c>
      <c r="O1156" s="63" t="s">
        <v>240</v>
      </c>
      <c r="P1156" s="63" t="s">
        <v>240</v>
      </c>
      <c r="Q1156" s="63" t="s">
        <v>240</v>
      </c>
      <c r="R1156" s="63" t="s">
        <v>238</v>
      </c>
      <c r="S1156" s="63">
        <f t="shared" si="417"/>
        <v>8219</v>
      </c>
      <c r="T1156" s="63">
        <v>7049</v>
      </c>
      <c r="U1156" s="63">
        <v>1170</v>
      </c>
      <c r="V1156" s="63">
        <v>349</v>
      </c>
      <c r="AB1156" s="63">
        <v>2462</v>
      </c>
      <c r="AC1156" s="63">
        <v>2113</v>
      </c>
      <c r="AF1156" s="67">
        <f t="shared" ref="AF1156:AF1160" si="449">_xlfn.T.INV.2T(AH1156,T1156-2)</f>
        <v>1.9603006770057929</v>
      </c>
      <c r="AH1156" s="63">
        <v>0.05</v>
      </c>
      <c r="AI1156" s="67">
        <f t="shared" ref="AI1156:AI1160" si="450">+ABS(V1156/AF1156)</f>
        <v>178.03391290619274</v>
      </c>
      <c r="AK1156" s="63" t="s">
        <v>1324</v>
      </c>
      <c r="AP1156" s="67">
        <f t="shared" ref="AP1156:AP1160" si="451">+V1156/AQ1156</f>
        <v>6.1883589124350914E-2</v>
      </c>
      <c r="AQ1156" s="67">
        <f t="shared" ref="AQ1156:AQ1160" si="452">+AI1156*SQRT(T1156*U1156/S1156)</f>
        <v>5639.6211812910196</v>
      </c>
      <c r="AR1156" s="67"/>
      <c r="AS1156" s="67">
        <f t="shared" ref="AS1156:AS1160" si="453">+AP1156^2/(AU1156-2)*(AU1156/(V1156/AI1156)^2+AU1156*AV1156^2-AU1156+2)</f>
        <v>9.9773990776697886E-4</v>
      </c>
      <c r="AT1156" s="67"/>
      <c r="AU1156" s="67">
        <f t="shared" ref="AU1156:AU1160" si="454">+S1156-2</f>
        <v>8217</v>
      </c>
      <c r="AV1156" s="67">
        <f t="shared" ref="AV1156:AV1160" si="455">IFERROR(1/(SQRT(AU1156/2)*_xlfn.GAMMA(AU1156/2-0.5)/_xlfn.GAMMA(AU1156/2)),1)</f>
        <v>1</v>
      </c>
      <c r="AW1156" s="67" t="s">
        <v>1350</v>
      </c>
    </row>
    <row r="1157" spans="1:49" s="63" customFormat="1" ht="30" customHeight="1" x14ac:dyDescent="0.25">
      <c r="A1157" s="60" t="s">
        <v>1670</v>
      </c>
      <c r="B1157" s="63" t="s">
        <v>1560</v>
      </c>
      <c r="C1157" s="60" t="s">
        <v>1670</v>
      </c>
      <c r="D1157" s="63">
        <v>47</v>
      </c>
      <c r="E1157" s="56" t="s">
        <v>605</v>
      </c>
      <c r="F1157" s="63" t="s">
        <v>240</v>
      </c>
      <c r="G1157" s="63" t="s">
        <v>1777</v>
      </c>
      <c r="H1157" s="63">
        <v>1</v>
      </c>
      <c r="I1157" s="63">
        <v>24</v>
      </c>
      <c r="J1157" s="63">
        <v>2</v>
      </c>
      <c r="K1157" s="63" t="s">
        <v>1773</v>
      </c>
      <c r="L1157" s="63" t="s">
        <v>1326</v>
      </c>
      <c r="M1157" s="57" t="s">
        <v>587</v>
      </c>
      <c r="N1157" s="63" t="s">
        <v>240</v>
      </c>
      <c r="O1157" s="63" t="s">
        <v>240</v>
      </c>
      <c r="P1157" s="63" t="s">
        <v>240</v>
      </c>
      <c r="Q1157" s="63" t="s">
        <v>240</v>
      </c>
      <c r="R1157" s="63" t="s">
        <v>238</v>
      </c>
      <c r="S1157" s="63">
        <f t="shared" si="417"/>
        <v>8219</v>
      </c>
      <c r="T1157" s="63">
        <v>7049</v>
      </c>
      <c r="U1157" s="63">
        <v>1170</v>
      </c>
      <c r="V1157" s="63">
        <v>709</v>
      </c>
      <c r="AB1157" s="63">
        <v>3503</v>
      </c>
      <c r="AC1157" s="63">
        <v>2794</v>
      </c>
      <c r="AF1157" s="67">
        <f t="shared" si="449"/>
        <v>2.5765271610107505</v>
      </c>
      <c r="AH1157" s="63">
        <v>0.01</v>
      </c>
      <c r="AI1157" s="67">
        <f t="shared" si="450"/>
        <v>275.17660621977109</v>
      </c>
      <c r="AK1157" s="63" t="s">
        <v>1744</v>
      </c>
      <c r="AP1157" s="67">
        <f t="shared" si="451"/>
        <v>8.1336883708706911E-2</v>
      </c>
      <c r="AQ1157" s="67">
        <f t="shared" si="452"/>
        <v>8716.8326062153192</v>
      </c>
      <c r="AR1157" s="67"/>
      <c r="AS1157" s="67">
        <f t="shared" si="453"/>
        <v>9.9841820601373043E-4</v>
      </c>
      <c r="AT1157" s="67"/>
      <c r="AU1157" s="67">
        <f t="shared" si="454"/>
        <v>8217</v>
      </c>
      <c r="AV1157" s="67">
        <f t="shared" si="455"/>
        <v>1</v>
      </c>
      <c r="AW1157" s="67" t="s">
        <v>1350</v>
      </c>
    </row>
    <row r="1158" spans="1:49" s="63" customFormat="1" ht="30" customHeight="1" x14ac:dyDescent="0.25">
      <c r="A1158" s="60" t="s">
        <v>1670</v>
      </c>
      <c r="B1158" s="63" t="s">
        <v>1560</v>
      </c>
      <c r="C1158" s="60" t="s">
        <v>1670</v>
      </c>
      <c r="D1158" s="63">
        <v>48</v>
      </c>
      <c r="E1158" s="56" t="s">
        <v>605</v>
      </c>
      <c r="F1158" s="63" t="s">
        <v>240</v>
      </c>
      <c r="G1158" s="63" t="s">
        <v>1777</v>
      </c>
      <c r="H1158" s="63">
        <v>1</v>
      </c>
      <c r="I1158" s="63">
        <v>36</v>
      </c>
      <c r="J1158" s="63">
        <v>2</v>
      </c>
      <c r="K1158" s="63" t="s">
        <v>1773</v>
      </c>
      <c r="L1158" s="63" t="s">
        <v>1326</v>
      </c>
      <c r="M1158" s="57" t="s">
        <v>587</v>
      </c>
      <c r="N1158" s="63" t="s">
        <v>240</v>
      </c>
      <c r="O1158" s="63" t="s">
        <v>240</v>
      </c>
      <c r="P1158" s="63" t="s">
        <v>240</v>
      </c>
      <c r="Q1158" s="63" t="s">
        <v>240</v>
      </c>
      <c r="R1158" s="63" t="s">
        <v>238</v>
      </c>
      <c r="S1158" s="63">
        <f t="shared" si="417"/>
        <v>8219</v>
      </c>
      <c r="T1158" s="63">
        <v>7049</v>
      </c>
      <c r="U1158" s="63">
        <v>1170</v>
      </c>
      <c r="V1158" s="63">
        <v>713</v>
      </c>
      <c r="AB1158" s="63">
        <v>3821</v>
      </c>
      <c r="AC1158" s="63">
        <v>3108</v>
      </c>
      <c r="AF1158" s="67">
        <f t="shared" si="449"/>
        <v>2.5765271610107505</v>
      </c>
      <c r="AH1158" s="63">
        <v>0.01</v>
      </c>
      <c r="AI1158" s="67">
        <f t="shared" si="450"/>
        <v>276.72908354682198</v>
      </c>
      <c r="AK1158" s="63" t="s">
        <v>1744</v>
      </c>
      <c r="AP1158" s="67">
        <f t="shared" si="451"/>
        <v>8.1336883708706911E-2</v>
      </c>
      <c r="AQ1158" s="67">
        <f t="shared" si="452"/>
        <v>8766.0107873505258</v>
      </c>
      <c r="AR1158" s="67"/>
      <c r="AS1158" s="67">
        <f t="shared" si="453"/>
        <v>9.9841820601373043E-4</v>
      </c>
      <c r="AT1158" s="67"/>
      <c r="AU1158" s="67">
        <f t="shared" si="454"/>
        <v>8217</v>
      </c>
      <c r="AV1158" s="67">
        <f t="shared" si="455"/>
        <v>1</v>
      </c>
      <c r="AW1158" s="67" t="s">
        <v>1350</v>
      </c>
    </row>
    <row r="1159" spans="1:49" s="63" customFormat="1" ht="30" customHeight="1" x14ac:dyDescent="0.25">
      <c r="A1159" s="60" t="s">
        <v>1670</v>
      </c>
      <c r="B1159" s="63" t="s">
        <v>1560</v>
      </c>
      <c r="C1159" s="60" t="s">
        <v>1670</v>
      </c>
      <c r="D1159" s="63">
        <v>49</v>
      </c>
      <c r="E1159" s="56" t="s">
        <v>605</v>
      </c>
      <c r="F1159" s="63" t="s">
        <v>240</v>
      </c>
      <c r="G1159" s="63" t="s">
        <v>1777</v>
      </c>
      <c r="H1159" s="63">
        <v>1</v>
      </c>
      <c r="I1159" s="63">
        <v>48</v>
      </c>
      <c r="J1159" s="63">
        <v>2</v>
      </c>
      <c r="K1159" s="63" t="s">
        <v>1773</v>
      </c>
      <c r="L1159" s="63" t="s">
        <v>1326</v>
      </c>
      <c r="M1159" s="57" t="s">
        <v>587</v>
      </c>
      <c r="N1159" s="63" t="s">
        <v>240</v>
      </c>
      <c r="O1159" s="63" t="s">
        <v>240</v>
      </c>
      <c r="P1159" s="63" t="s">
        <v>240</v>
      </c>
      <c r="Q1159" s="63" t="s">
        <v>240</v>
      </c>
      <c r="R1159" s="63" t="s">
        <v>238</v>
      </c>
      <c r="S1159" s="63">
        <f t="shared" si="417"/>
        <v>8219</v>
      </c>
      <c r="T1159" s="63">
        <v>7049</v>
      </c>
      <c r="U1159" s="63">
        <v>1170</v>
      </c>
      <c r="V1159" s="63">
        <v>548</v>
      </c>
      <c r="AB1159" s="63">
        <v>4102</v>
      </c>
      <c r="AC1159" s="63">
        <v>3554</v>
      </c>
      <c r="AF1159" s="67">
        <f t="shared" si="449"/>
        <v>1.9603006770057929</v>
      </c>
      <c r="AH1159" s="63">
        <v>0.05</v>
      </c>
      <c r="AI1159" s="67">
        <f t="shared" si="450"/>
        <v>279.54895207046883</v>
      </c>
      <c r="AK1159" s="63" t="s">
        <v>1324</v>
      </c>
      <c r="AP1159" s="67">
        <f t="shared" si="451"/>
        <v>6.1883589124350914E-2</v>
      </c>
      <c r="AQ1159" s="67">
        <f t="shared" si="452"/>
        <v>8855.336410737762</v>
      </c>
      <c r="AR1159" s="67"/>
      <c r="AS1159" s="67">
        <f t="shared" si="453"/>
        <v>9.9773990776697886E-4</v>
      </c>
      <c r="AT1159" s="67"/>
      <c r="AU1159" s="67">
        <f t="shared" si="454"/>
        <v>8217</v>
      </c>
      <c r="AV1159" s="67">
        <f t="shared" si="455"/>
        <v>1</v>
      </c>
      <c r="AW1159" s="67" t="s">
        <v>1350</v>
      </c>
    </row>
    <row r="1160" spans="1:49" s="63" customFormat="1" ht="30" customHeight="1" x14ac:dyDescent="0.25">
      <c r="A1160" s="60" t="s">
        <v>1670</v>
      </c>
      <c r="B1160" s="63" t="s">
        <v>1560</v>
      </c>
      <c r="C1160" s="60" t="s">
        <v>1670</v>
      </c>
      <c r="D1160" s="63">
        <v>50</v>
      </c>
      <c r="E1160" s="56" t="s">
        <v>605</v>
      </c>
      <c r="F1160" s="63" t="s">
        <v>240</v>
      </c>
      <c r="G1160" s="63" t="s">
        <v>1777</v>
      </c>
      <c r="H1160" s="63">
        <v>1</v>
      </c>
      <c r="I1160" s="63">
        <v>60</v>
      </c>
      <c r="J1160" s="63">
        <v>2</v>
      </c>
      <c r="K1160" s="63" t="s">
        <v>1773</v>
      </c>
      <c r="L1160" s="63" t="s">
        <v>1326</v>
      </c>
      <c r="M1160" s="57" t="s">
        <v>587</v>
      </c>
      <c r="N1160" s="63" t="s">
        <v>240</v>
      </c>
      <c r="O1160" s="63" t="s">
        <v>240</v>
      </c>
      <c r="P1160" s="63" t="s">
        <v>240</v>
      </c>
      <c r="Q1160" s="63" t="s">
        <v>240</v>
      </c>
      <c r="R1160" s="63" t="s">
        <v>238</v>
      </c>
      <c r="S1160" s="63">
        <f t="shared" si="417"/>
        <v>8219</v>
      </c>
      <c r="T1160" s="63">
        <v>7049</v>
      </c>
      <c r="U1160" s="63">
        <v>1170</v>
      </c>
      <c r="V1160" s="63">
        <v>555</v>
      </c>
      <c r="AB1160" s="63">
        <v>4305</v>
      </c>
      <c r="AC1160" s="63">
        <v>3750</v>
      </c>
      <c r="AF1160" s="67">
        <f t="shared" si="449"/>
        <v>1.9603006770057929</v>
      </c>
      <c r="AH1160" s="63">
        <v>0.05</v>
      </c>
      <c r="AI1160" s="67">
        <f t="shared" si="450"/>
        <v>283.11983284509159</v>
      </c>
      <c r="AK1160" s="63" t="s">
        <v>1324</v>
      </c>
      <c r="AP1160" s="67">
        <f t="shared" si="451"/>
        <v>6.1883589124350907E-2</v>
      </c>
      <c r="AQ1160" s="67">
        <f t="shared" si="452"/>
        <v>8968.4520218238285</v>
      </c>
      <c r="AR1160" s="67"/>
      <c r="AS1160" s="67">
        <f t="shared" si="453"/>
        <v>9.9773990776697865E-4</v>
      </c>
      <c r="AT1160" s="67"/>
      <c r="AU1160" s="67">
        <f t="shared" si="454"/>
        <v>8217</v>
      </c>
      <c r="AV1160" s="67">
        <f t="shared" si="455"/>
        <v>1</v>
      </c>
      <c r="AW1160" s="67" t="s">
        <v>1350</v>
      </c>
    </row>
    <row r="1161" spans="1:49" s="63" customFormat="1" ht="30" customHeight="1" x14ac:dyDescent="0.25">
      <c r="A1161" s="60" t="s">
        <v>1670</v>
      </c>
      <c r="B1161" s="63" t="s">
        <v>1560</v>
      </c>
      <c r="C1161" s="60" t="s">
        <v>1670</v>
      </c>
      <c r="D1161" s="63">
        <v>51</v>
      </c>
      <c r="E1161" s="56" t="s">
        <v>605</v>
      </c>
      <c r="F1161" s="63" t="s">
        <v>240</v>
      </c>
      <c r="G1161" s="63" t="s">
        <v>1778</v>
      </c>
      <c r="H1161" s="63">
        <v>1</v>
      </c>
      <c r="I1161" s="63">
        <v>12</v>
      </c>
      <c r="J1161" s="63">
        <v>1</v>
      </c>
      <c r="K1161" s="63" t="s">
        <v>1320</v>
      </c>
      <c r="L1161" s="63" t="s">
        <v>240</v>
      </c>
      <c r="M1161" s="57" t="s">
        <v>587</v>
      </c>
      <c r="N1161" s="63" t="s">
        <v>240</v>
      </c>
      <c r="O1161" s="63" t="s">
        <v>240</v>
      </c>
      <c r="P1161" s="63" t="s">
        <v>240</v>
      </c>
      <c r="Q1161" s="63" t="s">
        <v>240</v>
      </c>
      <c r="R1161" s="63" t="s">
        <v>238</v>
      </c>
      <c r="S1161" s="63">
        <f t="shared" si="417"/>
        <v>2234</v>
      </c>
      <c r="T1161" s="63">
        <v>1588</v>
      </c>
      <c r="U1161" s="63">
        <v>646</v>
      </c>
      <c r="V1161" s="63">
        <v>-0.01</v>
      </c>
      <c r="AB1161" s="63">
        <v>0.39900000000000002</v>
      </c>
      <c r="AC1161" s="63">
        <v>0.40899999999999997</v>
      </c>
      <c r="AF1161" s="102">
        <f t="shared" ref="AF1161:AF1165" si="456">_xlfn.T.INV.2T(AH1161,S1161-2)</f>
        <v>0.67459968323332087</v>
      </c>
      <c r="AH1161" s="63">
        <v>0.5</v>
      </c>
      <c r="AI1161" s="102">
        <f t="shared" ref="AI1161:AI1165" si="457">ABS(V1161/AF1161)</f>
        <v>1.482360613048397E-2</v>
      </c>
      <c r="AK1161" s="63" t="s">
        <v>1740</v>
      </c>
    </row>
    <row r="1162" spans="1:49" s="63" customFormat="1" ht="30" customHeight="1" x14ac:dyDescent="0.25">
      <c r="A1162" s="60" t="s">
        <v>1670</v>
      </c>
      <c r="B1162" s="63" t="s">
        <v>1560</v>
      </c>
      <c r="C1162" s="60" t="s">
        <v>1670</v>
      </c>
      <c r="D1162" s="63">
        <v>52</v>
      </c>
      <c r="E1162" s="56" t="s">
        <v>605</v>
      </c>
      <c r="F1162" s="63" t="s">
        <v>240</v>
      </c>
      <c r="G1162" s="63" t="s">
        <v>1778</v>
      </c>
      <c r="H1162" s="63">
        <v>1</v>
      </c>
      <c r="I1162" s="63">
        <v>24</v>
      </c>
      <c r="J1162" s="63">
        <v>1</v>
      </c>
      <c r="K1162" s="63" t="s">
        <v>1320</v>
      </c>
      <c r="L1162" s="63" t="s">
        <v>240</v>
      </c>
      <c r="M1162" s="57" t="s">
        <v>587</v>
      </c>
      <c r="N1162" s="63" t="s">
        <v>240</v>
      </c>
      <c r="O1162" s="63" t="s">
        <v>240</v>
      </c>
      <c r="P1162" s="63" t="s">
        <v>240</v>
      </c>
      <c r="Q1162" s="63" t="s">
        <v>240</v>
      </c>
      <c r="R1162" s="63" t="s">
        <v>238</v>
      </c>
      <c r="S1162" s="63">
        <f t="shared" si="417"/>
        <v>2234</v>
      </c>
      <c r="T1162" s="63">
        <v>1588</v>
      </c>
      <c r="U1162" s="63">
        <v>646</v>
      </c>
      <c r="V1162" s="63">
        <v>-5.0000000000000001E-3</v>
      </c>
      <c r="AB1162" s="63">
        <v>0.41799999999999998</v>
      </c>
      <c r="AC1162" s="63">
        <v>0.42299999999999999</v>
      </c>
      <c r="AF1162" s="102">
        <f t="shared" si="456"/>
        <v>0.67459968323332087</v>
      </c>
      <c r="AH1162" s="63">
        <v>0.5</v>
      </c>
      <c r="AI1162" s="102">
        <f t="shared" si="457"/>
        <v>7.4118030652419852E-3</v>
      </c>
      <c r="AK1162" s="63" t="s">
        <v>1740</v>
      </c>
    </row>
    <row r="1163" spans="1:49" s="63" customFormat="1" ht="30" customHeight="1" x14ac:dyDescent="0.25">
      <c r="A1163" s="60" t="s">
        <v>1670</v>
      </c>
      <c r="B1163" s="63" t="s">
        <v>1560</v>
      </c>
      <c r="C1163" s="60" t="s">
        <v>1670</v>
      </c>
      <c r="D1163" s="63">
        <v>53</v>
      </c>
      <c r="E1163" s="56" t="s">
        <v>605</v>
      </c>
      <c r="F1163" s="63" t="s">
        <v>240</v>
      </c>
      <c r="G1163" s="63" t="s">
        <v>1778</v>
      </c>
      <c r="H1163" s="63">
        <v>1</v>
      </c>
      <c r="I1163" s="63">
        <v>36</v>
      </c>
      <c r="J1163" s="63">
        <v>1</v>
      </c>
      <c r="K1163" s="63" t="s">
        <v>1320</v>
      </c>
      <c r="L1163" s="63" t="s">
        <v>240</v>
      </c>
      <c r="M1163" s="57" t="s">
        <v>587</v>
      </c>
      <c r="N1163" s="63" t="s">
        <v>240</v>
      </c>
      <c r="O1163" s="63" t="s">
        <v>240</v>
      </c>
      <c r="P1163" s="63" t="s">
        <v>240</v>
      </c>
      <c r="Q1163" s="63" t="s">
        <v>240</v>
      </c>
      <c r="R1163" s="63" t="s">
        <v>238</v>
      </c>
      <c r="S1163" s="63">
        <f t="shared" si="417"/>
        <v>2234</v>
      </c>
      <c r="T1163" s="63">
        <v>1588</v>
      </c>
      <c r="U1163" s="63">
        <v>646</v>
      </c>
      <c r="V1163" s="63">
        <v>5.7000000000000002E-2</v>
      </c>
      <c r="AB1163" s="63">
        <v>0.439</v>
      </c>
      <c r="AC1163" s="63">
        <v>0.38200000000000001</v>
      </c>
      <c r="AF1163" s="102">
        <f t="shared" si="456"/>
        <v>1.9610273968625154</v>
      </c>
      <c r="AH1163" s="63">
        <v>0.05</v>
      </c>
      <c r="AI1163" s="102">
        <f t="shared" si="457"/>
        <v>2.906639656906139E-2</v>
      </c>
      <c r="AK1163" s="63" t="s">
        <v>1324</v>
      </c>
    </row>
    <row r="1164" spans="1:49" s="63" customFormat="1" ht="30" customHeight="1" x14ac:dyDescent="0.25">
      <c r="A1164" s="60" t="s">
        <v>1670</v>
      </c>
      <c r="B1164" s="63" t="s">
        <v>1560</v>
      </c>
      <c r="C1164" s="60" t="s">
        <v>1670</v>
      </c>
      <c r="D1164" s="63">
        <v>54</v>
      </c>
      <c r="E1164" s="56" t="s">
        <v>605</v>
      </c>
      <c r="F1164" s="63" t="s">
        <v>240</v>
      </c>
      <c r="G1164" s="63" t="s">
        <v>1778</v>
      </c>
      <c r="H1164" s="63">
        <v>1</v>
      </c>
      <c r="I1164" s="63">
        <v>48</v>
      </c>
      <c r="J1164" s="63">
        <v>1</v>
      </c>
      <c r="K1164" s="63" t="s">
        <v>1320</v>
      </c>
      <c r="L1164" s="63" t="s">
        <v>240</v>
      </c>
      <c r="M1164" s="57" t="s">
        <v>587</v>
      </c>
      <c r="N1164" s="63" t="s">
        <v>240</v>
      </c>
      <c r="O1164" s="63" t="s">
        <v>240</v>
      </c>
      <c r="P1164" s="63" t="s">
        <v>240</v>
      </c>
      <c r="Q1164" s="63" t="s">
        <v>240</v>
      </c>
      <c r="R1164" s="63" t="s">
        <v>238</v>
      </c>
      <c r="S1164" s="63">
        <f t="shared" si="417"/>
        <v>2234</v>
      </c>
      <c r="T1164" s="63">
        <v>1588</v>
      </c>
      <c r="U1164" s="63">
        <v>646</v>
      </c>
      <c r="V1164" s="63">
        <v>5.8999999999999997E-2</v>
      </c>
      <c r="AB1164" s="63">
        <v>0.442</v>
      </c>
      <c r="AC1164" s="63">
        <v>0.38200000000000001</v>
      </c>
      <c r="AF1164" s="102">
        <f t="shared" si="456"/>
        <v>2.578033832341061</v>
      </c>
      <c r="AH1164" s="63">
        <v>0.01</v>
      </c>
      <c r="AI1164" s="102">
        <f t="shared" si="457"/>
        <v>2.2885657767502329E-2</v>
      </c>
      <c r="AK1164" s="63" t="s">
        <v>1744</v>
      </c>
    </row>
    <row r="1165" spans="1:49" s="63" customFormat="1" ht="30" customHeight="1" x14ac:dyDescent="0.25">
      <c r="A1165" s="60" t="s">
        <v>1670</v>
      </c>
      <c r="B1165" s="63" t="s">
        <v>1560</v>
      </c>
      <c r="C1165" s="60" t="s">
        <v>1670</v>
      </c>
      <c r="D1165" s="63">
        <v>55</v>
      </c>
      <c r="E1165" s="56" t="s">
        <v>605</v>
      </c>
      <c r="F1165" s="63" t="s">
        <v>240</v>
      </c>
      <c r="G1165" s="63" t="s">
        <v>1778</v>
      </c>
      <c r="H1165" s="63">
        <v>1</v>
      </c>
      <c r="I1165" s="63">
        <v>60</v>
      </c>
      <c r="J1165" s="63">
        <v>1</v>
      </c>
      <c r="K1165" s="63" t="s">
        <v>1320</v>
      </c>
      <c r="L1165" s="63" t="s">
        <v>240</v>
      </c>
      <c r="M1165" s="57" t="s">
        <v>587</v>
      </c>
      <c r="N1165" s="63" t="s">
        <v>240</v>
      </c>
      <c r="O1165" s="63" t="s">
        <v>240</v>
      </c>
      <c r="P1165" s="63" t="s">
        <v>240</v>
      </c>
      <c r="Q1165" s="63" t="s">
        <v>240</v>
      </c>
      <c r="R1165" s="63" t="s">
        <v>238</v>
      </c>
      <c r="S1165" s="63">
        <f t="shared" si="417"/>
        <v>2234</v>
      </c>
      <c r="T1165" s="63">
        <v>1588</v>
      </c>
      <c r="U1165" s="63">
        <v>646</v>
      </c>
      <c r="V1165" s="63">
        <v>0.05</v>
      </c>
      <c r="AB1165" s="63">
        <v>0.45800000000000002</v>
      </c>
      <c r="AC1165" s="63">
        <v>0.40799999999999997</v>
      </c>
      <c r="AF1165" s="102">
        <f t="shared" si="456"/>
        <v>1.9610273968625154</v>
      </c>
      <c r="AH1165" s="63">
        <v>0.05</v>
      </c>
      <c r="AI1165" s="102">
        <f t="shared" si="457"/>
        <v>2.5496839095667884E-2</v>
      </c>
      <c r="AK1165" s="63" t="s">
        <v>1324</v>
      </c>
    </row>
    <row r="1166" spans="1:49" s="63" customFormat="1" ht="30" customHeight="1" x14ac:dyDescent="0.25">
      <c r="A1166" s="60" t="s">
        <v>1670</v>
      </c>
      <c r="B1166" s="63" t="s">
        <v>1560</v>
      </c>
      <c r="C1166" s="60" t="s">
        <v>1670</v>
      </c>
      <c r="D1166" s="63">
        <v>56</v>
      </c>
      <c r="E1166" s="56" t="s">
        <v>605</v>
      </c>
      <c r="F1166" s="63" t="s">
        <v>240</v>
      </c>
      <c r="G1166" s="63" t="s">
        <v>1778</v>
      </c>
      <c r="H1166" s="63">
        <v>1</v>
      </c>
      <c r="I1166" s="63">
        <v>12</v>
      </c>
      <c r="J1166" s="63">
        <v>2</v>
      </c>
      <c r="K1166" s="63" t="s">
        <v>1773</v>
      </c>
      <c r="L1166" s="63" t="s">
        <v>1326</v>
      </c>
      <c r="M1166" s="57" t="s">
        <v>587</v>
      </c>
      <c r="N1166" s="63" t="s">
        <v>240</v>
      </c>
      <c r="O1166" s="63" t="s">
        <v>240</v>
      </c>
      <c r="P1166" s="63" t="s">
        <v>240</v>
      </c>
      <c r="Q1166" s="63" t="s">
        <v>240</v>
      </c>
      <c r="R1166" s="63" t="s">
        <v>238</v>
      </c>
      <c r="S1166" s="63">
        <f t="shared" si="417"/>
        <v>2234</v>
      </c>
      <c r="T1166" s="63">
        <v>1588</v>
      </c>
      <c r="U1166" s="63">
        <v>646</v>
      </c>
      <c r="V1166" s="63">
        <v>-149</v>
      </c>
      <c r="AB1166" s="63">
        <v>1792</v>
      </c>
      <c r="AC1166" s="63">
        <v>1941</v>
      </c>
      <c r="AF1166" s="67">
        <f t="shared" ref="AF1166:AF1170" si="458">_xlfn.T.INV.2T(AH1166,T1166-2)</f>
        <v>0.67464446964368663</v>
      </c>
      <c r="AH1166" s="63">
        <v>0.5</v>
      </c>
      <c r="AI1166" s="67">
        <f t="shared" ref="AI1166:AI1170" si="459">+ABS(V1166/AF1166)</f>
        <v>220.85706872939213</v>
      </c>
      <c r="AK1166" s="63" t="s">
        <v>1740</v>
      </c>
      <c r="AP1166" s="67">
        <f t="shared" ref="AP1166:AP1170" si="460">+V1166/AQ1166</f>
        <v>-3.1482922548172254E-2</v>
      </c>
      <c r="AQ1166" s="67">
        <f t="shared" ref="AQ1166:AQ1170" si="461">+AI1166*SQRT(T1166*U1166/S1166)</f>
        <v>4732.7245357229458</v>
      </c>
      <c r="AR1166" s="67"/>
      <c r="AS1166" s="67">
        <f t="shared" ref="AS1166:AS1170" si="462">+AP1166^2/(AU1166-2)*(AU1166/(V1166/AI1166)^2+AU1166*AV1166^2-AU1166+2)</f>
        <v>2.1805525872961081E-3</v>
      </c>
      <c r="AT1166" s="67"/>
      <c r="AU1166" s="67">
        <f t="shared" ref="AU1166:AU1170" si="463">+S1166-2</f>
        <v>2232</v>
      </c>
      <c r="AV1166" s="67">
        <f t="shared" ref="AV1166:AV1170" si="464">IFERROR(1/(SQRT(AU1166/2)*_xlfn.GAMMA(AU1166/2-0.5)/_xlfn.GAMMA(AU1166/2)),1)</f>
        <v>1</v>
      </c>
      <c r="AW1166" s="67" t="s">
        <v>1350</v>
      </c>
    </row>
    <row r="1167" spans="1:49" s="63" customFormat="1" ht="30" customHeight="1" x14ac:dyDescent="0.25">
      <c r="A1167" s="60" t="s">
        <v>1670</v>
      </c>
      <c r="B1167" s="63" t="s">
        <v>1560</v>
      </c>
      <c r="C1167" s="60" t="s">
        <v>1670</v>
      </c>
      <c r="D1167" s="63">
        <v>57</v>
      </c>
      <c r="E1167" s="56" t="s">
        <v>605</v>
      </c>
      <c r="F1167" s="63" t="s">
        <v>240</v>
      </c>
      <c r="G1167" s="63" t="s">
        <v>1778</v>
      </c>
      <c r="H1167" s="63">
        <v>1</v>
      </c>
      <c r="I1167" s="63">
        <v>24</v>
      </c>
      <c r="J1167" s="63">
        <v>2</v>
      </c>
      <c r="K1167" s="63" t="s">
        <v>1773</v>
      </c>
      <c r="L1167" s="63" t="s">
        <v>1326</v>
      </c>
      <c r="M1167" s="57" t="s">
        <v>587</v>
      </c>
      <c r="N1167" s="63" t="s">
        <v>240</v>
      </c>
      <c r="O1167" s="63" t="s">
        <v>240</v>
      </c>
      <c r="P1167" s="63" t="s">
        <v>240</v>
      </c>
      <c r="Q1167" s="63" t="s">
        <v>240</v>
      </c>
      <c r="R1167" s="63" t="s">
        <v>238</v>
      </c>
      <c r="S1167" s="63">
        <f t="shared" si="417"/>
        <v>2234</v>
      </c>
      <c r="T1167" s="63">
        <v>1588</v>
      </c>
      <c r="U1167" s="63">
        <v>646</v>
      </c>
      <c r="V1167" s="63">
        <v>5</v>
      </c>
      <c r="AB1167" s="63">
        <v>2536</v>
      </c>
      <c r="AC1167" s="63">
        <v>2531</v>
      </c>
      <c r="AF1167" s="67">
        <f t="shared" si="458"/>
        <v>0.67464446964368663</v>
      </c>
      <c r="AH1167" s="63">
        <v>0.5</v>
      </c>
      <c r="AI1167" s="67">
        <f t="shared" si="459"/>
        <v>7.4113110311876556</v>
      </c>
      <c r="AK1167" s="63" t="s">
        <v>1740</v>
      </c>
      <c r="AP1167" s="67">
        <f t="shared" si="460"/>
        <v>3.1482922548172254E-2</v>
      </c>
      <c r="AQ1167" s="67">
        <f t="shared" si="461"/>
        <v>158.81625958801831</v>
      </c>
      <c r="AR1167" s="67"/>
      <c r="AS1167" s="67">
        <f t="shared" si="462"/>
        <v>2.1805525872961081E-3</v>
      </c>
      <c r="AT1167" s="67"/>
      <c r="AU1167" s="67">
        <f t="shared" si="463"/>
        <v>2232</v>
      </c>
      <c r="AV1167" s="67">
        <f t="shared" si="464"/>
        <v>1</v>
      </c>
      <c r="AW1167" s="67" t="s">
        <v>1350</v>
      </c>
    </row>
    <row r="1168" spans="1:49" s="63" customFormat="1" ht="30" customHeight="1" x14ac:dyDescent="0.25">
      <c r="A1168" s="60" t="s">
        <v>1670</v>
      </c>
      <c r="B1168" s="63" t="s">
        <v>1560</v>
      </c>
      <c r="C1168" s="60" t="s">
        <v>1670</v>
      </c>
      <c r="D1168" s="63">
        <v>58</v>
      </c>
      <c r="E1168" s="56" t="s">
        <v>605</v>
      </c>
      <c r="F1168" s="63" t="s">
        <v>240</v>
      </c>
      <c r="G1168" s="63" t="s">
        <v>1778</v>
      </c>
      <c r="H1168" s="63">
        <v>1</v>
      </c>
      <c r="I1168" s="63">
        <v>36</v>
      </c>
      <c r="J1168" s="63">
        <v>2</v>
      </c>
      <c r="K1168" s="63" t="s">
        <v>1773</v>
      </c>
      <c r="L1168" s="63" t="s">
        <v>1326</v>
      </c>
      <c r="M1168" s="57" t="s">
        <v>587</v>
      </c>
      <c r="N1168" s="63" t="s">
        <v>240</v>
      </c>
      <c r="O1168" s="63" t="s">
        <v>240</v>
      </c>
      <c r="P1168" s="63" t="s">
        <v>240</v>
      </c>
      <c r="Q1168" s="63" t="s">
        <v>240</v>
      </c>
      <c r="R1168" s="63" t="s">
        <v>238</v>
      </c>
      <c r="S1168" s="63">
        <f t="shared" si="417"/>
        <v>2234</v>
      </c>
      <c r="T1168" s="63">
        <v>1588</v>
      </c>
      <c r="U1168" s="63">
        <v>646</v>
      </c>
      <c r="V1168" s="63">
        <v>514</v>
      </c>
      <c r="AB1168" s="63">
        <v>3110</v>
      </c>
      <c r="AC1168" s="63">
        <v>2595</v>
      </c>
      <c r="AF1168" s="67">
        <f t="shared" si="458"/>
        <v>1.961460864666287</v>
      </c>
      <c r="AH1168" s="63">
        <v>0.05</v>
      </c>
      <c r="AI1168" s="67">
        <f t="shared" si="459"/>
        <v>262.04958215541524</v>
      </c>
      <c r="AK1168" s="63" t="s">
        <v>1324</v>
      </c>
      <c r="AP1168" s="67">
        <f t="shared" si="460"/>
        <v>9.1533427252689523E-2</v>
      </c>
      <c r="AQ1168" s="67">
        <f t="shared" si="461"/>
        <v>5615.4348791184057</v>
      </c>
      <c r="AR1168" s="67"/>
      <c r="AS1168" s="67">
        <f t="shared" si="462"/>
        <v>2.187177873298305E-3</v>
      </c>
      <c r="AT1168" s="67"/>
      <c r="AU1168" s="67">
        <f t="shared" si="463"/>
        <v>2232</v>
      </c>
      <c r="AV1168" s="67">
        <f t="shared" si="464"/>
        <v>1</v>
      </c>
      <c r="AW1168" s="67" t="s">
        <v>1350</v>
      </c>
    </row>
    <row r="1169" spans="1:49" s="63" customFormat="1" ht="30" customHeight="1" x14ac:dyDescent="0.25">
      <c r="A1169" s="60" t="s">
        <v>1670</v>
      </c>
      <c r="B1169" s="63" t="s">
        <v>1560</v>
      </c>
      <c r="C1169" s="60" t="s">
        <v>1670</v>
      </c>
      <c r="D1169" s="63">
        <v>59</v>
      </c>
      <c r="E1169" s="56" t="s">
        <v>605</v>
      </c>
      <c r="F1169" s="63" t="s">
        <v>240</v>
      </c>
      <c r="G1169" s="63" t="s">
        <v>1778</v>
      </c>
      <c r="H1169" s="63">
        <v>1</v>
      </c>
      <c r="I1169" s="63">
        <v>48</v>
      </c>
      <c r="J1169" s="63">
        <v>2</v>
      </c>
      <c r="K1169" s="63" t="s">
        <v>1773</v>
      </c>
      <c r="L1169" s="63" t="s">
        <v>1326</v>
      </c>
      <c r="M1169" s="57" t="s">
        <v>587</v>
      </c>
      <c r="N1169" s="63" t="s">
        <v>240</v>
      </c>
      <c r="O1169" s="63" t="s">
        <v>240</v>
      </c>
      <c r="P1169" s="63" t="s">
        <v>240</v>
      </c>
      <c r="Q1169" s="63" t="s">
        <v>240</v>
      </c>
      <c r="R1169" s="63" t="s">
        <v>238</v>
      </c>
      <c r="S1169" s="63">
        <f t="shared" si="417"/>
        <v>2234</v>
      </c>
      <c r="T1169" s="63">
        <v>1588</v>
      </c>
      <c r="U1169" s="63">
        <v>646</v>
      </c>
      <c r="V1169" s="63">
        <v>780</v>
      </c>
      <c r="AB1169" s="63">
        <v>3576</v>
      </c>
      <c r="AC1169" s="63">
        <v>2796</v>
      </c>
      <c r="AF1169" s="67">
        <f t="shared" si="458"/>
        <v>2.5789327858297817</v>
      </c>
      <c r="AH1169" s="63">
        <v>0.01</v>
      </c>
      <c r="AI1169" s="67">
        <f t="shared" si="459"/>
        <v>302.45068979144872</v>
      </c>
      <c r="AK1169" s="63" t="s">
        <v>1744</v>
      </c>
      <c r="AP1169" s="67">
        <f t="shared" si="460"/>
        <v>0.12034833872736383</v>
      </c>
      <c r="AQ1169" s="67">
        <f t="shared" si="461"/>
        <v>6481.1862652047548</v>
      </c>
      <c r="AR1169" s="67"/>
      <c r="AS1169" s="67">
        <f t="shared" si="462"/>
        <v>2.1926535274057616E-3</v>
      </c>
      <c r="AT1169" s="67"/>
      <c r="AU1169" s="67">
        <f t="shared" si="463"/>
        <v>2232</v>
      </c>
      <c r="AV1169" s="67">
        <f t="shared" si="464"/>
        <v>1</v>
      </c>
      <c r="AW1169" s="67" t="s">
        <v>1350</v>
      </c>
    </row>
    <row r="1170" spans="1:49" s="63" customFormat="1" ht="30" customHeight="1" x14ac:dyDescent="0.25">
      <c r="A1170" s="60" t="s">
        <v>1670</v>
      </c>
      <c r="B1170" s="63" t="s">
        <v>1560</v>
      </c>
      <c r="C1170" s="60" t="s">
        <v>1670</v>
      </c>
      <c r="D1170" s="63">
        <v>60</v>
      </c>
      <c r="E1170" s="56" t="s">
        <v>605</v>
      </c>
      <c r="F1170" s="63" t="s">
        <v>240</v>
      </c>
      <c r="G1170" s="63" t="s">
        <v>1778</v>
      </c>
      <c r="H1170" s="63">
        <v>1</v>
      </c>
      <c r="I1170" s="63">
        <v>60</v>
      </c>
      <c r="J1170" s="63">
        <v>2</v>
      </c>
      <c r="K1170" s="63" t="s">
        <v>1773</v>
      </c>
      <c r="L1170" s="63" t="s">
        <v>1326</v>
      </c>
      <c r="M1170" s="57" t="s">
        <v>587</v>
      </c>
      <c r="N1170" s="63" t="s">
        <v>240</v>
      </c>
      <c r="O1170" s="63" t="s">
        <v>240</v>
      </c>
      <c r="P1170" s="63" t="s">
        <v>240</v>
      </c>
      <c r="Q1170" s="63" t="s">
        <v>240</v>
      </c>
      <c r="R1170" s="63" t="s">
        <v>238</v>
      </c>
      <c r="S1170" s="63">
        <f t="shared" si="417"/>
        <v>2234</v>
      </c>
      <c r="T1170" s="63">
        <v>1588</v>
      </c>
      <c r="U1170" s="63">
        <v>646</v>
      </c>
      <c r="V1170" s="63">
        <v>597</v>
      </c>
      <c r="AB1170" s="63">
        <v>3799</v>
      </c>
      <c r="AC1170" s="63">
        <v>3201</v>
      </c>
      <c r="AF1170" s="67">
        <f t="shared" si="458"/>
        <v>1.961460864666287</v>
      </c>
      <c r="AH1170" s="63">
        <v>0.05</v>
      </c>
      <c r="AI1170" s="67">
        <f t="shared" si="459"/>
        <v>304.36498160852705</v>
      </c>
      <c r="AK1170" s="63" t="s">
        <v>1324</v>
      </c>
      <c r="AP1170" s="67">
        <f t="shared" si="460"/>
        <v>9.1533427252689523E-2</v>
      </c>
      <c r="AQ1170" s="67">
        <f t="shared" si="461"/>
        <v>6522.2074374196272</v>
      </c>
      <c r="AR1170" s="67"/>
      <c r="AS1170" s="67">
        <f t="shared" si="462"/>
        <v>2.187177873298305E-3</v>
      </c>
      <c r="AT1170" s="67"/>
      <c r="AU1170" s="67">
        <f t="shared" si="463"/>
        <v>2232</v>
      </c>
      <c r="AV1170" s="67">
        <f t="shared" si="464"/>
        <v>1</v>
      </c>
      <c r="AW1170" s="67" t="s">
        <v>1350</v>
      </c>
    </row>
    <row r="1171" spans="1:49" s="63" customFormat="1" ht="30" customHeight="1" x14ac:dyDescent="0.25">
      <c r="A1171" s="60" t="s">
        <v>1670</v>
      </c>
      <c r="B1171" s="63" t="s">
        <v>1560</v>
      </c>
      <c r="C1171" s="60" t="s">
        <v>1670</v>
      </c>
      <c r="D1171" s="63">
        <v>61</v>
      </c>
      <c r="E1171" s="56" t="s">
        <v>605</v>
      </c>
      <c r="F1171" s="63" t="s">
        <v>240</v>
      </c>
      <c r="G1171" s="63" t="s">
        <v>578</v>
      </c>
      <c r="H1171" s="63">
        <v>1</v>
      </c>
      <c r="I1171" s="63">
        <v>12</v>
      </c>
      <c r="J1171" s="63">
        <v>1</v>
      </c>
      <c r="K1171" s="63" t="s">
        <v>1320</v>
      </c>
      <c r="L1171" s="63" t="s">
        <v>240</v>
      </c>
      <c r="M1171" s="57" t="s">
        <v>587</v>
      </c>
      <c r="N1171" s="63" t="s">
        <v>240</v>
      </c>
      <c r="O1171" s="63" t="s">
        <v>240</v>
      </c>
      <c r="P1171" s="63" t="s">
        <v>240</v>
      </c>
      <c r="Q1171" s="63" t="s">
        <v>240</v>
      </c>
      <c r="R1171" s="63" t="s">
        <v>238</v>
      </c>
      <c r="S1171" s="63">
        <f t="shared" si="417"/>
        <v>22791</v>
      </c>
      <c r="T1171" s="63">
        <v>17677</v>
      </c>
      <c r="U1171" s="63">
        <v>5114</v>
      </c>
      <c r="V1171" s="63">
        <v>4.1000000000000002E-2</v>
      </c>
      <c r="AB1171" s="63">
        <v>0.39600000000000002</v>
      </c>
      <c r="AC1171" s="63">
        <v>0.35499999999999998</v>
      </c>
      <c r="AF1171" s="102">
        <f t="shared" ref="AF1171:AF1175" si="465">_xlfn.T.INV.2T(AH1171,S1171-2)</f>
        <v>2.5760450627005769</v>
      </c>
      <c r="AH1171" s="63">
        <v>0.01</v>
      </c>
      <c r="AI1171" s="102">
        <f t="shared" ref="AI1171:AI1175" si="466">ABS(V1171/AF1171)</f>
        <v>1.5915870647471506E-2</v>
      </c>
      <c r="AK1171" s="63" t="s">
        <v>1744</v>
      </c>
    </row>
    <row r="1172" spans="1:49" s="63" customFormat="1" ht="30" customHeight="1" x14ac:dyDescent="0.25">
      <c r="A1172" s="60" t="s">
        <v>1670</v>
      </c>
      <c r="B1172" s="63" t="s">
        <v>1560</v>
      </c>
      <c r="C1172" s="60" t="s">
        <v>1670</v>
      </c>
      <c r="D1172" s="63">
        <v>62</v>
      </c>
      <c r="E1172" s="56" t="s">
        <v>605</v>
      </c>
      <c r="F1172" s="63" t="s">
        <v>240</v>
      </c>
      <c r="G1172" s="63" t="s">
        <v>578</v>
      </c>
      <c r="H1172" s="63">
        <v>1</v>
      </c>
      <c r="I1172" s="63">
        <v>24</v>
      </c>
      <c r="J1172" s="63">
        <v>1</v>
      </c>
      <c r="K1172" s="63" t="s">
        <v>1320</v>
      </c>
      <c r="L1172" s="63" t="s">
        <v>240</v>
      </c>
      <c r="M1172" s="57" t="s">
        <v>587</v>
      </c>
      <c r="N1172" s="63" t="s">
        <v>240</v>
      </c>
      <c r="O1172" s="63" t="s">
        <v>240</v>
      </c>
      <c r="P1172" s="63" t="s">
        <v>240</v>
      </c>
      <c r="Q1172" s="63" t="s">
        <v>240</v>
      </c>
      <c r="R1172" s="63" t="s">
        <v>238</v>
      </c>
      <c r="S1172" s="63">
        <f t="shared" si="417"/>
        <v>22791</v>
      </c>
      <c r="T1172" s="63">
        <v>17677</v>
      </c>
      <c r="U1172" s="63">
        <v>5114</v>
      </c>
      <c r="V1172" s="63">
        <v>5.5E-2</v>
      </c>
      <c r="AB1172" s="63">
        <v>0.40500000000000003</v>
      </c>
      <c r="AC1172" s="63">
        <v>0.35</v>
      </c>
      <c r="AF1172" s="102">
        <f t="shared" si="465"/>
        <v>2.5760450627005769</v>
      </c>
      <c r="AH1172" s="63">
        <v>0.01</v>
      </c>
      <c r="AI1172" s="102">
        <f t="shared" si="466"/>
        <v>2.1350558185632505E-2</v>
      </c>
      <c r="AK1172" s="63" t="s">
        <v>1744</v>
      </c>
    </row>
    <row r="1173" spans="1:49" s="63" customFormat="1" ht="30" customHeight="1" x14ac:dyDescent="0.25">
      <c r="A1173" s="60" t="s">
        <v>1670</v>
      </c>
      <c r="B1173" s="63" t="s">
        <v>1560</v>
      </c>
      <c r="C1173" s="60" t="s">
        <v>1670</v>
      </c>
      <c r="D1173" s="63">
        <v>63</v>
      </c>
      <c r="E1173" s="56" t="s">
        <v>605</v>
      </c>
      <c r="F1173" s="63" t="s">
        <v>240</v>
      </c>
      <c r="G1173" s="63" t="s">
        <v>578</v>
      </c>
      <c r="H1173" s="63">
        <v>1</v>
      </c>
      <c r="I1173" s="63">
        <v>36</v>
      </c>
      <c r="J1173" s="63">
        <v>1</v>
      </c>
      <c r="K1173" s="63" t="s">
        <v>1320</v>
      </c>
      <c r="L1173" s="63" t="s">
        <v>240</v>
      </c>
      <c r="M1173" s="57" t="s">
        <v>587</v>
      </c>
      <c r="N1173" s="63" t="s">
        <v>240</v>
      </c>
      <c r="O1173" s="63" t="s">
        <v>240</v>
      </c>
      <c r="P1173" s="63" t="s">
        <v>240</v>
      </c>
      <c r="Q1173" s="63" t="s">
        <v>240</v>
      </c>
      <c r="R1173" s="63" t="s">
        <v>238</v>
      </c>
      <c r="S1173" s="63">
        <f t="shared" si="417"/>
        <v>22791</v>
      </c>
      <c r="T1173" s="63">
        <v>17677</v>
      </c>
      <c r="U1173" s="63">
        <v>5114</v>
      </c>
      <c r="V1173" s="63">
        <v>5.8000000000000003E-2</v>
      </c>
      <c r="AB1173" s="63">
        <v>0.39600000000000002</v>
      </c>
      <c r="AC1173" s="63">
        <v>0.33800000000000002</v>
      </c>
      <c r="AF1173" s="102">
        <f t="shared" si="465"/>
        <v>2.5760450627005769</v>
      </c>
      <c r="AH1173" s="63">
        <v>0.01</v>
      </c>
      <c r="AI1173" s="102">
        <f t="shared" si="466"/>
        <v>2.2515134086667006E-2</v>
      </c>
      <c r="AK1173" s="63" t="s">
        <v>1744</v>
      </c>
    </row>
    <row r="1174" spans="1:49" s="63" customFormat="1" ht="30" customHeight="1" x14ac:dyDescent="0.25">
      <c r="A1174" s="60" t="s">
        <v>1670</v>
      </c>
      <c r="B1174" s="63" t="s">
        <v>1560</v>
      </c>
      <c r="C1174" s="60" t="s">
        <v>1670</v>
      </c>
      <c r="D1174" s="63">
        <v>64</v>
      </c>
      <c r="E1174" s="56" t="s">
        <v>605</v>
      </c>
      <c r="F1174" s="63" t="s">
        <v>240</v>
      </c>
      <c r="G1174" s="63" t="s">
        <v>578</v>
      </c>
      <c r="H1174" s="63">
        <v>1</v>
      </c>
      <c r="I1174" s="63">
        <v>48</v>
      </c>
      <c r="J1174" s="63">
        <v>1</v>
      </c>
      <c r="K1174" s="63" t="s">
        <v>1320</v>
      </c>
      <c r="L1174" s="63" t="s">
        <v>240</v>
      </c>
      <c r="M1174" s="57" t="s">
        <v>587</v>
      </c>
      <c r="N1174" s="63" t="s">
        <v>240</v>
      </c>
      <c r="O1174" s="63" t="s">
        <v>240</v>
      </c>
      <c r="P1174" s="63" t="s">
        <v>240</v>
      </c>
      <c r="Q1174" s="63" t="s">
        <v>240</v>
      </c>
      <c r="R1174" s="63" t="s">
        <v>238</v>
      </c>
      <c r="S1174" s="63">
        <f t="shared" si="417"/>
        <v>22791</v>
      </c>
      <c r="T1174" s="63">
        <v>17677</v>
      </c>
      <c r="U1174" s="63">
        <v>5114</v>
      </c>
      <c r="V1174" s="63">
        <v>3.1E-2</v>
      </c>
      <c r="AB1174" s="63">
        <v>0.38500000000000001</v>
      </c>
      <c r="AC1174" s="63">
        <v>0.35299999999999998</v>
      </c>
      <c r="AF1174" s="102">
        <f t="shared" si="465"/>
        <v>2.5760450627005769</v>
      </c>
      <c r="AH1174" s="63">
        <v>0.01</v>
      </c>
      <c r="AI1174" s="102">
        <f t="shared" si="466"/>
        <v>1.2033950977356503E-2</v>
      </c>
      <c r="AK1174" s="63" t="s">
        <v>1744</v>
      </c>
    </row>
    <row r="1175" spans="1:49" s="63" customFormat="1" ht="30" customHeight="1" x14ac:dyDescent="0.25">
      <c r="A1175" s="60" t="s">
        <v>1670</v>
      </c>
      <c r="B1175" s="63" t="s">
        <v>1560</v>
      </c>
      <c r="C1175" s="60" t="s">
        <v>1670</v>
      </c>
      <c r="D1175" s="63">
        <v>65</v>
      </c>
      <c r="E1175" s="56" t="s">
        <v>605</v>
      </c>
      <c r="F1175" s="63" t="s">
        <v>240</v>
      </c>
      <c r="G1175" s="63" t="s">
        <v>578</v>
      </c>
      <c r="H1175" s="63">
        <v>1</v>
      </c>
      <c r="I1175" s="63">
        <v>60</v>
      </c>
      <c r="J1175" s="63">
        <v>1</v>
      </c>
      <c r="K1175" s="63" t="s">
        <v>1320</v>
      </c>
      <c r="L1175" s="63" t="s">
        <v>240</v>
      </c>
      <c r="M1175" s="57" t="s">
        <v>587</v>
      </c>
      <c r="N1175" s="63" t="s">
        <v>240</v>
      </c>
      <c r="O1175" s="63" t="s">
        <v>240</v>
      </c>
      <c r="P1175" s="63" t="s">
        <v>240</v>
      </c>
      <c r="Q1175" s="63" t="s">
        <v>240</v>
      </c>
      <c r="R1175" s="63" t="s">
        <v>238</v>
      </c>
      <c r="S1175" s="63">
        <f t="shared" si="417"/>
        <v>22791</v>
      </c>
      <c r="T1175" s="63">
        <v>17677</v>
      </c>
      <c r="U1175" s="63">
        <v>5114</v>
      </c>
      <c r="V1175" s="63">
        <v>3.1E-2</v>
      </c>
      <c r="AB1175" s="63">
        <v>0.39400000000000002</v>
      </c>
      <c r="AC1175" s="63">
        <v>0.36399999999999999</v>
      </c>
      <c r="AF1175" s="102">
        <f t="shared" si="465"/>
        <v>2.5760450627005769</v>
      </c>
      <c r="AH1175" s="63">
        <v>0.01</v>
      </c>
      <c r="AI1175" s="102">
        <f t="shared" si="466"/>
        <v>1.2033950977356503E-2</v>
      </c>
      <c r="AK1175" s="63" t="s">
        <v>1744</v>
      </c>
    </row>
    <row r="1176" spans="1:49" s="63" customFormat="1" ht="30" customHeight="1" x14ac:dyDescent="0.25">
      <c r="A1176" s="60" t="s">
        <v>1670</v>
      </c>
      <c r="B1176" s="63" t="s">
        <v>1560</v>
      </c>
      <c r="C1176" s="60" t="s">
        <v>1670</v>
      </c>
      <c r="D1176" s="63">
        <v>66</v>
      </c>
      <c r="E1176" s="56" t="s">
        <v>605</v>
      </c>
      <c r="F1176" s="63" t="s">
        <v>240</v>
      </c>
      <c r="G1176" s="63" t="s">
        <v>578</v>
      </c>
      <c r="H1176" s="63">
        <v>1</v>
      </c>
      <c r="I1176" s="63">
        <v>12</v>
      </c>
      <c r="J1176" s="63">
        <v>2</v>
      </c>
      <c r="K1176" s="63" t="s">
        <v>1773</v>
      </c>
      <c r="L1176" s="63" t="s">
        <v>1326</v>
      </c>
      <c r="M1176" s="57" t="s">
        <v>587</v>
      </c>
      <c r="N1176" s="63" t="s">
        <v>240</v>
      </c>
      <c r="O1176" s="63" t="s">
        <v>240</v>
      </c>
      <c r="P1176" s="63" t="s">
        <v>240</v>
      </c>
      <c r="Q1176" s="63" t="s">
        <v>240</v>
      </c>
      <c r="R1176" s="63" t="s">
        <v>238</v>
      </c>
      <c r="S1176" s="63">
        <f t="shared" si="417"/>
        <v>22791</v>
      </c>
      <c r="T1176" s="63">
        <v>17677</v>
      </c>
      <c r="U1176" s="63">
        <v>5114</v>
      </c>
      <c r="V1176" s="63">
        <v>266</v>
      </c>
      <c r="AB1176" s="63">
        <v>1908</v>
      </c>
      <c r="AC1176" s="63">
        <v>1642</v>
      </c>
      <c r="AF1176" s="67">
        <f t="shared" ref="AF1176:AF1180" si="467">_xlfn.T.INV.2T(AH1176,T1176-2)</f>
        <v>2.5761074957688819</v>
      </c>
      <c r="AH1176" s="63">
        <v>0.01</v>
      </c>
      <c r="AI1176" s="67">
        <f t="shared" ref="AI1176:AI1180" si="468">+ABS(V1176/AF1176)</f>
        <v>103.256560697444</v>
      </c>
      <c r="AK1176" s="63" t="s">
        <v>1744</v>
      </c>
      <c r="AP1176" s="67">
        <f t="shared" ref="AP1176:AP1180" si="469">+V1176/AQ1176</f>
        <v>4.0903552561444317E-2</v>
      </c>
      <c r="AQ1176" s="67">
        <f t="shared" ref="AQ1176:AQ1180" si="470">+AI1176*SQRT(T1176*U1176/S1176)</f>
        <v>6503.1026241650115</v>
      </c>
      <c r="AR1176" s="67"/>
      <c r="AS1176" s="67">
        <f t="shared" ref="AS1176:AS1180" si="471">+AP1176^2/(AU1176-2)*(AU1176/(V1176/AI1176)^2+AU1176*AV1176^2-AU1176+2)</f>
        <v>2.5228131011647013E-4</v>
      </c>
      <c r="AT1176" s="67"/>
      <c r="AU1176" s="67">
        <f t="shared" ref="AU1176:AU1180" si="472">+S1176-2</f>
        <v>22789</v>
      </c>
      <c r="AV1176" s="67">
        <f t="shared" ref="AV1176:AV1180" si="473">IFERROR(1/(SQRT(AU1176/2)*_xlfn.GAMMA(AU1176/2-0.5)/_xlfn.GAMMA(AU1176/2)),1)</f>
        <v>1</v>
      </c>
      <c r="AW1176" s="67" t="s">
        <v>1350</v>
      </c>
    </row>
    <row r="1177" spans="1:49" s="63" customFormat="1" ht="30" customHeight="1" x14ac:dyDescent="0.25">
      <c r="A1177" s="60" t="s">
        <v>1670</v>
      </c>
      <c r="B1177" s="63" t="s">
        <v>1560</v>
      </c>
      <c r="C1177" s="60" t="s">
        <v>1670</v>
      </c>
      <c r="D1177" s="63">
        <v>67</v>
      </c>
      <c r="E1177" s="56" t="s">
        <v>605</v>
      </c>
      <c r="F1177" s="63" t="s">
        <v>240</v>
      </c>
      <c r="G1177" s="63" t="s">
        <v>578</v>
      </c>
      <c r="H1177" s="63">
        <v>1</v>
      </c>
      <c r="I1177" s="63">
        <v>24</v>
      </c>
      <c r="J1177" s="63">
        <v>2</v>
      </c>
      <c r="K1177" s="63" t="s">
        <v>1773</v>
      </c>
      <c r="L1177" s="63" t="s">
        <v>1326</v>
      </c>
      <c r="M1177" s="57" t="s">
        <v>587</v>
      </c>
      <c r="N1177" s="63" t="s">
        <v>240</v>
      </c>
      <c r="O1177" s="63" t="s">
        <v>240</v>
      </c>
      <c r="P1177" s="63" t="s">
        <v>240</v>
      </c>
      <c r="Q1177" s="63" t="s">
        <v>240</v>
      </c>
      <c r="R1177" s="63" t="s">
        <v>238</v>
      </c>
      <c r="S1177" s="63">
        <f t="shared" si="417"/>
        <v>22791</v>
      </c>
      <c r="T1177" s="63">
        <v>17677</v>
      </c>
      <c r="U1177" s="63">
        <v>5114</v>
      </c>
      <c r="V1177" s="63">
        <v>512</v>
      </c>
      <c r="AB1177" s="63">
        <v>2714</v>
      </c>
      <c r="AC1177" s="63">
        <v>2202</v>
      </c>
      <c r="AF1177" s="67">
        <f t="shared" si="467"/>
        <v>2.5761074957688819</v>
      </c>
      <c r="AH1177" s="63">
        <v>0.01</v>
      </c>
      <c r="AI1177" s="67">
        <f t="shared" si="468"/>
        <v>198.74947021462904</v>
      </c>
      <c r="AK1177" s="63" t="s">
        <v>1744</v>
      </c>
      <c r="AP1177" s="67">
        <f t="shared" si="469"/>
        <v>4.0903552561444317E-2</v>
      </c>
      <c r="AQ1177" s="67">
        <f t="shared" si="470"/>
        <v>12517.250163806337</v>
      </c>
      <c r="AR1177" s="67"/>
      <c r="AS1177" s="67">
        <f t="shared" si="471"/>
        <v>2.5228131011647013E-4</v>
      </c>
      <c r="AT1177" s="67"/>
      <c r="AU1177" s="67">
        <f t="shared" si="472"/>
        <v>22789</v>
      </c>
      <c r="AV1177" s="67">
        <f t="shared" si="473"/>
        <v>1</v>
      </c>
      <c r="AW1177" s="67" t="s">
        <v>1350</v>
      </c>
    </row>
    <row r="1178" spans="1:49" s="63" customFormat="1" ht="30" customHeight="1" x14ac:dyDescent="0.25">
      <c r="A1178" s="60" t="s">
        <v>1670</v>
      </c>
      <c r="B1178" s="63" t="s">
        <v>1560</v>
      </c>
      <c r="C1178" s="60" t="s">
        <v>1670</v>
      </c>
      <c r="D1178" s="63">
        <v>68</v>
      </c>
      <c r="E1178" s="56" t="s">
        <v>605</v>
      </c>
      <c r="F1178" s="63" t="s">
        <v>240</v>
      </c>
      <c r="G1178" s="63" t="s">
        <v>578</v>
      </c>
      <c r="H1178" s="63">
        <v>1</v>
      </c>
      <c r="I1178" s="63">
        <v>36</v>
      </c>
      <c r="J1178" s="63">
        <v>2</v>
      </c>
      <c r="K1178" s="63" t="s">
        <v>1773</v>
      </c>
      <c r="L1178" s="63" t="s">
        <v>1326</v>
      </c>
      <c r="M1178" s="57" t="s">
        <v>587</v>
      </c>
      <c r="N1178" s="63" t="s">
        <v>240</v>
      </c>
      <c r="O1178" s="63" t="s">
        <v>240</v>
      </c>
      <c r="P1178" s="63" t="s">
        <v>240</v>
      </c>
      <c r="Q1178" s="63" t="s">
        <v>240</v>
      </c>
      <c r="R1178" s="63" t="s">
        <v>238</v>
      </c>
      <c r="S1178" s="63">
        <f t="shared" si="417"/>
        <v>22791</v>
      </c>
      <c r="T1178" s="63">
        <v>17677</v>
      </c>
      <c r="U1178" s="63">
        <v>5114</v>
      </c>
      <c r="V1178" s="63">
        <v>631</v>
      </c>
      <c r="AB1178" s="63">
        <v>3157</v>
      </c>
      <c r="AC1178" s="63">
        <v>2527</v>
      </c>
      <c r="AF1178" s="67">
        <f t="shared" si="467"/>
        <v>2.5761074957688819</v>
      </c>
      <c r="AH1178" s="63">
        <v>0.01</v>
      </c>
      <c r="AI1178" s="67">
        <f t="shared" si="468"/>
        <v>244.94319473716979</v>
      </c>
      <c r="AK1178" s="63" t="s">
        <v>1744</v>
      </c>
      <c r="AP1178" s="67">
        <f t="shared" si="469"/>
        <v>4.090355256144431E-2</v>
      </c>
      <c r="AQ1178" s="67">
        <f t="shared" si="470"/>
        <v>15426.532916722264</v>
      </c>
      <c r="AR1178" s="67"/>
      <c r="AS1178" s="67">
        <f t="shared" si="471"/>
        <v>2.5228131011647003E-4</v>
      </c>
      <c r="AT1178" s="67"/>
      <c r="AU1178" s="67">
        <f t="shared" si="472"/>
        <v>22789</v>
      </c>
      <c r="AV1178" s="67">
        <f t="shared" si="473"/>
        <v>1</v>
      </c>
      <c r="AW1178" s="67" t="s">
        <v>1350</v>
      </c>
    </row>
    <row r="1179" spans="1:49" s="63" customFormat="1" ht="30" customHeight="1" x14ac:dyDescent="0.25">
      <c r="A1179" s="60" t="s">
        <v>1670</v>
      </c>
      <c r="B1179" s="63" t="s">
        <v>1560</v>
      </c>
      <c r="C1179" s="60" t="s">
        <v>1670</v>
      </c>
      <c r="D1179" s="63">
        <v>69</v>
      </c>
      <c r="E1179" s="56" t="s">
        <v>605</v>
      </c>
      <c r="F1179" s="63" t="s">
        <v>240</v>
      </c>
      <c r="G1179" s="63" t="s">
        <v>578</v>
      </c>
      <c r="H1179" s="63">
        <v>1</v>
      </c>
      <c r="I1179" s="63">
        <v>48</v>
      </c>
      <c r="J1179" s="63">
        <v>2</v>
      </c>
      <c r="K1179" s="63" t="s">
        <v>1773</v>
      </c>
      <c r="L1179" s="63" t="s">
        <v>1326</v>
      </c>
      <c r="M1179" s="57" t="s">
        <v>587</v>
      </c>
      <c r="N1179" s="63" t="s">
        <v>240</v>
      </c>
      <c r="O1179" s="63" t="s">
        <v>240</v>
      </c>
      <c r="P1179" s="63" t="s">
        <v>240</v>
      </c>
      <c r="Q1179" s="63" t="s">
        <v>240</v>
      </c>
      <c r="R1179" s="63" t="s">
        <v>238</v>
      </c>
      <c r="S1179" s="63">
        <f t="shared" si="417"/>
        <v>22791</v>
      </c>
      <c r="T1179" s="63">
        <v>17677</v>
      </c>
      <c r="U1179" s="63">
        <v>5114</v>
      </c>
      <c r="V1179" s="63">
        <v>752</v>
      </c>
      <c r="AB1179" s="63">
        <v>3488</v>
      </c>
      <c r="AC1179" s="63">
        <v>2736</v>
      </c>
      <c r="AF1179" s="67">
        <f t="shared" si="467"/>
        <v>2.5761074957688819</v>
      </c>
      <c r="AH1179" s="63">
        <v>0.01</v>
      </c>
      <c r="AI1179" s="67">
        <f t="shared" si="468"/>
        <v>291.91328437773643</v>
      </c>
      <c r="AK1179" s="63" t="s">
        <v>1744</v>
      </c>
      <c r="AP1179" s="67">
        <f t="shared" si="469"/>
        <v>4.0903552561444317E-2</v>
      </c>
      <c r="AQ1179" s="67">
        <f t="shared" si="470"/>
        <v>18384.711178090558</v>
      </c>
      <c r="AR1179" s="67"/>
      <c r="AS1179" s="67">
        <f t="shared" si="471"/>
        <v>2.5228131011647013E-4</v>
      </c>
      <c r="AT1179" s="67"/>
      <c r="AU1179" s="67">
        <f t="shared" si="472"/>
        <v>22789</v>
      </c>
      <c r="AV1179" s="67">
        <f t="shared" si="473"/>
        <v>1</v>
      </c>
      <c r="AW1179" s="67" t="s">
        <v>1350</v>
      </c>
    </row>
    <row r="1180" spans="1:49" s="63" customFormat="1" ht="30" customHeight="1" x14ac:dyDescent="0.25">
      <c r="A1180" s="60" t="s">
        <v>1670</v>
      </c>
      <c r="B1180" s="63" t="s">
        <v>1560</v>
      </c>
      <c r="C1180" s="60" t="s">
        <v>1670</v>
      </c>
      <c r="D1180" s="63">
        <v>70</v>
      </c>
      <c r="E1180" s="56" t="s">
        <v>605</v>
      </c>
      <c r="F1180" s="63" t="s">
        <v>240</v>
      </c>
      <c r="G1180" s="63" t="s">
        <v>578</v>
      </c>
      <c r="H1180" s="63">
        <v>1</v>
      </c>
      <c r="I1180" s="63">
        <v>60</v>
      </c>
      <c r="J1180" s="63">
        <v>2</v>
      </c>
      <c r="K1180" s="63" t="s">
        <v>1773</v>
      </c>
      <c r="L1180" s="63" t="s">
        <v>1326</v>
      </c>
      <c r="M1180" s="57" t="s">
        <v>587</v>
      </c>
      <c r="N1180" s="63" t="s">
        <v>240</v>
      </c>
      <c r="O1180" s="63" t="s">
        <v>240</v>
      </c>
      <c r="P1180" s="63" t="s">
        <v>240</v>
      </c>
      <c r="Q1180" s="63" t="s">
        <v>240</v>
      </c>
      <c r="R1180" s="63" t="s">
        <v>238</v>
      </c>
      <c r="S1180" s="63">
        <f t="shared" si="417"/>
        <v>22791</v>
      </c>
      <c r="T1180" s="63">
        <v>17677</v>
      </c>
      <c r="U1180" s="63">
        <v>5114</v>
      </c>
      <c r="V1180" s="63">
        <v>692</v>
      </c>
      <c r="AB1180" s="63">
        <v>3800</v>
      </c>
      <c r="AC1180" s="63">
        <v>3107</v>
      </c>
      <c r="AF1180" s="67">
        <f t="shared" si="467"/>
        <v>2.5761074957688819</v>
      </c>
      <c r="AH1180" s="63">
        <v>0.01</v>
      </c>
      <c r="AI1180" s="67">
        <f t="shared" si="468"/>
        <v>268.62233083695958</v>
      </c>
      <c r="AK1180" s="63" t="s">
        <v>1744</v>
      </c>
      <c r="AP1180" s="67">
        <f t="shared" si="469"/>
        <v>4.090355256144431E-2</v>
      </c>
      <c r="AQ1180" s="67">
        <f t="shared" si="470"/>
        <v>16917.845924519504</v>
      </c>
      <c r="AR1180" s="67"/>
      <c r="AS1180" s="67">
        <f t="shared" si="471"/>
        <v>2.5228131011647003E-4</v>
      </c>
      <c r="AT1180" s="67"/>
      <c r="AU1180" s="67">
        <f t="shared" si="472"/>
        <v>22789</v>
      </c>
      <c r="AV1180" s="67">
        <f t="shared" si="473"/>
        <v>1</v>
      </c>
      <c r="AW1180" s="67" t="s">
        <v>1350</v>
      </c>
    </row>
    <row r="1181" spans="1:49" s="63" customFormat="1" ht="30" customHeight="1" x14ac:dyDescent="0.25">
      <c r="A1181" s="62" t="s">
        <v>1683</v>
      </c>
      <c r="B1181" s="63" t="s">
        <v>1560</v>
      </c>
      <c r="C1181" s="62" t="s">
        <v>1683</v>
      </c>
      <c r="D1181" s="63">
        <v>1</v>
      </c>
      <c r="E1181" s="56" t="s">
        <v>605</v>
      </c>
      <c r="F1181" s="63" t="s">
        <v>240</v>
      </c>
      <c r="G1181" s="63" t="s">
        <v>578</v>
      </c>
      <c r="H1181" s="63">
        <v>1</v>
      </c>
      <c r="I1181" s="63">
        <v>12</v>
      </c>
      <c r="J1181" s="63">
        <v>1</v>
      </c>
      <c r="K1181" s="63" t="s">
        <v>1320</v>
      </c>
      <c r="L1181" s="63" t="s">
        <v>240</v>
      </c>
      <c r="M1181" s="114" t="s">
        <v>1779</v>
      </c>
      <c r="N1181" s="63" t="s">
        <v>240</v>
      </c>
      <c r="O1181" s="63" t="s">
        <v>240</v>
      </c>
      <c r="P1181" s="63" t="s">
        <v>240</v>
      </c>
      <c r="Q1181" s="63" t="s">
        <v>240</v>
      </c>
      <c r="R1181" s="63" t="s">
        <v>1690</v>
      </c>
      <c r="S1181" s="63">
        <f t="shared" ref="S1181:S1182" si="474">+T1181+U1181</f>
        <v>1992</v>
      </c>
      <c r="T1181" s="63">
        <v>1021</v>
      </c>
      <c r="U1181" s="63">
        <v>971</v>
      </c>
      <c r="V1181" s="63">
        <v>-6.6000000000000003E-2</v>
      </c>
      <c r="AB1181" s="63">
        <v>0.54</v>
      </c>
      <c r="AC1181" s="63">
        <v>0.60599999999999998</v>
      </c>
      <c r="AF1181" s="102">
        <f t="shared" ref="AF1181" si="475">_xlfn.T.INV.2T(AH1181,S1181-2)</f>
        <v>2.5783021629688414</v>
      </c>
      <c r="AH1181" s="63">
        <v>0.01</v>
      </c>
      <c r="AI1181" s="102">
        <f t="shared" ref="AI1181" si="476">ABS(V1181/AF1181)</f>
        <v>2.5598240946283383E-2</v>
      </c>
      <c r="AK1181" s="63" t="s">
        <v>1744</v>
      </c>
    </row>
    <row r="1182" spans="1:49" s="63" customFormat="1" ht="30" customHeight="1" x14ac:dyDescent="0.25">
      <c r="A1182" s="62" t="s">
        <v>1683</v>
      </c>
      <c r="B1182" s="63" t="s">
        <v>1560</v>
      </c>
      <c r="C1182" s="62" t="s">
        <v>1683</v>
      </c>
      <c r="D1182" s="63">
        <v>2</v>
      </c>
      <c r="E1182" s="56" t="s">
        <v>605</v>
      </c>
      <c r="F1182" s="63" t="s">
        <v>240</v>
      </c>
      <c r="G1182" s="63" t="s">
        <v>578</v>
      </c>
      <c r="H1182" s="63">
        <v>1</v>
      </c>
      <c r="I1182" s="63">
        <v>12</v>
      </c>
      <c r="J1182" s="63">
        <v>2</v>
      </c>
      <c r="K1182" s="63" t="s">
        <v>956</v>
      </c>
      <c r="L1182" s="63" t="s">
        <v>1780</v>
      </c>
      <c r="M1182" s="114" t="s">
        <v>1779</v>
      </c>
      <c r="N1182" s="63" t="s">
        <v>240</v>
      </c>
      <c r="O1182" s="63" t="s">
        <v>240</v>
      </c>
      <c r="P1182" s="63" t="s">
        <v>240</v>
      </c>
      <c r="Q1182" s="63" t="s">
        <v>240</v>
      </c>
      <c r="R1182" s="63" t="s">
        <v>1690</v>
      </c>
      <c r="S1182" s="63">
        <f t="shared" si="474"/>
        <v>1992</v>
      </c>
      <c r="T1182" s="63">
        <v>1021</v>
      </c>
      <c r="U1182" s="63">
        <v>971</v>
      </c>
      <c r="V1182" s="63">
        <v>-427</v>
      </c>
      <c r="AB1182" s="63">
        <v>3547</v>
      </c>
      <c r="AC1182" s="63">
        <v>3974</v>
      </c>
      <c r="AF1182" s="67">
        <f>_xlfn.T.INV.2T(AH1182,T1182-2)</f>
        <v>0.67473058722151591</v>
      </c>
      <c r="AH1182" s="63">
        <v>0.5</v>
      </c>
      <c r="AI1182" s="67">
        <f t="shared" ref="AI1182" si="477">+ABS(V1182/AF1182)</f>
        <v>632.84518011603757</v>
      </c>
      <c r="AK1182" s="63" t="s">
        <v>1740</v>
      </c>
      <c r="AP1182" s="67">
        <f t="shared" ref="AP1182" si="478">+V1182/AQ1182</f>
        <v>-3.0244929693829057E-2</v>
      </c>
      <c r="AQ1182" s="67">
        <f t="shared" ref="AQ1182" si="479">+AI1182*SQRT(T1182*U1182/S1182)</f>
        <v>14118.068857244585</v>
      </c>
      <c r="AR1182" s="67"/>
      <c r="AS1182" s="67">
        <f t="shared" ref="AS1182" si="480">+AP1182^2/(AU1182-2)*(AU1182/(V1182/AI1182)^2+AU1182*AV1182^2-AU1182+2)</f>
        <v>2.0122397509289682E-3</v>
      </c>
      <c r="AT1182" s="67"/>
      <c r="AU1182" s="67">
        <f t="shared" ref="AU1182" si="481">+S1182-2</f>
        <v>1990</v>
      </c>
      <c r="AV1182" s="67">
        <f t="shared" ref="AV1182" si="482">IFERROR(1/(SQRT(AU1182/2)*_xlfn.GAMMA(AU1182/2-0.5)/_xlfn.GAMMA(AU1182/2)),1)</f>
        <v>1</v>
      </c>
      <c r="AW1182" s="67" t="s">
        <v>1350</v>
      </c>
    </row>
    <row r="1183" spans="1:49" s="63" customFormat="1" ht="30" customHeight="1" x14ac:dyDescent="0.25">
      <c r="A1183" s="62" t="s">
        <v>1683</v>
      </c>
      <c r="B1183" s="63" t="s">
        <v>1560</v>
      </c>
      <c r="C1183" s="62" t="s">
        <v>1683</v>
      </c>
      <c r="D1183" s="63">
        <v>3</v>
      </c>
      <c r="E1183" s="56" t="s">
        <v>605</v>
      </c>
      <c r="F1183" s="63" t="s">
        <v>240</v>
      </c>
      <c r="G1183" s="63" t="s">
        <v>578</v>
      </c>
      <c r="H1183" s="63">
        <v>1</v>
      </c>
      <c r="I1183" s="63">
        <v>24</v>
      </c>
      <c r="J1183" s="63">
        <v>1</v>
      </c>
      <c r="K1183" s="63" t="s">
        <v>1320</v>
      </c>
      <c r="L1183" s="63" t="s">
        <v>240</v>
      </c>
      <c r="M1183" s="114" t="s">
        <v>1779</v>
      </c>
      <c r="N1183" s="63" t="s">
        <v>240</v>
      </c>
      <c r="O1183" s="63" t="s">
        <v>240</v>
      </c>
      <c r="P1183" s="63" t="s">
        <v>240</v>
      </c>
      <c r="Q1183" s="63" t="s">
        <v>240</v>
      </c>
      <c r="R1183" s="63" t="s">
        <v>1690</v>
      </c>
      <c r="S1183" s="63">
        <f>+T1183+U1183</f>
        <v>1247</v>
      </c>
      <c r="T1183" s="63">
        <v>649</v>
      </c>
      <c r="U1183" s="63">
        <v>598</v>
      </c>
      <c r="V1183" s="63">
        <v>-3.2000000000000001E-2</v>
      </c>
      <c r="AB1183" s="63">
        <v>0.72899999999999998</v>
      </c>
      <c r="AC1183" s="63">
        <v>0.76100000000000001</v>
      </c>
      <c r="AF1183" s="102">
        <f t="shared" ref="AF1183:AF1190" si="483">_xlfn.T.INV.2T(AH1183,S1183-2)</f>
        <v>0.67468685764197533</v>
      </c>
      <c r="AH1183" s="63">
        <v>0.5</v>
      </c>
      <c r="AI1183" s="102">
        <f t="shared" ref="AI1183:AI1190" si="484">ABS(V1183/AF1183)</f>
        <v>4.7429410603668377E-2</v>
      </c>
      <c r="AK1183" s="63" t="s">
        <v>1740</v>
      </c>
    </row>
    <row r="1184" spans="1:49" s="63" customFormat="1" ht="30" customHeight="1" x14ac:dyDescent="0.25">
      <c r="A1184" s="62" t="s">
        <v>1683</v>
      </c>
      <c r="B1184" s="63" t="s">
        <v>1560</v>
      </c>
      <c r="C1184" s="62" t="s">
        <v>1683</v>
      </c>
      <c r="D1184" s="63">
        <v>4</v>
      </c>
      <c r="E1184" s="56" t="s">
        <v>605</v>
      </c>
      <c r="F1184" s="63" t="s">
        <v>240</v>
      </c>
      <c r="G1184" s="63" t="s">
        <v>578</v>
      </c>
      <c r="H1184" s="63">
        <v>1</v>
      </c>
      <c r="I1184" s="63">
        <v>24</v>
      </c>
      <c r="J1184" s="63">
        <v>2</v>
      </c>
      <c r="K1184" s="63" t="s">
        <v>956</v>
      </c>
      <c r="L1184" s="63" t="s">
        <v>1780</v>
      </c>
      <c r="M1184" s="114" t="s">
        <v>1779</v>
      </c>
      <c r="N1184" s="63" t="s">
        <v>240</v>
      </c>
      <c r="O1184" s="63" t="s">
        <v>240</v>
      </c>
      <c r="P1184" s="63" t="s">
        <v>240</v>
      </c>
      <c r="Q1184" s="63" t="s">
        <v>240</v>
      </c>
      <c r="R1184" s="63" t="s">
        <v>1690</v>
      </c>
      <c r="S1184" s="63">
        <f>+T1184+U1184</f>
        <v>1247</v>
      </c>
      <c r="T1184" s="63">
        <v>649</v>
      </c>
      <c r="U1184" s="63">
        <v>598</v>
      </c>
      <c r="V1184" s="63">
        <v>-1837</v>
      </c>
      <c r="AB1184" s="63">
        <v>8568</v>
      </c>
      <c r="AC1184" s="63">
        <v>10405</v>
      </c>
      <c r="AF1184" s="67">
        <f>_xlfn.T.INV.2T(AH1184,T1184-2)</f>
        <v>1.9636373072319293</v>
      </c>
      <c r="AH1184" s="63">
        <v>0.05</v>
      </c>
      <c r="AI1184" s="67">
        <f t="shared" ref="AI1184" si="485">+ABS(V1184/AF1184)</f>
        <v>935.50880971474032</v>
      </c>
      <c r="AK1184" s="63" t="s">
        <v>1324</v>
      </c>
      <c r="AP1184" s="67">
        <f t="shared" ref="AP1184" si="486">+V1184/AQ1184</f>
        <v>-0.11130676509079063</v>
      </c>
      <c r="AQ1184" s="67">
        <f t="shared" ref="AQ1184" si="487">+AI1184*SQRT(T1184*U1184/S1184)</f>
        <v>16503.938448858855</v>
      </c>
      <c r="AR1184" s="67"/>
      <c r="AS1184" s="67">
        <f t="shared" ref="AS1184" si="488">+AP1184^2/(AU1184-2)*(AU1184/(V1184/AI1184)^2+AU1184*AV1184^2-AU1184+2)</f>
        <v>3.2381770656699964E-3</v>
      </c>
      <c r="AT1184" s="67"/>
      <c r="AU1184" s="67">
        <f t="shared" ref="AU1184" si="489">+S1184-2</f>
        <v>1245</v>
      </c>
      <c r="AV1184" s="67">
        <f t="shared" ref="AV1184" si="490">IFERROR(1/(SQRT(AU1184/2)*_xlfn.GAMMA(AU1184/2-0.5)/_xlfn.GAMMA(AU1184/2)),1)</f>
        <v>1</v>
      </c>
      <c r="AW1184" s="67" t="s">
        <v>1350</v>
      </c>
    </row>
    <row r="1185" spans="1:49" s="63" customFormat="1" ht="30" customHeight="1" x14ac:dyDescent="0.25">
      <c r="A1185" s="63" t="s">
        <v>1694</v>
      </c>
      <c r="B1185" s="63" t="s">
        <v>1560</v>
      </c>
      <c r="C1185" s="63" t="s">
        <v>1694</v>
      </c>
      <c r="D1185" s="63">
        <v>1</v>
      </c>
      <c r="E1185" s="63" t="s">
        <v>577</v>
      </c>
      <c r="F1185" s="63" t="s">
        <v>240</v>
      </c>
      <c r="G1185" s="63" t="s">
        <v>578</v>
      </c>
      <c r="H1185" s="63">
        <v>1</v>
      </c>
      <c r="I1185" s="63">
        <v>3</v>
      </c>
      <c r="J1185" s="63">
        <v>1</v>
      </c>
      <c r="K1185" s="63" t="s">
        <v>1320</v>
      </c>
      <c r="L1185" s="63" t="s">
        <v>240</v>
      </c>
      <c r="M1185" s="63" t="s">
        <v>587</v>
      </c>
      <c r="N1185" s="63" t="s">
        <v>240</v>
      </c>
      <c r="O1185" s="63" t="s">
        <v>240</v>
      </c>
      <c r="P1185" s="63" t="s">
        <v>240</v>
      </c>
      <c r="Q1185" s="63" t="s">
        <v>240</v>
      </c>
      <c r="R1185" s="63" t="s">
        <v>1781</v>
      </c>
      <c r="S1185" s="63">
        <v>2088</v>
      </c>
      <c r="T1185" s="63">
        <v>1408</v>
      </c>
      <c r="U1185" s="63">
        <v>680</v>
      </c>
      <c r="V1185" s="63">
        <v>-4.7E-2</v>
      </c>
      <c r="AB1185" s="63">
        <v>0.08</v>
      </c>
      <c r="AC1185" s="63">
        <v>0.127</v>
      </c>
      <c r="AF1185" s="102">
        <f t="shared" si="483"/>
        <v>3.2951970434310316</v>
      </c>
      <c r="AH1185" s="63">
        <v>1E-3</v>
      </c>
      <c r="AI1185" s="102">
        <f t="shared" si="484"/>
        <v>1.4263183469921595E-2</v>
      </c>
    </row>
    <row r="1186" spans="1:49" s="63" customFormat="1" ht="30" customHeight="1" x14ac:dyDescent="0.25">
      <c r="A1186" s="63" t="s">
        <v>1694</v>
      </c>
      <c r="B1186" s="63" t="s">
        <v>1560</v>
      </c>
      <c r="C1186" s="63" t="s">
        <v>1694</v>
      </c>
      <c r="D1186" s="63">
        <v>2</v>
      </c>
      <c r="E1186" s="63" t="s">
        <v>577</v>
      </c>
      <c r="F1186" s="63" t="s">
        <v>240</v>
      </c>
      <c r="G1186" s="63" t="s">
        <v>578</v>
      </c>
      <c r="H1186" s="63">
        <v>1</v>
      </c>
      <c r="I1186" s="63">
        <v>6</v>
      </c>
      <c r="J1186" s="63">
        <v>1</v>
      </c>
      <c r="K1186" s="63" t="s">
        <v>1320</v>
      </c>
      <c r="L1186" s="63" t="s">
        <v>240</v>
      </c>
      <c r="M1186" s="63" t="s">
        <v>587</v>
      </c>
      <c r="N1186" s="63" t="s">
        <v>240</v>
      </c>
      <c r="O1186" s="63" t="s">
        <v>240</v>
      </c>
      <c r="P1186" s="63" t="s">
        <v>240</v>
      </c>
      <c r="Q1186" s="63" t="s">
        <v>240</v>
      </c>
      <c r="R1186" s="63" t="s">
        <v>1781</v>
      </c>
      <c r="S1186" s="63">
        <v>2088</v>
      </c>
      <c r="T1186" s="63">
        <v>1408</v>
      </c>
      <c r="U1186" s="63">
        <v>680</v>
      </c>
      <c r="V1186" s="63">
        <v>-4.8000000000000001E-2</v>
      </c>
      <c r="AB1186" s="63">
        <v>0.14399999999999999</v>
      </c>
      <c r="AC1186" s="63">
        <v>0.192</v>
      </c>
      <c r="AF1186" s="102">
        <f t="shared" si="483"/>
        <v>2.8813673790871115</v>
      </c>
      <c r="AH1186" s="63">
        <v>4.0000000000000001E-3</v>
      </c>
      <c r="AI1186" s="102">
        <f t="shared" si="484"/>
        <v>1.6658757348466821E-2</v>
      </c>
    </row>
    <row r="1187" spans="1:49" s="63" customFormat="1" ht="30" customHeight="1" x14ac:dyDescent="0.25">
      <c r="A1187" s="63" t="s">
        <v>1694</v>
      </c>
      <c r="B1187" s="63" t="s">
        <v>1560</v>
      </c>
      <c r="C1187" s="63" t="s">
        <v>1694</v>
      </c>
      <c r="D1187" s="63">
        <v>3</v>
      </c>
      <c r="E1187" s="63" t="s">
        <v>577</v>
      </c>
      <c r="F1187" s="63" t="s">
        <v>240</v>
      </c>
      <c r="G1187" s="63" t="s">
        <v>578</v>
      </c>
      <c r="H1187" s="63">
        <v>1</v>
      </c>
      <c r="I1187" s="63">
        <v>9</v>
      </c>
      <c r="J1187" s="63">
        <v>1</v>
      </c>
      <c r="K1187" s="63" t="s">
        <v>1320</v>
      </c>
      <c r="L1187" s="63" t="s">
        <v>240</v>
      </c>
      <c r="M1187" s="63" t="s">
        <v>587</v>
      </c>
      <c r="N1187" s="63" t="s">
        <v>240</v>
      </c>
      <c r="O1187" s="63" t="s">
        <v>240</v>
      </c>
      <c r="P1187" s="63" t="s">
        <v>240</v>
      </c>
      <c r="Q1187" s="63" t="s">
        <v>240</v>
      </c>
      <c r="R1187" s="63" t="s">
        <v>1781</v>
      </c>
      <c r="S1187" s="63">
        <v>2088</v>
      </c>
      <c r="T1187" s="63">
        <v>1408</v>
      </c>
      <c r="U1187" s="63">
        <v>680</v>
      </c>
      <c r="V1187" s="63">
        <v>-2.4E-2</v>
      </c>
      <c r="AB1187" s="63">
        <v>0.17899999999999999</v>
      </c>
      <c r="AC1187" s="63">
        <v>0.20300000000000001</v>
      </c>
      <c r="AF1187" s="102">
        <f t="shared" si="483"/>
        <v>1.3259543196260009</v>
      </c>
      <c r="AH1187" s="63">
        <v>0.185</v>
      </c>
      <c r="AI1187" s="102">
        <f t="shared" si="484"/>
        <v>1.8100171057755177E-2</v>
      </c>
    </row>
    <row r="1188" spans="1:49" s="63" customFormat="1" ht="30" customHeight="1" x14ac:dyDescent="0.25">
      <c r="A1188" s="63" t="s">
        <v>1694</v>
      </c>
      <c r="B1188" s="63" t="s">
        <v>1560</v>
      </c>
      <c r="C1188" s="63" t="s">
        <v>1694</v>
      </c>
      <c r="D1188" s="63">
        <v>4</v>
      </c>
      <c r="E1188" s="63" t="s">
        <v>577</v>
      </c>
      <c r="F1188" s="63" t="s">
        <v>240</v>
      </c>
      <c r="G1188" s="63" t="s">
        <v>578</v>
      </c>
      <c r="H1188" s="63">
        <v>1</v>
      </c>
      <c r="I1188" s="63">
        <v>12</v>
      </c>
      <c r="J1188" s="63">
        <v>1</v>
      </c>
      <c r="K1188" s="63" t="s">
        <v>1320</v>
      </c>
      <c r="L1188" s="63" t="s">
        <v>240</v>
      </c>
      <c r="M1188" s="63" t="s">
        <v>587</v>
      </c>
      <c r="N1188" s="63" t="s">
        <v>240</v>
      </c>
      <c r="O1188" s="63" t="s">
        <v>240</v>
      </c>
      <c r="P1188" s="63" t="s">
        <v>240</v>
      </c>
      <c r="Q1188" s="63" t="s">
        <v>240</v>
      </c>
      <c r="R1188" s="63" t="s">
        <v>1781</v>
      </c>
      <c r="S1188" s="63">
        <v>2088</v>
      </c>
      <c r="T1188" s="63">
        <v>1408</v>
      </c>
      <c r="U1188" s="63">
        <v>680</v>
      </c>
      <c r="V1188" s="63">
        <v>-2.7E-2</v>
      </c>
      <c r="AB1188" s="63">
        <v>0.185</v>
      </c>
      <c r="AC1188" s="63">
        <v>0.21199999999999999</v>
      </c>
      <c r="AF1188" s="102">
        <f t="shared" si="483"/>
        <v>1.5306805068668961</v>
      </c>
      <c r="AH1188" s="63">
        <v>0.126</v>
      </c>
      <c r="AI1188" s="102">
        <f t="shared" si="484"/>
        <v>1.7639213329544184E-2</v>
      </c>
    </row>
    <row r="1189" spans="1:49" s="63" customFormat="1" ht="30" customHeight="1" x14ac:dyDescent="0.25">
      <c r="A1189" s="63" t="s">
        <v>1694</v>
      </c>
      <c r="B1189" s="63" t="s">
        <v>1560</v>
      </c>
      <c r="C1189" s="63" t="s">
        <v>1694</v>
      </c>
      <c r="D1189" s="63">
        <v>5</v>
      </c>
      <c r="E1189" s="63" t="s">
        <v>577</v>
      </c>
      <c r="F1189" s="63" t="s">
        <v>240</v>
      </c>
      <c r="G1189" s="63" t="s">
        <v>578</v>
      </c>
      <c r="H1189" s="63">
        <v>1</v>
      </c>
      <c r="I1189" s="63">
        <v>15</v>
      </c>
      <c r="J1189" s="63">
        <v>1</v>
      </c>
      <c r="K1189" s="63" t="s">
        <v>1320</v>
      </c>
      <c r="L1189" s="63" t="s">
        <v>240</v>
      </c>
      <c r="M1189" s="63" t="s">
        <v>587</v>
      </c>
      <c r="N1189" s="63" t="s">
        <v>240</v>
      </c>
      <c r="O1189" s="63" t="s">
        <v>240</v>
      </c>
      <c r="P1189" s="63" t="s">
        <v>240</v>
      </c>
      <c r="Q1189" s="63" t="s">
        <v>240</v>
      </c>
      <c r="R1189" s="63" t="s">
        <v>1781</v>
      </c>
      <c r="S1189" s="63">
        <v>2088</v>
      </c>
      <c r="T1189" s="63">
        <v>1408</v>
      </c>
      <c r="U1189" s="63">
        <v>680</v>
      </c>
      <c r="V1189" s="63">
        <v>-1.4999999999999999E-2</v>
      </c>
      <c r="AB1189" s="63">
        <v>0.223</v>
      </c>
      <c r="AC1189" s="63">
        <v>0.23799999999999999</v>
      </c>
      <c r="AF1189" s="102">
        <f t="shared" si="483"/>
        <v>0.75722599591256057</v>
      </c>
      <c r="AH1189" s="63">
        <v>0.44900000000000001</v>
      </c>
      <c r="AI1189" s="102">
        <f t="shared" si="484"/>
        <v>1.9809145593216136E-2</v>
      </c>
    </row>
    <row r="1190" spans="1:49" s="63" customFormat="1" ht="30" customHeight="1" x14ac:dyDescent="0.25">
      <c r="A1190" s="63" t="s">
        <v>1694</v>
      </c>
      <c r="B1190" s="63" t="s">
        <v>1560</v>
      </c>
      <c r="C1190" s="63" t="s">
        <v>1694</v>
      </c>
      <c r="D1190" s="63">
        <v>6</v>
      </c>
      <c r="E1190" s="63" t="s">
        <v>577</v>
      </c>
      <c r="F1190" s="63" t="s">
        <v>240</v>
      </c>
      <c r="G1190" s="63" t="s">
        <v>578</v>
      </c>
      <c r="H1190" s="63">
        <v>1</v>
      </c>
      <c r="I1190" s="63">
        <v>18</v>
      </c>
      <c r="J1190" s="63">
        <v>1</v>
      </c>
      <c r="K1190" s="63" t="s">
        <v>1320</v>
      </c>
      <c r="L1190" s="63" t="s">
        <v>240</v>
      </c>
      <c r="M1190" s="63" t="s">
        <v>587</v>
      </c>
      <c r="N1190" s="63" t="s">
        <v>240</v>
      </c>
      <c r="O1190" s="63" t="s">
        <v>240</v>
      </c>
      <c r="P1190" s="63" t="s">
        <v>240</v>
      </c>
      <c r="Q1190" s="63" t="s">
        <v>240</v>
      </c>
      <c r="R1190" s="63" t="s">
        <v>1781</v>
      </c>
      <c r="S1190" s="63">
        <v>2088</v>
      </c>
      <c r="T1190" s="63">
        <v>1408</v>
      </c>
      <c r="U1190" s="63">
        <v>680</v>
      </c>
      <c r="V1190" s="63">
        <v>-4.0000000000000001E-3</v>
      </c>
      <c r="AB1190" s="63">
        <v>0.26800000000000002</v>
      </c>
      <c r="AC1190" s="63">
        <v>0.26300000000000001</v>
      </c>
      <c r="AF1190" s="102">
        <f t="shared" si="483"/>
        <v>0.21986218547024219</v>
      </c>
      <c r="AH1190" s="63">
        <v>0.82599999999999996</v>
      </c>
      <c r="AI1190" s="102">
        <f t="shared" si="484"/>
        <v>1.8193214951651566E-2</v>
      </c>
    </row>
    <row r="1191" spans="1:49" s="63" customFormat="1" ht="30" customHeight="1" x14ac:dyDescent="0.25">
      <c r="A1191" s="63" t="s">
        <v>1694</v>
      </c>
      <c r="B1191" s="63" t="s">
        <v>1560</v>
      </c>
      <c r="C1191" s="63" t="s">
        <v>1694</v>
      </c>
      <c r="D1191" s="63">
        <v>7</v>
      </c>
      <c r="E1191" s="63" t="s">
        <v>577</v>
      </c>
      <c r="F1191" s="63" t="s">
        <v>240</v>
      </c>
      <c r="G1191" s="63" t="s">
        <v>578</v>
      </c>
      <c r="H1191" s="63">
        <v>1</v>
      </c>
      <c r="I1191" s="63">
        <v>3</v>
      </c>
      <c r="J1191" s="63">
        <v>2</v>
      </c>
      <c r="K1191" s="63" t="s">
        <v>1782</v>
      </c>
      <c r="L1191" s="63" t="s">
        <v>1326</v>
      </c>
      <c r="M1191" s="63" t="s">
        <v>587</v>
      </c>
      <c r="N1191" s="63" t="s">
        <v>240</v>
      </c>
      <c r="O1191" s="63" t="s">
        <v>240</v>
      </c>
      <c r="P1191" s="63" t="s">
        <v>240</v>
      </c>
      <c r="Q1191" s="63" t="s">
        <v>240</v>
      </c>
      <c r="R1191" s="63" t="s">
        <v>1783</v>
      </c>
      <c r="S1191" s="63">
        <v>2088</v>
      </c>
      <c r="T1191" s="63">
        <v>1408</v>
      </c>
      <c r="U1191" s="63">
        <v>680</v>
      </c>
      <c r="V1191" s="63">
        <v>-60</v>
      </c>
      <c r="AB1191" s="63">
        <v>92</v>
      </c>
      <c r="AC1191" s="63">
        <v>152</v>
      </c>
      <c r="AF1191" s="67">
        <f t="shared" ref="AF1191:AF1196" si="491">_xlfn.T.INV.2T(AH1191,T1191-2)</f>
        <v>2.7519648296413828</v>
      </c>
      <c r="AH1191" s="63">
        <v>6.0000000000000001E-3</v>
      </c>
      <c r="AI1191" s="67">
        <f t="shared" ref="AI1191:AI1196" si="492">+ABS(V1191/AF1191)</f>
        <v>21.802604217081797</v>
      </c>
      <c r="AP1191" s="67">
        <f t="shared" ref="AP1191:AP1196" si="493">+V1191/AQ1191</f>
        <v>-0.12851456267213501</v>
      </c>
      <c r="AQ1191" s="67">
        <f t="shared" ref="AQ1191:AQ1196" si="494">+AI1191*SQRT(T1191*U1191/S1191)</f>
        <v>466.87316014972839</v>
      </c>
      <c r="AR1191" s="67"/>
      <c r="AS1191" s="67">
        <f t="shared" ref="AS1191:AS1196" si="495">+AP1191^2/(AU1191-2)*(AU1191/(V1191/AI1191)^2+AU1191*AV1191^2-AU1191+2)</f>
        <v>2.1987587021930119E-3</v>
      </c>
      <c r="AT1191" s="67"/>
      <c r="AU1191" s="67">
        <f t="shared" ref="AU1191:AU1196" si="496">+S1191-2</f>
        <v>2086</v>
      </c>
      <c r="AV1191" s="67">
        <f t="shared" ref="AV1191:AV1196" si="497">IFERROR(1/(SQRT(AU1191/2)*_xlfn.GAMMA(AU1191/2-0.5)/_xlfn.GAMMA(AU1191/2)),1)</f>
        <v>1</v>
      </c>
      <c r="AW1191" s="67" t="s">
        <v>1350</v>
      </c>
    </row>
    <row r="1192" spans="1:49" s="63" customFormat="1" ht="30" customHeight="1" x14ac:dyDescent="0.25">
      <c r="A1192" s="63" t="s">
        <v>1694</v>
      </c>
      <c r="B1192" s="63" t="s">
        <v>1560</v>
      </c>
      <c r="C1192" s="63" t="s">
        <v>1694</v>
      </c>
      <c r="D1192" s="63">
        <v>8</v>
      </c>
      <c r="E1192" s="63" t="s">
        <v>577</v>
      </c>
      <c r="F1192" s="63" t="s">
        <v>240</v>
      </c>
      <c r="G1192" s="63" t="s">
        <v>578</v>
      </c>
      <c r="H1192" s="63">
        <v>1</v>
      </c>
      <c r="I1192" s="63">
        <v>6</v>
      </c>
      <c r="J1192" s="63">
        <v>2</v>
      </c>
      <c r="K1192" s="63" t="s">
        <v>1782</v>
      </c>
      <c r="L1192" s="63" t="s">
        <v>1326</v>
      </c>
      <c r="M1192" s="63" t="s">
        <v>587</v>
      </c>
      <c r="N1192" s="63" t="s">
        <v>240</v>
      </c>
      <c r="O1192" s="63" t="s">
        <v>240</v>
      </c>
      <c r="P1192" s="63" t="s">
        <v>240</v>
      </c>
      <c r="Q1192" s="63" t="s">
        <v>240</v>
      </c>
      <c r="R1192" s="63" t="s">
        <v>1783</v>
      </c>
      <c r="S1192" s="63">
        <v>2088</v>
      </c>
      <c r="T1192" s="63">
        <v>1408</v>
      </c>
      <c r="U1192" s="63">
        <v>680</v>
      </c>
      <c r="V1192" s="63">
        <v>-65</v>
      </c>
      <c r="AB1192" s="63">
        <v>174</v>
      </c>
      <c r="AC1192" s="63">
        <v>239</v>
      </c>
      <c r="AF1192" s="67">
        <f t="shared" si="491"/>
        <v>2.2759308240608593</v>
      </c>
      <c r="AH1192" s="63">
        <v>2.3E-2</v>
      </c>
      <c r="AI1192" s="67">
        <f t="shared" si="492"/>
        <v>28.559743254420582</v>
      </c>
      <c r="AP1192" s="67">
        <f t="shared" si="493"/>
        <v>-0.10628415427980907</v>
      </c>
      <c r="AQ1192" s="67">
        <f t="shared" si="494"/>
        <v>611.56811606062831</v>
      </c>
      <c r="AR1192" s="67"/>
      <c r="AS1192" s="67">
        <f t="shared" si="495"/>
        <v>2.1937494206499841E-3</v>
      </c>
      <c r="AT1192" s="67"/>
      <c r="AU1192" s="67">
        <f t="shared" si="496"/>
        <v>2086</v>
      </c>
      <c r="AV1192" s="67">
        <f t="shared" si="497"/>
        <v>1</v>
      </c>
      <c r="AW1192" s="67" t="s">
        <v>1350</v>
      </c>
    </row>
    <row r="1193" spans="1:49" s="63" customFormat="1" ht="30" customHeight="1" x14ac:dyDescent="0.25">
      <c r="A1193" s="63" t="s">
        <v>1694</v>
      </c>
      <c r="B1193" s="63" t="s">
        <v>1560</v>
      </c>
      <c r="C1193" s="63" t="s">
        <v>1694</v>
      </c>
      <c r="D1193" s="63">
        <v>9</v>
      </c>
      <c r="E1193" s="63" t="s">
        <v>577</v>
      </c>
      <c r="F1193" s="63" t="s">
        <v>240</v>
      </c>
      <c r="G1193" s="63" t="s">
        <v>578</v>
      </c>
      <c r="H1193" s="63">
        <v>1</v>
      </c>
      <c r="I1193" s="63">
        <v>9</v>
      </c>
      <c r="J1193" s="63">
        <v>2</v>
      </c>
      <c r="K1193" s="63" t="s">
        <v>1782</v>
      </c>
      <c r="L1193" s="63" t="s">
        <v>1326</v>
      </c>
      <c r="M1193" s="63" t="s">
        <v>587</v>
      </c>
      <c r="N1193" s="63" t="s">
        <v>240</v>
      </c>
      <c r="O1193" s="63" t="s">
        <v>240</v>
      </c>
      <c r="P1193" s="63" t="s">
        <v>240</v>
      </c>
      <c r="Q1193" s="63" t="s">
        <v>240</v>
      </c>
      <c r="R1193" s="63" t="s">
        <v>1783</v>
      </c>
      <c r="S1193" s="63">
        <v>2088</v>
      </c>
      <c r="T1193" s="63">
        <v>1408</v>
      </c>
      <c r="U1193" s="63">
        <v>680</v>
      </c>
      <c r="V1193" s="63">
        <v>-68</v>
      </c>
      <c r="AB1193" s="63">
        <v>226</v>
      </c>
      <c r="AC1193" s="63">
        <v>294</v>
      </c>
      <c r="AF1193" s="67">
        <f t="shared" si="491"/>
        <v>2.0661195588565349</v>
      </c>
      <c r="AH1193" s="63">
        <v>3.9E-2</v>
      </c>
      <c r="AI1193" s="67">
        <f t="shared" si="492"/>
        <v>32.911938570308898</v>
      </c>
      <c r="AP1193" s="67">
        <f t="shared" si="493"/>
        <v>-9.6486135532987072E-2</v>
      </c>
      <c r="AQ1193" s="67">
        <f t="shared" si="494"/>
        <v>704.76446822509422</v>
      </c>
      <c r="AR1193" s="67"/>
      <c r="AS1193" s="67">
        <f t="shared" si="495"/>
        <v>2.1918427535666017E-3</v>
      </c>
      <c r="AT1193" s="67"/>
      <c r="AU1193" s="67">
        <f t="shared" si="496"/>
        <v>2086</v>
      </c>
      <c r="AV1193" s="67">
        <f t="shared" si="497"/>
        <v>1</v>
      </c>
      <c r="AW1193" s="67" t="s">
        <v>1350</v>
      </c>
    </row>
    <row r="1194" spans="1:49" s="63" customFormat="1" ht="30" customHeight="1" x14ac:dyDescent="0.25">
      <c r="A1194" s="63" t="s">
        <v>1694</v>
      </c>
      <c r="B1194" s="63" t="s">
        <v>1560</v>
      </c>
      <c r="C1194" s="63" t="s">
        <v>1694</v>
      </c>
      <c r="D1194" s="63">
        <v>10</v>
      </c>
      <c r="E1194" s="63" t="s">
        <v>577</v>
      </c>
      <c r="F1194" s="63" t="s">
        <v>240</v>
      </c>
      <c r="G1194" s="63" t="s">
        <v>578</v>
      </c>
      <c r="H1194" s="63">
        <v>1</v>
      </c>
      <c r="I1194" s="63">
        <v>12</v>
      </c>
      <c r="J1194" s="63">
        <v>2</v>
      </c>
      <c r="K1194" s="63" t="s">
        <v>1782</v>
      </c>
      <c r="L1194" s="63" t="s">
        <v>1326</v>
      </c>
      <c r="M1194" s="63" t="s">
        <v>587</v>
      </c>
      <c r="N1194" s="63" t="s">
        <v>240</v>
      </c>
      <c r="O1194" s="63" t="s">
        <v>240</v>
      </c>
      <c r="P1194" s="63" t="s">
        <v>240</v>
      </c>
      <c r="Q1194" s="63" t="s">
        <v>240</v>
      </c>
      <c r="R1194" s="63" t="s">
        <v>1783</v>
      </c>
      <c r="S1194" s="63">
        <v>2088</v>
      </c>
      <c r="T1194" s="63">
        <v>1408</v>
      </c>
      <c r="U1194" s="63">
        <v>680</v>
      </c>
      <c r="V1194" s="63">
        <v>-65</v>
      </c>
      <c r="AB1194" s="63">
        <v>237</v>
      </c>
      <c r="AC1194" s="63">
        <v>302</v>
      </c>
      <c r="AF1194" s="67">
        <f t="shared" si="491"/>
        <v>2.015903284410649</v>
      </c>
      <c r="AH1194" s="63">
        <v>4.3999999999999997E-2</v>
      </c>
      <c r="AI1194" s="67">
        <f t="shared" si="492"/>
        <v>32.243610347111868</v>
      </c>
      <c r="AP1194" s="67">
        <f t="shared" si="493"/>
        <v>-9.4141075567130639E-2</v>
      </c>
      <c r="AQ1194" s="67">
        <f t="shared" si="494"/>
        <v>690.45312695253244</v>
      </c>
      <c r="AR1194" s="67"/>
      <c r="AS1194" s="67">
        <f t="shared" si="495"/>
        <v>2.1914137398994682E-3</v>
      </c>
      <c r="AT1194" s="67"/>
      <c r="AU1194" s="67">
        <f t="shared" si="496"/>
        <v>2086</v>
      </c>
      <c r="AV1194" s="67">
        <f t="shared" si="497"/>
        <v>1</v>
      </c>
      <c r="AW1194" s="67" t="s">
        <v>1350</v>
      </c>
    </row>
    <row r="1195" spans="1:49" s="63" customFormat="1" ht="30" customHeight="1" x14ac:dyDescent="0.25">
      <c r="A1195" s="63" t="s">
        <v>1694</v>
      </c>
      <c r="B1195" s="63" t="s">
        <v>1560</v>
      </c>
      <c r="C1195" s="63" t="s">
        <v>1694</v>
      </c>
      <c r="D1195" s="63">
        <v>11</v>
      </c>
      <c r="E1195" s="63" t="s">
        <v>577</v>
      </c>
      <c r="F1195" s="63" t="s">
        <v>240</v>
      </c>
      <c r="G1195" s="63" t="s">
        <v>578</v>
      </c>
      <c r="H1195" s="63">
        <v>1</v>
      </c>
      <c r="I1195" s="63">
        <v>15</v>
      </c>
      <c r="J1195" s="63">
        <v>2</v>
      </c>
      <c r="K1195" s="63" t="s">
        <v>1782</v>
      </c>
      <c r="L1195" s="63" t="s">
        <v>1326</v>
      </c>
      <c r="M1195" s="63" t="s">
        <v>587</v>
      </c>
      <c r="N1195" s="63" t="s">
        <v>240</v>
      </c>
      <c r="O1195" s="63" t="s">
        <v>240</v>
      </c>
      <c r="P1195" s="63" t="s">
        <v>240</v>
      </c>
      <c r="Q1195" s="63" t="s">
        <v>240</v>
      </c>
      <c r="R1195" s="63" t="s">
        <v>1783</v>
      </c>
      <c r="S1195" s="63">
        <v>2088</v>
      </c>
      <c r="T1195" s="63">
        <v>1408</v>
      </c>
      <c r="U1195" s="63">
        <v>680</v>
      </c>
      <c r="V1195" s="63">
        <v>-33</v>
      </c>
      <c r="AB1195" s="63">
        <v>307</v>
      </c>
      <c r="AC1195" s="63">
        <v>340</v>
      </c>
      <c r="AF1195" s="67">
        <f t="shared" si="491"/>
        <v>0.86533968090327107</v>
      </c>
      <c r="AH1195" s="63">
        <v>0.38700000000000001</v>
      </c>
      <c r="AI1195" s="67">
        <f t="shared" si="492"/>
        <v>38.135313482392803</v>
      </c>
      <c r="AP1195" s="67">
        <f t="shared" si="493"/>
        <v>-4.0410672933135092E-2</v>
      </c>
      <c r="AQ1195" s="67">
        <f t="shared" si="494"/>
        <v>816.61594833134677</v>
      </c>
      <c r="AR1195" s="67"/>
      <c r="AS1195" s="67">
        <f t="shared" si="495"/>
        <v>2.1844756212602862E-3</v>
      </c>
      <c r="AT1195" s="67"/>
      <c r="AU1195" s="67">
        <f t="shared" si="496"/>
        <v>2086</v>
      </c>
      <c r="AV1195" s="67">
        <f t="shared" si="497"/>
        <v>1</v>
      </c>
      <c r="AW1195" s="67" t="s">
        <v>1350</v>
      </c>
    </row>
    <row r="1196" spans="1:49" s="63" customFormat="1" ht="30" customHeight="1" x14ac:dyDescent="0.25">
      <c r="A1196" s="63" t="s">
        <v>1694</v>
      </c>
      <c r="B1196" s="63" t="s">
        <v>1560</v>
      </c>
      <c r="C1196" s="63" t="s">
        <v>1694</v>
      </c>
      <c r="D1196" s="63">
        <v>12</v>
      </c>
      <c r="E1196" s="63" t="s">
        <v>577</v>
      </c>
      <c r="F1196" s="63" t="s">
        <v>240</v>
      </c>
      <c r="G1196" s="63" t="s">
        <v>578</v>
      </c>
      <c r="H1196" s="63">
        <v>1</v>
      </c>
      <c r="I1196" s="63">
        <v>18</v>
      </c>
      <c r="J1196" s="63">
        <v>2</v>
      </c>
      <c r="K1196" s="63" t="s">
        <v>1782</v>
      </c>
      <c r="L1196" s="63" t="s">
        <v>1326</v>
      </c>
      <c r="M1196" s="63" t="s">
        <v>587</v>
      </c>
      <c r="N1196" s="63" t="s">
        <v>240</v>
      </c>
      <c r="O1196" s="63" t="s">
        <v>240</v>
      </c>
      <c r="P1196" s="63" t="s">
        <v>240</v>
      </c>
      <c r="Q1196" s="63" t="s">
        <v>240</v>
      </c>
      <c r="R1196" s="63" t="s">
        <v>1783</v>
      </c>
      <c r="S1196" s="63">
        <v>2088</v>
      </c>
      <c r="T1196" s="63">
        <v>1408</v>
      </c>
      <c r="U1196" s="63">
        <v>680</v>
      </c>
      <c r="V1196" s="63">
        <v>-51</v>
      </c>
      <c r="AB1196" s="63">
        <v>330</v>
      </c>
      <c r="AC1196" s="63">
        <v>381</v>
      </c>
      <c r="AF1196" s="67">
        <f t="shared" si="491"/>
        <v>1.3201494542034327</v>
      </c>
      <c r="AH1196" s="63">
        <v>0.187</v>
      </c>
      <c r="AI1196" s="67">
        <f t="shared" si="492"/>
        <v>38.631989611186093</v>
      </c>
      <c r="AP1196" s="67">
        <f t="shared" si="493"/>
        <v>-6.16499266056829E-2</v>
      </c>
      <c r="AQ1196" s="67">
        <f t="shared" si="494"/>
        <v>827.25159311542166</v>
      </c>
      <c r="AR1196" s="67"/>
      <c r="AS1196" s="67">
        <f t="shared" si="495"/>
        <v>2.1865559388836806E-3</v>
      </c>
      <c r="AT1196" s="67"/>
      <c r="AU1196" s="67">
        <f t="shared" si="496"/>
        <v>2086</v>
      </c>
      <c r="AV1196" s="67">
        <f t="shared" si="497"/>
        <v>1</v>
      </c>
      <c r="AW1196" s="67" t="s">
        <v>1350</v>
      </c>
    </row>
    <row r="1197" spans="1:49" s="63" customFormat="1" ht="30" customHeight="1" x14ac:dyDescent="0.25">
      <c r="A1197" s="29" t="s">
        <v>1704</v>
      </c>
      <c r="B1197" s="63" t="s">
        <v>1582</v>
      </c>
      <c r="C1197" s="29" t="s">
        <v>1704</v>
      </c>
      <c r="D1197" s="63">
        <v>1</v>
      </c>
      <c r="E1197" s="56" t="s">
        <v>605</v>
      </c>
      <c r="F1197" s="63" t="s">
        <v>240</v>
      </c>
      <c r="G1197" s="63" t="s">
        <v>1784</v>
      </c>
      <c r="H1197" s="63">
        <v>1</v>
      </c>
      <c r="I1197" s="63">
        <v>12</v>
      </c>
      <c r="J1197" s="63">
        <v>1</v>
      </c>
      <c r="K1197" s="114" t="s">
        <v>1785</v>
      </c>
      <c r="L1197" s="63" t="s">
        <v>240</v>
      </c>
      <c r="M1197" s="114" t="s">
        <v>1786</v>
      </c>
      <c r="N1197" s="63" t="s">
        <v>240</v>
      </c>
      <c r="O1197" s="63" t="s">
        <v>240</v>
      </c>
      <c r="P1197" s="63" t="s">
        <v>240</v>
      </c>
      <c r="Q1197" s="63" t="s">
        <v>240</v>
      </c>
      <c r="R1197" s="63" t="s">
        <v>955</v>
      </c>
      <c r="S1197" s="63">
        <f t="shared" ref="S1197:S1212" si="498">SUM(T1197:U1197)</f>
        <v>1176</v>
      </c>
      <c r="T1197" s="63">
        <v>590</v>
      </c>
      <c r="U1197" s="63">
        <v>586</v>
      </c>
      <c r="V1197" s="63">
        <v>8.9999999999999993E-3</v>
      </c>
      <c r="AB1197" s="63">
        <v>0.95799999999999996</v>
      </c>
      <c r="AC1197" s="63">
        <v>0.95</v>
      </c>
      <c r="AF1197" s="102">
        <f t="shared" ref="AF1197:AF1212" si="499">_xlfn.T.INV.2T(AH1197,S1197-2)</f>
        <v>0.74073872037836808</v>
      </c>
      <c r="AH1197" s="63">
        <v>0.45900000000000002</v>
      </c>
      <c r="AI1197" s="102">
        <f t="shared" ref="AI1197:AI1212" si="500">ABS(V1197/AF1197)</f>
        <v>1.2150033139084204E-2</v>
      </c>
    </row>
    <row r="1198" spans="1:49" s="63" customFormat="1" ht="30" customHeight="1" x14ac:dyDescent="0.25">
      <c r="A1198" s="29" t="s">
        <v>1704</v>
      </c>
      <c r="B1198" s="63" t="s">
        <v>1582</v>
      </c>
      <c r="C1198" s="29" t="s">
        <v>1704</v>
      </c>
      <c r="D1198" s="63">
        <f>+D1197+1</f>
        <v>2</v>
      </c>
      <c r="E1198" s="56" t="s">
        <v>605</v>
      </c>
      <c r="F1198" s="63" t="s">
        <v>240</v>
      </c>
      <c r="G1198" s="63" t="s">
        <v>1784</v>
      </c>
      <c r="H1198" s="63">
        <v>1</v>
      </c>
      <c r="I1198" s="63">
        <v>24</v>
      </c>
      <c r="J1198" s="63">
        <v>1</v>
      </c>
      <c r="K1198" s="114" t="s">
        <v>1785</v>
      </c>
      <c r="L1198" s="63" t="s">
        <v>240</v>
      </c>
      <c r="M1198" s="114" t="s">
        <v>1786</v>
      </c>
      <c r="N1198" s="63" t="s">
        <v>240</v>
      </c>
      <c r="O1198" s="63" t="s">
        <v>240</v>
      </c>
      <c r="P1198" s="63" t="s">
        <v>240</v>
      </c>
      <c r="Q1198" s="63" t="s">
        <v>240</v>
      </c>
      <c r="R1198" s="63" t="s">
        <v>955</v>
      </c>
      <c r="S1198" s="63">
        <f t="shared" si="498"/>
        <v>1176</v>
      </c>
      <c r="T1198" s="63">
        <v>590</v>
      </c>
      <c r="U1198" s="63">
        <v>586</v>
      </c>
      <c r="V1198" s="63">
        <v>1.7000000000000001E-2</v>
      </c>
      <c r="AB1198" s="63">
        <v>0.91</v>
      </c>
      <c r="AC1198" s="63">
        <v>0.89300000000000002</v>
      </c>
      <c r="AF1198" s="102">
        <f t="shared" si="499"/>
        <v>0.98668579265719492</v>
      </c>
      <c r="AH1198" s="63">
        <v>0.32400000000000001</v>
      </c>
      <c r="AI1198" s="102">
        <f t="shared" si="500"/>
        <v>1.7229395747371753E-2</v>
      </c>
    </row>
    <row r="1199" spans="1:49" s="63" customFormat="1" ht="30" customHeight="1" x14ac:dyDescent="0.25">
      <c r="A1199" s="29" t="s">
        <v>1704</v>
      </c>
      <c r="B1199" s="63" t="s">
        <v>1582</v>
      </c>
      <c r="C1199" s="29" t="s">
        <v>1704</v>
      </c>
      <c r="D1199" s="63">
        <f>+D1198+1</f>
        <v>3</v>
      </c>
      <c r="E1199" s="56" t="s">
        <v>605</v>
      </c>
      <c r="F1199" s="63" t="s">
        <v>240</v>
      </c>
      <c r="G1199" s="63" t="s">
        <v>1784</v>
      </c>
      <c r="H1199" s="63">
        <v>1</v>
      </c>
      <c r="I1199" s="63">
        <v>36</v>
      </c>
      <c r="J1199" s="63">
        <v>1</v>
      </c>
      <c r="K1199" s="114" t="s">
        <v>1785</v>
      </c>
      <c r="L1199" s="63" t="s">
        <v>240</v>
      </c>
      <c r="M1199" s="114" t="s">
        <v>1786</v>
      </c>
      <c r="N1199" s="63" t="s">
        <v>240</v>
      </c>
      <c r="O1199" s="63" t="s">
        <v>240</v>
      </c>
      <c r="P1199" s="63" t="s">
        <v>240</v>
      </c>
      <c r="Q1199" s="63" t="s">
        <v>240</v>
      </c>
      <c r="R1199" s="63" t="s">
        <v>955</v>
      </c>
      <c r="S1199" s="63">
        <f t="shared" si="498"/>
        <v>1176</v>
      </c>
      <c r="T1199" s="63">
        <v>590</v>
      </c>
      <c r="U1199" s="63">
        <v>586</v>
      </c>
      <c r="V1199" s="63">
        <v>3.1E-2</v>
      </c>
      <c r="AB1199" s="63">
        <v>0.85799999999999998</v>
      </c>
      <c r="AC1199" s="63">
        <v>0.82699999999999996</v>
      </c>
      <c r="AF1199" s="102">
        <f t="shared" si="499"/>
        <v>1.491877170894645</v>
      </c>
      <c r="AH1199" s="63">
        <v>0.13600000000000001</v>
      </c>
      <c r="AI1199" s="102">
        <f t="shared" si="500"/>
        <v>2.0779190542482798E-2</v>
      </c>
    </row>
    <row r="1200" spans="1:49" s="63" customFormat="1" ht="30" customHeight="1" x14ac:dyDescent="0.25">
      <c r="A1200" s="29" t="s">
        <v>1704</v>
      </c>
      <c r="B1200" s="63" t="s">
        <v>1582</v>
      </c>
      <c r="C1200" s="29" t="s">
        <v>1704</v>
      </c>
      <c r="D1200" s="63">
        <f>+D1199+1</f>
        <v>4</v>
      </c>
      <c r="E1200" s="56" t="s">
        <v>605</v>
      </c>
      <c r="F1200" s="63" t="s">
        <v>240</v>
      </c>
      <c r="G1200" s="63" t="s">
        <v>1784</v>
      </c>
      <c r="H1200" s="63">
        <v>1</v>
      </c>
      <c r="I1200" s="63">
        <v>48</v>
      </c>
      <c r="J1200" s="63">
        <v>1</v>
      </c>
      <c r="K1200" s="114" t="s">
        <v>1785</v>
      </c>
      <c r="L1200" s="63" t="s">
        <v>240</v>
      </c>
      <c r="M1200" s="114" t="s">
        <v>1786</v>
      </c>
      <c r="N1200" s="63" t="s">
        <v>240</v>
      </c>
      <c r="O1200" s="63" t="s">
        <v>240</v>
      </c>
      <c r="P1200" s="63" t="s">
        <v>240</v>
      </c>
      <c r="Q1200" s="63" t="s">
        <v>240</v>
      </c>
      <c r="R1200" s="63" t="s">
        <v>955</v>
      </c>
      <c r="S1200" s="63">
        <f t="shared" si="498"/>
        <v>1176</v>
      </c>
      <c r="T1200" s="63">
        <v>590</v>
      </c>
      <c r="U1200" s="63">
        <v>586</v>
      </c>
      <c r="V1200" s="63">
        <v>2.8000000000000001E-2</v>
      </c>
      <c r="AB1200" s="63">
        <v>0.80900000000000005</v>
      </c>
      <c r="AC1200" s="63">
        <v>0.78100000000000003</v>
      </c>
      <c r="AF1200" s="102">
        <f t="shared" si="499"/>
        <v>1.1881871358273068</v>
      </c>
      <c r="AH1200" s="63">
        <v>0.23499999999999999</v>
      </c>
      <c r="AI1200" s="102">
        <f t="shared" si="500"/>
        <v>2.3565311520145567E-2</v>
      </c>
    </row>
    <row r="1201" spans="1:35" s="63" customFormat="1" ht="30" customHeight="1" x14ac:dyDescent="0.25">
      <c r="A1201" s="29" t="s">
        <v>1704</v>
      </c>
      <c r="B1201" s="63" t="s">
        <v>1582</v>
      </c>
      <c r="C1201" s="29" t="s">
        <v>1704</v>
      </c>
      <c r="D1201" s="63">
        <f t="shared" ref="D1201:D1204" si="501">+D1200+1</f>
        <v>5</v>
      </c>
      <c r="E1201" s="56" t="s">
        <v>605</v>
      </c>
      <c r="F1201" s="63" t="s">
        <v>240</v>
      </c>
      <c r="G1201" s="63" t="s">
        <v>1784</v>
      </c>
      <c r="H1201" s="63">
        <v>1</v>
      </c>
      <c r="I1201" s="63">
        <v>12</v>
      </c>
      <c r="J1201" s="63">
        <v>1</v>
      </c>
      <c r="K1201" s="114" t="s">
        <v>1787</v>
      </c>
      <c r="L1201" s="63" t="s">
        <v>638</v>
      </c>
      <c r="M1201" s="114" t="s">
        <v>1786</v>
      </c>
      <c r="N1201" s="63" t="s">
        <v>240</v>
      </c>
      <c r="O1201" s="63" t="s">
        <v>240</v>
      </c>
      <c r="P1201" s="63" t="s">
        <v>240</v>
      </c>
      <c r="Q1201" s="63" t="s">
        <v>240</v>
      </c>
      <c r="R1201" s="63" t="s">
        <v>955</v>
      </c>
      <c r="S1201" s="63">
        <f t="shared" si="498"/>
        <v>1176</v>
      </c>
      <c r="T1201" s="63">
        <v>590</v>
      </c>
      <c r="U1201" s="63">
        <v>586</v>
      </c>
      <c r="V1201" s="63">
        <v>-43</v>
      </c>
      <c r="AB1201" s="63">
        <v>12789</v>
      </c>
      <c r="AC1201" s="63">
        <v>12832</v>
      </c>
      <c r="AF1201" s="102">
        <f t="shared" si="499"/>
        <v>0.10549633447532966</v>
      </c>
      <c r="AH1201" s="63">
        <v>0.91600000000000004</v>
      </c>
      <c r="AI1201" s="102">
        <f t="shared" si="500"/>
        <v>407.59710006849156</v>
      </c>
    </row>
    <row r="1202" spans="1:35" s="63" customFormat="1" ht="30" customHeight="1" x14ac:dyDescent="0.25">
      <c r="A1202" s="29" t="s">
        <v>1704</v>
      </c>
      <c r="B1202" s="63" t="s">
        <v>1582</v>
      </c>
      <c r="C1202" s="29" t="s">
        <v>1704</v>
      </c>
      <c r="D1202" s="63">
        <f t="shared" si="501"/>
        <v>6</v>
      </c>
      <c r="E1202" s="56" t="s">
        <v>605</v>
      </c>
      <c r="F1202" s="63" t="s">
        <v>240</v>
      </c>
      <c r="G1202" s="63" t="s">
        <v>1784</v>
      </c>
      <c r="H1202" s="63">
        <v>1</v>
      </c>
      <c r="I1202" s="63">
        <v>24</v>
      </c>
      <c r="J1202" s="63">
        <v>1</v>
      </c>
      <c r="K1202" s="114" t="s">
        <v>1787</v>
      </c>
      <c r="L1202" s="63" t="s">
        <v>638</v>
      </c>
      <c r="M1202" s="114" t="s">
        <v>1786</v>
      </c>
      <c r="N1202" s="63" t="s">
        <v>240</v>
      </c>
      <c r="O1202" s="63" t="s">
        <v>240</v>
      </c>
      <c r="P1202" s="63" t="s">
        <v>240</v>
      </c>
      <c r="Q1202" s="63" t="s">
        <v>240</v>
      </c>
      <c r="R1202" s="63" t="s">
        <v>955</v>
      </c>
      <c r="S1202" s="63">
        <f t="shared" si="498"/>
        <v>1176</v>
      </c>
      <c r="T1202" s="63">
        <v>590</v>
      </c>
      <c r="U1202" s="63">
        <v>586</v>
      </c>
      <c r="V1202" s="63">
        <v>863</v>
      </c>
      <c r="AB1202" s="63">
        <v>14101</v>
      </c>
      <c r="AC1202" s="63">
        <v>13238</v>
      </c>
      <c r="AF1202" s="102">
        <f t="shared" si="499"/>
        <v>1.5311569847199566</v>
      </c>
      <c r="AH1202" s="63">
        <v>0.126</v>
      </c>
      <c r="AI1202" s="102">
        <f t="shared" si="500"/>
        <v>563.62607401607465</v>
      </c>
    </row>
    <row r="1203" spans="1:35" s="63" customFormat="1" ht="30" customHeight="1" x14ac:dyDescent="0.25">
      <c r="A1203" s="29" t="s">
        <v>1704</v>
      </c>
      <c r="B1203" s="63" t="s">
        <v>1582</v>
      </c>
      <c r="C1203" s="29" t="s">
        <v>1704</v>
      </c>
      <c r="D1203" s="63">
        <f t="shared" si="501"/>
        <v>7</v>
      </c>
      <c r="E1203" s="56" t="s">
        <v>605</v>
      </c>
      <c r="F1203" s="63" t="s">
        <v>240</v>
      </c>
      <c r="G1203" s="63" t="s">
        <v>1784</v>
      </c>
      <c r="H1203" s="63">
        <v>1</v>
      </c>
      <c r="I1203" s="63">
        <v>36</v>
      </c>
      <c r="J1203" s="63">
        <v>1</v>
      </c>
      <c r="K1203" s="114" t="s">
        <v>1787</v>
      </c>
      <c r="L1203" s="63" t="s">
        <v>638</v>
      </c>
      <c r="M1203" s="114" t="s">
        <v>1786</v>
      </c>
      <c r="N1203" s="63" t="s">
        <v>240</v>
      </c>
      <c r="O1203" s="63" t="s">
        <v>240</v>
      </c>
      <c r="P1203" s="63" t="s">
        <v>240</v>
      </c>
      <c r="Q1203" s="63" t="s">
        <v>240</v>
      </c>
      <c r="R1203" s="63" t="s">
        <v>955</v>
      </c>
      <c r="S1203" s="63">
        <f t="shared" si="498"/>
        <v>1176</v>
      </c>
      <c r="T1203" s="63">
        <v>590</v>
      </c>
      <c r="U1203" s="63">
        <v>586</v>
      </c>
      <c r="V1203" s="63">
        <v>1152</v>
      </c>
      <c r="AB1203" s="63">
        <v>14742</v>
      </c>
      <c r="AC1203" s="63">
        <v>13590</v>
      </c>
      <c r="AF1203" s="102">
        <f t="shared" si="499"/>
        <v>1.6659005421951629</v>
      </c>
      <c r="AH1203" s="63">
        <v>9.6000000000000002E-2</v>
      </c>
      <c r="AI1203" s="102">
        <f t="shared" si="500"/>
        <v>691.51787325911164</v>
      </c>
    </row>
    <row r="1204" spans="1:35" s="63" customFormat="1" ht="30" customHeight="1" x14ac:dyDescent="0.25">
      <c r="A1204" s="29" t="s">
        <v>1704</v>
      </c>
      <c r="B1204" s="63" t="s">
        <v>1582</v>
      </c>
      <c r="C1204" s="29" t="s">
        <v>1704</v>
      </c>
      <c r="D1204" s="63">
        <f t="shared" si="501"/>
        <v>8</v>
      </c>
      <c r="E1204" s="56" t="s">
        <v>605</v>
      </c>
      <c r="F1204" s="63" t="s">
        <v>240</v>
      </c>
      <c r="G1204" s="63" t="s">
        <v>1784</v>
      </c>
      <c r="H1204" s="63">
        <v>1</v>
      </c>
      <c r="I1204" s="63">
        <v>48</v>
      </c>
      <c r="J1204" s="63">
        <v>1</v>
      </c>
      <c r="K1204" s="114" t="s">
        <v>1787</v>
      </c>
      <c r="L1204" s="63" t="s">
        <v>638</v>
      </c>
      <c r="M1204" s="114" t="s">
        <v>1786</v>
      </c>
      <c r="N1204" s="63" t="s">
        <v>240</v>
      </c>
      <c r="O1204" s="63" t="s">
        <v>240</v>
      </c>
      <c r="P1204" s="63" t="s">
        <v>240</v>
      </c>
      <c r="Q1204" s="63" t="s">
        <v>240</v>
      </c>
      <c r="R1204" s="63" t="s">
        <v>955</v>
      </c>
      <c r="S1204" s="63">
        <f t="shared" si="498"/>
        <v>1176</v>
      </c>
      <c r="T1204" s="63">
        <v>590</v>
      </c>
      <c r="U1204" s="63">
        <v>586</v>
      </c>
      <c r="V1204" s="63">
        <v>939</v>
      </c>
      <c r="AB1204" s="63">
        <v>14970</v>
      </c>
      <c r="AC1204" s="63">
        <v>14030</v>
      </c>
      <c r="AF1204" s="102">
        <f t="shared" si="499"/>
        <v>1.1856511813739461</v>
      </c>
      <c r="AH1204" s="63">
        <v>0.23599999999999999</v>
      </c>
      <c r="AI1204" s="102">
        <f t="shared" si="500"/>
        <v>791.9698598974752</v>
      </c>
    </row>
    <row r="1205" spans="1:35" s="63" customFormat="1" ht="30" customHeight="1" x14ac:dyDescent="0.25">
      <c r="A1205" s="29" t="s">
        <v>1704</v>
      </c>
      <c r="B1205" s="63" t="s">
        <v>1582</v>
      </c>
      <c r="C1205" s="29" t="s">
        <v>1704</v>
      </c>
      <c r="D1205" s="63">
        <f>+D1204+1</f>
        <v>9</v>
      </c>
      <c r="E1205" s="56" t="s">
        <v>605</v>
      </c>
      <c r="F1205" s="63" t="s">
        <v>240</v>
      </c>
      <c r="G1205" s="63" t="s">
        <v>1777</v>
      </c>
      <c r="H1205" s="63">
        <v>1</v>
      </c>
      <c r="I1205" s="63">
        <v>12</v>
      </c>
      <c r="J1205" s="63">
        <v>1</v>
      </c>
      <c r="K1205" s="114" t="s">
        <v>1785</v>
      </c>
      <c r="L1205" s="63" t="s">
        <v>240</v>
      </c>
      <c r="M1205" s="114" t="s">
        <v>1786</v>
      </c>
      <c r="N1205" s="63" t="s">
        <v>240</v>
      </c>
      <c r="O1205" s="63" t="s">
        <v>240</v>
      </c>
      <c r="P1205" s="63" t="s">
        <v>240</v>
      </c>
      <c r="Q1205" s="63" t="s">
        <v>240</v>
      </c>
      <c r="R1205" s="63" t="s">
        <v>1788</v>
      </c>
      <c r="S1205" s="63">
        <f t="shared" si="498"/>
        <v>971</v>
      </c>
      <c r="T1205" s="63">
        <v>488</v>
      </c>
      <c r="U1205" s="63">
        <v>483</v>
      </c>
      <c r="V1205" s="63">
        <v>1E-3</v>
      </c>
      <c r="AB1205" s="63">
        <v>0.90900000000000003</v>
      </c>
      <c r="AC1205" s="63">
        <v>0.90800000000000003</v>
      </c>
      <c r="AF1205" s="102">
        <f t="shared" si="499"/>
        <v>6.3979180291897156E-2</v>
      </c>
      <c r="AH1205" s="63">
        <v>0.94899999999999995</v>
      </c>
      <c r="AI1205" s="102">
        <f t="shared" si="500"/>
        <v>1.5630084590606236E-2</v>
      </c>
    </row>
    <row r="1206" spans="1:35" s="63" customFormat="1" ht="30" customHeight="1" x14ac:dyDescent="0.25">
      <c r="A1206" s="29" t="s">
        <v>1704</v>
      </c>
      <c r="B1206" s="63" t="s">
        <v>1582</v>
      </c>
      <c r="C1206" s="29" t="s">
        <v>1704</v>
      </c>
      <c r="D1206" s="63">
        <f>+D1205+1</f>
        <v>10</v>
      </c>
      <c r="E1206" s="56" t="s">
        <v>605</v>
      </c>
      <c r="F1206" s="63" t="s">
        <v>240</v>
      </c>
      <c r="G1206" s="63" t="s">
        <v>1777</v>
      </c>
      <c r="H1206" s="63">
        <v>1</v>
      </c>
      <c r="I1206" s="63">
        <v>24</v>
      </c>
      <c r="J1206" s="63">
        <v>1</v>
      </c>
      <c r="K1206" s="114" t="s">
        <v>1785</v>
      </c>
      <c r="L1206" s="63" t="s">
        <v>240</v>
      </c>
      <c r="M1206" s="114" t="s">
        <v>1786</v>
      </c>
      <c r="N1206" s="63" t="s">
        <v>240</v>
      </c>
      <c r="O1206" s="63" t="s">
        <v>240</v>
      </c>
      <c r="P1206" s="63" t="s">
        <v>240</v>
      </c>
      <c r="Q1206" s="63" t="s">
        <v>240</v>
      </c>
      <c r="R1206" s="63" t="s">
        <v>1788</v>
      </c>
      <c r="S1206" s="63">
        <f t="shared" si="498"/>
        <v>971</v>
      </c>
      <c r="T1206" s="63">
        <v>488</v>
      </c>
      <c r="U1206" s="63">
        <v>483</v>
      </c>
      <c r="V1206" s="63">
        <v>-2.7E-2</v>
      </c>
      <c r="AB1206" s="63">
        <v>0.81599999999999995</v>
      </c>
      <c r="AC1206" s="63">
        <v>0.84399999999999997</v>
      </c>
      <c r="AF1206" s="102">
        <f t="shared" si="499"/>
        <v>1.2141140191447313</v>
      </c>
      <c r="AH1206" s="63">
        <v>0.22500000000000001</v>
      </c>
      <c r="AI1206" s="102">
        <f t="shared" si="500"/>
        <v>2.2238438543869084E-2</v>
      </c>
    </row>
    <row r="1207" spans="1:35" s="63" customFormat="1" ht="30" customHeight="1" x14ac:dyDescent="0.25">
      <c r="A1207" s="29" t="s">
        <v>1704</v>
      </c>
      <c r="B1207" s="63" t="s">
        <v>1582</v>
      </c>
      <c r="C1207" s="29" t="s">
        <v>1704</v>
      </c>
      <c r="D1207" s="63">
        <f>+D1206+1</f>
        <v>11</v>
      </c>
      <c r="E1207" s="56" t="s">
        <v>605</v>
      </c>
      <c r="F1207" s="63" t="s">
        <v>240</v>
      </c>
      <c r="G1207" s="63" t="s">
        <v>1777</v>
      </c>
      <c r="H1207" s="63">
        <v>1</v>
      </c>
      <c r="I1207" s="63">
        <v>36</v>
      </c>
      <c r="J1207" s="63">
        <v>1</v>
      </c>
      <c r="K1207" s="114" t="s">
        <v>1785</v>
      </c>
      <c r="L1207" s="63" t="s">
        <v>240</v>
      </c>
      <c r="M1207" s="114" t="s">
        <v>1786</v>
      </c>
      <c r="N1207" s="63" t="s">
        <v>240</v>
      </c>
      <c r="O1207" s="63" t="s">
        <v>240</v>
      </c>
      <c r="P1207" s="63" t="s">
        <v>240</v>
      </c>
      <c r="Q1207" s="63" t="s">
        <v>240</v>
      </c>
      <c r="R1207" s="63" t="s">
        <v>1788</v>
      </c>
      <c r="S1207" s="63">
        <f t="shared" si="498"/>
        <v>971</v>
      </c>
      <c r="T1207" s="63">
        <v>488</v>
      </c>
      <c r="U1207" s="63">
        <v>483</v>
      </c>
      <c r="V1207" s="63">
        <v>-2.1000000000000001E-2</v>
      </c>
      <c r="AB1207" s="63">
        <v>0.73899999999999999</v>
      </c>
      <c r="AC1207" s="63">
        <v>0.76</v>
      </c>
      <c r="AF1207" s="102">
        <f t="shared" si="499"/>
        <v>0.77589552523129857</v>
      </c>
      <c r="AH1207" s="63">
        <v>0.438</v>
      </c>
      <c r="AI1207" s="102">
        <f t="shared" si="500"/>
        <v>2.7065499564183967E-2</v>
      </c>
    </row>
    <row r="1208" spans="1:35" s="63" customFormat="1" ht="30" customHeight="1" x14ac:dyDescent="0.25">
      <c r="A1208" s="29" t="s">
        <v>1704</v>
      </c>
      <c r="B1208" s="63" t="s">
        <v>1582</v>
      </c>
      <c r="C1208" s="29" t="s">
        <v>1704</v>
      </c>
      <c r="D1208" s="63">
        <f>+D1207+1</f>
        <v>12</v>
      </c>
      <c r="E1208" s="56" t="s">
        <v>605</v>
      </c>
      <c r="F1208" s="63" t="s">
        <v>240</v>
      </c>
      <c r="G1208" s="63" t="s">
        <v>1777</v>
      </c>
      <c r="H1208" s="63">
        <v>1</v>
      </c>
      <c r="I1208" s="63">
        <v>48</v>
      </c>
      <c r="J1208" s="63">
        <v>1</v>
      </c>
      <c r="K1208" s="114" t="s">
        <v>1785</v>
      </c>
      <c r="L1208" s="63" t="s">
        <v>240</v>
      </c>
      <c r="M1208" s="114" t="s">
        <v>1786</v>
      </c>
      <c r="N1208" s="63" t="s">
        <v>240</v>
      </c>
      <c r="O1208" s="63" t="s">
        <v>240</v>
      </c>
      <c r="P1208" s="63" t="s">
        <v>240</v>
      </c>
      <c r="Q1208" s="63" t="s">
        <v>240</v>
      </c>
      <c r="R1208" s="63" t="s">
        <v>1788</v>
      </c>
      <c r="S1208" s="63">
        <f t="shared" si="498"/>
        <v>971</v>
      </c>
      <c r="T1208" s="63">
        <v>488</v>
      </c>
      <c r="U1208" s="63">
        <v>483</v>
      </c>
      <c r="V1208" s="63">
        <v>-3.9E-2</v>
      </c>
      <c r="AB1208" s="63">
        <v>0.68799999999999994</v>
      </c>
      <c r="AC1208" s="63">
        <v>0.72699999999999998</v>
      </c>
      <c r="AF1208" s="102">
        <f t="shared" si="499"/>
        <v>0.99086266789754651</v>
      </c>
      <c r="AH1208" s="63">
        <v>0.32200000000000001</v>
      </c>
      <c r="AI1208" s="102">
        <f t="shared" si="500"/>
        <v>3.935964212149784E-2</v>
      </c>
    </row>
    <row r="1209" spans="1:35" s="63" customFormat="1" ht="30" customHeight="1" x14ac:dyDescent="0.25">
      <c r="A1209" s="29" t="s">
        <v>1704</v>
      </c>
      <c r="B1209" s="63" t="s">
        <v>1582</v>
      </c>
      <c r="C1209" s="29" t="s">
        <v>1704</v>
      </c>
      <c r="D1209" s="63">
        <f t="shared" ref="D1209:D1212" si="502">+D1208+1</f>
        <v>13</v>
      </c>
      <c r="E1209" s="56" t="s">
        <v>605</v>
      </c>
      <c r="F1209" s="63" t="s">
        <v>240</v>
      </c>
      <c r="G1209" s="63" t="s">
        <v>1777</v>
      </c>
      <c r="H1209" s="63">
        <v>1</v>
      </c>
      <c r="I1209" s="63">
        <v>12</v>
      </c>
      <c r="J1209" s="63">
        <v>1</v>
      </c>
      <c r="K1209" s="114" t="s">
        <v>1787</v>
      </c>
      <c r="L1209" s="63" t="s">
        <v>638</v>
      </c>
      <c r="M1209" s="114" t="s">
        <v>1786</v>
      </c>
      <c r="N1209" s="63" t="s">
        <v>240</v>
      </c>
      <c r="O1209" s="63" t="s">
        <v>240</v>
      </c>
      <c r="P1209" s="63" t="s">
        <v>240</v>
      </c>
      <c r="Q1209" s="63" t="s">
        <v>240</v>
      </c>
      <c r="R1209" s="63" t="s">
        <v>1788</v>
      </c>
      <c r="S1209" s="63">
        <f t="shared" si="498"/>
        <v>971</v>
      </c>
      <c r="T1209" s="63">
        <v>488</v>
      </c>
      <c r="U1209" s="63">
        <v>483</v>
      </c>
      <c r="V1209" s="63">
        <v>-839</v>
      </c>
      <c r="AB1209" s="63">
        <v>13912</v>
      </c>
      <c r="AC1209" s="63">
        <v>14751</v>
      </c>
      <c r="AF1209" s="102">
        <f t="shared" si="499"/>
        <v>1.4336316156084643</v>
      </c>
      <c r="AH1209" s="63">
        <v>0.152</v>
      </c>
      <c r="AI1209" s="102">
        <f t="shared" si="500"/>
        <v>585.22704917044553</v>
      </c>
    </row>
    <row r="1210" spans="1:35" s="63" customFormat="1" ht="30" customHeight="1" x14ac:dyDescent="0.25">
      <c r="A1210" s="29" t="s">
        <v>1704</v>
      </c>
      <c r="B1210" s="63" t="s">
        <v>1582</v>
      </c>
      <c r="C1210" s="29" t="s">
        <v>1704</v>
      </c>
      <c r="D1210" s="63">
        <f t="shared" si="502"/>
        <v>14</v>
      </c>
      <c r="E1210" s="56" t="s">
        <v>605</v>
      </c>
      <c r="F1210" s="63" t="s">
        <v>240</v>
      </c>
      <c r="G1210" s="63" t="s">
        <v>1777</v>
      </c>
      <c r="H1210" s="63">
        <v>1</v>
      </c>
      <c r="I1210" s="63">
        <v>24</v>
      </c>
      <c r="J1210" s="63">
        <v>1</v>
      </c>
      <c r="K1210" s="114" t="s">
        <v>1787</v>
      </c>
      <c r="L1210" s="63" t="s">
        <v>638</v>
      </c>
      <c r="M1210" s="114" t="s">
        <v>1786</v>
      </c>
      <c r="N1210" s="63" t="s">
        <v>240</v>
      </c>
      <c r="O1210" s="63" t="s">
        <v>240</v>
      </c>
      <c r="P1210" s="63" t="s">
        <v>240</v>
      </c>
      <c r="Q1210" s="63" t="s">
        <v>240</v>
      </c>
      <c r="R1210" s="63" t="s">
        <v>1788</v>
      </c>
      <c r="S1210" s="63">
        <f t="shared" si="498"/>
        <v>971</v>
      </c>
      <c r="T1210" s="63">
        <v>488</v>
      </c>
      <c r="U1210" s="63">
        <v>483</v>
      </c>
      <c r="V1210" s="63">
        <v>-638</v>
      </c>
      <c r="AB1210" s="63">
        <v>13718</v>
      </c>
      <c r="AC1210" s="63">
        <v>14356</v>
      </c>
      <c r="AF1210" s="102">
        <f t="shared" si="499"/>
        <v>0.84199233090436953</v>
      </c>
      <c r="AH1210" s="63">
        <v>0.4</v>
      </c>
      <c r="AI1210" s="102">
        <f t="shared" si="500"/>
        <v>757.72661648204701</v>
      </c>
    </row>
    <row r="1211" spans="1:35" s="63" customFormat="1" ht="30" customHeight="1" x14ac:dyDescent="0.25">
      <c r="A1211" s="29" t="s">
        <v>1704</v>
      </c>
      <c r="B1211" s="63" t="s">
        <v>1582</v>
      </c>
      <c r="C1211" s="29" t="s">
        <v>1704</v>
      </c>
      <c r="D1211" s="63">
        <f t="shared" si="502"/>
        <v>15</v>
      </c>
      <c r="E1211" s="56" t="s">
        <v>605</v>
      </c>
      <c r="F1211" s="63" t="s">
        <v>240</v>
      </c>
      <c r="G1211" s="63" t="s">
        <v>1777</v>
      </c>
      <c r="H1211" s="63">
        <v>1</v>
      </c>
      <c r="I1211" s="63">
        <v>36</v>
      </c>
      <c r="J1211" s="63">
        <v>1</v>
      </c>
      <c r="K1211" s="114" t="s">
        <v>1787</v>
      </c>
      <c r="L1211" s="63" t="s">
        <v>638</v>
      </c>
      <c r="M1211" s="114" t="s">
        <v>1786</v>
      </c>
      <c r="N1211" s="63" t="s">
        <v>240</v>
      </c>
      <c r="O1211" s="63" t="s">
        <v>240</v>
      </c>
      <c r="P1211" s="63" t="s">
        <v>240</v>
      </c>
      <c r="Q1211" s="63" t="s">
        <v>240</v>
      </c>
      <c r="R1211" s="63" t="s">
        <v>1788</v>
      </c>
      <c r="S1211" s="63">
        <f t="shared" si="498"/>
        <v>971</v>
      </c>
      <c r="T1211" s="63">
        <v>488</v>
      </c>
      <c r="U1211" s="63">
        <v>483</v>
      </c>
      <c r="V1211" s="63">
        <v>-65</v>
      </c>
      <c r="AB1211" s="63">
        <v>13638</v>
      </c>
      <c r="AC1211" s="63">
        <v>13703</v>
      </c>
      <c r="AF1211" s="102">
        <f t="shared" si="499"/>
        <v>7.7804033805021475E-2</v>
      </c>
      <c r="AH1211" s="63">
        <v>0.93799999999999994</v>
      </c>
      <c r="AI1211" s="102">
        <f t="shared" si="500"/>
        <v>835.43226258539949</v>
      </c>
    </row>
    <row r="1212" spans="1:35" s="63" customFormat="1" ht="30" customHeight="1" x14ac:dyDescent="0.25">
      <c r="A1212" s="29" t="s">
        <v>1704</v>
      </c>
      <c r="B1212" s="63" t="s">
        <v>1582</v>
      </c>
      <c r="C1212" s="29" t="s">
        <v>1704</v>
      </c>
      <c r="D1212" s="63">
        <f t="shared" si="502"/>
        <v>16</v>
      </c>
      <c r="E1212" s="56" t="s">
        <v>605</v>
      </c>
      <c r="F1212" s="63" t="s">
        <v>240</v>
      </c>
      <c r="G1212" s="63" t="s">
        <v>1777</v>
      </c>
      <c r="H1212" s="63">
        <v>1</v>
      </c>
      <c r="I1212" s="63">
        <v>48</v>
      </c>
      <c r="J1212" s="63">
        <v>1</v>
      </c>
      <c r="K1212" s="114" t="s">
        <v>1787</v>
      </c>
      <c r="L1212" s="63" t="s">
        <v>638</v>
      </c>
      <c r="M1212" s="114" t="s">
        <v>1786</v>
      </c>
      <c r="N1212" s="63" t="s">
        <v>240</v>
      </c>
      <c r="O1212" s="63" t="s">
        <v>240</v>
      </c>
      <c r="P1212" s="63" t="s">
        <v>240</v>
      </c>
      <c r="Q1212" s="63" t="s">
        <v>240</v>
      </c>
      <c r="R1212" s="63" t="s">
        <v>1788</v>
      </c>
      <c r="S1212" s="63">
        <f t="shared" si="498"/>
        <v>971</v>
      </c>
      <c r="T1212" s="63">
        <v>488</v>
      </c>
      <c r="U1212" s="63">
        <v>483</v>
      </c>
      <c r="V1212" s="63">
        <v>39</v>
      </c>
      <c r="AB1212" s="63">
        <v>13381</v>
      </c>
      <c r="AC1212" s="63">
        <v>13342</v>
      </c>
      <c r="AF1212" s="102">
        <f t="shared" si="499"/>
        <v>3.2600355370477639E-2</v>
      </c>
      <c r="AH1212" s="63">
        <v>0.97399999999999998</v>
      </c>
      <c r="AI1212" s="102">
        <f t="shared" si="500"/>
        <v>1196.30597755133</v>
      </c>
    </row>
  </sheetData>
  <pageMargins left="0.7" right="0.7" top="0.75" bottom="0.75" header="0.3" footer="0.3"/>
  <pageSetup orientation="portrait"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Planning</vt:lpstr>
      <vt:lpstr>Hoja1</vt:lpstr>
      <vt:lpstr>7. Evaluations</vt:lpstr>
      <vt:lpstr>8. Effects</vt:lpstr>
    </vt:vector>
  </TitlesOfParts>
  <Manager/>
  <Company>IDB</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Julian Cristia</dc:creator>
  <cp:keywords/>
  <dc:description/>
  <cp:lastModifiedBy>Diego Uriarte</cp:lastModifiedBy>
  <cp:revision/>
  <dcterms:created xsi:type="dcterms:W3CDTF">2017-05-04T03:30:03Z</dcterms:created>
  <dcterms:modified xsi:type="dcterms:W3CDTF">2019-05-03T16:47:31Z</dcterms:modified>
  <cp:category/>
  <cp:contentStatus/>
</cp:coreProperties>
</file>